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printerSettings/printerSettings1.bin" ContentType="application/vnd.openxmlformats-officedocument.spreadsheetml.printerSettings"/>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paksivatkinavaleria/Desktop/"/>
    </mc:Choice>
  </mc:AlternateContent>
  <xr:revisionPtr revIDLastSave="0" documentId="8_{A5066999-B8EA-3947-B94C-F00653F471FB}" xr6:coauthVersionLast="47" xr6:coauthVersionMax="47" xr10:uidLastSave="{00000000-0000-0000-0000-000000000000}"/>
  <bookViews>
    <workbookView xWindow="0" yWindow="460" windowWidth="28800" windowHeight="16220" xr2:uid="{72038A7B-21B9-3C43-8321-080A783D1275}"/>
  </bookViews>
  <sheets>
    <sheet name="Практики субъектов" sheetId="1" r:id="rId1"/>
    <sheet name="Практики МО" sheetId="3" r:id="rId2"/>
    <sheet name="Свод" sheetId="7" r:id="rId3"/>
    <sheet name="Расчеты" sheetId="8" r:id="rId4"/>
    <sheet name="Таблицы" sheetId="10" r:id="rId5"/>
    <sheet name="Федер округа" sheetId="11" r:id="rId6"/>
    <sheet name="Мун практики" sheetId="13" r:id="rId7"/>
  </sheets>
  <externalReferences>
    <externalReference r:id="rId8"/>
    <externalReference r:id="rId9"/>
    <externalReference r:id="rId10"/>
  </externalReferences>
  <definedNames>
    <definedName name="_xlnm._FilterDatabase" localSheetId="6" hidden="1">'Мун практики'!$K$4:$P$39</definedName>
    <definedName name="_xlnm._FilterDatabase" localSheetId="2" hidden="1">Свод!$D$1:$FO$455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13" l="1"/>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12" i="13"/>
  <c r="H6" i="13"/>
  <c r="H7" i="13"/>
  <c r="H8" i="13"/>
  <c r="H9" i="13"/>
  <c r="H10" i="13"/>
  <c r="H11" i="13"/>
  <c r="H5" i="13"/>
  <c r="AL30" i="7"/>
  <c r="CQ30" i="7"/>
  <c r="CL30" i="7"/>
  <c r="CM30" i="7" s="1"/>
  <c r="BJ30" i="7"/>
  <c r="AS30" i="7"/>
  <c r="AW8" i="8" l="1"/>
  <c r="AH38" i="10" l="1"/>
  <c r="AH35" i="10"/>
  <c r="I37" i="10"/>
  <c r="I36" i="10"/>
  <c r="I35" i="10"/>
  <c r="I33" i="10"/>
  <c r="I32" i="10"/>
  <c r="I31" i="10"/>
  <c r="H36" i="10"/>
  <c r="H35" i="10"/>
  <c r="H33" i="10"/>
  <c r="H32" i="10"/>
  <c r="H31" i="10"/>
  <c r="G38" i="10"/>
  <c r="G36" i="10"/>
  <c r="G35" i="10"/>
  <c r="G33" i="10"/>
  <c r="G32" i="10"/>
  <c r="G31" i="10"/>
  <c r="F38" i="10"/>
  <c r="F36" i="10"/>
  <c r="F35" i="10"/>
  <c r="F33" i="10"/>
  <c r="F32" i="10"/>
  <c r="F31" i="10"/>
  <c r="E38" i="10"/>
  <c r="E36" i="10"/>
  <c r="E35" i="10"/>
  <c r="E33" i="10"/>
  <c r="E32" i="10"/>
  <c r="E31" i="10"/>
  <c r="D38" i="10"/>
  <c r="D36" i="10"/>
  <c r="D35" i="10"/>
  <c r="D33" i="10"/>
  <c r="D32" i="10"/>
  <c r="D31" i="10"/>
  <c r="C38" i="10"/>
  <c r="C36" i="10"/>
  <c r="C35" i="10"/>
  <c r="C33" i="10"/>
  <c r="C32" i="10"/>
  <c r="S163" i="8"/>
  <c r="T163" i="8"/>
  <c r="U163" i="8"/>
  <c r="W163" i="8"/>
  <c r="AA163" i="8"/>
  <c r="AC163" i="8"/>
  <c r="AE163" i="8"/>
  <c r="AF163" i="8"/>
  <c r="AG163" i="8"/>
  <c r="AH163" i="8"/>
  <c r="AI163" i="8"/>
  <c r="AJ163" i="8"/>
  <c r="AK163" i="8"/>
  <c r="AL163" i="8"/>
  <c r="AN163" i="8"/>
  <c r="AP163" i="8"/>
  <c r="AQ163" i="8"/>
  <c r="AR163" i="8"/>
  <c r="AS163" i="8"/>
  <c r="AV163" i="8"/>
  <c r="AZ163" i="8"/>
  <c r="BB163" i="8"/>
  <c r="BC163" i="8"/>
  <c r="BE163" i="8"/>
  <c r="BF163" i="8"/>
  <c r="BG163" i="8"/>
  <c r="BH163" i="8"/>
  <c r="BI163" i="8"/>
  <c r="BJ163" i="8"/>
  <c r="BT163" i="8"/>
  <c r="BV163" i="8"/>
  <c r="BX163" i="8"/>
  <c r="BY163" i="8"/>
  <c r="BZ163" i="8"/>
  <c r="CA163" i="8"/>
  <c r="CC163" i="8"/>
  <c r="CD163" i="8"/>
  <c r="CE163" i="8"/>
  <c r="CH163" i="8"/>
  <c r="CI163" i="8"/>
  <c r="CJ163" i="8"/>
  <c r="CK163" i="8"/>
  <c r="CL163" i="8"/>
  <c r="CQ163" i="8"/>
  <c r="CS163" i="8"/>
  <c r="CT163" i="8"/>
  <c r="CU163" i="8"/>
  <c r="CV163" i="8"/>
  <c r="CX163" i="8"/>
  <c r="R163" i="8"/>
  <c r="AG147" i="8"/>
  <c r="AJ147" i="8"/>
  <c r="AL147" i="8"/>
  <c r="AP147" i="8"/>
  <c r="AQ147" i="8"/>
  <c r="BC147" i="8"/>
  <c r="BF147" i="8"/>
  <c r="BG147" i="8"/>
  <c r="BQ147" i="8"/>
  <c r="CL147" i="8"/>
  <c r="CQ147" i="8"/>
  <c r="CS147" i="8"/>
  <c r="CW147" i="8"/>
  <c r="S150" i="8"/>
  <c r="T150" i="8"/>
  <c r="U150" i="8"/>
  <c r="V150" i="8"/>
  <c r="W150" i="8"/>
  <c r="X150" i="8"/>
  <c r="Y150" i="8"/>
  <c r="Z150" i="8"/>
  <c r="AA150" i="8"/>
  <c r="AB150" i="8"/>
  <c r="AC150" i="8"/>
  <c r="AD150" i="8"/>
  <c r="AE150" i="8"/>
  <c r="AF150" i="8"/>
  <c r="AG150" i="8"/>
  <c r="AH150" i="8"/>
  <c r="AI150" i="8"/>
  <c r="AJ150" i="8"/>
  <c r="AK150" i="8"/>
  <c r="AL150" i="8"/>
  <c r="AM150" i="8"/>
  <c r="AN150" i="8"/>
  <c r="AO150" i="8"/>
  <c r="AP150" i="8"/>
  <c r="AQ150" i="8"/>
  <c r="AR150" i="8"/>
  <c r="AS150" i="8"/>
  <c r="AT150" i="8"/>
  <c r="AU150" i="8"/>
  <c r="AV150" i="8"/>
  <c r="AW150" i="8"/>
  <c r="AX150" i="8"/>
  <c r="AY150" i="8"/>
  <c r="AZ150" i="8"/>
  <c r="BA150" i="8"/>
  <c r="BB150" i="8"/>
  <c r="BC150" i="8"/>
  <c r="BD150" i="8"/>
  <c r="BE150" i="8"/>
  <c r="BF150" i="8"/>
  <c r="BG150" i="8"/>
  <c r="BH150" i="8"/>
  <c r="BI150" i="8"/>
  <c r="BJ150" i="8"/>
  <c r="BK150" i="8"/>
  <c r="BL150" i="8"/>
  <c r="BM150" i="8"/>
  <c r="BN150" i="8"/>
  <c r="BO150" i="8"/>
  <c r="BP150" i="8"/>
  <c r="BQ150" i="8"/>
  <c r="BR150" i="8"/>
  <c r="BS150" i="8"/>
  <c r="BT150" i="8"/>
  <c r="BU150" i="8"/>
  <c r="BV150" i="8"/>
  <c r="BW150" i="8"/>
  <c r="BX150" i="8"/>
  <c r="BY150" i="8"/>
  <c r="BZ150" i="8"/>
  <c r="CA150" i="8"/>
  <c r="CB150" i="8"/>
  <c r="CC150" i="8"/>
  <c r="CD150" i="8"/>
  <c r="CE150" i="8"/>
  <c r="CF150" i="8"/>
  <c r="CG150" i="8"/>
  <c r="CH150" i="8"/>
  <c r="CI150" i="8"/>
  <c r="CJ150" i="8"/>
  <c r="CK150" i="8"/>
  <c r="CL150" i="8"/>
  <c r="CM150" i="8"/>
  <c r="CN150" i="8"/>
  <c r="CO150" i="8"/>
  <c r="CP150" i="8"/>
  <c r="CQ150" i="8"/>
  <c r="CR150" i="8"/>
  <c r="CS150" i="8"/>
  <c r="CT150" i="8"/>
  <c r="CU150" i="8"/>
  <c r="CV150" i="8"/>
  <c r="CW150" i="8"/>
  <c r="CX150" i="8"/>
  <c r="S152" i="8"/>
  <c r="T152" i="8"/>
  <c r="U152" i="8"/>
  <c r="V152" i="8"/>
  <c r="W152" i="8"/>
  <c r="X152" i="8"/>
  <c r="Z152" i="8"/>
  <c r="AA152" i="8"/>
  <c r="AB152" i="8"/>
  <c r="AC152" i="8"/>
  <c r="AE152" i="8"/>
  <c r="AF152" i="8"/>
  <c r="AG152" i="8"/>
  <c r="AH152" i="8"/>
  <c r="AI152" i="8"/>
  <c r="AJ152" i="8"/>
  <c r="AK152" i="8"/>
  <c r="AL152" i="8"/>
  <c r="AM152" i="8"/>
  <c r="AN152" i="8"/>
  <c r="AO152" i="8"/>
  <c r="AP152" i="8"/>
  <c r="AQ152" i="8"/>
  <c r="AR152" i="8"/>
  <c r="AS152" i="8"/>
  <c r="AT152" i="8"/>
  <c r="AV152" i="8"/>
  <c r="AX152" i="8"/>
  <c r="AY152" i="8"/>
  <c r="AZ152" i="8"/>
  <c r="BA152" i="8"/>
  <c r="BB152" i="8"/>
  <c r="BC152" i="8"/>
  <c r="BE152" i="8"/>
  <c r="BF152" i="8"/>
  <c r="BG152" i="8"/>
  <c r="BH152" i="8"/>
  <c r="BI152" i="8"/>
  <c r="BJ152" i="8"/>
  <c r="BK152" i="8"/>
  <c r="BL152" i="8"/>
  <c r="BM152" i="8"/>
  <c r="BP152" i="8"/>
  <c r="BQ152" i="8"/>
  <c r="BS152" i="8"/>
  <c r="BT152" i="8"/>
  <c r="BU152" i="8"/>
  <c r="BV152" i="8"/>
  <c r="BX152" i="8"/>
  <c r="BY152" i="8"/>
  <c r="BZ152" i="8"/>
  <c r="CA152" i="8"/>
  <c r="CB152" i="8"/>
  <c r="CC152" i="8"/>
  <c r="CD152" i="8"/>
  <c r="CE152" i="8"/>
  <c r="CF152" i="8"/>
  <c r="CH152" i="8"/>
  <c r="CI152" i="8"/>
  <c r="CJ152" i="8"/>
  <c r="CK152" i="8"/>
  <c r="CL152" i="8"/>
  <c r="CM152" i="8"/>
  <c r="CO152" i="8"/>
  <c r="CP152" i="8"/>
  <c r="CQ152" i="8"/>
  <c r="CS152" i="8"/>
  <c r="CT152" i="8"/>
  <c r="CU152" i="8"/>
  <c r="CV152" i="8"/>
  <c r="CX152" i="8"/>
  <c r="S154" i="8"/>
  <c r="T154" i="8"/>
  <c r="U154" i="8"/>
  <c r="V154" i="8"/>
  <c r="W154" i="8"/>
  <c r="X154" i="8"/>
  <c r="Y154" i="8"/>
  <c r="Z154" i="8"/>
  <c r="AA154" i="8"/>
  <c r="AB154" i="8"/>
  <c r="AC154" i="8"/>
  <c r="AD154" i="8"/>
  <c r="AE154" i="8"/>
  <c r="AF154" i="8"/>
  <c r="AG154" i="8"/>
  <c r="AH154" i="8"/>
  <c r="AI154" i="8"/>
  <c r="AJ154" i="8"/>
  <c r="AK154" i="8"/>
  <c r="AL154" i="8"/>
  <c r="AM154" i="8"/>
  <c r="AN154" i="8"/>
  <c r="AO154" i="8"/>
  <c r="AP154" i="8"/>
  <c r="AQ154" i="8"/>
  <c r="AR154" i="8"/>
  <c r="AS154" i="8"/>
  <c r="AT154" i="8"/>
  <c r="AU154" i="8"/>
  <c r="AV154" i="8"/>
  <c r="AW154" i="8"/>
  <c r="AX154" i="8"/>
  <c r="AY154" i="8"/>
  <c r="AZ154" i="8"/>
  <c r="BA154" i="8"/>
  <c r="BB154" i="8"/>
  <c r="BC154" i="8"/>
  <c r="BE154" i="8"/>
  <c r="BF154" i="8"/>
  <c r="BG154" i="8"/>
  <c r="BH154" i="8"/>
  <c r="BI154" i="8"/>
  <c r="BJ154" i="8"/>
  <c r="BK154" i="8"/>
  <c r="BL154" i="8"/>
  <c r="BM154" i="8"/>
  <c r="BO154" i="8"/>
  <c r="BP154" i="8"/>
  <c r="BQ154" i="8"/>
  <c r="BR154" i="8"/>
  <c r="BS154" i="8"/>
  <c r="BT154" i="8"/>
  <c r="BU154" i="8"/>
  <c r="BV154" i="8"/>
  <c r="BW154" i="8"/>
  <c r="BX154" i="8"/>
  <c r="BY154" i="8"/>
  <c r="BZ154" i="8"/>
  <c r="CA154" i="8"/>
  <c r="CB154" i="8"/>
  <c r="CC154" i="8"/>
  <c r="CD154" i="8"/>
  <c r="CE154" i="8"/>
  <c r="CF154" i="8"/>
  <c r="CH154" i="8"/>
  <c r="CI154" i="8"/>
  <c r="CJ154" i="8"/>
  <c r="CK154" i="8"/>
  <c r="CL154" i="8"/>
  <c r="CM154" i="8"/>
  <c r="CO154" i="8"/>
  <c r="CQ154" i="8"/>
  <c r="CR154" i="8"/>
  <c r="CS154" i="8"/>
  <c r="CT154" i="8"/>
  <c r="CU154" i="8"/>
  <c r="CV154" i="8"/>
  <c r="CX154" i="8"/>
  <c r="S156" i="8"/>
  <c r="T156" i="8"/>
  <c r="U156" i="8"/>
  <c r="V156" i="8"/>
  <c r="W156" i="8"/>
  <c r="X156" i="8"/>
  <c r="Y156" i="8"/>
  <c r="Z156" i="8"/>
  <c r="AA156" i="8"/>
  <c r="AB156" i="8"/>
  <c r="AC156" i="8"/>
  <c r="AD156" i="8"/>
  <c r="AE156" i="8"/>
  <c r="AF156" i="8"/>
  <c r="AG156" i="8"/>
  <c r="AH156" i="8"/>
  <c r="AI156" i="8"/>
  <c r="AJ156" i="8"/>
  <c r="AK156" i="8"/>
  <c r="AL156" i="8"/>
  <c r="AM156" i="8"/>
  <c r="AN156" i="8"/>
  <c r="AO156" i="8"/>
  <c r="AP156" i="8"/>
  <c r="AQ156" i="8"/>
  <c r="AR156" i="8"/>
  <c r="AS156" i="8"/>
  <c r="AT156" i="8"/>
  <c r="AU156" i="8"/>
  <c r="AV156" i="8"/>
  <c r="AW156" i="8"/>
  <c r="AX156" i="8"/>
  <c r="AY156" i="8"/>
  <c r="AZ156" i="8"/>
  <c r="BA156" i="8"/>
  <c r="BB156" i="8"/>
  <c r="BC156" i="8"/>
  <c r="BD156" i="8"/>
  <c r="BE156" i="8"/>
  <c r="BF156" i="8"/>
  <c r="BG156" i="8"/>
  <c r="BH156" i="8"/>
  <c r="BI156" i="8"/>
  <c r="BJ156" i="8"/>
  <c r="BK156" i="8"/>
  <c r="BL156" i="8"/>
  <c r="BM156" i="8"/>
  <c r="BO156" i="8"/>
  <c r="BP156" i="8"/>
  <c r="BQ156" i="8"/>
  <c r="BR156" i="8"/>
  <c r="BS156" i="8"/>
  <c r="BT156" i="8"/>
  <c r="BU156" i="8"/>
  <c r="BV156" i="8"/>
  <c r="BW156" i="8"/>
  <c r="BX156" i="8"/>
  <c r="BY156" i="8"/>
  <c r="BZ156" i="8"/>
  <c r="CA156" i="8"/>
  <c r="CB156" i="8"/>
  <c r="CC156" i="8"/>
  <c r="CD156" i="8"/>
  <c r="CE156" i="8"/>
  <c r="CF156" i="8"/>
  <c r="CG156" i="8"/>
  <c r="CH156" i="8"/>
  <c r="CI156" i="8"/>
  <c r="CJ156" i="8"/>
  <c r="CK156" i="8"/>
  <c r="CL156" i="8"/>
  <c r="CM156" i="8"/>
  <c r="CN156" i="8"/>
  <c r="CO156" i="8"/>
  <c r="CP156" i="8"/>
  <c r="CQ156" i="8"/>
  <c r="CR156" i="8"/>
  <c r="CS156" i="8"/>
  <c r="CT156" i="8"/>
  <c r="CU156" i="8"/>
  <c r="CV156" i="8"/>
  <c r="CW156" i="8"/>
  <c r="CX156" i="8"/>
  <c r="S158" i="8"/>
  <c r="T158" i="8"/>
  <c r="U158" i="8"/>
  <c r="V158" i="8"/>
  <c r="W158" i="8"/>
  <c r="X158" i="8"/>
  <c r="Y158" i="8"/>
  <c r="Z158" i="8"/>
  <c r="AA158" i="8"/>
  <c r="AB158" i="8"/>
  <c r="AC158" i="8"/>
  <c r="AD158" i="8"/>
  <c r="AE158" i="8"/>
  <c r="AF158" i="8"/>
  <c r="AG158" i="8"/>
  <c r="AH158" i="8"/>
  <c r="AI158" i="8"/>
  <c r="AJ158" i="8"/>
  <c r="AK158" i="8"/>
  <c r="AL158" i="8"/>
  <c r="AM158" i="8"/>
  <c r="AN158" i="8"/>
  <c r="AO158" i="8"/>
  <c r="AP158" i="8"/>
  <c r="AQ158" i="8"/>
  <c r="AR158" i="8"/>
  <c r="AS158" i="8"/>
  <c r="AT158" i="8"/>
  <c r="AU158" i="8"/>
  <c r="AV158" i="8"/>
  <c r="AW158" i="8"/>
  <c r="AX158" i="8"/>
  <c r="AY158" i="8"/>
  <c r="AZ158" i="8"/>
  <c r="BA158" i="8"/>
  <c r="BB158" i="8"/>
  <c r="BC158" i="8"/>
  <c r="BE158" i="8"/>
  <c r="BF158" i="8"/>
  <c r="BG158" i="8"/>
  <c r="BH158" i="8"/>
  <c r="BI158" i="8"/>
  <c r="BJ158" i="8"/>
  <c r="BK158" i="8"/>
  <c r="BL158" i="8"/>
  <c r="BM158" i="8"/>
  <c r="BP158" i="8"/>
  <c r="BQ158" i="8"/>
  <c r="BS158" i="8"/>
  <c r="BT158" i="8"/>
  <c r="BU158" i="8"/>
  <c r="BV158" i="8"/>
  <c r="BW158" i="8"/>
  <c r="BX158" i="8"/>
  <c r="BY158" i="8"/>
  <c r="BZ158" i="8"/>
  <c r="CA158" i="8"/>
  <c r="CB158" i="8"/>
  <c r="CC158" i="8"/>
  <c r="CD158" i="8"/>
  <c r="CE158" i="8"/>
  <c r="CF158" i="8"/>
  <c r="CG158" i="8"/>
  <c r="CH158" i="8"/>
  <c r="CI158" i="8"/>
  <c r="CJ158" i="8"/>
  <c r="CK158" i="8"/>
  <c r="CL158" i="8"/>
  <c r="CM158" i="8"/>
  <c r="CO158" i="8"/>
  <c r="CP158" i="8"/>
  <c r="CQ158" i="8"/>
  <c r="CR158" i="8"/>
  <c r="CS158" i="8"/>
  <c r="CT158" i="8"/>
  <c r="CU158" i="8"/>
  <c r="CV158" i="8"/>
  <c r="CW158" i="8"/>
  <c r="CX158" i="8"/>
  <c r="S160" i="8"/>
  <c r="T160" i="8"/>
  <c r="U160" i="8"/>
  <c r="V160" i="8"/>
  <c r="W160" i="8"/>
  <c r="X160" i="8"/>
  <c r="Y160" i="8"/>
  <c r="Z160" i="8"/>
  <c r="AA160" i="8"/>
  <c r="AB160" i="8"/>
  <c r="AC160" i="8"/>
  <c r="AD160" i="8"/>
  <c r="AE160" i="8"/>
  <c r="AF160" i="8"/>
  <c r="AG160" i="8"/>
  <c r="AH160" i="8"/>
  <c r="AI160" i="8"/>
  <c r="AJ160" i="8"/>
  <c r="AK160" i="8"/>
  <c r="AL160" i="8"/>
  <c r="AM160" i="8"/>
  <c r="AN160" i="8"/>
  <c r="AO160" i="8"/>
  <c r="AP160" i="8"/>
  <c r="AQ160" i="8"/>
  <c r="AR160" i="8"/>
  <c r="AS160" i="8"/>
  <c r="AT160" i="8"/>
  <c r="AU160" i="8"/>
  <c r="AV160" i="8"/>
  <c r="AW160" i="8"/>
  <c r="AX160" i="8"/>
  <c r="AY160" i="8"/>
  <c r="AZ160" i="8"/>
  <c r="BA160" i="8"/>
  <c r="BB160" i="8"/>
  <c r="BC160" i="8"/>
  <c r="BD160" i="8"/>
  <c r="BE160" i="8"/>
  <c r="BF160" i="8"/>
  <c r="BG160" i="8"/>
  <c r="BH160" i="8"/>
  <c r="BI160" i="8"/>
  <c r="BJ160" i="8"/>
  <c r="BK160" i="8"/>
  <c r="BL160" i="8"/>
  <c r="BM160" i="8"/>
  <c r="BN160" i="8"/>
  <c r="BO160" i="8"/>
  <c r="BP160" i="8"/>
  <c r="BQ160" i="8"/>
  <c r="BR160" i="8"/>
  <c r="BS160" i="8"/>
  <c r="BT160" i="8"/>
  <c r="BU160" i="8"/>
  <c r="BV160" i="8"/>
  <c r="BW160" i="8"/>
  <c r="BX160" i="8"/>
  <c r="BY160" i="8"/>
  <c r="BZ160" i="8"/>
  <c r="CA160" i="8"/>
  <c r="CB160" i="8"/>
  <c r="CC160" i="8"/>
  <c r="CD160" i="8"/>
  <c r="CE160" i="8"/>
  <c r="CF160" i="8"/>
  <c r="CG160" i="8"/>
  <c r="CH160" i="8"/>
  <c r="CI160" i="8"/>
  <c r="CJ160" i="8"/>
  <c r="CK160" i="8"/>
  <c r="CL160" i="8"/>
  <c r="CM160" i="8"/>
  <c r="CN160" i="8"/>
  <c r="CO160" i="8"/>
  <c r="CP160" i="8"/>
  <c r="CQ160" i="8"/>
  <c r="CR160" i="8"/>
  <c r="CS160" i="8"/>
  <c r="CT160" i="8"/>
  <c r="CU160" i="8"/>
  <c r="CV160" i="8"/>
  <c r="CW160" i="8"/>
  <c r="CX160" i="8"/>
  <c r="S162" i="8"/>
  <c r="T162" i="8"/>
  <c r="U162" i="8"/>
  <c r="W162" i="8"/>
  <c r="AA162" i="8"/>
  <c r="AC162" i="8"/>
  <c r="AE162" i="8"/>
  <c r="AF162" i="8"/>
  <c r="AG162" i="8"/>
  <c r="AH162" i="8"/>
  <c r="AI162" i="8"/>
  <c r="AJ162" i="8"/>
  <c r="AK162" i="8"/>
  <c r="AL162" i="8"/>
  <c r="AN162" i="8"/>
  <c r="AP162" i="8"/>
  <c r="AQ162" i="8"/>
  <c r="AR162" i="8"/>
  <c r="AS162" i="8"/>
  <c r="AV162" i="8"/>
  <c r="AZ162" i="8"/>
  <c r="BC162" i="8"/>
  <c r="BE162" i="8"/>
  <c r="BF162" i="8"/>
  <c r="BG162" i="8"/>
  <c r="BH162" i="8"/>
  <c r="BI162" i="8"/>
  <c r="BJ162" i="8"/>
  <c r="BT162" i="8"/>
  <c r="BV162" i="8"/>
  <c r="BX162" i="8"/>
  <c r="BY162" i="8"/>
  <c r="BZ162" i="8"/>
  <c r="CA162" i="8"/>
  <c r="CC162" i="8"/>
  <c r="CD162" i="8"/>
  <c r="CE162" i="8"/>
  <c r="CH162" i="8"/>
  <c r="CI162" i="8"/>
  <c r="CJ162" i="8"/>
  <c r="CK162" i="8"/>
  <c r="CL162" i="8"/>
  <c r="CQ162" i="8"/>
  <c r="CS162" i="8"/>
  <c r="CT162" i="8"/>
  <c r="CU162" i="8"/>
  <c r="CV162" i="8"/>
  <c r="CX162" i="8"/>
  <c r="R162" i="8"/>
  <c r="R160" i="8"/>
  <c r="R158" i="8"/>
  <c r="R156" i="8"/>
  <c r="R154" i="8"/>
  <c r="R152" i="8"/>
  <c r="R150" i="8"/>
  <c r="Q150" i="8" s="1"/>
  <c r="D126" i="10" s="1"/>
  <c r="S138" i="8"/>
  <c r="T138" i="8"/>
  <c r="U138" i="8"/>
  <c r="V138" i="8"/>
  <c r="W138" i="8"/>
  <c r="X138" i="8"/>
  <c r="Y138" i="8"/>
  <c r="Z138" i="8"/>
  <c r="AA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BX138" i="8"/>
  <c r="BY138" i="8"/>
  <c r="BZ138" i="8"/>
  <c r="CA138" i="8"/>
  <c r="CB138" i="8"/>
  <c r="CC138" i="8"/>
  <c r="CD138" i="8"/>
  <c r="CE138" i="8"/>
  <c r="CF138" i="8"/>
  <c r="CG138" i="8"/>
  <c r="CH138" i="8"/>
  <c r="CI138" i="8"/>
  <c r="CJ138" i="8"/>
  <c r="CK138" i="8"/>
  <c r="CL138" i="8"/>
  <c r="CM138" i="8"/>
  <c r="CN138" i="8"/>
  <c r="CO138" i="8"/>
  <c r="CP138" i="8"/>
  <c r="CQ138" i="8"/>
  <c r="CR138" i="8"/>
  <c r="CS138" i="8"/>
  <c r="CT138" i="8"/>
  <c r="CV138" i="8"/>
  <c r="CW138" i="8"/>
  <c r="CX138" i="8"/>
  <c r="S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BC140" i="8"/>
  <c r="BD140" i="8"/>
  <c r="BE140" i="8"/>
  <c r="BF140" i="8"/>
  <c r="BG140" i="8"/>
  <c r="BH140" i="8"/>
  <c r="BI140" i="8"/>
  <c r="BJ140" i="8"/>
  <c r="BK140" i="8"/>
  <c r="BL140" i="8"/>
  <c r="BM140" i="8"/>
  <c r="BN140" i="8"/>
  <c r="BO140" i="8"/>
  <c r="BP140" i="8"/>
  <c r="BQ140" i="8"/>
  <c r="BR140" i="8"/>
  <c r="BS140" i="8"/>
  <c r="BT140" i="8"/>
  <c r="BU140" i="8"/>
  <c r="BV140" i="8"/>
  <c r="BW140" i="8"/>
  <c r="BX140" i="8"/>
  <c r="BY140" i="8"/>
  <c r="BZ140" i="8"/>
  <c r="CA140" i="8"/>
  <c r="CB140" i="8"/>
  <c r="CC140" i="8"/>
  <c r="CD140" i="8"/>
  <c r="CE140" i="8"/>
  <c r="CF140" i="8"/>
  <c r="CG140" i="8"/>
  <c r="CH140" i="8"/>
  <c r="CI140" i="8"/>
  <c r="CJ140" i="8"/>
  <c r="CK140" i="8"/>
  <c r="CL140" i="8"/>
  <c r="CM140" i="8"/>
  <c r="CN140" i="8"/>
  <c r="CO140" i="8"/>
  <c r="CP140" i="8"/>
  <c r="CQ140" i="8"/>
  <c r="CR140" i="8"/>
  <c r="CS140" i="8"/>
  <c r="CT140" i="8"/>
  <c r="CV140" i="8"/>
  <c r="CW140" i="8"/>
  <c r="CX140"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Q142" i="8"/>
  <c r="AT142" i="8"/>
  <c r="AU142" i="8"/>
  <c r="AV142" i="8"/>
  <c r="AW142" i="8"/>
  <c r="AX142" i="8"/>
  <c r="AY142" i="8"/>
  <c r="AZ142" i="8"/>
  <c r="BA142" i="8"/>
  <c r="BB142" i="8"/>
  <c r="BC142" i="8"/>
  <c r="BF142" i="8"/>
  <c r="BG142" i="8"/>
  <c r="BH142" i="8"/>
  <c r="BI142" i="8"/>
  <c r="BJ142" i="8"/>
  <c r="BK142" i="8"/>
  <c r="BL142" i="8"/>
  <c r="BM142" i="8"/>
  <c r="BN142" i="8"/>
  <c r="BO142" i="8"/>
  <c r="BP142" i="8"/>
  <c r="BQ142" i="8"/>
  <c r="BS142" i="8"/>
  <c r="BT142" i="8"/>
  <c r="BU142" i="8"/>
  <c r="BV142" i="8"/>
  <c r="BX142" i="8"/>
  <c r="BY142" i="8"/>
  <c r="BZ142" i="8"/>
  <c r="CA142" i="8"/>
  <c r="CB142" i="8"/>
  <c r="CC142" i="8"/>
  <c r="CD142" i="8"/>
  <c r="CE142" i="8"/>
  <c r="CG142" i="8"/>
  <c r="CH142" i="8"/>
  <c r="CI142" i="8"/>
  <c r="CK142" i="8"/>
  <c r="CL142" i="8"/>
  <c r="CM142" i="8"/>
  <c r="CN142" i="8"/>
  <c r="CO142" i="8"/>
  <c r="CP142" i="8"/>
  <c r="CQ142" i="8"/>
  <c r="CS142" i="8"/>
  <c r="CT142" i="8"/>
  <c r="CU142" i="8"/>
  <c r="CV142" i="8"/>
  <c r="CW142" i="8"/>
  <c r="CX142" i="8"/>
  <c r="AG146" i="8"/>
  <c r="AJ146" i="8"/>
  <c r="AL146" i="8"/>
  <c r="AP146" i="8"/>
  <c r="AQ146" i="8"/>
  <c r="BF146" i="8"/>
  <c r="BG146" i="8"/>
  <c r="BQ146" i="8"/>
  <c r="CL146" i="8"/>
  <c r="CQ146" i="8"/>
  <c r="CW146" i="8"/>
  <c r="R144" i="8"/>
  <c r="S144" i="8"/>
  <c r="T144" i="8"/>
  <c r="U144" i="8"/>
  <c r="V144" i="8"/>
  <c r="W144" i="8"/>
  <c r="X144" i="8"/>
  <c r="Y144" i="8"/>
  <c r="Z144" i="8"/>
  <c r="AA144" i="8"/>
  <c r="AB144" i="8"/>
  <c r="AC144" i="8"/>
  <c r="AD144" i="8"/>
  <c r="AE144" i="8"/>
  <c r="AF144" i="8"/>
  <c r="AG144" i="8"/>
  <c r="AH144" i="8"/>
  <c r="AI144" i="8"/>
  <c r="AJ144" i="8"/>
  <c r="AK144" i="8"/>
  <c r="AL144" i="8"/>
  <c r="AM144" i="8"/>
  <c r="AN144" i="8"/>
  <c r="AO144" i="8"/>
  <c r="AP144" i="8"/>
  <c r="AQ144" i="8"/>
  <c r="AR144" i="8"/>
  <c r="AS144" i="8"/>
  <c r="AT144" i="8"/>
  <c r="AU144" i="8"/>
  <c r="AV144" i="8"/>
  <c r="AW144" i="8"/>
  <c r="AX144" i="8"/>
  <c r="AY144" i="8"/>
  <c r="AZ144" i="8"/>
  <c r="BA144" i="8"/>
  <c r="BB144" i="8"/>
  <c r="BC144" i="8"/>
  <c r="BD144" i="8"/>
  <c r="BE144" i="8"/>
  <c r="BF144" i="8"/>
  <c r="BG144" i="8"/>
  <c r="BH144" i="8"/>
  <c r="BI144" i="8"/>
  <c r="BJ144" i="8"/>
  <c r="BK144" i="8"/>
  <c r="BL144" i="8"/>
  <c r="BM144" i="8"/>
  <c r="BN144" i="8"/>
  <c r="BO144" i="8"/>
  <c r="BP144" i="8"/>
  <c r="BQ144" i="8"/>
  <c r="BR144" i="8"/>
  <c r="BS144" i="8"/>
  <c r="BT144" i="8"/>
  <c r="BU144" i="8"/>
  <c r="BV144" i="8"/>
  <c r="BW144" i="8"/>
  <c r="BX144" i="8"/>
  <c r="BY144" i="8"/>
  <c r="BZ144" i="8"/>
  <c r="CA144" i="8"/>
  <c r="CB144" i="8"/>
  <c r="CC144" i="8"/>
  <c r="CD144" i="8"/>
  <c r="CE144" i="8"/>
  <c r="CF144" i="8"/>
  <c r="CG144" i="8"/>
  <c r="CH144" i="8"/>
  <c r="CI144" i="8"/>
  <c r="CJ144" i="8"/>
  <c r="CK144" i="8"/>
  <c r="CL144" i="8"/>
  <c r="CM144" i="8"/>
  <c r="CN144" i="8"/>
  <c r="CO144" i="8"/>
  <c r="CP144" i="8"/>
  <c r="CQ144" i="8"/>
  <c r="CR144" i="8"/>
  <c r="CS144" i="8"/>
  <c r="CT144" i="8"/>
  <c r="CU144" i="8"/>
  <c r="CV144" i="8"/>
  <c r="CW144" i="8"/>
  <c r="CX144" i="8"/>
  <c r="R142" i="8"/>
  <c r="R140" i="8"/>
  <c r="R138" i="8"/>
  <c r="S136" i="8"/>
  <c r="T136" i="8"/>
  <c r="U136" i="8"/>
  <c r="V136" i="8"/>
  <c r="W136" i="8"/>
  <c r="X136" i="8"/>
  <c r="Y136" i="8"/>
  <c r="Z136" i="8"/>
  <c r="AA136" i="8"/>
  <c r="AB136" i="8"/>
  <c r="AC136" i="8"/>
  <c r="AD136" i="8"/>
  <c r="AE136" i="8"/>
  <c r="AF136" i="8"/>
  <c r="AG136" i="8"/>
  <c r="AH136" i="8"/>
  <c r="AI136" i="8"/>
  <c r="AJ136" i="8"/>
  <c r="AK136" i="8"/>
  <c r="AL136" i="8"/>
  <c r="AM136" i="8"/>
  <c r="AN136" i="8"/>
  <c r="AO136" i="8"/>
  <c r="AP136" i="8"/>
  <c r="AQ136" i="8"/>
  <c r="AS136" i="8"/>
  <c r="AT136" i="8"/>
  <c r="AU136" i="8"/>
  <c r="AV136" i="8"/>
  <c r="AW136" i="8"/>
  <c r="AX136" i="8"/>
  <c r="AY136" i="8"/>
  <c r="AZ136" i="8"/>
  <c r="BA136" i="8"/>
  <c r="BC136" i="8"/>
  <c r="BE136" i="8"/>
  <c r="BF136" i="8"/>
  <c r="BG136" i="8"/>
  <c r="BH136" i="8"/>
  <c r="BI136" i="8"/>
  <c r="BJ136" i="8"/>
  <c r="BK136" i="8"/>
  <c r="BL136" i="8"/>
  <c r="BM136" i="8"/>
  <c r="BO136" i="8"/>
  <c r="BP136" i="8"/>
  <c r="BQ136" i="8"/>
  <c r="BR136" i="8"/>
  <c r="BS136" i="8"/>
  <c r="BT136" i="8"/>
  <c r="BU136" i="8"/>
  <c r="BV136" i="8"/>
  <c r="BX136" i="8"/>
  <c r="BY136" i="8"/>
  <c r="BZ136" i="8"/>
  <c r="CA136" i="8"/>
  <c r="CB136" i="8"/>
  <c r="CC136" i="8"/>
  <c r="CD136" i="8"/>
  <c r="CE136" i="8"/>
  <c r="CF136" i="8"/>
  <c r="CG136" i="8"/>
  <c r="CH136" i="8"/>
  <c r="CI136" i="8"/>
  <c r="CJ136" i="8"/>
  <c r="CK136" i="8"/>
  <c r="CL136" i="8"/>
  <c r="CM136" i="8"/>
  <c r="CN136" i="8"/>
  <c r="CO136" i="8"/>
  <c r="CP136" i="8"/>
  <c r="CQ136" i="8"/>
  <c r="CS136" i="8"/>
  <c r="CT136" i="8"/>
  <c r="CV136" i="8"/>
  <c r="CW136" i="8"/>
  <c r="CX136" i="8"/>
  <c r="R136" i="8"/>
  <c r="R134" i="8"/>
  <c r="S134" i="8"/>
  <c r="T134" i="8"/>
  <c r="U134" i="8"/>
  <c r="V134" i="8"/>
  <c r="W134" i="8"/>
  <c r="X134" i="8"/>
  <c r="Y134" i="8"/>
  <c r="Z134" i="8"/>
  <c r="AA134" i="8"/>
  <c r="AB134" i="8"/>
  <c r="AC134" i="8"/>
  <c r="AD134" i="8"/>
  <c r="AE134" i="8"/>
  <c r="AF134" i="8"/>
  <c r="AG134" i="8"/>
  <c r="AH134" i="8"/>
  <c r="AI134" i="8"/>
  <c r="AJ134" i="8"/>
  <c r="AK134" i="8"/>
  <c r="AL134" i="8"/>
  <c r="AM134" i="8"/>
  <c r="AN134" i="8"/>
  <c r="AO134" i="8"/>
  <c r="AP134" i="8"/>
  <c r="AQ134" i="8"/>
  <c r="AR134" i="8"/>
  <c r="AS134" i="8"/>
  <c r="AT134" i="8"/>
  <c r="AU134" i="8"/>
  <c r="AV134" i="8"/>
  <c r="AW134" i="8"/>
  <c r="AX134" i="8"/>
  <c r="AY134" i="8"/>
  <c r="AZ134" i="8"/>
  <c r="BA134" i="8"/>
  <c r="BB134" i="8"/>
  <c r="BC134" i="8"/>
  <c r="BE134" i="8"/>
  <c r="BF134" i="8"/>
  <c r="BG134" i="8"/>
  <c r="BH134" i="8"/>
  <c r="BI134" i="8"/>
  <c r="BJ134" i="8"/>
  <c r="BK134" i="8"/>
  <c r="BL134" i="8"/>
  <c r="BM134" i="8"/>
  <c r="BO134" i="8"/>
  <c r="BP134" i="8"/>
  <c r="BQ134" i="8"/>
  <c r="BR134" i="8"/>
  <c r="BS134" i="8"/>
  <c r="BT134" i="8"/>
  <c r="BU134" i="8"/>
  <c r="BV134" i="8"/>
  <c r="BX134" i="8"/>
  <c r="BY134" i="8"/>
  <c r="BZ134" i="8"/>
  <c r="CA134" i="8"/>
  <c r="CB134" i="8"/>
  <c r="CC134" i="8"/>
  <c r="CD134" i="8"/>
  <c r="CE134" i="8"/>
  <c r="CF134" i="8"/>
  <c r="CG134" i="8"/>
  <c r="CH134" i="8"/>
  <c r="CI134" i="8"/>
  <c r="CJ134" i="8"/>
  <c r="CK134" i="8"/>
  <c r="CL134" i="8"/>
  <c r="CM134" i="8"/>
  <c r="CN134" i="8"/>
  <c r="CO134" i="8"/>
  <c r="CP134" i="8"/>
  <c r="CQ134" i="8"/>
  <c r="CR134" i="8"/>
  <c r="CS134" i="8"/>
  <c r="CT134" i="8"/>
  <c r="CV134" i="8"/>
  <c r="CW134" i="8"/>
  <c r="CX134" i="8"/>
  <c r="Q144" i="8" l="1"/>
  <c r="C125" i="10" s="1"/>
  <c r="Q160" i="8"/>
  <c r="D125" i="10" s="1"/>
  <c r="D118" i="10"/>
  <c r="E118" i="10"/>
  <c r="C118" i="10"/>
  <c r="Q130" i="8"/>
  <c r="S127" i="8"/>
  <c r="S128" i="8" s="1"/>
  <c r="T127" i="8"/>
  <c r="T128" i="8" s="1"/>
  <c r="U127" i="8"/>
  <c r="U128" i="8" s="1"/>
  <c r="V127" i="8"/>
  <c r="V128" i="8" s="1"/>
  <c r="W127" i="8"/>
  <c r="W128" i="8" s="1"/>
  <c r="X127" i="8"/>
  <c r="X128" i="8" s="1"/>
  <c r="Z127" i="8"/>
  <c r="Z128" i="8" s="1"/>
  <c r="AA127" i="8"/>
  <c r="AA128" i="8" s="1"/>
  <c r="AB128" i="8"/>
  <c r="AC127" i="8"/>
  <c r="AC128" i="8" s="1"/>
  <c r="AD127" i="8"/>
  <c r="AD128" i="8" s="1"/>
  <c r="AE127" i="8"/>
  <c r="AE128" i="8" s="1"/>
  <c r="AF127" i="8"/>
  <c r="AF128" i="8" s="1"/>
  <c r="AG127" i="8"/>
  <c r="AG128" i="8" s="1"/>
  <c r="AH128" i="8"/>
  <c r="AI127" i="8"/>
  <c r="AI128" i="8" s="1"/>
  <c r="AJ127" i="8"/>
  <c r="AJ128" i="8" s="1"/>
  <c r="AK127" i="8"/>
  <c r="AK128" i="8" s="1"/>
  <c r="AL127" i="8"/>
  <c r="AL128" i="8" s="1"/>
  <c r="AM127" i="8"/>
  <c r="AM128" i="8" s="1"/>
  <c r="AN127" i="8"/>
  <c r="AN128" i="8" s="1"/>
  <c r="AO127" i="8"/>
  <c r="AO128" i="8" s="1"/>
  <c r="AP127" i="8"/>
  <c r="AP128" i="8" s="1"/>
  <c r="AQ127" i="8"/>
  <c r="AQ128" i="8" s="1"/>
  <c r="AR128" i="8"/>
  <c r="AS127" i="8"/>
  <c r="AS128" i="8" s="1"/>
  <c r="AT127" i="8"/>
  <c r="AT128" i="8" s="1"/>
  <c r="AU128" i="8"/>
  <c r="AV128" i="8"/>
  <c r="AW127" i="8"/>
  <c r="AW128" i="8" s="1"/>
  <c r="AX127" i="8"/>
  <c r="AX128" i="8" s="1"/>
  <c r="AY127" i="8"/>
  <c r="AY128" i="8" s="1"/>
  <c r="AZ127" i="8"/>
  <c r="AZ128" i="8" s="1"/>
  <c r="BA127" i="8"/>
  <c r="BA128" i="8" s="1"/>
  <c r="BB127" i="8"/>
  <c r="BB128" i="8" s="1"/>
  <c r="BC127" i="8"/>
  <c r="BC128" i="8" s="1"/>
  <c r="BD127" i="8"/>
  <c r="BD128" i="8" s="1"/>
  <c r="BE128" i="8"/>
  <c r="BF127" i="8"/>
  <c r="BF128" i="8" s="1"/>
  <c r="BG127" i="8"/>
  <c r="BG128" i="8" s="1"/>
  <c r="BH127" i="8"/>
  <c r="BH128" i="8" s="1"/>
  <c r="BI127" i="8"/>
  <c r="BI128" i="8" s="1"/>
  <c r="BJ127" i="8"/>
  <c r="BJ128" i="8" s="1"/>
  <c r="BK127" i="8"/>
  <c r="BK128" i="8" s="1"/>
  <c r="BL127" i="8"/>
  <c r="BL128" i="8" s="1"/>
  <c r="BM127" i="8"/>
  <c r="BM128" i="8" s="1"/>
  <c r="BO127" i="8"/>
  <c r="BO128" i="8" s="1"/>
  <c r="BP127" i="8"/>
  <c r="BP128" i="8" s="1"/>
  <c r="BQ127" i="8"/>
  <c r="BQ128" i="8" s="1"/>
  <c r="BS127" i="8"/>
  <c r="BS128" i="8" s="1"/>
  <c r="BT127" i="8"/>
  <c r="BT128" i="8" s="1"/>
  <c r="BU127" i="8"/>
  <c r="BU128" i="8" s="1"/>
  <c r="BV127" i="8"/>
  <c r="BV128" i="8" s="1"/>
  <c r="BW128" i="8"/>
  <c r="BX127" i="8"/>
  <c r="BX128" i="8" s="1"/>
  <c r="BY127" i="8"/>
  <c r="BY128" i="8" s="1"/>
  <c r="BZ127" i="8"/>
  <c r="BZ128" i="8" s="1"/>
  <c r="CA127" i="8"/>
  <c r="CA128" i="8" s="1"/>
  <c r="CB128" i="8"/>
  <c r="CC127" i="8"/>
  <c r="CC128" i="8" s="1"/>
  <c r="CD127" i="8"/>
  <c r="CD128" i="8" s="1"/>
  <c r="CE127" i="8"/>
  <c r="CE128" i="8" s="1"/>
  <c r="CG128" i="8"/>
  <c r="CH127" i="8"/>
  <c r="CH128" i="8" s="1"/>
  <c r="CI127" i="8"/>
  <c r="CI128" i="8" s="1"/>
  <c r="CJ127" i="8"/>
  <c r="CJ128" i="8" s="1"/>
  <c r="CK127" i="8"/>
  <c r="CK128" i="8" s="1"/>
  <c r="CL127" i="8"/>
  <c r="CL128" i="8" s="1"/>
  <c r="CM127" i="8"/>
  <c r="CM128" i="8" s="1"/>
  <c r="CO127" i="8"/>
  <c r="CO128" i="8" s="1"/>
  <c r="CQ127" i="8"/>
  <c r="CQ128" i="8" s="1"/>
  <c r="CR128" i="8"/>
  <c r="CS127" i="8"/>
  <c r="CS128" i="8" s="1"/>
  <c r="CT127" i="8"/>
  <c r="CT128" i="8" s="1"/>
  <c r="CV127" i="8"/>
  <c r="CV128" i="8" s="1"/>
  <c r="CX127" i="8"/>
  <c r="CX128" i="8" s="1"/>
  <c r="R127" i="8"/>
  <c r="R128" i="8" s="1"/>
  <c r="S123" i="8"/>
  <c r="T123" i="8"/>
  <c r="U123" i="8"/>
  <c r="V123" i="8"/>
  <c r="W123" i="8"/>
  <c r="X123" i="8"/>
  <c r="Y123" i="8"/>
  <c r="Z123" i="8"/>
  <c r="AA123" i="8"/>
  <c r="AB123" i="8"/>
  <c r="AD123" i="8"/>
  <c r="AE123" i="8"/>
  <c r="AF123" i="8"/>
  <c r="AG123" i="8"/>
  <c r="AI123" i="8"/>
  <c r="AJ123" i="8"/>
  <c r="AK123" i="8"/>
  <c r="AL123" i="8"/>
  <c r="AM123" i="8"/>
  <c r="AN123" i="8"/>
  <c r="AO123" i="8"/>
  <c r="AP123" i="8"/>
  <c r="AQ123" i="8"/>
  <c r="AR123" i="8"/>
  <c r="AT123" i="8"/>
  <c r="AU123" i="8"/>
  <c r="AV123" i="8"/>
  <c r="AW123" i="8"/>
  <c r="AX123" i="8"/>
  <c r="AY123" i="8"/>
  <c r="AZ123" i="8"/>
  <c r="BA123" i="8"/>
  <c r="BB123" i="8"/>
  <c r="BC123" i="8"/>
  <c r="BD123" i="8"/>
  <c r="BE123" i="8"/>
  <c r="BF123" i="8"/>
  <c r="BG123" i="8"/>
  <c r="BH123" i="8"/>
  <c r="BI123" i="8"/>
  <c r="BJ123" i="8"/>
  <c r="BK123" i="8"/>
  <c r="BL123" i="8"/>
  <c r="BM123" i="8"/>
  <c r="BN123" i="8"/>
  <c r="BO123" i="8"/>
  <c r="BP123" i="8"/>
  <c r="BQ123" i="8"/>
  <c r="BS123" i="8"/>
  <c r="BT123" i="8"/>
  <c r="BU123" i="8"/>
  <c r="BV123" i="8"/>
  <c r="BW123" i="8"/>
  <c r="BX123" i="8"/>
  <c r="BY123" i="8"/>
  <c r="BZ123" i="8"/>
  <c r="CA123" i="8"/>
  <c r="CB123" i="8"/>
  <c r="CC123" i="8"/>
  <c r="CD123" i="8"/>
  <c r="CE123" i="8"/>
  <c r="CF123" i="8"/>
  <c r="CG123" i="8"/>
  <c r="CH123" i="8"/>
  <c r="CI123" i="8"/>
  <c r="CJ123" i="8"/>
  <c r="CK123" i="8"/>
  <c r="CL123" i="8"/>
  <c r="CM123" i="8"/>
  <c r="CN123" i="8"/>
  <c r="CO123" i="8"/>
  <c r="CP123" i="8"/>
  <c r="CQ123" i="8"/>
  <c r="CS123" i="8"/>
  <c r="CT123" i="8"/>
  <c r="CV123" i="8"/>
  <c r="CX123" i="8"/>
  <c r="S122" i="8"/>
  <c r="T122" i="8"/>
  <c r="U122" i="8"/>
  <c r="V122" i="8"/>
  <c r="W122" i="8"/>
  <c r="X122" i="8"/>
  <c r="Y122" i="8"/>
  <c r="Z122" i="8"/>
  <c r="AA122" i="8"/>
  <c r="AB122" i="8"/>
  <c r="AD122" i="8"/>
  <c r="AE122" i="8"/>
  <c r="AF122" i="8"/>
  <c r="AG122" i="8"/>
  <c r="AH122" i="8"/>
  <c r="AI122" i="8"/>
  <c r="AJ122" i="8"/>
  <c r="AK122" i="8"/>
  <c r="AL122" i="8"/>
  <c r="AM122" i="8"/>
  <c r="AN122" i="8"/>
  <c r="AO122" i="8"/>
  <c r="AP122" i="8"/>
  <c r="AQ122" i="8"/>
  <c r="AR122" i="8"/>
  <c r="AT122" i="8"/>
  <c r="AU122" i="8"/>
  <c r="AV122" i="8"/>
  <c r="AW122" i="8"/>
  <c r="AX122" i="8"/>
  <c r="AY122" i="8"/>
  <c r="AZ122" i="8"/>
  <c r="BA122" i="8"/>
  <c r="BB122" i="8"/>
  <c r="BC122" i="8"/>
  <c r="BD122" i="8"/>
  <c r="BE122" i="8"/>
  <c r="BF122" i="8"/>
  <c r="BG122" i="8"/>
  <c r="BH122" i="8"/>
  <c r="BI122" i="8"/>
  <c r="BJ122" i="8"/>
  <c r="BK122" i="8"/>
  <c r="BL122" i="8"/>
  <c r="BM122" i="8"/>
  <c r="BN122" i="8"/>
  <c r="BO122" i="8"/>
  <c r="BP122" i="8"/>
  <c r="BQ122" i="8"/>
  <c r="BS122" i="8"/>
  <c r="BT122" i="8"/>
  <c r="BU122" i="8"/>
  <c r="BV122" i="8"/>
  <c r="BW122" i="8"/>
  <c r="BX122" i="8"/>
  <c r="BY122" i="8"/>
  <c r="BZ122" i="8"/>
  <c r="CA122" i="8"/>
  <c r="CB122" i="8"/>
  <c r="CC122" i="8"/>
  <c r="CD122" i="8"/>
  <c r="CE122" i="8"/>
  <c r="CF122" i="8"/>
  <c r="CG122" i="8"/>
  <c r="CH122" i="8"/>
  <c r="CI122" i="8"/>
  <c r="CJ122" i="8"/>
  <c r="CK122" i="8"/>
  <c r="CL122" i="8"/>
  <c r="CM122" i="8"/>
  <c r="CN122" i="8"/>
  <c r="CO122" i="8"/>
  <c r="CP122" i="8"/>
  <c r="CQ122" i="8"/>
  <c r="CS122" i="8"/>
  <c r="CT122" i="8"/>
  <c r="CV122" i="8"/>
  <c r="CX122" i="8"/>
  <c r="R123" i="8"/>
  <c r="R122" i="8"/>
  <c r="R121" i="8"/>
  <c r="S121" i="8"/>
  <c r="T121" i="8"/>
  <c r="U121" i="8"/>
  <c r="V121" i="8"/>
  <c r="W121" i="8"/>
  <c r="X121" i="8"/>
  <c r="Y121" i="8"/>
  <c r="Z121" i="8"/>
  <c r="AA121" i="8"/>
  <c r="AB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BM121" i="8"/>
  <c r="BN121" i="8"/>
  <c r="BO121" i="8"/>
  <c r="BP121" i="8"/>
  <c r="BQ121" i="8"/>
  <c r="BS121" i="8"/>
  <c r="BT121" i="8"/>
  <c r="BU121" i="8"/>
  <c r="BV121" i="8"/>
  <c r="BW121" i="8"/>
  <c r="BX121" i="8"/>
  <c r="BY121" i="8"/>
  <c r="BZ121" i="8"/>
  <c r="CA121" i="8"/>
  <c r="CB121" i="8"/>
  <c r="CC121" i="8"/>
  <c r="CD121" i="8"/>
  <c r="CE121" i="8"/>
  <c r="CF121" i="8"/>
  <c r="CG121" i="8"/>
  <c r="CH121" i="8"/>
  <c r="CI121" i="8"/>
  <c r="CJ121" i="8"/>
  <c r="CK121" i="8"/>
  <c r="CL121" i="8"/>
  <c r="CM121" i="8"/>
  <c r="CN121" i="8"/>
  <c r="CO121" i="8"/>
  <c r="CP121" i="8"/>
  <c r="CQ121" i="8"/>
  <c r="CS121" i="8"/>
  <c r="CT121" i="8"/>
  <c r="CV121" i="8"/>
  <c r="CX121" i="8"/>
  <c r="S115" i="8"/>
  <c r="T115" i="8"/>
  <c r="U115" i="8"/>
  <c r="V115" i="8"/>
  <c r="W115" i="8"/>
  <c r="X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BM115" i="8"/>
  <c r="BN115" i="8"/>
  <c r="BO115" i="8"/>
  <c r="BP115" i="8"/>
  <c r="BQ115" i="8"/>
  <c r="BS115" i="8"/>
  <c r="BT115" i="8"/>
  <c r="BU115" i="8"/>
  <c r="BV115" i="8"/>
  <c r="BW115" i="8"/>
  <c r="BX115" i="8"/>
  <c r="BY115" i="8"/>
  <c r="BZ115" i="8"/>
  <c r="CA115" i="8"/>
  <c r="CB115" i="8"/>
  <c r="CC115" i="8"/>
  <c r="CD115" i="8"/>
  <c r="CE115" i="8"/>
  <c r="CF115" i="8"/>
  <c r="CG115" i="8"/>
  <c r="CH115" i="8"/>
  <c r="CI115" i="8"/>
  <c r="CJ115" i="8"/>
  <c r="CK115" i="8"/>
  <c r="CL115" i="8"/>
  <c r="CM115" i="8"/>
  <c r="CN115" i="8"/>
  <c r="CO115" i="8"/>
  <c r="CP115" i="8"/>
  <c r="CQ115" i="8"/>
  <c r="CR115" i="8"/>
  <c r="CS115" i="8"/>
  <c r="CT115" i="8"/>
  <c r="CU115" i="8"/>
  <c r="CV115" i="8"/>
  <c r="CW115" i="8"/>
  <c r="CX115"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BA113" i="8"/>
  <c r="BB113" i="8"/>
  <c r="BC113" i="8"/>
  <c r="BD113" i="8"/>
  <c r="BE113" i="8"/>
  <c r="BF113" i="8"/>
  <c r="BG113" i="8"/>
  <c r="BH113" i="8"/>
  <c r="BI113" i="8"/>
  <c r="BJ113" i="8"/>
  <c r="BK113" i="8"/>
  <c r="BL113" i="8"/>
  <c r="BM113" i="8"/>
  <c r="BN113" i="8"/>
  <c r="BO113" i="8"/>
  <c r="BP113" i="8"/>
  <c r="BQ113" i="8"/>
  <c r="BR113" i="8"/>
  <c r="BS113" i="8"/>
  <c r="BT113" i="8"/>
  <c r="BU113" i="8"/>
  <c r="BV113" i="8"/>
  <c r="BW113" i="8"/>
  <c r="BX113" i="8"/>
  <c r="BY113" i="8"/>
  <c r="BZ113" i="8"/>
  <c r="CA113" i="8"/>
  <c r="CB113" i="8"/>
  <c r="CC113" i="8"/>
  <c r="CD113" i="8"/>
  <c r="CE113" i="8"/>
  <c r="CF113" i="8"/>
  <c r="CG113" i="8"/>
  <c r="CH113" i="8"/>
  <c r="CI113" i="8"/>
  <c r="CJ113" i="8"/>
  <c r="CK113" i="8"/>
  <c r="CL113" i="8"/>
  <c r="CM113" i="8"/>
  <c r="CN113" i="8"/>
  <c r="CO113" i="8"/>
  <c r="CP113" i="8"/>
  <c r="CQ113" i="8"/>
  <c r="CR113" i="8"/>
  <c r="CS113" i="8"/>
  <c r="CT113" i="8"/>
  <c r="CU113" i="8"/>
  <c r="CV113" i="8"/>
  <c r="CW113" i="8"/>
  <c r="CX113"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BJ111" i="8"/>
  <c r="BK111" i="8"/>
  <c r="BL111" i="8"/>
  <c r="BM111" i="8"/>
  <c r="BN111" i="8"/>
  <c r="BO111" i="8"/>
  <c r="BP111" i="8"/>
  <c r="BQ111" i="8"/>
  <c r="BR111" i="8"/>
  <c r="BS111" i="8"/>
  <c r="BT111" i="8"/>
  <c r="BU111" i="8"/>
  <c r="BV111" i="8"/>
  <c r="BW111" i="8"/>
  <c r="BX111" i="8"/>
  <c r="BY111" i="8"/>
  <c r="BZ111" i="8"/>
  <c r="CA111" i="8"/>
  <c r="CB111" i="8"/>
  <c r="CC111" i="8"/>
  <c r="CD111" i="8"/>
  <c r="CE111" i="8"/>
  <c r="CF111" i="8"/>
  <c r="CG111" i="8"/>
  <c r="CH111" i="8"/>
  <c r="CI111" i="8"/>
  <c r="CJ111" i="8"/>
  <c r="CK111" i="8"/>
  <c r="CL111" i="8"/>
  <c r="CM111" i="8"/>
  <c r="CN111" i="8"/>
  <c r="CO111" i="8"/>
  <c r="CP111" i="8"/>
  <c r="CQ111" i="8"/>
  <c r="CR111" i="8"/>
  <c r="CS111" i="8"/>
  <c r="CT111" i="8"/>
  <c r="CU111" i="8"/>
  <c r="CV111" i="8"/>
  <c r="CW111" i="8"/>
  <c r="CX111"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BH109" i="8"/>
  <c r="BI109" i="8"/>
  <c r="BJ109" i="8"/>
  <c r="BK109" i="8"/>
  <c r="BL109" i="8"/>
  <c r="BM109" i="8"/>
  <c r="BN109" i="8"/>
  <c r="BO109" i="8"/>
  <c r="BP109" i="8"/>
  <c r="BQ109" i="8"/>
  <c r="BR109" i="8"/>
  <c r="BS109" i="8"/>
  <c r="BT109" i="8"/>
  <c r="BU109" i="8"/>
  <c r="BV109" i="8"/>
  <c r="BW109" i="8"/>
  <c r="BX109" i="8"/>
  <c r="BY109" i="8"/>
  <c r="BZ109" i="8"/>
  <c r="CA109" i="8"/>
  <c r="CB109" i="8"/>
  <c r="CC109" i="8"/>
  <c r="CD109" i="8"/>
  <c r="CE109" i="8"/>
  <c r="CF109" i="8"/>
  <c r="CG109" i="8"/>
  <c r="CH109" i="8"/>
  <c r="CI109" i="8"/>
  <c r="CJ109" i="8"/>
  <c r="CK109" i="8"/>
  <c r="CL109" i="8"/>
  <c r="CM109" i="8"/>
  <c r="CN109" i="8"/>
  <c r="CO109" i="8"/>
  <c r="CP109" i="8"/>
  <c r="CQ109" i="8"/>
  <c r="CR109" i="8"/>
  <c r="CS109" i="8"/>
  <c r="CT109" i="8"/>
  <c r="CU109" i="8"/>
  <c r="CV109" i="8"/>
  <c r="CW109" i="8"/>
  <c r="CX109"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BF107" i="8"/>
  <c r="BG107" i="8"/>
  <c r="BH107" i="8"/>
  <c r="BI107" i="8"/>
  <c r="BJ107" i="8"/>
  <c r="BK107" i="8"/>
  <c r="BL107" i="8"/>
  <c r="BM107" i="8"/>
  <c r="BN107" i="8"/>
  <c r="BO107" i="8"/>
  <c r="BP107" i="8"/>
  <c r="BQ107" i="8"/>
  <c r="BR107" i="8"/>
  <c r="BS107" i="8"/>
  <c r="BT107" i="8"/>
  <c r="BU107" i="8"/>
  <c r="BV107" i="8"/>
  <c r="BW107" i="8"/>
  <c r="BX107" i="8"/>
  <c r="BY107" i="8"/>
  <c r="BZ107" i="8"/>
  <c r="CA107" i="8"/>
  <c r="CB107" i="8"/>
  <c r="CC107" i="8"/>
  <c r="CD107" i="8"/>
  <c r="CE107" i="8"/>
  <c r="CF107" i="8"/>
  <c r="CG107" i="8"/>
  <c r="CH107" i="8"/>
  <c r="CI107" i="8"/>
  <c r="CJ107" i="8"/>
  <c r="CK107" i="8"/>
  <c r="CL107" i="8"/>
  <c r="CM107" i="8"/>
  <c r="CN107" i="8"/>
  <c r="CO107" i="8"/>
  <c r="CP107" i="8"/>
  <c r="CQ107" i="8"/>
  <c r="CR107" i="8"/>
  <c r="CS107" i="8"/>
  <c r="CT107" i="8"/>
  <c r="CU107" i="8"/>
  <c r="CV107" i="8"/>
  <c r="CW107" i="8"/>
  <c r="CX107" i="8"/>
  <c r="S105" i="8"/>
  <c r="T105" i="8"/>
  <c r="U105" i="8"/>
  <c r="V105" i="8"/>
  <c r="W105" i="8"/>
  <c r="X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BD105" i="8"/>
  <c r="BE105" i="8"/>
  <c r="BF105" i="8"/>
  <c r="BG105" i="8"/>
  <c r="BH105" i="8"/>
  <c r="BI105" i="8"/>
  <c r="BJ105" i="8"/>
  <c r="BK105" i="8"/>
  <c r="BL105" i="8"/>
  <c r="BM105" i="8"/>
  <c r="BN105" i="8"/>
  <c r="BO105" i="8"/>
  <c r="BP105" i="8"/>
  <c r="BQ105" i="8"/>
  <c r="BR105" i="8"/>
  <c r="BS105" i="8"/>
  <c r="BT105" i="8"/>
  <c r="BU105" i="8"/>
  <c r="BV105" i="8"/>
  <c r="BW105" i="8"/>
  <c r="BX105" i="8"/>
  <c r="BY105" i="8"/>
  <c r="BZ105" i="8"/>
  <c r="CA105" i="8"/>
  <c r="CB105" i="8"/>
  <c r="CC105" i="8"/>
  <c r="CD105" i="8"/>
  <c r="CE105" i="8"/>
  <c r="CF105" i="8"/>
  <c r="CG105" i="8"/>
  <c r="CH105" i="8"/>
  <c r="CI105" i="8"/>
  <c r="CJ105" i="8"/>
  <c r="CK105" i="8"/>
  <c r="CL105" i="8"/>
  <c r="CM105" i="8"/>
  <c r="CN105" i="8"/>
  <c r="CO105" i="8"/>
  <c r="CP105" i="8"/>
  <c r="CQ105" i="8"/>
  <c r="CR105" i="8"/>
  <c r="CS105" i="8"/>
  <c r="CT105" i="8"/>
  <c r="CU105" i="8"/>
  <c r="CV105" i="8"/>
  <c r="CW105" i="8"/>
  <c r="CX105"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BB103" i="8"/>
  <c r="BC103" i="8"/>
  <c r="BD103" i="8"/>
  <c r="BE103" i="8"/>
  <c r="BF103" i="8"/>
  <c r="BG103" i="8"/>
  <c r="BH103" i="8"/>
  <c r="BI103" i="8"/>
  <c r="BJ103" i="8"/>
  <c r="BK103" i="8"/>
  <c r="BL103" i="8"/>
  <c r="BM103" i="8"/>
  <c r="BN103" i="8"/>
  <c r="BO103" i="8"/>
  <c r="BP103" i="8"/>
  <c r="BQ103" i="8"/>
  <c r="BR103" i="8"/>
  <c r="BS103" i="8"/>
  <c r="BT103" i="8"/>
  <c r="BU103" i="8"/>
  <c r="BV103" i="8"/>
  <c r="BW103" i="8"/>
  <c r="BX103" i="8"/>
  <c r="BY103" i="8"/>
  <c r="BZ103" i="8"/>
  <c r="CA103" i="8"/>
  <c r="CB103" i="8"/>
  <c r="CC103" i="8"/>
  <c r="CD103" i="8"/>
  <c r="CE103" i="8"/>
  <c r="CF103" i="8"/>
  <c r="CG103" i="8"/>
  <c r="CH103" i="8"/>
  <c r="CI103" i="8"/>
  <c r="CJ103" i="8"/>
  <c r="CK103" i="8"/>
  <c r="CL103" i="8"/>
  <c r="CM103" i="8"/>
  <c r="CN103" i="8"/>
  <c r="CO103" i="8"/>
  <c r="CP103" i="8"/>
  <c r="CQ103" i="8"/>
  <c r="CR103" i="8"/>
  <c r="CS103" i="8"/>
  <c r="CT103" i="8"/>
  <c r="CU103" i="8"/>
  <c r="CV103" i="8"/>
  <c r="CW103" i="8"/>
  <c r="CX103"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BA101" i="8"/>
  <c r="BB101" i="8"/>
  <c r="BC101" i="8"/>
  <c r="BD101" i="8"/>
  <c r="BE101" i="8"/>
  <c r="BF101" i="8"/>
  <c r="BG101" i="8"/>
  <c r="BH101" i="8"/>
  <c r="BI101" i="8"/>
  <c r="BJ101" i="8"/>
  <c r="BK101" i="8"/>
  <c r="BL101" i="8"/>
  <c r="BM101" i="8"/>
  <c r="BN101" i="8"/>
  <c r="BO101" i="8"/>
  <c r="BP101" i="8"/>
  <c r="BQ101" i="8"/>
  <c r="BR101" i="8"/>
  <c r="BS101" i="8"/>
  <c r="BT101" i="8"/>
  <c r="BU101" i="8"/>
  <c r="BV101" i="8"/>
  <c r="BW101" i="8"/>
  <c r="BX101" i="8"/>
  <c r="BY101" i="8"/>
  <c r="BZ101" i="8"/>
  <c r="CA101" i="8"/>
  <c r="CB101" i="8"/>
  <c r="CC101" i="8"/>
  <c r="CD101" i="8"/>
  <c r="CE101" i="8"/>
  <c r="CF101" i="8"/>
  <c r="CG101" i="8"/>
  <c r="CH101" i="8"/>
  <c r="CI101" i="8"/>
  <c r="CJ101" i="8"/>
  <c r="CK101" i="8"/>
  <c r="CL101" i="8"/>
  <c r="CM101" i="8"/>
  <c r="CN101" i="8"/>
  <c r="CO101" i="8"/>
  <c r="CP101" i="8"/>
  <c r="CQ101" i="8"/>
  <c r="CR101" i="8"/>
  <c r="CS101" i="8"/>
  <c r="CT101" i="8"/>
  <c r="CU101" i="8"/>
  <c r="CV101" i="8"/>
  <c r="CW101" i="8"/>
  <c r="CX101" i="8"/>
  <c r="S99" i="8"/>
  <c r="T99" i="8"/>
  <c r="U99" i="8"/>
  <c r="V99" i="8"/>
  <c r="W99" i="8"/>
  <c r="X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BA99" i="8"/>
  <c r="BB99" i="8"/>
  <c r="BC99" i="8"/>
  <c r="BD99" i="8"/>
  <c r="BE99" i="8"/>
  <c r="BF99" i="8"/>
  <c r="BG99" i="8"/>
  <c r="BH99" i="8"/>
  <c r="BI99" i="8"/>
  <c r="BJ99" i="8"/>
  <c r="BK99" i="8"/>
  <c r="BL99" i="8"/>
  <c r="BM99" i="8"/>
  <c r="BN99" i="8"/>
  <c r="BO99" i="8"/>
  <c r="BP99" i="8"/>
  <c r="BQ99" i="8"/>
  <c r="BR99" i="8"/>
  <c r="BS99" i="8"/>
  <c r="BT99" i="8"/>
  <c r="BU99" i="8"/>
  <c r="BV99" i="8"/>
  <c r="BW99" i="8"/>
  <c r="BX99" i="8"/>
  <c r="BY99" i="8"/>
  <c r="BZ99" i="8"/>
  <c r="CA99" i="8"/>
  <c r="CB99" i="8"/>
  <c r="CC99" i="8"/>
  <c r="CD99" i="8"/>
  <c r="CE99" i="8"/>
  <c r="CF99" i="8"/>
  <c r="CG99" i="8"/>
  <c r="CH99" i="8"/>
  <c r="CI99" i="8"/>
  <c r="CJ99" i="8"/>
  <c r="CK99" i="8"/>
  <c r="CL99" i="8"/>
  <c r="CM99" i="8"/>
  <c r="CN99" i="8"/>
  <c r="CO99" i="8"/>
  <c r="CP99" i="8"/>
  <c r="CQ99" i="8"/>
  <c r="CR99" i="8"/>
  <c r="CS99" i="8"/>
  <c r="CT99" i="8"/>
  <c r="CU99" i="8"/>
  <c r="CV99" i="8"/>
  <c r="CW99" i="8"/>
  <c r="CX99" i="8"/>
  <c r="S97" i="8"/>
  <c r="T97" i="8"/>
  <c r="U97" i="8"/>
  <c r="V97" i="8"/>
  <c r="W97" i="8"/>
  <c r="X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BA97" i="8"/>
  <c r="BB97" i="8"/>
  <c r="BC97" i="8"/>
  <c r="BD97" i="8"/>
  <c r="BE97" i="8"/>
  <c r="BF97" i="8"/>
  <c r="BG97" i="8"/>
  <c r="BH97" i="8"/>
  <c r="BI97" i="8"/>
  <c r="BJ97" i="8"/>
  <c r="BK97" i="8"/>
  <c r="BL97" i="8"/>
  <c r="BM97" i="8"/>
  <c r="BN97" i="8"/>
  <c r="BO97" i="8"/>
  <c r="BP97" i="8"/>
  <c r="BQ97" i="8"/>
  <c r="BR97" i="8"/>
  <c r="BS97" i="8"/>
  <c r="BT97" i="8"/>
  <c r="BU97" i="8"/>
  <c r="BV97" i="8"/>
  <c r="BW97" i="8"/>
  <c r="BX97" i="8"/>
  <c r="BY97" i="8"/>
  <c r="BZ97" i="8"/>
  <c r="CA97" i="8"/>
  <c r="CB97" i="8"/>
  <c r="CC97" i="8"/>
  <c r="CD97" i="8"/>
  <c r="CE97" i="8"/>
  <c r="CF97" i="8"/>
  <c r="CG97" i="8"/>
  <c r="CH97" i="8"/>
  <c r="CI97" i="8"/>
  <c r="CJ97" i="8"/>
  <c r="CK97" i="8"/>
  <c r="CL97" i="8"/>
  <c r="CM97" i="8"/>
  <c r="CN97" i="8"/>
  <c r="CO97" i="8"/>
  <c r="CP97" i="8"/>
  <c r="CQ97" i="8"/>
  <c r="CR97" i="8"/>
  <c r="CS97" i="8"/>
  <c r="CT97" i="8"/>
  <c r="CU97" i="8"/>
  <c r="CV97" i="8"/>
  <c r="CW97" i="8"/>
  <c r="CX97" i="8"/>
  <c r="S95" i="8"/>
  <c r="T95" i="8"/>
  <c r="U95" i="8"/>
  <c r="V95" i="8"/>
  <c r="W95" i="8"/>
  <c r="X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BM95" i="8"/>
  <c r="BN95" i="8"/>
  <c r="BO95" i="8"/>
  <c r="BP95" i="8"/>
  <c r="BQ95" i="8"/>
  <c r="BR95" i="8"/>
  <c r="BS95" i="8"/>
  <c r="BT95" i="8"/>
  <c r="BU95" i="8"/>
  <c r="BV95" i="8"/>
  <c r="BW95" i="8"/>
  <c r="BX95" i="8"/>
  <c r="BY95" i="8"/>
  <c r="BZ95" i="8"/>
  <c r="CA95" i="8"/>
  <c r="CB95" i="8"/>
  <c r="CC95" i="8"/>
  <c r="CD95" i="8"/>
  <c r="CE95" i="8"/>
  <c r="CF95" i="8"/>
  <c r="CG95" i="8"/>
  <c r="CH95" i="8"/>
  <c r="CI95" i="8"/>
  <c r="CJ95" i="8"/>
  <c r="CK95" i="8"/>
  <c r="CL95" i="8"/>
  <c r="CM95" i="8"/>
  <c r="CN95" i="8"/>
  <c r="CO95" i="8"/>
  <c r="CP95" i="8"/>
  <c r="CQ95" i="8"/>
  <c r="CR95" i="8"/>
  <c r="CS95" i="8"/>
  <c r="CT95" i="8"/>
  <c r="CU95" i="8"/>
  <c r="CV95" i="8"/>
  <c r="CW95" i="8"/>
  <c r="CX95" i="8"/>
  <c r="S93" i="8"/>
  <c r="T93" i="8"/>
  <c r="U93" i="8"/>
  <c r="V93" i="8"/>
  <c r="W93" i="8"/>
  <c r="X93" i="8"/>
  <c r="Z93" i="8"/>
  <c r="AA93" i="8"/>
  <c r="AB93" i="8"/>
  <c r="AC93" i="8"/>
  <c r="AD93" i="8"/>
  <c r="AE93" i="8"/>
  <c r="AF93" i="8"/>
  <c r="AG93" i="8"/>
  <c r="AH93" i="8"/>
  <c r="AI93" i="8"/>
  <c r="AJ93" i="8"/>
  <c r="AK93" i="8"/>
  <c r="AL93" i="8"/>
  <c r="AM93" i="8"/>
  <c r="AN93" i="8"/>
  <c r="AO93" i="8"/>
  <c r="AP93" i="8"/>
  <c r="AQ93" i="8"/>
  <c r="AR93" i="8"/>
  <c r="AS93" i="8"/>
  <c r="AT93" i="8"/>
  <c r="AU93" i="8"/>
  <c r="AV93" i="8"/>
  <c r="AW93" i="8"/>
  <c r="AX93" i="8"/>
  <c r="AY93" i="8"/>
  <c r="AZ93" i="8"/>
  <c r="BA93" i="8"/>
  <c r="BB93" i="8"/>
  <c r="BC93" i="8"/>
  <c r="BD93" i="8"/>
  <c r="BE93" i="8"/>
  <c r="BF93" i="8"/>
  <c r="BG93" i="8"/>
  <c r="BH93" i="8"/>
  <c r="BI93" i="8"/>
  <c r="BJ93" i="8"/>
  <c r="BK93" i="8"/>
  <c r="BL93" i="8"/>
  <c r="BM93" i="8"/>
  <c r="BN93" i="8"/>
  <c r="BO93" i="8"/>
  <c r="BP93" i="8"/>
  <c r="BQ93" i="8"/>
  <c r="BR93" i="8"/>
  <c r="BS93" i="8"/>
  <c r="BT93" i="8"/>
  <c r="BU93" i="8"/>
  <c r="BV93" i="8"/>
  <c r="BW93" i="8"/>
  <c r="BX93" i="8"/>
  <c r="BY93" i="8"/>
  <c r="BZ93" i="8"/>
  <c r="CA93" i="8"/>
  <c r="CB93" i="8"/>
  <c r="CC93" i="8"/>
  <c r="CD93" i="8"/>
  <c r="CE93" i="8"/>
  <c r="CF93" i="8"/>
  <c r="CG93" i="8"/>
  <c r="CH93" i="8"/>
  <c r="CI93" i="8"/>
  <c r="CJ93" i="8"/>
  <c r="CK93" i="8"/>
  <c r="CL93" i="8"/>
  <c r="CM93" i="8"/>
  <c r="CN93" i="8"/>
  <c r="CO93" i="8"/>
  <c r="CP93" i="8"/>
  <c r="CQ93" i="8"/>
  <c r="CR93" i="8"/>
  <c r="CS93" i="8"/>
  <c r="CT93" i="8"/>
  <c r="CV93" i="8"/>
  <c r="CW93" i="8"/>
  <c r="CX93" i="8"/>
  <c r="S91" i="8"/>
  <c r="T91" i="8"/>
  <c r="U91" i="8"/>
  <c r="V91" i="8"/>
  <c r="W91" i="8"/>
  <c r="X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BA91" i="8"/>
  <c r="BB91" i="8"/>
  <c r="BC91" i="8"/>
  <c r="BD91" i="8"/>
  <c r="BE91" i="8"/>
  <c r="BF91" i="8"/>
  <c r="BG91" i="8"/>
  <c r="BH91" i="8"/>
  <c r="BI91" i="8"/>
  <c r="BJ91" i="8"/>
  <c r="BK91" i="8"/>
  <c r="BL91" i="8"/>
  <c r="BM91" i="8"/>
  <c r="BN91" i="8"/>
  <c r="BO91" i="8"/>
  <c r="BP91" i="8"/>
  <c r="BQ91" i="8"/>
  <c r="BS91" i="8"/>
  <c r="BT91" i="8"/>
  <c r="BU91" i="8"/>
  <c r="BV91" i="8"/>
  <c r="BW91" i="8"/>
  <c r="BX91" i="8"/>
  <c r="BY91" i="8"/>
  <c r="BZ91" i="8"/>
  <c r="CA91" i="8"/>
  <c r="CB91" i="8"/>
  <c r="CC91" i="8"/>
  <c r="CD91" i="8"/>
  <c r="CE91" i="8"/>
  <c r="CF91" i="8"/>
  <c r="CG91" i="8"/>
  <c r="CH91" i="8"/>
  <c r="CI91" i="8"/>
  <c r="CJ91" i="8"/>
  <c r="CK91" i="8"/>
  <c r="CL91" i="8"/>
  <c r="CM91" i="8"/>
  <c r="CN91" i="8"/>
  <c r="CO91" i="8"/>
  <c r="CP91" i="8"/>
  <c r="CQ91" i="8"/>
  <c r="CR91" i="8"/>
  <c r="CS91" i="8"/>
  <c r="CT91" i="8"/>
  <c r="CU91" i="8"/>
  <c r="CV91" i="8"/>
  <c r="CX91" i="8"/>
  <c r="S89" i="8"/>
  <c r="T89" i="8"/>
  <c r="U89" i="8"/>
  <c r="V89" i="8"/>
  <c r="W89" i="8"/>
  <c r="X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BA89" i="8"/>
  <c r="BB89" i="8"/>
  <c r="BC89" i="8"/>
  <c r="BD89" i="8"/>
  <c r="BE89" i="8"/>
  <c r="BF89" i="8"/>
  <c r="BG89" i="8"/>
  <c r="BH89" i="8"/>
  <c r="BI89" i="8"/>
  <c r="BJ89" i="8"/>
  <c r="BK89" i="8"/>
  <c r="BL89" i="8"/>
  <c r="BM89" i="8"/>
  <c r="BN89" i="8"/>
  <c r="BO89" i="8"/>
  <c r="BP89" i="8"/>
  <c r="BQ89" i="8"/>
  <c r="BR89" i="8"/>
  <c r="BS89" i="8"/>
  <c r="BT89" i="8"/>
  <c r="BU89" i="8"/>
  <c r="BV89" i="8"/>
  <c r="BW89" i="8"/>
  <c r="BX89" i="8"/>
  <c r="BY89" i="8"/>
  <c r="BZ89" i="8"/>
  <c r="CA89" i="8"/>
  <c r="CB89" i="8"/>
  <c r="CC89" i="8"/>
  <c r="CD89" i="8"/>
  <c r="CE89" i="8"/>
  <c r="CF89" i="8"/>
  <c r="CG89" i="8"/>
  <c r="CH89" i="8"/>
  <c r="CI89" i="8"/>
  <c r="CJ89" i="8"/>
  <c r="CK89" i="8"/>
  <c r="CL89" i="8"/>
  <c r="CM89" i="8"/>
  <c r="CN89" i="8"/>
  <c r="CO89" i="8"/>
  <c r="CP89" i="8"/>
  <c r="CQ89" i="8"/>
  <c r="CR89" i="8"/>
  <c r="CS89" i="8"/>
  <c r="CT89" i="8"/>
  <c r="CU89" i="8"/>
  <c r="CV89" i="8"/>
  <c r="CW89" i="8"/>
  <c r="CX89" i="8"/>
  <c r="S87" i="8"/>
  <c r="T87" i="8"/>
  <c r="U87" i="8"/>
  <c r="V87" i="8"/>
  <c r="W87" i="8"/>
  <c r="X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BA87" i="8"/>
  <c r="BB87" i="8"/>
  <c r="BC87" i="8"/>
  <c r="BD87" i="8"/>
  <c r="BE87" i="8"/>
  <c r="BF87" i="8"/>
  <c r="BG87" i="8"/>
  <c r="BH87" i="8"/>
  <c r="BI87" i="8"/>
  <c r="BJ87" i="8"/>
  <c r="BK87" i="8"/>
  <c r="BL87" i="8"/>
  <c r="BM87" i="8"/>
  <c r="BN87" i="8"/>
  <c r="BO87" i="8"/>
  <c r="BP87" i="8"/>
  <c r="BQ87" i="8"/>
  <c r="BR87" i="8"/>
  <c r="BS87" i="8"/>
  <c r="BT87" i="8"/>
  <c r="BU87" i="8"/>
  <c r="BV87" i="8"/>
  <c r="BW87" i="8"/>
  <c r="BX87" i="8"/>
  <c r="BY87" i="8"/>
  <c r="BZ87" i="8"/>
  <c r="CA87" i="8"/>
  <c r="CB87" i="8"/>
  <c r="CC87" i="8"/>
  <c r="CD87" i="8"/>
  <c r="CE87" i="8"/>
  <c r="CF87" i="8"/>
  <c r="CG87" i="8"/>
  <c r="CH87" i="8"/>
  <c r="CI87" i="8"/>
  <c r="CJ87" i="8"/>
  <c r="CK87" i="8"/>
  <c r="CL87" i="8"/>
  <c r="CM87" i="8"/>
  <c r="CN87" i="8"/>
  <c r="CO87" i="8"/>
  <c r="CP87" i="8"/>
  <c r="CQ87" i="8"/>
  <c r="CR87" i="8"/>
  <c r="CS87" i="8"/>
  <c r="CT87" i="8"/>
  <c r="CU87" i="8"/>
  <c r="CV87" i="8"/>
  <c r="CW87" i="8"/>
  <c r="CX87" i="8"/>
  <c r="S85" i="8"/>
  <c r="T85" i="8"/>
  <c r="U85" i="8"/>
  <c r="V85" i="8"/>
  <c r="W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BA85" i="8"/>
  <c r="BB85" i="8"/>
  <c r="BC85" i="8"/>
  <c r="BD85" i="8"/>
  <c r="BE85" i="8"/>
  <c r="BF85" i="8"/>
  <c r="BG85" i="8"/>
  <c r="BH85" i="8"/>
  <c r="BI85" i="8"/>
  <c r="BJ85" i="8"/>
  <c r="BK85" i="8"/>
  <c r="BL85" i="8"/>
  <c r="BM85" i="8"/>
  <c r="BN85" i="8"/>
  <c r="BO85" i="8"/>
  <c r="BP85" i="8"/>
  <c r="BQ85" i="8"/>
  <c r="BR85" i="8"/>
  <c r="BS85" i="8"/>
  <c r="BT85" i="8"/>
  <c r="BU85" i="8"/>
  <c r="BV85" i="8"/>
  <c r="BW85" i="8"/>
  <c r="BX85" i="8"/>
  <c r="BY85" i="8"/>
  <c r="BZ85" i="8"/>
  <c r="CA85" i="8"/>
  <c r="CB85" i="8"/>
  <c r="CC85" i="8"/>
  <c r="CD85" i="8"/>
  <c r="CE85" i="8"/>
  <c r="CF85" i="8"/>
  <c r="CG85" i="8"/>
  <c r="CH85" i="8"/>
  <c r="CI85" i="8"/>
  <c r="CJ85" i="8"/>
  <c r="CK85" i="8"/>
  <c r="CL85" i="8"/>
  <c r="CM85" i="8"/>
  <c r="CN85" i="8"/>
  <c r="CO85" i="8"/>
  <c r="CP85" i="8"/>
  <c r="CQ85" i="8"/>
  <c r="CR85" i="8"/>
  <c r="CS85" i="8"/>
  <c r="CT85" i="8"/>
  <c r="CU85" i="8"/>
  <c r="CV85" i="8"/>
  <c r="CW85" i="8"/>
  <c r="CX85"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BA83" i="8"/>
  <c r="BB83" i="8"/>
  <c r="BC83" i="8"/>
  <c r="BD83" i="8"/>
  <c r="BE83" i="8"/>
  <c r="BF83" i="8"/>
  <c r="BG83" i="8"/>
  <c r="BH83" i="8"/>
  <c r="BI83" i="8"/>
  <c r="BJ83" i="8"/>
  <c r="BK83" i="8"/>
  <c r="BL83" i="8"/>
  <c r="BM83" i="8"/>
  <c r="BN83" i="8"/>
  <c r="BO83" i="8"/>
  <c r="BP83" i="8"/>
  <c r="BQ83" i="8"/>
  <c r="BR83" i="8"/>
  <c r="BS83" i="8"/>
  <c r="BT83" i="8"/>
  <c r="BU83" i="8"/>
  <c r="BV83" i="8"/>
  <c r="BW83" i="8"/>
  <c r="BX83" i="8"/>
  <c r="BY83" i="8"/>
  <c r="BZ83" i="8"/>
  <c r="CA83" i="8"/>
  <c r="CB83" i="8"/>
  <c r="CC83" i="8"/>
  <c r="CD83" i="8"/>
  <c r="CE83" i="8"/>
  <c r="CF83" i="8"/>
  <c r="CG83" i="8"/>
  <c r="CH83" i="8"/>
  <c r="CI83" i="8"/>
  <c r="CJ83" i="8"/>
  <c r="CK83" i="8"/>
  <c r="CL83" i="8"/>
  <c r="CM83" i="8"/>
  <c r="CN83" i="8"/>
  <c r="CO83" i="8"/>
  <c r="CP83" i="8"/>
  <c r="CQ83" i="8"/>
  <c r="CR83" i="8"/>
  <c r="CS83" i="8"/>
  <c r="CT83" i="8"/>
  <c r="CV83" i="8"/>
  <c r="CW83" i="8"/>
  <c r="CX83"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BA81" i="8"/>
  <c r="BB81" i="8"/>
  <c r="BC81" i="8"/>
  <c r="BD81" i="8"/>
  <c r="BE81" i="8"/>
  <c r="BF81" i="8"/>
  <c r="BG81" i="8"/>
  <c r="BH81" i="8"/>
  <c r="BI81" i="8"/>
  <c r="BJ81" i="8"/>
  <c r="BK81" i="8"/>
  <c r="BL81" i="8"/>
  <c r="BM81" i="8"/>
  <c r="BN81" i="8"/>
  <c r="BO81" i="8"/>
  <c r="BP81" i="8"/>
  <c r="BQ81" i="8"/>
  <c r="BR81" i="8"/>
  <c r="BS81" i="8"/>
  <c r="BT81" i="8"/>
  <c r="BU81" i="8"/>
  <c r="BV81" i="8"/>
  <c r="BW81" i="8"/>
  <c r="BX81" i="8"/>
  <c r="BY81" i="8"/>
  <c r="BZ81" i="8"/>
  <c r="CA81" i="8"/>
  <c r="CB81" i="8"/>
  <c r="CC81" i="8"/>
  <c r="CD81" i="8"/>
  <c r="CE81" i="8"/>
  <c r="CF81" i="8"/>
  <c r="CG81" i="8"/>
  <c r="CH81" i="8"/>
  <c r="CI81" i="8"/>
  <c r="CJ81" i="8"/>
  <c r="CK81" i="8"/>
  <c r="CL81" i="8"/>
  <c r="CM81" i="8"/>
  <c r="CN81" i="8"/>
  <c r="CO81" i="8"/>
  <c r="CP81" i="8"/>
  <c r="CQ81" i="8"/>
  <c r="CR81" i="8"/>
  <c r="CS81" i="8"/>
  <c r="CT81" i="8"/>
  <c r="CV81" i="8"/>
  <c r="CW81" i="8"/>
  <c r="CX81"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BL79" i="8"/>
  <c r="BM79" i="8"/>
  <c r="BN79" i="8"/>
  <c r="BO79" i="8"/>
  <c r="BP79" i="8"/>
  <c r="BQ79" i="8"/>
  <c r="BR79" i="8"/>
  <c r="BS79" i="8"/>
  <c r="BT79" i="8"/>
  <c r="BU79" i="8"/>
  <c r="BV79" i="8"/>
  <c r="BW79" i="8"/>
  <c r="BX79" i="8"/>
  <c r="BY79" i="8"/>
  <c r="BZ79" i="8"/>
  <c r="CA79" i="8"/>
  <c r="CB79" i="8"/>
  <c r="CC79" i="8"/>
  <c r="CD79" i="8"/>
  <c r="CE79" i="8"/>
  <c r="CF79" i="8"/>
  <c r="CG79" i="8"/>
  <c r="CH79" i="8"/>
  <c r="CI79" i="8"/>
  <c r="CJ79" i="8"/>
  <c r="CK79" i="8"/>
  <c r="CL79" i="8"/>
  <c r="CM79" i="8"/>
  <c r="CN79" i="8"/>
  <c r="CO79" i="8"/>
  <c r="CP79" i="8"/>
  <c r="CQ79" i="8"/>
  <c r="CR79" i="8"/>
  <c r="CS79" i="8"/>
  <c r="CT79" i="8"/>
  <c r="CU79" i="8"/>
  <c r="CV79" i="8"/>
  <c r="CW79" i="8"/>
  <c r="CX79"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BL77" i="8"/>
  <c r="BM77" i="8"/>
  <c r="BN77" i="8"/>
  <c r="BO77" i="8"/>
  <c r="BP77" i="8"/>
  <c r="BQ77" i="8"/>
  <c r="BR77" i="8"/>
  <c r="BS77" i="8"/>
  <c r="BT77" i="8"/>
  <c r="BU77" i="8"/>
  <c r="BV77" i="8"/>
  <c r="BW77" i="8"/>
  <c r="BX77" i="8"/>
  <c r="BY77" i="8"/>
  <c r="BZ77" i="8"/>
  <c r="CA77" i="8"/>
  <c r="CB77" i="8"/>
  <c r="CC77" i="8"/>
  <c r="CD77" i="8"/>
  <c r="CE77" i="8"/>
  <c r="CF77" i="8"/>
  <c r="CG77" i="8"/>
  <c r="CH77" i="8"/>
  <c r="CI77" i="8"/>
  <c r="CJ77" i="8"/>
  <c r="CK77" i="8"/>
  <c r="CL77" i="8"/>
  <c r="CM77" i="8"/>
  <c r="CN77" i="8"/>
  <c r="CO77" i="8"/>
  <c r="CP77" i="8"/>
  <c r="CQ77" i="8"/>
  <c r="CR77" i="8"/>
  <c r="CS77" i="8"/>
  <c r="CT77" i="8"/>
  <c r="CU77" i="8"/>
  <c r="CV77" i="8"/>
  <c r="CW77" i="8"/>
  <c r="CX77"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BL75" i="8"/>
  <c r="BM75" i="8"/>
  <c r="BN75" i="8"/>
  <c r="BO75" i="8"/>
  <c r="BP75" i="8"/>
  <c r="BQ75" i="8"/>
  <c r="BR75" i="8"/>
  <c r="BS75" i="8"/>
  <c r="BT75" i="8"/>
  <c r="BU75" i="8"/>
  <c r="BV75" i="8"/>
  <c r="BW75" i="8"/>
  <c r="BX75" i="8"/>
  <c r="BY75" i="8"/>
  <c r="BZ75" i="8"/>
  <c r="CA75" i="8"/>
  <c r="CB75" i="8"/>
  <c r="CC75" i="8"/>
  <c r="CD75" i="8"/>
  <c r="CE75" i="8"/>
  <c r="CF75" i="8"/>
  <c r="CG75" i="8"/>
  <c r="CH75" i="8"/>
  <c r="CI75" i="8"/>
  <c r="CJ75" i="8"/>
  <c r="CK75" i="8"/>
  <c r="CL75" i="8"/>
  <c r="CM75" i="8"/>
  <c r="CN75" i="8"/>
  <c r="CO75" i="8"/>
  <c r="CP75" i="8"/>
  <c r="CQ75" i="8"/>
  <c r="CR75" i="8"/>
  <c r="CS75" i="8"/>
  <c r="CT75" i="8"/>
  <c r="CU75" i="8"/>
  <c r="CV75" i="8"/>
  <c r="CW75" i="8"/>
  <c r="CX75"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BA73" i="8"/>
  <c r="BB73" i="8"/>
  <c r="BC73" i="8"/>
  <c r="BD73" i="8"/>
  <c r="BE73" i="8"/>
  <c r="BF73" i="8"/>
  <c r="BG73" i="8"/>
  <c r="BH73" i="8"/>
  <c r="BI73" i="8"/>
  <c r="BJ73" i="8"/>
  <c r="BK73" i="8"/>
  <c r="BL73" i="8"/>
  <c r="BM73" i="8"/>
  <c r="BN73" i="8"/>
  <c r="BO73" i="8"/>
  <c r="BP73" i="8"/>
  <c r="BQ73" i="8"/>
  <c r="BR73" i="8"/>
  <c r="BS73" i="8"/>
  <c r="BT73" i="8"/>
  <c r="BU73" i="8"/>
  <c r="BV73" i="8"/>
  <c r="BW73" i="8"/>
  <c r="BX73" i="8"/>
  <c r="BY73" i="8"/>
  <c r="BZ73" i="8"/>
  <c r="CA73" i="8"/>
  <c r="CB73" i="8"/>
  <c r="CC73" i="8"/>
  <c r="CD73" i="8"/>
  <c r="CE73" i="8"/>
  <c r="CF73" i="8"/>
  <c r="CG73" i="8"/>
  <c r="CH73" i="8"/>
  <c r="CI73" i="8"/>
  <c r="CJ73" i="8"/>
  <c r="CK73" i="8"/>
  <c r="CL73" i="8"/>
  <c r="CM73" i="8"/>
  <c r="CN73" i="8"/>
  <c r="CO73" i="8"/>
  <c r="CP73" i="8"/>
  <c r="CQ73" i="8"/>
  <c r="CR73" i="8"/>
  <c r="CS73" i="8"/>
  <c r="CT73" i="8"/>
  <c r="CU73" i="8"/>
  <c r="CV73" i="8"/>
  <c r="CW73" i="8"/>
  <c r="CX73" i="8"/>
  <c r="S71" i="8"/>
  <c r="T71" i="8"/>
  <c r="U71" i="8"/>
  <c r="V71" i="8"/>
  <c r="W71" i="8"/>
  <c r="X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V71" i="8"/>
  <c r="CW71" i="8"/>
  <c r="CX71" i="8"/>
  <c r="R115" i="8"/>
  <c r="R113" i="8"/>
  <c r="Q113" i="8" s="1"/>
  <c r="R111" i="8"/>
  <c r="Q111" i="8" s="1"/>
  <c r="R109" i="8"/>
  <c r="Q109" i="8" s="1"/>
  <c r="R107" i="8"/>
  <c r="Q107" i="8" s="1"/>
  <c r="R105" i="8"/>
  <c r="R103" i="8"/>
  <c r="Q103" i="8" s="1"/>
  <c r="R101" i="8"/>
  <c r="Q101" i="8" s="1"/>
  <c r="R99" i="8"/>
  <c r="R97" i="8"/>
  <c r="R95" i="8"/>
  <c r="R93" i="8"/>
  <c r="R91" i="8"/>
  <c r="R89" i="8"/>
  <c r="R87" i="8"/>
  <c r="R85" i="8"/>
  <c r="R83" i="8"/>
  <c r="R81" i="8"/>
  <c r="R79" i="8"/>
  <c r="R77" i="8"/>
  <c r="R75" i="8"/>
  <c r="R73" i="8"/>
  <c r="R71" i="8"/>
  <c r="AL7" i="7"/>
  <c r="AL8" i="7"/>
  <c r="AL9" i="7"/>
  <c r="AL10" i="7"/>
  <c r="AL12" i="7"/>
  <c r="U146" i="8" s="1"/>
  <c r="AL13" i="7"/>
  <c r="V146" i="8" s="1"/>
  <c r="AL14" i="7"/>
  <c r="AL15" i="7"/>
  <c r="AL16" i="7"/>
  <c r="W146" i="8" s="1"/>
  <c r="AL17" i="7"/>
  <c r="AL18" i="7"/>
  <c r="AL19" i="7"/>
  <c r="AL20" i="7"/>
  <c r="AL21" i="7"/>
  <c r="AL22" i="7"/>
  <c r="AL23" i="7"/>
  <c r="AL24" i="7"/>
  <c r="AL25" i="7"/>
  <c r="AL26" i="7"/>
  <c r="AL27" i="7"/>
  <c r="AL28" i="7"/>
  <c r="AL29" i="7"/>
  <c r="AL32" i="7"/>
  <c r="AL33" i="7"/>
  <c r="AL34" i="7"/>
  <c r="AL35" i="7"/>
  <c r="AL36" i="7"/>
  <c r="AL37" i="7"/>
  <c r="Z146" i="8" s="1"/>
  <c r="AL38" i="7"/>
  <c r="Z162" i="8" s="1"/>
  <c r="AL39" i="7"/>
  <c r="AA146" i="8" s="1"/>
  <c r="AL41" i="7"/>
  <c r="AL42" i="7"/>
  <c r="AL43" i="7"/>
  <c r="AL44" i="7"/>
  <c r="AL45" i="7"/>
  <c r="AL46" i="7"/>
  <c r="AL47" i="7"/>
  <c r="AL48" i="7"/>
  <c r="AD146" i="8" s="1"/>
  <c r="AL50" i="7"/>
  <c r="AL51" i="7"/>
  <c r="AL52" i="7"/>
  <c r="AL53" i="7"/>
  <c r="AL54" i="7"/>
  <c r="AL55" i="7"/>
  <c r="AL56" i="7"/>
  <c r="AL57" i="7"/>
  <c r="AL58" i="7"/>
  <c r="AL59" i="7"/>
  <c r="AL60" i="7"/>
  <c r="AI146" i="8" s="1"/>
  <c r="AL61" i="7"/>
  <c r="AL62" i="7"/>
  <c r="AK146" i="8" s="1"/>
  <c r="AL63" i="7"/>
  <c r="AL64" i="7"/>
  <c r="AL65" i="7"/>
  <c r="AL66" i="7"/>
  <c r="AL67" i="7"/>
  <c r="AL68" i="7"/>
  <c r="AL69" i="7"/>
  <c r="AN146" i="8" s="1"/>
  <c r="AL70" i="7"/>
  <c r="AO146" i="8" s="1"/>
  <c r="AL71" i="7"/>
  <c r="AL72" i="7"/>
  <c r="AL73" i="7"/>
  <c r="AL74" i="7"/>
  <c r="AL75" i="7"/>
  <c r="AL76" i="7"/>
  <c r="AL77" i="7"/>
  <c r="AL81" i="7"/>
  <c r="AL82" i="7"/>
  <c r="AL83" i="7"/>
  <c r="AL84" i="7"/>
  <c r="AL85" i="7"/>
  <c r="AL86" i="7"/>
  <c r="AU146" i="8" s="1"/>
  <c r="AL87" i="7"/>
  <c r="AL88" i="7"/>
  <c r="AL89" i="7"/>
  <c r="AL90" i="7"/>
  <c r="AL91" i="7"/>
  <c r="AL92" i="7"/>
  <c r="AL94" i="7"/>
  <c r="AL95" i="7"/>
  <c r="AL96" i="7"/>
  <c r="AL97" i="7"/>
  <c r="AL98" i="7"/>
  <c r="AL99" i="7"/>
  <c r="AL100" i="7"/>
  <c r="AL101" i="7"/>
  <c r="AL102" i="7"/>
  <c r="AL103" i="7"/>
  <c r="AL104" i="7"/>
  <c r="AL105" i="7"/>
  <c r="AL106" i="7"/>
  <c r="AL107" i="7"/>
  <c r="AL108" i="7"/>
  <c r="AL109" i="7"/>
  <c r="AL110" i="7"/>
  <c r="AL111" i="7"/>
  <c r="AW146" i="8" s="1"/>
  <c r="AL112" i="7"/>
  <c r="AL113" i="7"/>
  <c r="AL114" i="7"/>
  <c r="AL115" i="7"/>
  <c r="AL116" i="7"/>
  <c r="AL117" i="7"/>
  <c r="AL118" i="7"/>
  <c r="AL119" i="7"/>
  <c r="AL121" i="7"/>
  <c r="AL122" i="7"/>
  <c r="AL123" i="7"/>
  <c r="AL124" i="7"/>
  <c r="AL125" i="7"/>
  <c r="AL126" i="7"/>
  <c r="AL127" i="7"/>
  <c r="AL128" i="7"/>
  <c r="AL129" i="7"/>
  <c r="AL130" i="7"/>
  <c r="AL131" i="7"/>
  <c r="AL132" i="7"/>
  <c r="AL133" i="7"/>
  <c r="AL134" i="7"/>
  <c r="AL135" i="7"/>
  <c r="AL136" i="7"/>
  <c r="AL137" i="7"/>
  <c r="AL138" i="7"/>
  <c r="AL139" i="7"/>
  <c r="AL140" i="7"/>
  <c r="AL141" i="7"/>
  <c r="AY141" i="7" s="1"/>
  <c r="AL142" i="7"/>
  <c r="AL143" i="7"/>
  <c r="AL144" i="7"/>
  <c r="AL145" i="7"/>
  <c r="AL146" i="7"/>
  <c r="AL147" i="7"/>
  <c r="AL148" i="7"/>
  <c r="AL149" i="7"/>
  <c r="AL151" i="7"/>
  <c r="AL152" i="7"/>
  <c r="AL153" i="7"/>
  <c r="AL154" i="7"/>
  <c r="AL155" i="7"/>
  <c r="AL156" i="7"/>
  <c r="AL157" i="7"/>
  <c r="AL158" i="7"/>
  <c r="AL159" i="7"/>
  <c r="AL160" i="7"/>
  <c r="AL161" i="7"/>
  <c r="AL162" i="7"/>
  <c r="AL163" i="7"/>
  <c r="AL164" i="7"/>
  <c r="AL165" i="7"/>
  <c r="AL166" i="7"/>
  <c r="AL167" i="7"/>
  <c r="AL168" i="7"/>
  <c r="AL169" i="7"/>
  <c r="AL170" i="7"/>
  <c r="AL171" i="7"/>
  <c r="AL172" i="7"/>
  <c r="AX146" i="8" s="1"/>
  <c r="AL173" i="7"/>
  <c r="AL174" i="7"/>
  <c r="AL175" i="7"/>
  <c r="AL176" i="7"/>
  <c r="AL177" i="7"/>
  <c r="AL178" i="7"/>
  <c r="AL179" i="7"/>
  <c r="AL180" i="7"/>
  <c r="AY162" i="8" s="1"/>
  <c r="AL181" i="7"/>
  <c r="AZ146" i="8" s="1"/>
  <c r="AL182" i="7"/>
  <c r="AL183" i="7"/>
  <c r="AL184" i="7"/>
  <c r="AL185" i="7"/>
  <c r="AL188" i="7"/>
  <c r="BB162" i="8" s="1"/>
  <c r="AL189" i="7"/>
  <c r="AL193" i="7"/>
  <c r="AL195" i="7"/>
  <c r="AO195" i="7" s="1"/>
  <c r="AL196" i="7"/>
  <c r="AL197" i="7"/>
  <c r="AL198" i="7"/>
  <c r="BH146" i="8" s="1"/>
  <c r="AL199" i="7"/>
  <c r="BI146" i="8" s="1"/>
  <c r="AL200" i="7"/>
  <c r="BJ146" i="8" s="1"/>
  <c r="AL201" i="7"/>
  <c r="BK146" i="8" s="1"/>
  <c r="AL202" i="7"/>
  <c r="AL203" i="7"/>
  <c r="AR203" i="7" s="1"/>
  <c r="AL204" i="7"/>
  <c r="AU204" i="7" s="1"/>
  <c r="AL205" i="7"/>
  <c r="AR205" i="7" s="1"/>
  <c r="AL206" i="7"/>
  <c r="AU206" i="7" s="1"/>
  <c r="AL207" i="7"/>
  <c r="AL208" i="7"/>
  <c r="AL209" i="7"/>
  <c r="AL210" i="7"/>
  <c r="AL211" i="7"/>
  <c r="AL212" i="7"/>
  <c r="AL213" i="7"/>
  <c r="AL214" i="7"/>
  <c r="AL215" i="7"/>
  <c r="AL216" i="7"/>
  <c r="AL217" i="7"/>
  <c r="AL218" i="7"/>
  <c r="AL219" i="7"/>
  <c r="AL220" i="7"/>
  <c r="AL221" i="7"/>
  <c r="AL222" i="7"/>
  <c r="BM146" i="8" s="1"/>
  <c r="AL223" i="7"/>
  <c r="BM162" i="8" s="1"/>
  <c r="AL224" i="7"/>
  <c r="AL226" i="7"/>
  <c r="AO226" i="7" s="1"/>
  <c r="AL227" i="7"/>
  <c r="AU227" i="7" s="1"/>
  <c r="AL228" i="7"/>
  <c r="AL230" i="7"/>
  <c r="AU230" i="7" s="1"/>
  <c r="AL231" i="7"/>
  <c r="AL232" i="7"/>
  <c r="AL233" i="7"/>
  <c r="AL234" i="7"/>
  <c r="AL235" i="7"/>
  <c r="AL236" i="7"/>
  <c r="AL238" i="7"/>
  <c r="AL239" i="7"/>
  <c r="AL240" i="7"/>
  <c r="AL241" i="7"/>
  <c r="AR241" i="7" s="1"/>
  <c r="AL242" i="7"/>
  <c r="AL243" i="7"/>
  <c r="AL244" i="7"/>
  <c r="AR244" i="7" s="1"/>
  <c r="AL245" i="7"/>
  <c r="AL246" i="7"/>
  <c r="AL247" i="7"/>
  <c r="AR247" i="7" s="1"/>
  <c r="AL248" i="7"/>
  <c r="AL249" i="7"/>
  <c r="AR249" i="7" s="1"/>
  <c r="AL250" i="7"/>
  <c r="AL251" i="7"/>
  <c r="AL252" i="7"/>
  <c r="AR252" i="7" s="1"/>
  <c r="AL253" i="7"/>
  <c r="AL254" i="7"/>
  <c r="AR254" i="7" s="1"/>
  <c r="AL255" i="7"/>
  <c r="AL256" i="7"/>
  <c r="AL257" i="7"/>
  <c r="AR257" i="7" s="1"/>
  <c r="AL258" i="7"/>
  <c r="AL259" i="7"/>
  <c r="AL260" i="7"/>
  <c r="AL261" i="7"/>
  <c r="AR261" i="7" s="1"/>
  <c r="AL262" i="7"/>
  <c r="BP162" i="8" s="1"/>
  <c r="AL263" i="7"/>
  <c r="AR263" i="7" s="1"/>
  <c r="AL264" i="7"/>
  <c r="AL265" i="7"/>
  <c r="AO265" i="7" s="1"/>
  <c r="AL266" i="7"/>
  <c r="AR266" i="7" s="1"/>
  <c r="AL267" i="7"/>
  <c r="AL268" i="7"/>
  <c r="BQ162" i="8" s="1"/>
  <c r="AL270" i="7"/>
  <c r="AL271" i="7"/>
  <c r="AL272" i="7"/>
  <c r="AL274" i="7"/>
  <c r="BS146" i="8" s="1"/>
  <c r="AL275" i="7"/>
  <c r="AL276" i="7"/>
  <c r="AL277" i="7"/>
  <c r="AL278" i="7"/>
  <c r="AL279" i="7"/>
  <c r="AL280" i="7"/>
  <c r="AL281" i="7"/>
  <c r="BU146" i="8" s="1"/>
  <c r="AL282" i="7"/>
  <c r="BU162" i="8" s="1"/>
  <c r="AL283" i="7"/>
  <c r="AL284" i="7"/>
  <c r="AL285" i="7"/>
  <c r="AL286"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L323" i="7"/>
  <c r="AL324" i="7"/>
  <c r="AL326" i="7"/>
  <c r="AL327" i="7"/>
  <c r="AL328" i="7"/>
  <c r="AL329" i="7"/>
  <c r="AL330" i="7"/>
  <c r="AL331" i="7"/>
  <c r="AL332" i="7"/>
  <c r="AL333" i="7"/>
  <c r="AL334" i="7"/>
  <c r="BZ146" i="8" s="1"/>
  <c r="AL335" i="7"/>
  <c r="AL336" i="7"/>
  <c r="AL337" i="7"/>
  <c r="AL338" i="7"/>
  <c r="AL339" i="7"/>
  <c r="AL340" i="7"/>
  <c r="AL341" i="7"/>
  <c r="AL342" i="7"/>
  <c r="AL343" i="7"/>
  <c r="AL344" i="7"/>
  <c r="AL345" i="7"/>
  <c r="AL346" i="7"/>
  <c r="CC146" i="8" s="1"/>
  <c r="AL347" i="7"/>
  <c r="CD146" i="8" s="1"/>
  <c r="AL348" i="7"/>
  <c r="CE146" i="8" s="1"/>
  <c r="AL350" i="7"/>
  <c r="AL351" i="7"/>
  <c r="AL352" i="7"/>
  <c r="AL353" i="7"/>
  <c r="AL354" i="7"/>
  <c r="AL355" i="7"/>
  <c r="AL356" i="7"/>
  <c r="AL357" i="7"/>
  <c r="AL358" i="7"/>
  <c r="AL359" i="7"/>
  <c r="AL360" i="7"/>
  <c r="AL361" i="7"/>
  <c r="AL362" i="7"/>
  <c r="AL363" i="7"/>
  <c r="AL364" i="7"/>
  <c r="AL365" i="7"/>
  <c r="AL366" i="7"/>
  <c r="AL367" i="7"/>
  <c r="AL368" i="7"/>
  <c r="AL369" i="7"/>
  <c r="AL370" i="7"/>
  <c r="AL371" i="7"/>
  <c r="AL372" i="7"/>
  <c r="AL373" i="7"/>
  <c r="AL374" i="7"/>
  <c r="AL375" i="7"/>
  <c r="AL376" i="7"/>
  <c r="AL377" i="7"/>
  <c r="AL378" i="7"/>
  <c r="AL379" i="7"/>
  <c r="AL381" i="7"/>
  <c r="CH146" i="8" s="1"/>
  <c r="AL382" i="7"/>
  <c r="AL383" i="7"/>
  <c r="AL385" i="7"/>
  <c r="CK146" i="8" s="1"/>
  <c r="AL386" i="7"/>
  <c r="AL387" i="7"/>
  <c r="AL388" i="7"/>
  <c r="AL389" i="7"/>
  <c r="AL390" i="7"/>
  <c r="CM162" i="8" s="1"/>
  <c r="AL391" i="7"/>
  <c r="AL392" i="7"/>
  <c r="AL394" i="7"/>
  <c r="AL395" i="7"/>
  <c r="AL396" i="7"/>
  <c r="AL397" i="7"/>
  <c r="AL398" i="7"/>
  <c r="AL399" i="7"/>
  <c r="AL400" i="7"/>
  <c r="AL401" i="7"/>
  <c r="AL402" i="7"/>
  <c r="AL403" i="7"/>
  <c r="AL404" i="7"/>
  <c r="AL405" i="7"/>
  <c r="AL406" i="7"/>
  <c r="AL407" i="7"/>
  <c r="AL408" i="7"/>
  <c r="AL409" i="7"/>
  <c r="AL410" i="7"/>
  <c r="AL411" i="7"/>
  <c r="AL412" i="7"/>
  <c r="AL413" i="7"/>
  <c r="AL415" i="7"/>
  <c r="AL416" i="7"/>
  <c r="AL418" i="7"/>
  <c r="AL419" i="7"/>
  <c r="AL420" i="7"/>
  <c r="AL421" i="7"/>
  <c r="AL422" i="7"/>
  <c r="AL423" i="7"/>
  <c r="AL424" i="7"/>
  <c r="AL425" i="7"/>
  <c r="AL427" i="7"/>
  <c r="AL428" i="7"/>
  <c r="AL429" i="7"/>
  <c r="AL430" i="7"/>
  <c r="AL431" i="7"/>
  <c r="AL432" i="7"/>
  <c r="AL433" i="7"/>
  <c r="AL434" i="7"/>
  <c r="AL435" i="7"/>
  <c r="AL436" i="7"/>
  <c r="AL437" i="7"/>
  <c r="CS146" i="8" s="1"/>
  <c r="AL438" i="7"/>
  <c r="CT146" i="8" s="1"/>
  <c r="AL440" i="7"/>
  <c r="CV146" i="8" s="1"/>
  <c r="AL441" i="7"/>
  <c r="AL442" i="7"/>
  <c r="AL443" i="7"/>
  <c r="AL444" i="7"/>
  <c r="AL445" i="7"/>
  <c r="AL446" i="7"/>
  <c r="AL447" i="7"/>
  <c r="AL449" i="7"/>
  <c r="AL450" i="7"/>
  <c r="AL451" i="7"/>
  <c r="AL452" i="7"/>
  <c r="AL454" i="7"/>
  <c r="AL455" i="7"/>
  <c r="CX146" i="8" s="1"/>
  <c r="CL164" i="7"/>
  <c r="CM164" i="7" s="1"/>
  <c r="AS164" i="7"/>
  <c r="CL136" i="7"/>
  <c r="CM136" i="7" s="1"/>
  <c r="CM137" i="7"/>
  <c r="CM138" i="7"/>
  <c r="CL139" i="7"/>
  <c r="CM139" i="7" s="1"/>
  <c r="CL140" i="7"/>
  <c r="CM140" i="7" s="1"/>
  <c r="AS141" i="7"/>
  <c r="BJ141" i="7"/>
  <c r="CL141" i="7"/>
  <c r="CM141" i="7" s="1"/>
  <c r="CL142" i="7"/>
  <c r="CM142" i="7" s="1"/>
  <c r="CL143" i="7"/>
  <c r="CM143" i="7" s="1"/>
  <c r="CL144" i="7"/>
  <c r="CM144" i="7" s="1"/>
  <c r="CL145" i="7"/>
  <c r="CM145" i="7" s="1"/>
  <c r="CL146" i="7"/>
  <c r="CM146" i="7" s="1"/>
  <c r="CL147" i="7"/>
  <c r="CM147" i="7" s="1"/>
  <c r="CL148" i="7"/>
  <c r="CM148" i="7" s="1"/>
  <c r="CL149" i="7"/>
  <c r="CM149" i="7" s="1"/>
  <c r="AQ150" i="7"/>
  <c r="AL150" i="7" s="1"/>
  <c r="CL150" i="7"/>
  <c r="CM150" i="7" s="1"/>
  <c r="CL151" i="7"/>
  <c r="CM151" i="7" s="1"/>
  <c r="CL152" i="7"/>
  <c r="CM152" i="7" s="1"/>
  <c r="CL153" i="7"/>
  <c r="CM153" i="7" s="1"/>
  <c r="CL154" i="7"/>
  <c r="CM154" i="7" s="1"/>
  <c r="CL155" i="7"/>
  <c r="CM155" i="7" s="1"/>
  <c r="CL156" i="7"/>
  <c r="CM156" i="7" s="1"/>
  <c r="CL157" i="7"/>
  <c r="CM157" i="7" s="1"/>
  <c r="CL158" i="7"/>
  <c r="CM158" i="7" s="1"/>
  <c r="CL159" i="7"/>
  <c r="CM159" i="7" s="1"/>
  <c r="CL160" i="7"/>
  <c r="CM160" i="7" s="1"/>
  <c r="CL161" i="7"/>
  <c r="CM161" i="7" s="1"/>
  <c r="CL162" i="7"/>
  <c r="CM162" i="7" s="1"/>
  <c r="CL163" i="7"/>
  <c r="CM163" i="7" s="1"/>
  <c r="CL165" i="7"/>
  <c r="CM165" i="7" s="1"/>
  <c r="CL166" i="7"/>
  <c r="CM166" i="7" s="1"/>
  <c r="CL167" i="7"/>
  <c r="CM167" i="7" s="1"/>
  <c r="CL168" i="7"/>
  <c r="CM168" i="7" s="1"/>
  <c r="CL169" i="7"/>
  <c r="CM169" i="7" s="1"/>
  <c r="CL170" i="7"/>
  <c r="CL171" i="7"/>
  <c r="CM171" i="7" s="1"/>
  <c r="AP172" i="7"/>
  <c r="BJ172" i="7"/>
  <c r="CL172" i="7"/>
  <c r="CQ172" i="7"/>
  <c r="CL173" i="7"/>
  <c r="CM173" i="7" s="1"/>
  <c r="CL174" i="7"/>
  <c r="CM174" i="7" s="1"/>
  <c r="CL175" i="7"/>
  <c r="CM175" i="7" s="1"/>
  <c r="CL176" i="7"/>
  <c r="CM176" i="7" s="1"/>
  <c r="AP177" i="7"/>
  <c r="CL177" i="7"/>
  <c r="CM178" i="7"/>
  <c r="AP179" i="7"/>
  <c r="CL179" i="7"/>
  <c r="CM179" i="7" s="1"/>
  <c r="CL180" i="7"/>
  <c r="CL181" i="7"/>
  <c r="CL182" i="7"/>
  <c r="CQ182" i="7"/>
  <c r="CL183" i="7"/>
  <c r="AR184" i="7"/>
  <c r="AS184" i="7"/>
  <c r="AY184" i="7"/>
  <c r="CL184" i="7"/>
  <c r="CM184" i="7" s="1"/>
  <c r="CL185" i="7"/>
  <c r="CM185" i="7" s="1"/>
  <c r="AP186" i="7"/>
  <c r="AQ186" i="7"/>
  <c r="BJ186" i="7"/>
  <c r="CL186" i="7"/>
  <c r="AP187" i="7"/>
  <c r="AQ187" i="7"/>
  <c r="AL187" i="7" s="1"/>
  <c r="BJ187" i="7"/>
  <c r="CL187" i="7"/>
  <c r="CM187" i="7" s="1"/>
  <c r="AP189" i="7"/>
  <c r="BJ189" i="7"/>
  <c r="CM189" i="7"/>
  <c r="CQ189" i="7"/>
  <c r="AN190" i="7"/>
  <c r="BD134" i="8" s="1"/>
  <c r="AQ190" i="7"/>
  <c r="BD136" i="8" s="1"/>
  <c r="AX190" i="7"/>
  <c r="BD142" i="8" s="1"/>
  <c r="CL190" i="7"/>
  <c r="AQ191" i="7"/>
  <c r="AT191" i="7"/>
  <c r="BD154" i="8" s="1"/>
  <c r="CL191" i="7"/>
  <c r="AA192" i="7"/>
  <c r="AQ192" i="7"/>
  <c r="AX192" i="7"/>
  <c r="BD158" i="8" s="1"/>
  <c r="BI192" i="7"/>
  <c r="CL192" i="7"/>
  <c r="CM192" i="7" s="1"/>
  <c r="AP193" i="7"/>
  <c r="BJ193" i="7"/>
  <c r="CL193" i="7"/>
  <c r="AP194" i="7"/>
  <c r="AX194" i="7"/>
  <c r="BE142" i="8" s="1"/>
  <c r="BJ194" i="7"/>
  <c r="CL194" i="7"/>
  <c r="CM194" i="7" s="1"/>
  <c r="AP195" i="7"/>
  <c r="BJ195" i="7"/>
  <c r="CL195" i="7"/>
  <c r="CM195" i="7" s="1"/>
  <c r="CQ195" i="7"/>
  <c r="CM196" i="7"/>
  <c r="CM197" i="7"/>
  <c r="CL198" i="7"/>
  <c r="CL199" i="7"/>
  <c r="CL200" i="7"/>
  <c r="CL201" i="7"/>
  <c r="CL202" i="7"/>
  <c r="CL203" i="7"/>
  <c r="CM203" i="7" s="1"/>
  <c r="AS204" i="7"/>
  <c r="BJ204" i="7"/>
  <c r="CL204" i="7"/>
  <c r="CM204" i="7" s="1"/>
  <c r="AS205" i="7"/>
  <c r="BJ205" i="7"/>
  <c r="CL205" i="7"/>
  <c r="CM205" i="7" s="1"/>
  <c r="CQ205" i="7"/>
  <c r="AS206" i="7"/>
  <c r="CL206" i="7"/>
  <c r="CM206" i="7" s="1"/>
  <c r="CQ206" i="7"/>
  <c r="CL207" i="7"/>
  <c r="CM207" i="7" s="1"/>
  <c r="CL208" i="7"/>
  <c r="CM208" i="7" s="1"/>
  <c r="CL209" i="7"/>
  <c r="BJ210" i="7"/>
  <c r="CL210" i="7"/>
  <c r="CM210" i="7" s="1"/>
  <c r="CM211" i="7"/>
  <c r="CL212" i="7"/>
  <c r="CM212" i="7" s="1"/>
  <c r="FI212" i="7"/>
  <c r="CL213" i="7"/>
  <c r="CM213" i="7" s="1"/>
  <c r="CY213" i="7"/>
  <c r="CL214" i="7"/>
  <c r="CM214" i="7" s="1"/>
  <c r="CL215" i="7"/>
  <c r="CM215" i="7" s="1"/>
  <c r="CL216" i="7"/>
  <c r="CM216" i="7" s="1"/>
  <c r="AS217" i="7"/>
  <c r="BJ217" i="7"/>
  <c r="CL217" i="7"/>
  <c r="CL218" i="7"/>
  <c r="CM218" i="7" s="1"/>
  <c r="CL219" i="7"/>
  <c r="CM219" i="7" s="1"/>
  <c r="CL220" i="7"/>
  <c r="CM220" i="7" s="1"/>
  <c r="CL221" i="7"/>
  <c r="CM221" i="7" s="1"/>
  <c r="CL222" i="7"/>
  <c r="CQ222" i="7"/>
  <c r="CL223" i="7"/>
  <c r="CL224" i="7"/>
  <c r="AN225" i="7"/>
  <c r="AQ225" i="7"/>
  <c r="BN136" i="8" s="1"/>
  <c r="BJ225" i="7"/>
  <c r="CL225" i="7"/>
  <c r="CM225" i="7" s="1"/>
  <c r="AP226" i="7"/>
  <c r="BJ226" i="7"/>
  <c r="CM226" i="7"/>
  <c r="CQ226" i="7"/>
  <c r="BJ227" i="7"/>
  <c r="CL227" i="7"/>
  <c r="CM227" i="7" s="1"/>
  <c r="CQ227" i="7"/>
  <c r="CL228" i="7"/>
  <c r="AQ229" i="7"/>
  <c r="BN152" i="8" s="1"/>
  <c r="AT229" i="7"/>
  <c r="BN154" i="8" s="1"/>
  <c r="AV229" i="7"/>
  <c r="BN156" i="8" s="1"/>
  <c r="Q156" i="8" s="1"/>
  <c r="D130" i="10" s="1"/>
  <c r="AX229" i="7"/>
  <c r="BN158" i="8" s="1"/>
  <c r="CL229" i="7"/>
  <c r="CM229" i="7" s="1"/>
  <c r="CN229" i="7"/>
  <c r="CQ229" i="7" s="1"/>
  <c r="DC229" i="7"/>
  <c r="DF229" i="7"/>
  <c r="CL230" i="7"/>
  <c r="CM230" i="7" s="1"/>
  <c r="CQ230" i="7"/>
  <c r="AP231" i="7"/>
  <c r="BJ231" i="7"/>
  <c r="CL231" i="7"/>
  <c r="CQ231" i="7"/>
  <c r="CL232" i="7"/>
  <c r="CL233" i="7"/>
  <c r="CM233" i="7" s="1"/>
  <c r="CL234" i="7"/>
  <c r="CM234" i="7" s="1"/>
  <c r="CL235" i="7"/>
  <c r="CM235" i="7" s="1"/>
  <c r="CL236" i="7"/>
  <c r="CM236" i="7" s="1"/>
  <c r="AQ237" i="7"/>
  <c r="BO152" i="8" s="1"/>
  <c r="AX237" i="7"/>
  <c r="BO158" i="8" s="1"/>
  <c r="BI237" i="7"/>
  <c r="BJ237" i="7" s="1"/>
  <c r="CL237" i="7"/>
  <c r="CM237" i="7" s="1"/>
  <c r="CL238" i="7"/>
  <c r="CM238" i="7" s="1"/>
  <c r="CL239" i="7"/>
  <c r="CM239" i="7" s="1"/>
  <c r="CL240" i="7"/>
  <c r="CM240" i="7" s="1"/>
  <c r="CL241" i="7"/>
  <c r="CM241" i="7" s="1"/>
  <c r="CL242" i="7"/>
  <c r="CM242" i="7" s="1"/>
  <c r="CL243" i="7"/>
  <c r="CM243" i="7" s="1"/>
  <c r="CL244" i="7"/>
  <c r="CM244" i="7" s="1"/>
  <c r="CL245" i="7"/>
  <c r="CM245" i="7" s="1"/>
  <c r="CL246" i="7"/>
  <c r="CM246" i="7" s="1"/>
  <c r="CL247" i="7"/>
  <c r="CM247" i="7" s="1"/>
  <c r="CL248" i="7"/>
  <c r="CM248" i="7" s="1"/>
  <c r="CL249" i="7"/>
  <c r="CM249" i="7" s="1"/>
  <c r="CL250" i="7"/>
  <c r="CM250" i="7" s="1"/>
  <c r="CQ250" i="7"/>
  <c r="CL251" i="7"/>
  <c r="CM251" i="7" s="1"/>
  <c r="CL252" i="7"/>
  <c r="CM252" i="7" s="1"/>
  <c r="CL253" i="7"/>
  <c r="CM253" i="7" s="1"/>
  <c r="CL254" i="7"/>
  <c r="CM254" i="7" s="1"/>
  <c r="CQ254" i="7"/>
  <c r="CL255" i="7"/>
  <c r="CM255" i="7" s="1"/>
  <c r="BJ256" i="7"/>
  <c r="CL256" i="7"/>
  <c r="CM256" i="7" s="1"/>
  <c r="CQ256" i="7"/>
  <c r="CL257" i="7"/>
  <c r="CM257" i="7" s="1"/>
  <c r="CQ257" i="7"/>
  <c r="BJ258" i="7"/>
  <c r="CL258" i="7"/>
  <c r="CM258" i="7" s="1"/>
  <c r="CL259" i="7"/>
  <c r="CM259" i="7" s="1"/>
  <c r="CQ259" i="7"/>
  <c r="BJ260" i="7"/>
  <c r="CL260" i="7"/>
  <c r="CM260" i="7" s="1"/>
  <c r="CL261" i="7"/>
  <c r="CM261" i="7" s="1"/>
  <c r="CQ261" i="7"/>
  <c r="CL262" i="7"/>
  <c r="CQ262" i="7"/>
  <c r="CL263" i="7"/>
  <c r="CM263" i="7" s="1"/>
  <c r="CQ263" i="7"/>
  <c r="AP264" i="7"/>
  <c r="BJ264" i="7"/>
  <c r="CL264" i="7"/>
  <c r="CQ264" i="7"/>
  <c r="AP265" i="7"/>
  <c r="BJ265" i="7"/>
  <c r="CL265" i="7"/>
  <c r="CM265" i="7" s="1"/>
  <c r="CQ265" i="7"/>
  <c r="AP266" i="7"/>
  <c r="BJ266" i="7"/>
  <c r="CL266" i="7"/>
  <c r="CM266" i="7" s="1"/>
  <c r="CQ266" i="7"/>
  <c r="CM267" i="7"/>
  <c r="CL268" i="7"/>
  <c r="AP269" i="7"/>
  <c r="AX269" i="7"/>
  <c r="BJ269" i="7"/>
  <c r="CL269" i="7"/>
  <c r="CL270" i="7"/>
  <c r="CL271" i="7"/>
  <c r="CM271" i="7" s="1"/>
  <c r="CL272" i="7"/>
  <c r="CM272" i="7" s="1"/>
  <c r="AQ273" i="7"/>
  <c r="AX273" i="7"/>
  <c r="BR158" i="8" s="1"/>
  <c r="BH273" i="7"/>
  <c r="BI273" i="7"/>
  <c r="BJ273" i="7" s="1"/>
  <c r="BK273" i="7"/>
  <c r="BR121" i="8" s="1"/>
  <c r="BL273" i="7"/>
  <c r="BR122" i="8" s="1"/>
  <c r="BM273" i="7"/>
  <c r="BR123" i="8" s="1"/>
  <c r="BY273" i="7"/>
  <c r="BR91" i="8" s="1"/>
  <c r="CK273" i="7"/>
  <c r="BR115" i="8" s="1"/>
  <c r="CN273" i="7"/>
  <c r="BR127" i="8" s="1"/>
  <c r="BR128" i="8" s="1"/>
  <c r="CR273" i="7"/>
  <c r="AP274" i="7"/>
  <c r="CL274" i="7"/>
  <c r="CL112" i="7"/>
  <c r="CL128" i="7"/>
  <c r="CM128" i="7" s="1"/>
  <c r="CL124" i="7"/>
  <c r="CM124" i="7" s="1"/>
  <c r="BJ124" i="7"/>
  <c r="BI124" i="7"/>
  <c r="CL118" i="7"/>
  <c r="CM118" i="7" s="1"/>
  <c r="S69" i="8"/>
  <c r="T69" i="8"/>
  <c r="U69" i="8"/>
  <c r="V69" i="8"/>
  <c r="W69" i="8"/>
  <c r="X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BA69" i="8"/>
  <c r="BB69" i="8"/>
  <c r="BC69" i="8"/>
  <c r="BD69" i="8"/>
  <c r="BE69" i="8"/>
  <c r="BF69" i="8"/>
  <c r="BG69" i="8"/>
  <c r="BH69" i="8"/>
  <c r="BI69" i="8"/>
  <c r="BJ69" i="8"/>
  <c r="BK69" i="8"/>
  <c r="BL69" i="8"/>
  <c r="BM69" i="8"/>
  <c r="BN69" i="8"/>
  <c r="BO69" i="8"/>
  <c r="BP69" i="8"/>
  <c r="BQ69" i="8"/>
  <c r="BR69" i="8"/>
  <c r="BS69" i="8"/>
  <c r="BT69" i="8"/>
  <c r="BU69" i="8"/>
  <c r="BV69" i="8"/>
  <c r="BW69" i="8"/>
  <c r="BX69" i="8"/>
  <c r="BY69" i="8"/>
  <c r="BZ69" i="8"/>
  <c r="CA69" i="8"/>
  <c r="CB69" i="8"/>
  <c r="CC69" i="8"/>
  <c r="CD69" i="8"/>
  <c r="CE69" i="8"/>
  <c r="CF69" i="8"/>
  <c r="CG69" i="8"/>
  <c r="CH69" i="8"/>
  <c r="CI69" i="8"/>
  <c r="CK69" i="8"/>
  <c r="CL69" i="8"/>
  <c r="CM69" i="8"/>
  <c r="CN69" i="8"/>
  <c r="CO69" i="8"/>
  <c r="CP69" i="8"/>
  <c r="CQ69" i="8"/>
  <c r="CR69" i="8"/>
  <c r="CS69" i="8"/>
  <c r="CT69" i="8"/>
  <c r="CV69" i="8"/>
  <c r="CW69" i="8"/>
  <c r="CX69" i="8"/>
  <c r="R69" i="8"/>
  <c r="O108" i="8"/>
  <c r="O116" i="8"/>
  <c r="AR178" i="7" l="1"/>
  <c r="AO178" i="7"/>
  <c r="Q77" i="8"/>
  <c r="AL225" i="7"/>
  <c r="BA225" i="7" s="1"/>
  <c r="AL194" i="7"/>
  <c r="BE146" i="8" s="1"/>
  <c r="AL273" i="7"/>
  <c r="AR273" i="7" s="1"/>
  <c r="AL192" i="7"/>
  <c r="BD152" i="8"/>
  <c r="AL237" i="7"/>
  <c r="AY237" i="7" s="1"/>
  <c r="AL229" i="7"/>
  <c r="AW229" i="7" s="1"/>
  <c r="BN127" i="8"/>
  <c r="BN128" i="8" s="1"/>
  <c r="AS273" i="7"/>
  <c r="BR152" i="8"/>
  <c r="AL191" i="7"/>
  <c r="AP225" i="7"/>
  <c r="BN134" i="8"/>
  <c r="AL190" i="7"/>
  <c r="BD146" i="8" s="1"/>
  <c r="BS162" i="8"/>
  <c r="BT146" i="8"/>
  <c r="CP146" i="8"/>
  <c r="CO146" i="8"/>
  <c r="CI146" i="8"/>
  <c r="AT146" i="8"/>
  <c r="AO162" i="8"/>
  <c r="AM162" i="8"/>
  <c r="AB162" i="8"/>
  <c r="Y146" i="8"/>
  <c r="X162" i="8"/>
  <c r="V162" i="8"/>
  <c r="CM274" i="7"/>
  <c r="BS147" i="8"/>
  <c r="CM269" i="7"/>
  <c r="BR147" i="8"/>
  <c r="CM268" i="7"/>
  <c r="BQ163" i="8"/>
  <c r="CM199" i="7"/>
  <c r="BI147" i="8"/>
  <c r="CM193" i="7"/>
  <c r="BE147" i="8"/>
  <c r="CM191" i="7"/>
  <c r="BD163" i="8"/>
  <c r="CM183" i="7"/>
  <c r="BA163" i="8"/>
  <c r="CM180" i="7"/>
  <c r="AY163" i="8"/>
  <c r="CM172" i="7"/>
  <c r="AX147" i="8"/>
  <c r="CM170" i="7"/>
  <c r="AX163" i="8"/>
  <c r="CF162" i="8"/>
  <c r="AO264" i="7"/>
  <c r="BP146" i="8"/>
  <c r="BO162" i="8"/>
  <c r="AU228" i="7"/>
  <c r="AR224" i="7"/>
  <c r="BN146" i="8"/>
  <c r="AU182" i="7"/>
  <c r="BA146" i="8"/>
  <c r="AX162" i="8"/>
  <c r="CM262" i="7"/>
  <c r="BP163" i="8"/>
  <c r="CM231" i="7"/>
  <c r="BO147" i="8"/>
  <c r="CM222" i="7"/>
  <c r="BM147" i="8"/>
  <c r="CM202" i="7"/>
  <c r="BK163" i="8"/>
  <c r="CM198" i="7"/>
  <c r="BH147" i="8"/>
  <c r="AL186" i="7"/>
  <c r="BB146" i="8" s="1"/>
  <c r="BB136" i="8"/>
  <c r="CM177" i="7"/>
  <c r="AY147" i="8"/>
  <c r="CO162" i="8"/>
  <c r="CB146" i="8"/>
  <c r="AO231" i="7"/>
  <c r="BO146" i="8"/>
  <c r="AO177" i="7"/>
  <c r="AY146" i="8"/>
  <c r="AE146" i="8"/>
  <c r="AC146" i="8"/>
  <c r="X146" i="8"/>
  <c r="AL269" i="7"/>
  <c r="BR146" i="8" s="1"/>
  <c r="BR142" i="8"/>
  <c r="CM228" i="7"/>
  <c r="BN163" i="8"/>
  <c r="CM224" i="7"/>
  <c r="BN147" i="8"/>
  <c r="CM217" i="7"/>
  <c r="BL163" i="8"/>
  <c r="CM201" i="7"/>
  <c r="BK147" i="8"/>
  <c r="CM182" i="7"/>
  <c r="BA147" i="8"/>
  <c r="CB162" i="8"/>
  <c r="BX146" i="8"/>
  <c r="BV146" i="8"/>
  <c r="BK162" i="8"/>
  <c r="AT162" i="8"/>
  <c r="AH146" i="8"/>
  <c r="AF146" i="8"/>
  <c r="CM112" i="7"/>
  <c r="CM270" i="7"/>
  <c r="CM264" i="7"/>
  <c r="BP147" i="8"/>
  <c r="CM232" i="7"/>
  <c r="BO163" i="8"/>
  <c r="CM223" i="7"/>
  <c r="BM163" i="8"/>
  <c r="CM209" i="7"/>
  <c r="BL147" i="8"/>
  <c r="CM200" i="7"/>
  <c r="BJ147" i="8"/>
  <c r="CM190" i="7"/>
  <c r="BD147" i="8"/>
  <c r="CM186" i="7"/>
  <c r="BB147" i="8"/>
  <c r="CM181" i="7"/>
  <c r="AZ147" i="8"/>
  <c r="CN146" i="8"/>
  <c r="CM146" i="8"/>
  <c r="CG146" i="8"/>
  <c r="CA146" i="8"/>
  <c r="BY146" i="8"/>
  <c r="BL162" i="8"/>
  <c r="BL146" i="8"/>
  <c r="AO193" i="7"/>
  <c r="AO189" i="7"/>
  <c r="BC146" i="8"/>
  <c r="BA162" i="8"/>
  <c r="AV146" i="8"/>
  <c r="AM146" i="8"/>
  <c r="S146" i="8"/>
  <c r="Q79" i="8"/>
  <c r="Q75" i="8"/>
  <c r="Q73" i="8"/>
  <c r="AW226" i="7"/>
  <c r="AU265" i="7"/>
  <c r="BA193" i="7"/>
  <c r="CL273" i="7"/>
  <c r="CM273" i="7" s="1"/>
  <c r="AW230" i="7"/>
  <c r="AU226" i="7"/>
  <c r="AW178" i="7"/>
  <c r="AU178" i="7"/>
  <c r="AR230" i="7"/>
  <c r="AY228" i="7"/>
  <c r="AY224" i="7"/>
  <c r="AY193" i="7"/>
  <c r="AU189" i="7"/>
  <c r="AY231" i="7"/>
  <c r="AY204" i="7"/>
  <c r="AU193" i="7"/>
  <c r="AW257" i="7"/>
  <c r="AY230" i="7"/>
  <c r="BA266" i="7"/>
  <c r="AY241" i="7"/>
  <c r="AR231" i="7"/>
  <c r="AR228" i="7"/>
  <c r="AR226" i="7"/>
  <c r="AR206" i="7"/>
  <c r="AR193" i="7"/>
  <c r="AY178" i="7"/>
  <c r="AW266" i="7"/>
  <c r="AW227" i="7"/>
  <c r="AW205" i="7"/>
  <c r="AW182" i="7"/>
  <c r="AY263" i="7"/>
  <c r="AY203" i="7"/>
  <c r="AR182" i="7"/>
  <c r="AW264" i="7"/>
  <c r="AW228" i="7"/>
  <c r="AR227" i="7"/>
  <c r="AW224" i="7"/>
  <c r="AR204" i="7"/>
  <c r="AW193" i="7"/>
  <c r="AY182" i="7"/>
  <c r="AO182" i="7"/>
  <c r="CQ273" i="7"/>
  <c r="AO266" i="7"/>
  <c r="AR264" i="7"/>
  <c r="AU224" i="7"/>
  <c r="AU195" i="7"/>
  <c r="BA227" i="7"/>
  <c r="AO224" i="7"/>
  <c r="AW204" i="7"/>
  <c r="AO187" i="7"/>
  <c r="AU187" i="7"/>
  <c r="AW187" i="7"/>
  <c r="AR265" i="7"/>
  <c r="BA264" i="7"/>
  <c r="AU261" i="7"/>
  <c r="AY254" i="7"/>
  <c r="AW252" i="7"/>
  <c r="AY244" i="7"/>
  <c r="AY227" i="7"/>
  <c r="AO227" i="7"/>
  <c r="AU205" i="7"/>
  <c r="AR195" i="7"/>
  <c r="AR189" i="7"/>
  <c r="AR141" i="7"/>
  <c r="BA265" i="7"/>
  <c r="AY264" i="7"/>
  <c r="AU252" i="7"/>
  <c r="AY249" i="7"/>
  <c r="AY247" i="7"/>
  <c r="AS237" i="7"/>
  <c r="BA195" i="7"/>
  <c r="BA178" i="7"/>
  <c r="AW265" i="7"/>
  <c r="AY205" i="7"/>
  <c r="AY195" i="7"/>
  <c r="AR187" i="7"/>
  <c r="AY194" i="7" l="1"/>
  <c r="BD162" i="8"/>
  <c r="BR162" i="8"/>
  <c r="BN162" i="8"/>
  <c r="AW186" i="7"/>
  <c r="AO225" i="7"/>
  <c r="AW225" i="7"/>
  <c r="AU225" i="7"/>
  <c r="AR225" i="7"/>
  <c r="AY273" i="7"/>
  <c r="AO186" i="7"/>
  <c r="AU186" i="7"/>
  <c r="AR186" i="7"/>
  <c r="AR229" i="7"/>
  <c r="AY229" i="7"/>
  <c r="AU229" i="7"/>
  <c r="AR237" i="7"/>
  <c r="AR269" i="7"/>
  <c r="AU269" i="7"/>
  <c r="AO269" i="7"/>
  <c r="AW269" i="7"/>
  <c r="AY269" i="7"/>
  <c r="DF393" i="7" l="1"/>
  <c r="DC393" i="7"/>
  <c r="CR393" i="7"/>
  <c r="CN393" i="7"/>
  <c r="CN127" i="8" s="1"/>
  <c r="CN128" i="8" s="1"/>
  <c r="CL393" i="7"/>
  <c r="AX393" i="7"/>
  <c r="CN158" i="8" s="1"/>
  <c r="Q158" i="8" s="1"/>
  <c r="D131" i="10" s="1"/>
  <c r="AT393" i="7"/>
  <c r="CN154" i="8" s="1"/>
  <c r="AQ393" i="7"/>
  <c r="AR436" i="7"/>
  <c r="AS120" i="7"/>
  <c r="AQ120" i="7"/>
  <c r="CL325" i="7"/>
  <c r="CM325" i="7" s="1"/>
  <c r="CM436" i="7"/>
  <c r="CL114" i="7"/>
  <c r="CM114" i="7" s="1"/>
  <c r="CL117" i="7"/>
  <c r="CM117" i="7" s="1"/>
  <c r="AQ426" i="7"/>
  <c r="CL426" i="7"/>
  <c r="CM426" i="7" s="1"/>
  <c r="CM422" i="7"/>
  <c r="AM1" i="7" a="1"/>
  <c r="AM1" i="7" s="1"/>
  <c r="CR152" i="8" l="1"/>
  <c r="AL426" i="7"/>
  <c r="CR162" i="8" s="1"/>
  <c r="CN152" i="8"/>
  <c r="AL393" i="7"/>
  <c r="CN162" i="8" s="1"/>
  <c r="AW152" i="8"/>
  <c r="AL120" i="7"/>
  <c r="AW162" i="8" s="1"/>
  <c r="CM393" i="7"/>
  <c r="CN163" i="8"/>
  <c r="CQ393" i="7"/>
  <c r="AG117" i="8"/>
  <c r="AJ117" i="8"/>
  <c r="AL117" i="8"/>
  <c r="AP117" i="8"/>
  <c r="AQ117" i="8"/>
  <c r="BF117" i="8"/>
  <c r="BG117" i="8"/>
  <c r="CL117" i="8"/>
  <c r="CQ117" i="8"/>
  <c r="CS117" i="8"/>
  <c r="CM397" i="7"/>
  <c r="CL409" i="7"/>
  <c r="CM409" i="7" s="1"/>
  <c r="CL408" i="7"/>
  <c r="CM408" i="7" s="1"/>
  <c r="CL407" i="7"/>
  <c r="CM407" i="7" s="1"/>
  <c r="CL406" i="7"/>
  <c r="CM406" i="7" s="1"/>
  <c r="CL405" i="7"/>
  <c r="CM405" i="7" s="1"/>
  <c r="CL404" i="7"/>
  <c r="CM404" i="7" s="1"/>
  <c r="CL403" i="7"/>
  <c r="CM403" i="7" s="1"/>
  <c r="CL402" i="7"/>
  <c r="CM402" i="7" s="1"/>
  <c r="CL401" i="7"/>
  <c r="CM401" i="7" s="1"/>
  <c r="CQ400" i="7"/>
  <c r="CL400" i="7"/>
  <c r="CM400" i="7" s="1"/>
  <c r="BJ400" i="7"/>
  <c r="AS400" i="7"/>
  <c r="CL399" i="7"/>
  <c r="CM399" i="7" s="1"/>
  <c r="CL398" i="7"/>
  <c r="KY84" i="3"/>
  <c r="KZ84" i="3"/>
  <c r="LA88" i="3"/>
  <c r="LA84" i="3"/>
  <c r="LA56" i="3"/>
  <c r="LA39" i="3"/>
  <c r="LB84" i="3"/>
  <c r="LB33" i="3"/>
  <c r="LC84" i="3"/>
  <c r="LD84" i="3"/>
  <c r="LE84" i="3"/>
  <c r="LF84" i="3"/>
  <c r="LG84" i="3"/>
  <c r="LH84" i="3"/>
  <c r="LI33" i="3"/>
  <c r="LI84" i="3"/>
  <c r="LJ84" i="3"/>
  <c r="AW337" i="7"/>
  <c r="CM377" i="7"/>
  <c r="CM8" i="7"/>
  <c r="CM47" i="7"/>
  <c r="CM50" i="7"/>
  <c r="CM56" i="7"/>
  <c r="CM61" i="7"/>
  <c r="CM63" i="7"/>
  <c r="CM75" i="7"/>
  <c r="CM76" i="7"/>
  <c r="CM85" i="7"/>
  <c r="CM386" i="7"/>
  <c r="CM415" i="7"/>
  <c r="CM420" i="7"/>
  <c r="CM421" i="7"/>
  <c r="CM423" i="7"/>
  <c r="CM424" i="7"/>
  <c r="CM431" i="7"/>
  <c r="CM433" i="7"/>
  <c r="CM434" i="7"/>
  <c r="CM435" i="7"/>
  <c r="CM437" i="7"/>
  <c r="CM441" i="7"/>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A60" i="8"/>
  <c r="BB60" i="8"/>
  <c r="BC60" i="8"/>
  <c r="BD60" i="8"/>
  <c r="BE60" i="8"/>
  <c r="BF60" i="8"/>
  <c r="BG60" i="8"/>
  <c r="BH60" i="8"/>
  <c r="BI60" i="8"/>
  <c r="BJ60" i="8"/>
  <c r="BK60" i="8"/>
  <c r="BL60" i="8"/>
  <c r="BM60" i="8"/>
  <c r="BN60" i="8"/>
  <c r="BO60" i="8"/>
  <c r="BP60" i="8"/>
  <c r="BQ60" i="8"/>
  <c r="BR60" i="8"/>
  <c r="BS60" i="8"/>
  <c r="BT60" i="8"/>
  <c r="BU60" i="8"/>
  <c r="BV60" i="8"/>
  <c r="BW60" i="8"/>
  <c r="BX60" i="8"/>
  <c r="BY60" i="8"/>
  <c r="BZ60" i="8"/>
  <c r="CA60" i="8"/>
  <c r="CB60" i="8"/>
  <c r="CC60" i="8"/>
  <c r="CD60" i="8"/>
  <c r="CE60" i="8"/>
  <c r="CF60" i="8"/>
  <c r="CG60" i="8"/>
  <c r="CH60" i="8"/>
  <c r="CI60" i="8"/>
  <c r="CJ60" i="8"/>
  <c r="CK60" i="8"/>
  <c r="CL60" i="8"/>
  <c r="CM60" i="8"/>
  <c r="CN60" i="8"/>
  <c r="CO60" i="8"/>
  <c r="CP60" i="8"/>
  <c r="CQ60" i="8"/>
  <c r="CR60" i="8"/>
  <c r="CS60" i="8"/>
  <c r="CT60" i="8"/>
  <c r="CU60" i="8"/>
  <c r="CV60" i="8"/>
  <c r="CW60" i="8"/>
  <c r="CX60" i="8"/>
  <c r="R60" i="8"/>
  <c r="R51" i="8"/>
  <c r="S55" i="8"/>
  <c r="T55" i="8"/>
  <c r="U55" i="8"/>
  <c r="V55" i="8"/>
  <c r="W55" i="8"/>
  <c r="X55" i="8"/>
  <c r="Y55" i="8"/>
  <c r="Z55" i="8"/>
  <c r="AA55" i="8"/>
  <c r="AB55" i="8"/>
  <c r="AC55" i="8"/>
  <c r="AD55" i="8"/>
  <c r="AE55" i="8"/>
  <c r="AF55" i="8"/>
  <c r="AG55" i="8"/>
  <c r="AH55" i="8"/>
  <c r="AI55" i="8"/>
  <c r="AJ55" i="8"/>
  <c r="AK55" i="8"/>
  <c r="AL55" i="8"/>
  <c r="AM55" i="8"/>
  <c r="AN55" i="8"/>
  <c r="AO55" i="8"/>
  <c r="AP55" i="8"/>
  <c r="AQ55" i="8"/>
  <c r="AT55" i="8"/>
  <c r="AU55" i="8"/>
  <c r="AV55" i="8"/>
  <c r="AW55" i="8"/>
  <c r="AY55" i="8"/>
  <c r="AZ55" i="8"/>
  <c r="BA55" i="8"/>
  <c r="BC55" i="8"/>
  <c r="BF55" i="8"/>
  <c r="BG55" i="8"/>
  <c r="BH55" i="8"/>
  <c r="BI55" i="8"/>
  <c r="BJ55" i="8"/>
  <c r="BK55" i="8"/>
  <c r="BL55" i="8"/>
  <c r="BM55" i="8"/>
  <c r="BP55" i="8"/>
  <c r="BQ55" i="8"/>
  <c r="BS55" i="8"/>
  <c r="BT55" i="8"/>
  <c r="BU55" i="8"/>
  <c r="BV55" i="8"/>
  <c r="BX55" i="8"/>
  <c r="BY55" i="8"/>
  <c r="BZ55" i="8"/>
  <c r="CA55" i="8"/>
  <c r="CB55" i="8"/>
  <c r="CC55" i="8"/>
  <c r="CD55" i="8"/>
  <c r="CE55" i="8"/>
  <c r="CG55" i="8"/>
  <c r="CH55" i="8"/>
  <c r="CI55" i="8"/>
  <c r="CK55" i="8"/>
  <c r="CL55" i="8"/>
  <c r="CM55" i="8"/>
  <c r="CO55" i="8"/>
  <c r="CP55" i="8"/>
  <c r="CQ55" i="8"/>
  <c r="CS55" i="8"/>
  <c r="CT55" i="8"/>
  <c r="CU55" i="8"/>
  <c r="CV55" i="8"/>
  <c r="CW55" i="8"/>
  <c r="CX55" i="8"/>
  <c r="S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BG53" i="8"/>
  <c r="BH53" i="8"/>
  <c r="BI53" i="8"/>
  <c r="BJ53" i="8"/>
  <c r="BK53" i="8"/>
  <c r="BL53" i="8"/>
  <c r="BM53" i="8"/>
  <c r="BO53" i="8"/>
  <c r="BP53" i="8"/>
  <c r="BQ53" i="8"/>
  <c r="BR53" i="8"/>
  <c r="BS53" i="8"/>
  <c r="BT53" i="8"/>
  <c r="BU53" i="8"/>
  <c r="BV53" i="8"/>
  <c r="BX53" i="8"/>
  <c r="BY53" i="8"/>
  <c r="BZ53" i="8"/>
  <c r="CA53" i="8"/>
  <c r="CB53" i="8"/>
  <c r="CC53" i="8"/>
  <c r="CD53" i="8"/>
  <c r="CE53" i="8"/>
  <c r="CF53" i="8"/>
  <c r="CG53" i="8"/>
  <c r="CH53" i="8"/>
  <c r="CI53" i="8"/>
  <c r="CJ53" i="8"/>
  <c r="CK53" i="8"/>
  <c r="CL53" i="8"/>
  <c r="CM53" i="8"/>
  <c r="CN53" i="8"/>
  <c r="CO53" i="8"/>
  <c r="CP53" i="8"/>
  <c r="CQ53" i="8"/>
  <c r="CR53" i="8"/>
  <c r="CS53" i="8"/>
  <c r="CT53" i="8"/>
  <c r="CV53" i="8"/>
  <c r="CW53" i="8"/>
  <c r="CX53" i="8"/>
  <c r="S51" i="8"/>
  <c r="T51" i="8"/>
  <c r="U51" i="8"/>
  <c r="V51" i="8"/>
  <c r="W51" i="8"/>
  <c r="X51" i="8"/>
  <c r="Y51" i="8"/>
  <c r="Z51" i="8"/>
  <c r="AA51" i="8"/>
  <c r="AC51" i="8"/>
  <c r="AD51" i="8"/>
  <c r="AE51" i="8"/>
  <c r="AF51" i="8"/>
  <c r="AG51" i="8"/>
  <c r="AH51" i="8"/>
  <c r="AI51" i="8"/>
  <c r="AJ51" i="8"/>
  <c r="AK51" i="8"/>
  <c r="AL51" i="8"/>
  <c r="AM51" i="8"/>
  <c r="AN51" i="8"/>
  <c r="AO51" i="8"/>
  <c r="AP51" i="8"/>
  <c r="AQ51" i="8"/>
  <c r="AR51" i="8"/>
  <c r="AS51" i="8"/>
  <c r="AT51" i="8"/>
  <c r="AU51" i="8"/>
  <c r="AV51" i="8"/>
  <c r="AW51" i="8"/>
  <c r="AX51" i="8"/>
  <c r="AY51" i="8"/>
  <c r="AY57" i="8" s="1"/>
  <c r="AZ51" i="8"/>
  <c r="AZ57" i="8" s="1"/>
  <c r="BA51" i="8"/>
  <c r="BB51" i="8"/>
  <c r="BE51" i="8"/>
  <c r="BF51" i="8"/>
  <c r="BG51" i="8"/>
  <c r="BH51" i="8"/>
  <c r="BI51" i="8"/>
  <c r="BJ51" i="8"/>
  <c r="BK51" i="8"/>
  <c r="BL51" i="8"/>
  <c r="BM51" i="8"/>
  <c r="BO51" i="8"/>
  <c r="BP51" i="8"/>
  <c r="BQ51" i="8"/>
  <c r="BR51" i="8"/>
  <c r="BS51" i="8"/>
  <c r="BT51" i="8"/>
  <c r="BU51" i="8"/>
  <c r="BV51" i="8"/>
  <c r="BX51" i="8"/>
  <c r="BY51" i="8"/>
  <c r="BZ51" i="8"/>
  <c r="CA51" i="8"/>
  <c r="CB51" i="8"/>
  <c r="CC51" i="8"/>
  <c r="CD51" i="8"/>
  <c r="CE51" i="8"/>
  <c r="CF51" i="8"/>
  <c r="CH51" i="8"/>
  <c r="CI51" i="8"/>
  <c r="CJ51" i="8"/>
  <c r="CK51" i="8"/>
  <c r="CL51" i="8"/>
  <c r="CM51" i="8"/>
  <c r="CO51" i="8"/>
  <c r="CQ51" i="8"/>
  <c r="CR51" i="8"/>
  <c r="CS51" i="8"/>
  <c r="CT51" i="8"/>
  <c r="CV51" i="8"/>
  <c r="CX51" i="8"/>
  <c r="R55" i="8"/>
  <c r="R53" i="8"/>
  <c r="R49" i="8"/>
  <c r="S49" i="8"/>
  <c r="T49" i="8"/>
  <c r="U49" i="8"/>
  <c r="V49" i="8"/>
  <c r="W49" i="8"/>
  <c r="X49" i="8"/>
  <c r="Z49" i="8"/>
  <c r="AA49" i="8"/>
  <c r="AB49" i="8"/>
  <c r="AC49" i="8"/>
  <c r="AE49" i="8"/>
  <c r="AF49" i="8"/>
  <c r="AG49" i="8"/>
  <c r="AH49" i="8"/>
  <c r="AI49" i="8"/>
  <c r="AJ49" i="8"/>
  <c r="AK49" i="8"/>
  <c r="AL49" i="8"/>
  <c r="AM49" i="8"/>
  <c r="AN49" i="8"/>
  <c r="AO49" i="8"/>
  <c r="AP49" i="8"/>
  <c r="AQ49" i="8"/>
  <c r="AS49" i="8"/>
  <c r="AT49" i="8"/>
  <c r="AV49" i="8"/>
  <c r="AX49" i="8"/>
  <c r="AY49" i="8"/>
  <c r="AZ49" i="8"/>
  <c r="BA49" i="8"/>
  <c r="BE49" i="8"/>
  <c r="BF49" i="8"/>
  <c r="BG49" i="8"/>
  <c r="BH49" i="8"/>
  <c r="BI49" i="8"/>
  <c r="BJ49" i="8"/>
  <c r="BK49" i="8"/>
  <c r="BL49" i="8"/>
  <c r="BM49" i="8"/>
  <c r="BP49" i="8"/>
  <c r="BQ49" i="8"/>
  <c r="BS49" i="8"/>
  <c r="BT49" i="8"/>
  <c r="BU49" i="8"/>
  <c r="BV49" i="8"/>
  <c r="BX49" i="8"/>
  <c r="BY49" i="8"/>
  <c r="BZ49" i="8"/>
  <c r="CA49" i="8"/>
  <c r="CB49" i="8"/>
  <c r="CC49" i="8"/>
  <c r="CD49" i="8"/>
  <c r="CE49" i="8"/>
  <c r="CF49" i="8"/>
  <c r="CH49" i="8"/>
  <c r="CI49" i="8"/>
  <c r="CJ49" i="8"/>
  <c r="CK49" i="8"/>
  <c r="CL49" i="8"/>
  <c r="CM49" i="8"/>
  <c r="CO49" i="8"/>
  <c r="CP49" i="8"/>
  <c r="CQ49" i="8"/>
  <c r="CS49" i="8"/>
  <c r="CT49" i="8"/>
  <c r="CV49" i="8"/>
  <c r="CX49" i="8"/>
  <c r="R47" i="8"/>
  <c r="R64" i="8" s="1"/>
  <c r="X47" i="8"/>
  <c r="X64" i="8" s="1"/>
  <c r="Y47" i="8"/>
  <c r="Y64" i="8" s="1"/>
  <c r="Z47" i="8"/>
  <c r="Z64" i="8" s="1"/>
  <c r="AA47" i="8"/>
  <c r="AA64" i="8" s="1"/>
  <c r="AB47" i="8"/>
  <c r="AB64" i="8" s="1"/>
  <c r="AC47" i="8"/>
  <c r="AD47" i="8"/>
  <c r="AD64" i="8" s="1"/>
  <c r="AE47" i="8"/>
  <c r="AE64" i="8" s="1"/>
  <c r="AF47" i="8"/>
  <c r="AF64" i="8" s="1"/>
  <c r="AG47" i="8"/>
  <c r="AH47" i="8"/>
  <c r="AH64" i="8" s="1"/>
  <c r="AI47" i="8"/>
  <c r="AI64" i="8" s="1"/>
  <c r="AJ47" i="8"/>
  <c r="AK47" i="8"/>
  <c r="AK64" i="8" s="1"/>
  <c r="AL47" i="8"/>
  <c r="AM47" i="8"/>
  <c r="AM64" i="8" s="1"/>
  <c r="AN47" i="8"/>
  <c r="AN64" i="8" s="1"/>
  <c r="AO47" i="8"/>
  <c r="AO64" i="8" s="1"/>
  <c r="AP47" i="8"/>
  <c r="AQ47" i="8"/>
  <c r="AR47" i="8"/>
  <c r="AR64" i="8" s="1"/>
  <c r="AS47" i="8"/>
  <c r="AS64" i="8" s="1"/>
  <c r="AT47" i="8"/>
  <c r="AT64" i="8" s="1"/>
  <c r="AU47" i="8"/>
  <c r="AU64" i="8" s="1"/>
  <c r="AV47" i="8"/>
  <c r="AV64" i="8" s="1"/>
  <c r="AW47" i="8"/>
  <c r="AW64" i="8" s="1"/>
  <c r="AX47" i="8"/>
  <c r="AX64" i="8" s="1"/>
  <c r="AY47" i="8"/>
  <c r="AY64" i="8" s="1"/>
  <c r="AZ47" i="8"/>
  <c r="AZ64" i="8" s="1"/>
  <c r="BA47" i="8"/>
  <c r="BA64" i="8" s="1"/>
  <c r="BB47" i="8"/>
  <c r="BB64" i="8" s="1"/>
  <c r="BC47" i="8"/>
  <c r="BC64" i="8" s="1"/>
  <c r="BE47" i="8"/>
  <c r="BE64" i="8" s="1"/>
  <c r="BF47" i="8"/>
  <c r="BG47" i="8"/>
  <c r="BH47" i="8"/>
  <c r="BH64" i="8" s="1"/>
  <c r="BI47" i="8"/>
  <c r="BI64" i="8" s="1"/>
  <c r="BJ47" i="8"/>
  <c r="BJ64" i="8" s="1"/>
  <c r="BK47" i="8"/>
  <c r="BK64" i="8" s="1"/>
  <c r="BL47" i="8"/>
  <c r="BL64" i="8" s="1"/>
  <c r="BM47" i="8"/>
  <c r="BM64" i="8" s="1"/>
  <c r="BO47" i="8"/>
  <c r="BO64" i="8" s="1"/>
  <c r="BP47" i="8"/>
  <c r="BP64" i="8" s="1"/>
  <c r="BQ47" i="8"/>
  <c r="BR47" i="8"/>
  <c r="BR64" i="8" s="1"/>
  <c r="BS47" i="8"/>
  <c r="BS64" i="8" s="1"/>
  <c r="BT47" i="8"/>
  <c r="BT64" i="8" s="1"/>
  <c r="BU47" i="8"/>
  <c r="BU64" i="8" s="1"/>
  <c r="BV47" i="8"/>
  <c r="BV64" i="8" s="1"/>
  <c r="BX47" i="8"/>
  <c r="BX64" i="8" s="1"/>
  <c r="BY47" i="8"/>
  <c r="BY64" i="8" s="1"/>
  <c r="BZ47" i="8"/>
  <c r="BZ64" i="8" s="1"/>
  <c r="CA47" i="8"/>
  <c r="CA64" i="8" s="1"/>
  <c r="CB47" i="8"/>
  <c r="CB64" i="8" s="1"/>
  <c r="CC47" i="8"/>
  <c r="CC64" i="8" s="1"/>
  <c r="CD47" i="8"/>
  <c r="CD64" i="8" s="1"/>
  <c r="CE47" i="8"/>
  <c r="CE64" i="8" s="1"/>
  <c r="CF47" i="8"/>
  <c r="CF64" i="8" s="1"/>
  <c r="CG47" i="8"/>
  <c r="CG64" i="8" s="1"/>
  <c r="CH47" i="8"/>
  <c r="CH64" i="8" s="1"/>
  <c r="CI47" i="8"/>
  <c r="CI64" i="8" s="1"/>
  <c r="CJ47" i="8"/>
  <c r="CJ64" i="8" s="1"/>
  <c r="CK47" i="8"/>
  <c r="CK64" i="8" s="1"/>
  <c r="CL47" i="8"/>
  <c r="CM47" i="8"/>
  <c r="CM64" i="8" s="1"/>
  <c r="CN47" i="8"/>
  <c r="CN64" i="8" s="1"/>
  <c r="CO47" i="8"/>
  <c r="CO64" i="8" s="1"/>
  <c r="CP47" i="8"/>
  <c r="CP64" i="8" s="1"/>
  <c r="CQ47" i="8"/>
  <c r="CR47" i="8"/>
  <c r="CR64" i="8" s="1"/>
  <c r="CS47" i="8"/>
  <c r="CS64" i="8" s="1"/>
  <c r="CT47" i="8"/>
  <c r="CT64" i="8" s="1"/>
  <c r="CV47" i="8"/>
  <c r="CV64" i="8" s="1"/>
  <c r="CW47" i="8"/>
  <c r="CX47" i="8"/>
  <c r="CX64" i="8" s="1"/>
  <c r="S47" i="8"/>
  <c r="S64" i="8" s="1"/>
  <c r="T47" i="8"/>
  <c r="T64" i="8" s="1"/>
  <c r="U47" i="8"/>
  <c r="U64" i="8" s="1"/>
  <c r="V47" i="8"/>
  <c r="V64" i="8" s="1"/>
  <c r="W47" i="8"/>
  <c r="W64" i="8" s="1"/>
  <c r="R44" i="8"/>
  <c r="R63" i="8" s="1"/>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BG46" i="8"/>
  <c r="BH46" i="8"/>
  <c r="BI46" i="8"/>
  <c r="BJ46" i="8"/>
  <c r="BK46" i="8"/>
  <c r="BL46" i="8"/>
  <c r="BM46" i="8"/>
  <c r="BN46" i="8"/>
  <c r="BO46" i="8"/>
  <c r="BP46" i="8"/>
  <c r="BQ46" i="8"/>
  <c r="BR46" i="8"/>
  <c r="BS46" i="8"/>
  <c r="BT46" i="8"/>
  <c r="BU46" i="8"/>
  <c r="BV46" i="8"/>
  <c r="BX46" i="8"/>
  <c r="BY46" i="8"/>
  <c r="BZ46" i="8"/>
  <c r="CA46" i="8"/>
  <c r="CB46" i="8"/>
  <c r="CC46" i="8"/>
  <c r="CD46" i="8"/>
  <c r="CE46" i="8"/>
  <c r="CF46" i="8"/>
  <c r="CG46" i="8"/>
  <c r="CH46" i="8"/>
  <c r="CI46" i="8"/>
  <c r="CJ46" i="8"/>
  <c r="CK46" i="8"/>
  <c r="CL46" i="8"/>
  <c r="CM46" i="8"/>
  <c r="CN46" i="8"/>
  <c r="CO46" i="8"/>
  <c r="CP46" i="8"/>
  <c r="CQ46" i="8"/>
  <c r="CR46" i="8"/>
  <c r="CS46" i="8"/>
  <c r="CT46" i="8"/>
  <c r="CU46" i="8"/>
  <c r="CV46" i="8"/>
  <c r="CW46" i="8"/>
  <c r="CX46" i="8"/>
  <c r="W46" i="8"/>
  <c r="X46" i="8"/>
  <c r="Y46" i="8"/>
  <c r="Z46" i="8"/>
  <c r="S46" i="8"/>
  <c r="T46" i="8"/>
  <c r="U46" i="8"/>
  <c r="V46" i="8"/>
  <c r="R46" i="8"/>
  <c r="S45" i="8"/>
  <c r="T45" i="8"/>
  <c r="U45" i="8"/>
  <c r="V45" i="8"/>
  <c r="W45" i="8"/>
  <c r="X45" i="8"/>
  <c r="Y45" i="8"/>
  <c r="Z45" i="8"/>
  <c r="AA45" i="8"/>
  <c r="AB45" i="8"/>
  <c r="AC45" i="8"/>
  <c r="AD45" i="8"/>
  <c r="AE45" i="8"/>
  <c r="AF45" i="8"/>
  <c r="AG45" i="8"/>
  <c r="AH45" i="8"/>
  <c r="AI45" i="8"/>
  <c r="AJ45" i="8"/>
  <c r="AK45" i="8"/>
  <c r="AL45" i="8"/>
  <c r="AM45" i="8"/>
  <c r="AN45" i="8"/>
  <c r="AO45" i="8"/>
  <c r="AP45" i="8"/>
  <c r="AQ45" i="8"/>
  <c r="AS45" i="8"/>
  <c r="AT45" i="8"/>
  <c r="AU45" i="8"/>
  <c r="AV45" i="8"/>
  <c r="AW45" i="8"/>
  <c r="AX45" i="8"/>
  <c r="AY45" i="8"/>
  <c r="AZ45" i="8"/>
  <c r="BA45" i="8"/>
  <c r="BB45" i="8"/>
  <c r="BC45" i="8"/>
  <c r="BD45" i="8"/>
  <c r="BE45" i="8"/>
  <c r="BF45" i="8"/>
  <c r="BG45" i="8"/>
  <c r="BH45" i="8"/>
  <c r="BI45" i="8"/>
  <c r="BJ45" i="8"/>
  <c r="BK45" i="8"/>
  <c r="BL45" i="8"/>
  <c r="BM45" i="8"/>
  <c r="BN45" i="8"/>
  <c r="BO45" i="8"/>
  <c r="BP45" i="8"/>
  <c r="BQ45" i="8"/>
  <c r="BR45" i="8"/>
  <c r="BS45" i="8"/>
  <c r="BT45" i="8"/>
  <c r="BU45" i="8"/>
  <c r="BV45" i="8"/>
  <c r="BW45" i="8"/>
  <c r="BX45" i="8"/>
  <c r="BY45" i="8"/>
  <c r="BZ45" i="8"/>
  <c r="CA45" i="8"/>
  <c r="CB45" i="8"/>
  <c r="CC45" i="8"/>
  <c r="CD45" i="8"/>
  <c r="CE45" i="8"/>
  <c r="CF45" i="8"/>
  <c r="CG45" i="8"/>
  <c r="CH45" i="8"/>
  <c r="CI45" i="8"/>
  <c r="CJ45" i="8"/>
  <c r="CK45" i="8"/>
  <c r="CL45" i="8"/>
  <c r="CM45" i="8"/>
  <c r="CN45" i="8"/>
  <c r="CO45" i="8"/>
  <c r="CP45" i="8"/>
  <c r="CQ45" i="8"/>
  <c r="CR45" i="8"/>
  <c r="CS45" i="8"/>
  <c r="CT45" i="8"/>
  <c r="CU45" i="8"/>
  <c r="CV45" i="8"/>
  <c r="CW45" i="8"/>
  <c r="CX45" i="8"/>
  <c r="R45" i="8"/>
  <c r="CT44" i="8"/>
  <c r="CT63" i="8" s="1"/>
  <c r="CU44" i="8"/>
  <c r="CU63" i="8" s="1"/>
  <c r="CV44" i="8"/>
  <c r="CV63" i="8" s="1"/>
  <c r="CW44" i="8"/>
  <c r="CW63" i="8" s="1"/>
  <c r="CX44" i="8"/>
  <c r="CX63" i="8" s="1"/>
  <c r="CI44" i="8"/>
  <c r="CI63" i="8" s="1"/>
  <c r="CJ44" i="8"/>
  <c r="CJ63" i="8" s="1"/>
  <c r="CK44" i="8"/>
  <c r="CK63" i="8" s="1"/>
  <c r="CL44" i="8"/>
  <c r="CM44" i="8"/>
  <c r="CM63" i="8" s="1"/>
  <c r="CN44" i="8"/>
  <c r="CN63" i="8" s="1"/>
  <c r="CO44" i="8"/>
  <c r="CO63" i="8" s="1"/>
  <c r="CP44" i="8"/>
  <c r="CP63" i="8" s="1"/>
  <c r="CQ44" i="8"/>
  <c r="CR44" i="8"/>
  <c r="CR63" i="8" s="1"/>
  <c r="CS44" i="8"/>
  <c r="CS63" i="8" s="1"/>
  <c r="CF44" i="8"/>
  <c r="CF63" i="8" s="1"/>
  <c r="CG44" i="8"/>
  <c r="CG63" i="8" s="1"/>
  <c r="CH44" i="8"/>
  <c r="CH63" i="8" s="1"/>
  <c r="S44" i="8"/>
  <c r="S63" i="8" s="1"/>
  <c r="T44" i="8"/>
  <c r="T63" i="8" s="1"/>
  <c r="U44" i="8"/>
  <c r="U63" i="8" s="1"/>
  <c r="V44" i="8"/>
  <c r="V63" i="8" s="1"/>
  <c r="W44" i="8"/>
  <c r="W63" i="8" s="1"/>
  <c r="X44" i="8"/>
  <c r="X63" i="8" s="1"/>
  <c r="Y44" i="8"/>
  <c r="Y63" i="8" s="1"/>
  <c r="Z44" i="8"/>
  <c r="Z63" i="8" s="1"/>
  <c r="AA44" i="8"/>
  <c r="AA63" i="8" s="1"/>
  <c r="AB44" i="8"/>
  <c r="AB63" i="8" s="1"/>
  <c r="AC44" i="8"/>
  <c r="AD44" i="8"/>
  <c r="AD63" i="8" s="1"/>
  <c r="AE44" i="8"/>
  <c r="AE63" i="8" s="1"/>
  <c r="AF44" i="8"/>
  <c r="AF63" i="8" s="1"/>
  <c r="AG44" i="8"/>
  <c r="AH44" i="8"/>
  <c r="AH63" i="8" s="1"/>
  <c r="AI44" i="8"/>
  <c r="AI63" i="8" s="1"/>
  <c r="AJ44" i="8"/>
  <c r="AK44" i="8"/>
  <c r="AK63" i="8" s="1"/>
  <c r="AL44" i="8"/>
  <c r="AM44" i="8"/>
  <c r="AM63" i="8" s="1"/>
  <c r="AN44" i="8"/>
  <c r="AN63" i="8" s="1"/>
  <c r="AO44" i="8"/>
  <c r="AO63" i="8" s="1"/>
  <c r="AP44" i="8"/>
  <c r="AQ44" i="8"/>
  <c r="AS44" i="8"/>
  <c r="AS63" i="8" s="1"/>
  <c r="AT44" i="8"/>
  <c r="AT63" i="8" s="1"/>
  <c r="AU44" i="8"/>
  <c r="AU63" i="8" s="1"/>
  <c r="AV44" i="8"/>
  <c r="AV63" i="8" s="1"/>
  <c r="AW44" i="8"/>
  <c r="AW63" i="8" s="1"/>
  <c r="AX44" i="8"/>
  <c r="AX63" i="8" s="1"/>
  <c r="AY44" i="8"/>
  <c r="AY63" i="8" s="1"/>
  <c r="AZ44" i="8"/>
  <c r="AZ63" i="8" s="1"/>
  <c r="BA44" i="8"/>
  <c r="BA63" i="8" s="1"/>
  <c r="BB44" i="8"/>
  <c r="BB63" i="8" s="1"/>
  <c r="BC44" i="8"/>
  <c r="BC63" i="8" s="1"/>
  <c r="BD44" i="8"/>
  <c r="BD63" i="8" s="1"/>
  <c r="BE44" i="8"/>
  <c r="BE63" i="8" s="1"/>
  <c r="BF44" i="8"/>
  <c r="BG44" i="8"/>
  <c r="BH44" i="8"/>
  <c r="BH63" i="8" s="1"/>
  <c r="BI44" i="8"/>
  <c r="BI63" i="8" s="1"/>
  <c r="BJ44" i="8"/>
  <c r="BJ63" i="8" s="1"/>
  <c r="BK44" i="8"/>
  <c r="BK63" i="8" s="1"/>
  <c r="BL44" i="8"/>
  <c r="BL63" i="8" s="1"/>
  <c r="BM44" i="8"/>
  <c r="BM63" i="8" s="1"/>
  <c r="BN44" i="8"/>
  <c r="BN63" i="8" s="1"/>
  <c r="BO44" i="8"/>
  <c r="BO63" i="8" s="1"/>
  <c r="BP44" i="8"/>
  <c r="BP63" i="8" s="1"/>
  <c r="BQ44" i="8"/>
  <c r="BQ63" i="8" s="1"/>
  <c r="BR44" i="8"/>
  <c r="BR63" i="8" s="1"/>
  <c r="BS44" i="8"/>
  <c r="BS63" i="8" s="1"/>
  <c r="BT44" i="8"/>
  <c r="BT63" i="8" s="1"/>
  <c r="BU44" i="8"/>
  <c r="BU63" i="8" s="1"/>
  <c r="BV44" i="8"/>
  <c r="BV63" i="8" s="1"/>
  <c r="BX44" i="8"/>
  <c r="BX63" i="8" s="1"/>
  <c r="BY44" i="8"/>
  <c r="BY63" i="8" s="1"/>
  <c r="BZ44" i="8"/>
  <c r="BZ63" i="8" s="1"/>
  <c r="CA44" i="8"/>
  <c r="CA63" i="8" s="1"/>
  <c r="CB44" i="8"/>
  <c r="CB63" i="8" s="1"/>
  <c r="CC44" i="8"/>
  <c r="CC63" i="8" s="1"/>
  <c r="CD44" i="8"/>
  <c r="CD63" i="8" s="1"/>
  <c r="CE44" i="8"/>
  <c r="CE63" i="8" s="1"/>
  <c r="AZ59" i="8" l="1"/>
  <c r="AY59" i="8"/>
  <c r="AN57" i="8"/>
  <c r="AN59" i="8" s="1"/>
  <c r="AJ57" i="8"/>
  <c r="AJ59" i="8" s="1"/>
  <c r="AF57" i="8"/>
  <c r="AF59" i="8" s="1"/>
  <c r="S57" i="8"/>
  <c r="AQ57" i="8"/>
  <c r="AM57" i="8"/>
  <c r="AI57" i="8"/>
  <c r="AE57" i="8"/>
  <c r="AR393" i="7"/>
  <c r="AV57" i="8"/>
  <c r="CM398" i="7"/>
  <c r="CO163" i="8"/>
  <c r="BM57" i="8"/>
  <c r="BI57" i="8"/>
  <c r="CO57" i="8"/>
  <c r="BV57" i="8"/>
  <c r="AU57" i="8"/>
  <c r="Y57" i="8"/>
  <c r="U57" i="8"/>
  <c r="U56" i="8"/>
  <c r="CC57" i="8"/>
  <c r="CM57" i="8"/>
  <c r="CK57" i="8"/>
  <c r="AU393" i="7"/>
  <c r="CD57" i="8"/>
  <c r="BZ57" i="8"/>
  <c r="BU57" i="8"/>
  <c r="BQ57" i="8"/>
  <c r="BH57" i="8"/>
  <c r="CL57" i="8"/>
  <c r="X57" i="8"/>
  <c r="V57" i="8"/>
  <c r="CE57" i="8"/>
  <c r="CA57" i="8"/>
  <c r="BS57" i="8"/>
  <c r="BJ57" i="8"/>
  <c r="BF57" i="8"/>
  <c r="AT57" i="8"/>
  <c r="AL57" i="8"/>
  <c r="AD57" i="8"/>
  <c r="AA57" i="8"/>
  <c r="W57" i="8"/>
  <c r="CB57" i="8"/>
  <c r="BT57" i="8"/>
  <c r="BP57" i="8"/>
  <c r="BK57" i="8"/>
  <c r="BG57" i="8"/>
  <c r="AW57" i="8"/>
  <c r="AO57" i="8"/>
  <c r="AK57" i="8"/>
  <c r="AG57" i="8"/>
  <c r="AC57" i="8"/>
  <c r="BL57" i="8"/>
  <c r="BA57" i="8"/>
  <c r="CS57" i="8"/>
  <c r="CI57" i="8"/>
  <c r="Z57" i="8"/>
  <c r="CH57" i="8"/>
  <c r="BY57" i="8"/>
  <c r="AP57" i="8"/>
  <c r="AH57" i="8"/>
  <c r="BX57" i="8"/>
  <c r="AR337" i="7"/>
  <c r="AU337" i="7"/>
  <c r="CT57" i="8"/>
  <c r="CQ57" i="8"/>
  <c r="CV57" i="8"/>
  <c r="CX57" i="8"/>
  <c r="R56" i="8"/>
  <c r="AY58" i="8"/>
  <c r="CU56" i="8"/>
  <c r="CQ56" i="8"/>
  <c r="CM56" i="8"/>
  <c r="CI56" i="8"/>
  <c r="CE56" i="8"/>
  <c r="BJ56" i="8"/>
  <c r="BF56" i="8"/>
  <c r="AW56" i="8"/>
  <c r="AN56" i="8"/>
  <c r="AJ56" i="8"/>
  <c r="AF56" i="8"/>
  <c r="AB56" i="8"/>
  <c r="X56" i="8"/>
  <c r="T56" i="8"/>
  <c r="CX56" i="8"/>
  <c r="CT56" i="8"/>
  <c r="CP56" i="8"/>
  <c r="CL56" i="8"/>
  <c r="CH56" i="8"/>
  <c r="CD56" i="8"/>
  <c r="BZ56" i="8"/>
  <c r="BV56" i="8"/>
  <c r="BQ56" i="8"/>
  <c r="BM56" i="8"/>
  <c r="BI56" i="8"/>
  <c r="BA56" i="8"/>
  <c r="AV56" i="8"/>
  <c r="CW56" i="8"/>
  <c r="CS56" i="8"/>
  <c r="CO56" i="8"/>
  <c r="CK56" i="8"/>
  <c r="CG56" i="8"/>
  <c r="CC56" i="8"/>
  <c r="BY56" i="8"/>
  <c r="BU56" i="8"/>
  <c r="BP56" i="8"/>
  <c r="BL56" i="8"/>
  <c r="BH56" i="8"/>
  <c r="AZ56" i="8"/>
  <c r="AP56" i="8"/>
  <c r="AL56" i="8"/>
  <c r="AH56" i="8"/>
  <c r="AD56" i="8"/>
  <c r="Z56" i="8"/>
  <c r="V56" i="8"/>
  <c r="AZ58" i="8"/>
  <c r="AN58" i="8"/>
  <c r="AJ58" i="8"/>
  <c r="AF58" i="8"/>
  <c r="CV56" i="8"/>
  <c r="CB56" i="8"/>
  <c r="BX56" i="8"/>
  <c r="BT56" i="8"/>
  <c r="AT56" i="8"/>
  <c r="AO56" i="8"/>
  <c r="AK56" i="8"/>
  <c r="AG56" i="8"/>
  <c r="AC56" i="8"/>
  <c r="Y56" i="8"/>
  <c r="CX61" i="8"/>
  <c r="CT61" i="8"/>
  <c r="CP61" i="8"/>
  <c r="CL61" i="8"/>
  <c r="CH61" i="8"/>
  <c r="CD61" i="8"/>
  <c r="BZ61" i="8"/>
  <c r="BV61" i="8"/>
  <c r="BR61" i="8"/>
  <c r="BN61" i="8"/>
  <c r="BJ61" i="8"/>
  <c r="BF61" i="8"/>
  <c r="BB61" i="8"/>
  <c r="AX61" i="8"/>
  <c r="AT61" i="8"/>
  <c r="AP61" i="8"/>
  <c r="AL61" i="8"/>
  <c r="AH61" i="8"/>
  <c r="AD61" i="8"/>
  <c r="Z61" i="8"/>
  <c r="V61" i="8"/>
  <c r="CW61" i="8"/>
  <c r="CS61" i="8"/>
  <c r="CO61" i="8"/>
  <c r="CK61" i="8"/>
  <c r="CG61" i="8"/>
  <c r="CC61" i="8"/>
  <c r="BY61" i="8"/>
  <c r="BU61" i="8"/>
  <c r="BQ61" i="8"/>
  <c r="BM61" i="8"/>
  <c r="BI61" i="8"/>
  <c r="BE61" i="8"/>
  <c r="BA61" i="8"/>
  <c r="AW61" i="8"/>
  <c r="AS61" i="8"/>
  <c r="AO61" i="8"/>
  <c r="AK61" i="8"/>
  <c r="AG61" i="8"/>
  <c r="AC61" i="8"/>
  <c r="Y61" i="8"/>
  <c r="U61" i="8"/>
  <c r="CA56" i="8"/>
  <c r="BS56" i="8"/>
  <c r="BK56" i="8"/>
  <c r="BG56" i="8"/>
  <c r="BC56" i="8"/>
  <c r="AY56" i="8"/>
  <c r="AU56" i="8"/>
  <c r="AQ56" i="8"/>
  <c r="AM56" i="8"/>
  <c r="AI56" i="8"/>
  <c r="AE56" i="8"/>
  <c r="AA56" i="8"/>
  <c r="W56" i="8"/>
  <c r="S56" i="8"/>
  <c r="R57" i="8"/>
  <c r="CV61" i="8"/>
  <c r="CR61" i="8"/>
  <c r="CN61" i="8"/>
  <c r="CJ61" i="8"/>
  <c r="CF61" i="8"/>
  <c r="CB61" i="8"/>
  <c r="BX61" i="8"/>
  <c r="BT61" i="8"/>
  <c r="BP61" i="8"/>
  <c r="BL61" i="8"/>
  <c r="BH61" i="8"/>
  <c r="BD61" i="8"/>
  <c r="AZ61" i="8"/>
  <c r="AV61" i="8"/>
  <c r="AN61" i="8"/>
  <c r="AJ61" i="8"/>
  <c r="AF61" i="8"/>
  <c r="AB61" i="8"/>
  <c r="X61" i="8"/>
  <c r="T61" i="8"/>
  <c r="R61" i="8"/>
  <c r="Q60" i="8"/>
  <c r="J7" i="10" s="1"/>
  <c r="J31" i="10" s="1"/>
  <c r="CU61" i="8"/>
  <c r="CQ61" i="8"/>
  <c r="CM61" i="8"/>
  <c r="CI61" i="8"/>
  <c r="CE61" i="8"/>
  <c r="CA61" i="8"/>
  <c r="BS61" i="8"/>
  <c r="BO61" i="8"/>
  <c r="BK61" i="8"/>
  <c r="BG61" i="8"/>
  <c r="BC61" i="8"/>
  <c r="AY61" i="8"/>
  <c r="AU61" i="8"/>
  <c r="AQ61" i="8"/>
  <c r="AM61" i="8"/>
  <c r="AI61" i="8"/>
  <c r="AE61" i="8"/>
  <c r="AA61" i="8"/>
  <c r="W61" i="8"/>
  <c r="S61" i="8"/>
  <c r="W48" i="8"/>
  <c r="S48" i="8"/>
  <c r="CQ48" i="8"/>
  <c r="CM48" i="8"/>
  <c r="CI48" i="8"/>
  <c r="CE48" i="8"/>
  <c r="CA48" i="8"/>
  <c r="BS48" i="8"/>
  <c r="BO48" i="8"/>
  <c r="V48" i="8"/>
  <c r="CX48" i="8"/>
  <c r="CT48" i="8"/>
  <c r="CP48" i="8"/>
  <c r="CL48" i="8"/>
  <c r="CH48" i="8"/>
  <c r="CD48" i="8"/>
  <c r="BZ48" i="8"/>
  <c r="BV48" i="8"/>
  <c r="BR48" i="8"/>
  <c r="BJ48" i="8"/>
  <c r="U48" i="8"/>
  <c r="CW48" i="8"/>
  <c r="CS48" i="8"/>
  <c r="CO48" i="8"/>
  <c r="CK48" i="8"/>
  <c r="CG48" i="8"/>
  <c r="CC48" i="8"/>
  <c r="BY48" i="8"/>
  <c r="BU48" i="8"/>
  <c r="BQ48" i="8"/>
  <c r="BM48" i="8"/>
  <c r="BI48" i="8"/>
  <c r="BE48" i="8"/>
  <c r="BA48" i="8"/>
  <c r="AW48" i="8"/>
  <c r="AS48" i="8"/>
  <c r="AO48" i="8"/>
  <c r="AK48" i="8"/>
  <c r="AG48" i="8"/>
  <c r="AC48" i="8"/>
  <c r="Y48" i="8"/>
  <c r="T48" i="8"/>
  <c r="CV48" i="8"/>
  <c r="CR48" i="8"/>
  <c r="CN48" i="8"/>
  <c r="CJ48" i="8"/>
  <c r="CF48" i="8"/>
  <c r="CB48" i="8"/>
  <c r="BX48" i="8"/>
  <c r="BT48" i="8"/>
  <c r="BP48" i="8"/>
  <c r="BL48" i="8"/>
  <c r="BH48" i="8"/>
  <c r="AZ48" i="8"/>
  <c r="AV48" i="8"/>
  <c r="AN48" i="8"/>
  <c r="AJ48" i="8"/>
  <c r="AF48" i="8"/>
  <c r="AB48" i="8"/>
  <c r="X48" i="8"/>
  <c r="BF48" i="8"/>
  <c r="BB48" i="8"/>
  <c r="AX48" i="8"/>
  <c r="AT48" i="8"/>
  <c r="AP48" i="8"/>
  <c r="AL48" i="8"/>
  <c r="AH48" i="8"/>
  <c r="AD48" i="8"/>
  <c r="Z48" i="8"/>
  <c r="CQ50" i="8"/>
  <c r="CM50" i="8"/>
  <c r="CI50" i="8"/>
  <c r="CE50" i="8"/>
  <c r="CA50" i="8"/>
  <c r="BS50" i="8"/>
  <c r="BK50" i="8"/>
  <c r="BG50" i="8"/>
  <c r="AY50" i="8"/>
  <c r="AP50" i="8"/>
  <c r="AL50" i="8"/>
  <c r="AH50" i="8"/>
  <c r="Z50" i="8"/>
  <c r="V50" i="8"/>
  <c r="CX52" i="8"/>
  <c r="CT52" i="8"/>
  <c r="CL52" i="8"/>
  <c r="CH52" i="8"/>
  <c r="CD52" i="8"/>
  <c r="BZ52" i="8"/>
  <c r="BV52" i="8"/>
  <c r="BR52" i="8"/>
  <c r="BJ52" i="8"/>
  <c r="BF52" i="8"/>
  <c r="BB52" i="8"/>
  <c r="AX52" i="8"/>
  <c r="AT52" i="8"/>
  <c r="AP52" i="8"/>
  <c r="AL52" i="8"/>
  <c r="AH52" i="8"/>
  <c r="AD52" i="8"/>
  <c r="Z52" i="8"/>
  <c r="V52" i="8"/>
  <c r="CX54" i="8"/>
  <c r="CT54" i="8"/>
  <c r="CP54" i="8"/>
  <c r="CL54" i="8"/>
  <c r="CH54" i="8"/>
  <c r="CD54" i="8"/>
  <c r="BZ54" i="8"/>
  <c r="BV54" i="8"/>
  <c r="BR54" i="8"/>
  <c r="BJ54" i="8"/>
  <c r="BF54" i="8"/>
  <c r="BB54" i="8"/>
  <c r="AX54" i="8"/>
  <c r="AT54" i="8"/>
  <c r="AP54" i="8"/>
  <c r="AL54" i="8"/>
  <c r="AH54" i="8"/>
  <c r="AD54" i="8"/>
  <c r="Z54" i="8"/>
  <c r="V54" i="8"/>
  <c r="CX50" i="8"/>
  <c r="CT50" i="8"/>
  <c r="CP50" i="8"/>
  <c r="CL50" i="8"/>
  <c r="CH50" i="8"/>
  <c r="CD50" i="8"/>
  <c r="BZ50" i="8"/>
  <c r="BV50" i="8"/>
  <c r="BJ50" i="8"/>
  <c r="BF50" i="8"/>
  <c r="AX50" i="8"/>
  <c r="AT50" i="8"/>
  <c r="AO50" i="8"/>
  <c r="AK50" i="8"/>
  <c r="AG50" i="8"/>
  <c r="AC50" i="8"/>
  <c r="U50" i="8"/>
  <c r="R52" i="8"/>
  <c r="CS52" i="8"/>
  <c r="CO52" i="8"/>
  <c r="CK52" i="8"/>
  <c r="CC52" i="8"/>
  <c r="BY52" i="8"/>
  <c r="BU52" i="8"/>
  <c r="BQ52" i="8"/>
  <c r="BM52" i="8"/>
  <c r="BI52" i="8"/>
  <c r="BE52" i="8"/>
  <c r="BA52" i="8"/>
  <c r="AW52" i="8"/>
  <c r="AS52" i="8"/>
  <c r="AO52" i="8"/>
  <c r="AK52" i="8"/>
  <c r="AG52" i="8"/>
  <c r="AC52" i="8"/>
  <c r="Y52" i="8"/>
  <c r="U52" i="8"/>
  <c r="CW54" i="8"/>
  <c r="CS54" i="8"/>
  <c r="CO54" i="8"/>
  <c r="CK54" i="8"/>
  <c r="CG54" i="8"/>
  <c r="CC54" i="8"/>
  <c r="BY54" i="8"/>
  <c r="BU54" i="8"/>
  <c r="BQ54" i="8"/>
  <c r="BM54" i="8"/>
  <c r="BI54" i="8"/>
  <c r="BE54" i="8"/>
  <c r="BA54" i="8"/>
  <c r="AW54" i="8"/>
  <c r="AS54" i="8"/>
  <c r="AO54" i="8"/>
  <c r="AK54" i="8"/>
  <c r="AG54" i="8"/>
  <c r="AC54" i="8"/>
  <c r="Y54" i="8"/>
  <c r="U54" i="8"/>
  <c r="CS50" i="8"/>
  <c r="CO50" i="8"/>
  <c r="CK50" i="8"/>
  <c r="CC50" i="8"/>
  <c r="BY50" i="8"/>
  <c r="BU50" i="8"/>
  <c r="BQ50" i="8"/>
  <c r="BM50" i="8"/>
  <c r="BI50" i="8"/>
  <c r="BE50" i="8"/>
  <c r="BA50" i="8"/>
  <c r="AS50" i="8"/>
  <c r="AN50" i="8"/>
  <c r="AJ50" i="8"/>
  <c r="AF50" i="8"/>
  <c r="AB50" i="8"/>
  <c r="X50" i="8"/>
  <c r="T50" i="8"/>
  <c r="R54" i="8"/>
  <c r="CV52" i="8"/>
  <c r="CR52" i="8"/>
  <c r="CJ52" i="8"/>
  <c r="CF52" i="8"/>
  <c r="CB52" i="8"/>
  <c r="BX52" i="8"/>
  <c r="BT52" i="8"/>
  <c r="BP52" i="8"/>
  <c r="BL52" i="8"/>
  <c r="BH52" i="8"/>
  <c r="AZ52" i="8"/>
  <c r="AV52" i="8"/>
  <c r="AN52" i="8"/>
  <c r="AJ52" i="8"/>
  <c r="AF52" i="8"/>
  <c r="X52" i="8"/>
  <c r="T52" i="8"/>
  <c r="CV54" i="8"/>
  <c r="CR54" i="8"/>
  <c r="CN54" i="8"/>
  <c r="CJ54" i="8"/>
  <c r="CF54" i="8"/>
  <c r="CB54" i="8"/>
  <c r="BX54" i="8"/>
  <c r="BT54" i="8"/>
  <c r="BP54" i="8"/>
  <c r="BL54" i="8"/>
  <c r="BH54" i="8"/>
  <c r="BD54" i="8"/>
  <c r="AZ54" i="8"/>
  <c r="AV54" i="8"/>
  <c r="AN54" i="8"/>
  <c r="AJ54" i="8"/>
  <c r="AF54" i="8"/>
  <c r="AB54" i="8"/>
  <c r="X54" i="8"/>
  <c r="BK48" i="8"/>
  <c r="BG48" i="8"/>
  <c r="BC48" i="8"/>
  <c r="AY48" i="8"/>
  <c r="AU48" i="8"/>
  <c r="AQ48" i="8"/>
  <c r="AM48" i="8"/>
  <c r="AI48" i="8"/>
  <c r="AE48" i="8"/>
  <c r="AA48" i="8"/>
  <c r="CV50" i="8"/>
  <c r="CJ50" i="8"/>
  <c r="CF50" i="8"/>
  <c r="CB50" i="8"/>
  <c r="BX50" i="8"/>
  <c r="BT50" i="8"/>
  <c r="BP50" i="8"/>
  <c r="BL50" i="8"/>
  <c r="BH50" i="8"/>
  <c r="AZ50" i="8"/>
  <c r="AV50" i="8"/>
  <c r="AQ50" i="8"/>
  <c r="AM50" i="8"/>
  <c r="AI50" i="8"/>
  <c r="AE50" i="8"/>
  <c r="AA50" i="8"/>
  <c r="W50" i="8"/>
  <c r="S50" i="8"/>
  <c r="CQ52" i="8"/>
  <c r="CM52" i="8"/>
  <c r="CI52" i="8"/>
  <c r="CE52" i="8"/>
  <c r="CA52" i="8"/>
  <c r="BS52" i="8"/>
  <c r="BO52" i="8"/>
  <c r="BK52" i="8"/>
  <c r="BG52" i="8"/>
  <c r="AY52" i="8"/>
  <c r="AU52" i="8"/>
  <c r="AQ52" i="8"/>
  <c r="AM52" i="8"/>
  <c r="AI52" i="8"/>
  <c r="AE52" i="8"/>
  <c r="AA52" i="8"/>
  <c r="W52" i="8"/>
  <c r="S52" i="8"/>
  <c r="CQ54" i="8"/>
  <c r="CM54" i="8"/>
  <c r="CI54" i="8"/>
  <c r="CE54" i="8"/>
  <c r="CA54" i="8"/>
  <c r="BS54" i="8"/>
  <c r="BO54" i="8"/>
  <c r="BK54" i="8"/>
  <c r="BG54" i="8"/>
  <c r="BC54" i="8"/>
  <c r="AY54" i="8"/>
  <c r="AU54" i="8"/>
  <c r="AQ54" i="8"/>
  <c r="AM54" i="8"/>
  <c r="AI54" i="8"/>
  <c r="AE54" i="8"/>
  <c r="AA54" i="8"/>
  <c r="W54" i="8"/>
  <c r="S54" i="8"/>
  <c r="R50" i="8"/>
  <c r="R4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X8" i="8"/>
  <c r="AY8" i="8"/>
  <c r="AZ8" i="8"/>
  <c r="BA8" i="8"/>
  <c r="BB8" i="8"/>
  <c r="BC8" i="8"/>
  <c r="BD8" i="8"/>
  <c r="BE8" i="8"/>
  <c r="BF8" i="8"/>
  <c r="BG8" i="8"/>
  <c r="BH8" i="8"/>
  <c r="BI8" i="8"/>
  <c r="BJ8" i="8"/>
  <c r="BK8" i="8"/>
  <c r="BL8" i="8"/>
  <c r="BM8" i="8"/>
  <c r="BN8" i="8"/>
  <c r="BO8" i="8"/>
  <c r="BP8" i="8"/>
  <c r="BQ8" i="8"/>
  <c r="BR8" i="8"/>
  <c r="BS8" i="8"/>
  <c r="BT8" i="8"/>
  <c r="BU8" i="8"/>
  <c r="BV8" i="8"/>
  <c r="BW8" i="8"/>
  <c r="BX8" i="8"/>
  <c r="BY8" i="8"/>
  <c r="BZ8" i="8"/>
  <c r="CA8" i="8"/>
  <c r="CB8" i="8"/>
  <c r="CC8" i="8"/>
  <c r="CD8" i="8"/>
  <c r="CE8" i="8"/>
  <c r="CF8" i="8"/>
  <c r="CG8" i="8"/>
  <c r="CH8" i="8"/>
  <c r="CI8" i="8"/>
  <c r="CJ8" i="8"/>
  <c r="CK8" i="8"/>
  <c r="CL8" i="8"/>
  <c r="CM8" i="8"/>
  <c r="CN8" i="8"/>
  <c r="CO8" i="8"/>
  <c r="CP8" i="8"/>
  <c r="CQ8" i="8"/>
  <c r="CR8" i="8"/>
  <c r="CS8" i="8"/>
  <c r="CT8" i="8"/>
  <c r="CU8" i="8"/>
  <c r="CV8" i="8"/>
  <c r="CW8" i="8"/>
  <c r="CX8" i="8"/>
  <c r="R8"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W6" i="8" s="1"/>
  <c r="AX7" i="8"/>
  <c r="AX6" i="8" s="1"/>
  <c r="AY7" i="8"/>
  <c r="AY6" i="8" s="1"/>
  <c r="AZ7" i="8"/>
  <c r="AZ6" i="8" s="1"/>
  <c r="BA7" i="8"/>
  <c r="BA6" i="8" s="1"/>
  <c r="BB7" i="8"/>
  <c r="BB6" i="8" s="1"/>
  <c r="BC7" i="8"/>
  <c r="BC6" i="8" s="1"/>
  <c r="BD7" i="8"/>
  <c r="BD6" i="8" s="1"/>
  <c r="BE7" i="8"/>
  <c r="BE6" i="8" s="1"/>
  <c r="BF7" i="8"/>
  <c r="BF6" i="8" s="1"/>
  <c r="BG7" i="8"/>
  <c r="BG6" i="8" s="1"/>
  <c r="BH7" i="8"/>
  <c r="BH6" i="8" s="1"/>
  <c r="BI7" i="8"/>
  <c r="BI6" i="8" s="1"/>
  <c r="BJ7" i="8"/>
  <c r="BJ6" i="8" s="1"/>
  <c r="BK7" i="8"/>
  <c r="BK6" i="8" s="1"/>
  <c r="BL7" i="8"/>
  <c r="BL6" i="8" s="1"/>
  <c r="BM7" i="8"/>
  <c r="BM6" i="8" s="1"/>
  <c r="BN7" i="8"/>
  <c r="BN6" i="8" s="1"/>
  <c r="BO7" i="8"/>
  <c r="BO6" i="8" s="1"/>
  <c r="BP7" i="8"/>
  <c r="BP6" i="8" s="1"/>
  <c r="BQ7" i="8"/>
  <c r="BQ6" i="8" s="1"/>
  <c r="BR7" i="8"/>
  <c r="BR6" i="8" s="1"/>
  <c r="BS7" i="8"/>
  <c r="BS6" i="8" s="1"/>
  <c r="BT7" i="8"/>
  <c r="BT6" i="8" s="1"/>
  <c r="BU7" i="8"/>
  <c r="BU6" i="8" s="1"/>
  <c r="BV7" i="8"/>
  <c r="BV6" i="8" s="1"/>
  <c r="BW7" i="8"/>
  <c r="BW6" i="8" s="1"/>
  <c r="BX7" i="8"/>
  <c r="BX6" i="8" s="1"/>
  <c r="BY7" i="8"/>
  <c r="BY6" i="8" s="1"/>
  <c r="BZ7" i="8"/>
  <c r="BZ6" i="8" s="1"/>
  <c r="CA7" i="8"/>
  <c r="CA6" i="8" s="1"/>
  <c r="CB7" i="8"/>
  <c r="CB6" i="8" s="1"/>
  <c r="CC7" i="8"/>
  <c r="CC6" i="8" s="1"/>
  <c r="CD7" i="8"/>
  <c r="CD6" i="8" s="1"/>
  <c r="CE7" i="8"/>
  <c r="CE6" i="8" s="1"/>
  <c r="CF7" i="8"/>
  <c r="CF6" i="8" s="1"/>
  <c r="CG7" i="8"/>
  <c r="CG6" i="8" s="1"/>
  <c r="CH7" i="8"/>
  <c r="CH6" i="8" s="1"/>
  <c r="CI7" i="8"/>
  <c r="CI6" i="8" s="1"/>
  <c r="CJ7" i="8"/>
  <c r="CJ6" i="8" s="1"/>
  <c r="CK7" i="8"/>
  <c r="CK6" i="8" s="1"/>
  <c r="CL7" i="8"/>
  <c r="CL6" i="8" s="1"/>
  <c r="CM7" i="8"/>
  <c r="CM6" i="8" s="1"/>
  <c r="CN7" i="8"/>
  <c r="CN6" i="8" s="1"/>
  <c r="CO7" i="8"/>
  <c r="CO6" i="8" s="1"/>
  <c r="CP7" i="8"/>
  <c r="CP6" i="8" s="1"/>
  <c r="CQ7" i="8"/>
  <c r="CQ6" i="8" s="1"/>
  <c r="CR7" i="8"/>
  <c r="CR6" i="8" s="1"/>
  <c r="CS7" i="8"/>
  <c r="CS6" i="8" s="1"/>
  <c r="CT7" i="8"/>
  <c r="CT6" i="8" s="1"/>
  <c r="CU7" i="8"/>
  <c r="CU6" i="8" s="1"/>
  <c r="CV7" i="8"/>
  <c r="CV6" i="8" s="1"/>
  <c r="CW7" i="8"/>
  <c r="CW6" i="8" s="1"/>
  <c r="CX7" i="8"/>
  <c r="CX6" i="8" s="1"/>
  <c r="S7" i="8"/>
  <c r="S6" i="8" s="1"/>
  <c r="R7" i="8"/>
  <c r="P34" i="8"/>
  <c r="P33" i="8"/>
  <c r="P32" i="8"/>
  <c r="P31" i="8"/>
  <c r="P30" i="8"/>
  <c r="P29" i="8"/>
  <c r="P19" i="8"/>
  <c r="P18" i="8"/>
  <c r="P17" i="8"/>
  <c r="P16" i="8"/>
  <c r="P15" i="8"/>
  <c r="P14" i="8"/>
  <c r="P13" i="8"/>
  <c r="P12" i="8"/>
  <c r="P11" i="8"/>
  <c r="R58" i="8" l="1"/>
  <c r="R59" i="8"/>
  <c r="CQ58" i="8"/>
  <c r="CQ59" i="8"/>
  <c r="BX58" i="8"/>
  <c r="BX59" i="8"/>
  <c r="CH58" i="8"/>
  <c r="CH59" i="8"/>
  <c r="BA58" i="8"/>
  <c r="BA59" i="8"/>
  <c r="AK58" i="8"/>
  <c r="AK59" i="8"/>
  <c r="BK58" i="8"/>
  <c r="BK59" i="8"/>
  <c r="W58" i="8"/>
  <c r="W59" i="8"/>
  <c r="AT58" i="8"/>
  <c r="AT59" i="8"/>
  <c r="CA58" i="8"/>
  <c r="CA59" i="8"/>
  <c r="CL58" i="8"/>
  <c r="CL59" i="8"/>
  <c r="BZ58" i="8"/>
  <c r="BZ59" i="8"/>
  <c r="CM58" i="8"/>
  <c r="CM59" i="8"/>
  <c r="Y58" i="8"/>
  <c r="Y59" i="8"/>
  <c r="BI58" i="8"/>
  <c r="BI59" i="8"/>
  <c r="AV58" i="8"/>
  <c r="AV59" i="8"/>
  <c r="AM58" i="8"/>
  <c r="AM59" i="8"/>
  <c r="CT58" i="8"/>
  <c r="CT59" i="8"/>
  <c r="AH58" i="8"/>
  <c r="AH59" i="8"/>
  <c r="Z58" i="8"/>
  <c r="Z59" i="8"/>
  <c r="BL58" i="8"/>
  <c r="BL59" i="8"/>
  <c r="AO58" i="8"/>
  <c r="AO59" i="8"/>
  <c r="BP58" i="8"/>
  <c r="BP59" i="8"/>
  <c r="AA58" i="8"/>
  <c r="AA59" i="8"/>
  <c r="BF58" i="8"/>
  <c r="BF59" i="8"/>
  <c r="CE58" i="8"/>
  <c r="CE59" i="8"/>
  <c r="BH58" i="8"/>
  <c r="BH59" i="8"/>
  <c r="CD58" i="8"/>
  <c r="CD59" i="8"/>
  <c r="CC58" i="8"/>
  <c r="CC59" i="8"/>
  <c r="AU58" i="8"/>
  <c r="AU59" i="8"/>
  <c r="BM58" i="8"/>
  <c r="BM59" i="8"/>
  <c r="AQ58" i="8"/>
  <c r="AQ59" i="8"/>
  <c r="CX58" i="8"/>
  <c r="CX59" i="8"/>
  <c r="AP58" i="8"/>
  <c r="AP59" i="8"/>
  <c r="CI58" i="8"/>
  <c r="CI59" i="8"/>
  <c r="AC58" i="8"/>
  <c r="AC59" i="8"/>
  <c r="AW58" i="8"/>
  <c r="AW59" i="8"/>
  <c r="BT58" i="8"/>
  <c r="BT59" i="8"/>
  <c r="AD58" i="8"/>
  <c r="AD59" i="8"/>
  <c r="BJ58" i="8"/>
  <c r="BJ59" i="8"/>
  <c r="V58" i="8"/>
  <c r="V59" i="8"/>
  <c r="BQ58" i="8"/>
  <c r="BQ59" i="8"/>
  <c r="BV58" i="8"/>
  <c r="BV59" i="8"/>
  <c r="AE58" i="8"/>
  <c r="AE59" i="8"/>
  <c r="S58" i="8"/>
  <c r="S59" i="8"/>
  <c r="CV58" i="8"/>
  <c r="CV59" i="8"/>
  <c r="BY58" i="8"/>
  <c r="BY59" i="8"/>
  <c r="CS58" i="8"/>
  <c r="CS59" i="8"/>
  <c r="AG58" i="8"/>
  <c r="AG59" i="8"/>
  <c r="BG58" i="8"/>
  <c r="BG59" i="8"/>
  <c r="CB58" i="8"/>
  <c r="CB59" i="8"/>
  <c r="AL58" i="8"/>
  <c r="AL59" i="8"/>
  <c r="BS58" i="8"/>
  <c r="BS59" i="8"/>
  <c r="X58" i="8"/>
  <c r="X59" i="8"/>
  <c r="BU58" i="8"/>
  <c r="BU59" i="8"/>
  <c r="CK58" i="8"/>
  <c r="CK59" i="8"/>
  <c r="U58" i="8"/>
  <c r="U59" i="8"/>
  <c r="CO58" i="8"/>
  <c r="CO59" i="8"/>
  <c r="AI58" i="8"/>
  <c r="AI59" i="8"/>
  <c r="AV6" i="8"/>
  <c r="AR6" i="8"/>
  <c r="AN6" i="8"/>
  <c r="AJ6" i="8"/>
  <c r="AF6" i="8"/>
  <c r="AB6" i="8"/>
  <c r="X6" i="8"/>
  <c r="T6" i="8"/>
  <c r="AG6" i="8"/>
  <c r="AC6" i="8"/>
  <c r="Y6" i="8"/>
  <c r="U6" i="8"/>
  <c r="AS6" i="8"/>
  <c r="AO6" i="8"/>
  <c r="AK6" i="8"/>
  <c r="AT6" i="8"/>
  <c r="AP6" i="8"/>
  <c r="AL6" i="8"/>
  <c r="AH6" i="8"/>
  <c r="AD6" i="8"/>
  <c r="Z6" i="8"/>
  <c r="V6" i="8"/>
  <c r="AU6" i="8"/>
  <c r="AQ6" i="8"/>
  <c r="AM6" i="8"/>
  <c r="AI6" i="8"/>
  <c r="AE6" i="8"/>
  <c r="AA6" i="8"/>
  <c r="W6" i="8"/>
  <c r="R6" i="8"/>
  <c r="Q7" i="8"/>
  <c r="P129" i="8"/>
  <c r="Q8" i="8"/>
  <c r="Q6" i="8" l="1"/>
  <c r="ES454" i="7" l="1"/>
  <c r="ED454" i="7"/>
  <c r="EA454" i="7"/>
  <c r="CZ454" i="7"/>
  <c r="CL454" i="7"/>
  <c r="CM454" i="7" s="1"/>
  <c r="BI454" i="7"/>
  <c r="AW454" i="7"/>
  <c r="DF453" i="7"/>
  <c r="CN453" i="7"/>
  <c r="CL453" i="7"/>
  <c r="CM453" i="7" s="1"/>
  <c r="BI453" i="7"/>
  <c r="BJ453" i="7" s="1"/>
  <c r="AT453" i="7"/>
  <c r="AS453" i="7"/>
  <c r="CL452" i="7"/>
  <c r="CM452" i="7" s="1"/>
  <c r="CL451" i="7"/>
  <c r="CM451" i="7" s="1"/>
  <c r="CL450" i="7"/>
  <c r="CM450" i="7" s="1"/>
  <c r="AR450" i="7"/>
  <c r="ED449" i="7"/>
  <c r="CL449" i="7"/>
  <c r="CM449" i="7" s="1"/>
  <c r="BM449" i="7"/>
  <c r="BL449" i="7"/>
  <c r="BK449" i="7"/>
  <c r="BI449" i="7"/>
  <c r="AY449" i="7"/>
  <c r="CL448" i="7"/>
  <c r="CM448" i="7" s="1"/>
  <c r="BI448" i="7"/>
  <c r="BJ448" i="7" s="1"/>
  <c r="AQ448" i="7"/>
  <c r="CL447" i="7"/>
  <c r="CM447" i="7" s="1"/>
  <c r="ED446" i="7"/>
  <c r="CQ446" i="7"/>
  <c r="CL446" i="7"/>
  <c r="CM446" i="7" s="1"/>
  <c r="BM446" i="7"/>
  <c r="BL446" i="7"/>
  <c r="BK446" i="7"/>
  <c r="BY445" i="7"/>
  <c r="CL443" i="7"/>
  <c r="CM443" i="7" s="1"/>
  <c r="BK443" i="7"/>
  <c r="CQ442" i="7"/>
  <c r="CL442" i="7"/>
  <c r="BL442" i="7"/>
  <c r="BK442" i="7"/>
  <c r="BJ442" i="7"/>
  <c r="AY442" i="7"/>
  <c r="AU442" i="7"/>
  <c r="AS442" i="7"/>
  <c r="AR442" i="7"/>
  <c r="EA444" i="7"/>
  <c r="DF444" i="7"/>
  <c r="DC444" i="7"/>
  <c r="CL444" i="7"/>
  <c r="CM444" i="7" s="1"/>
  <c r="BM444" i="7"/>
  <c r="BL444" i="7"/>
  <c r="BK444" i="7"/>
  <c r="CL432" i="7"/>
  <c r="CM432" i="7" s="1"/>
  <c r="CL430" i="7"/>
  <c r="CM430" i="7" s="1"/>
  <c r="CL429" i="7"/>
  <c r="CM429" i="7" s="1"/>
  <c r="CQ428" i="7"/>
  <c r="CL428" i="7"/>
  <c r="CM428" i="7" s="1"/>
  <c r="AS428" i="7"/>
  <c r="AU428" i="7"/>
  <c r="CL427" i="7"/>
  <c r="CM427" i="7" s="1"/>
  <c r="CQ425" i="7"/>
  <c r="CL425" i="7"/>
  <c r="CM425" i="7" s="1"/>
  <c r="CL419" i="7"/>
  <c r="CM419" i="7" s="1"/>
  <c r="DF418" i="7"/>
  <c r="CQ418" i="7"/>
  <c r="CL418" i="7"/>
  <c r="BJ418" i="7"/>
  <c r="AS418" i="7"/>
  <c r="AR418" i="7"/>
  <c r="CL414" i="7"/>
  <c r="CM414" i="7" s="1"/>
  <c r="BJ414" i="7"/>
  <c r="AT414" i="7"/>
  <c r="CN413" i="7"/>
  <c r="CL413" i="7"/>
  <c r="CN55" i="8"/>
  <c r="CN56" i="8" s="1"/>
  <c r="CN51" i="8"/>
  <c r="CQ390" i="7"/>
  <c r="CL390" i="7"/>
  <c r="BJ390" i="7"/>
  <c r="AS390" i="7"/>
  <c r="AR390" i="7"/>
  <c r="CL380" i="7"/>
  <c r="BI380" i="7"/>
  <c r="AT380" i="7"/>
  <c r="AQ380" i="7"/>
  <c r="CL374" i="7"/>
  <c r="CM374" i="7" s="1"/>
  <c r="AS374" i="7"/>
  <c r="CL373" i="7"/>
  <c r="CM373" i="7" s="1"/>
  <c r="CL372" i="7"/>
  <c r="CM372" i="7" s="1"/>
  <c r="CL371" i="7"/>
  <c r="CM371" i="7" s="1"/>
  <c r="CL370" i="7"/>
  <c r="CM370" i="7" s="1"/>
  <c r="CL369" i="7"/>
  <c r="CM369" i="7" s="1"/>
  <c r="CQ368" i="7"/>
  <c r="CL368" i="7"/>
  <c r="CM368" i="7" s="1"/>
  <c r="AY368" i="7"/>
  <c r="CL367" i="7"/>
  <c r="CM367" i="7" s="1"/>
  <c r="CL366" i="7"/>
  <c r="CM366" i="7" s="1"/>
  <c r="CQ365" i="7"/>
  <c r="CL365" i="7"/>
  <c r="CM365" i="7" s="1"/>
  <c r="AR365" i="7"/>
  <c r="CQ364" i="7"/>
  <c r="CL364" i="7"/>
  <c r="CM364" i="7" s="1"/>
  <c r="CQ363" i="7"/>
  <c r="CL363" i="7"/>
  <c r="CM363" i="7" s="1"/>
  <c r="AY363" i="7"/>
  <c r="CL362" i="7"/>
  <c r="CM362" i="7" s="1"/>
  <c r="AY362" i="7"/>
  <c r="CQ361" i="7"/>
  <c r="CL361" i="7"/>
  <c r="CM361" i="7" s="1"/>
  <c r="CL360" i="7"/>
  <c r="CM360" i="7" s="1"/>
  <c r="CL359" i="7"/>
  <c r="CM359" i="7" s="1"/>
  <c r="CL358" i="7"/>
  <c r="CM358" i="7" s="1"/>
  <c r="AR358" i="7"/>
  <c r="CL357" i="7"/>
  <c r="CM357" i="7" s="1"/>
  <c r="CQ356" i="7"/>
  <c r="CL356" i="7"/>
  <c r="CM356" i="7" s="1"/>
  <c r="CL355" i="7"/>
  <c r="CM355" i="7" s="1"/>
  <c r="CL354" i="7"/>
  <c r="CM354" i="7" s="1"/>
  <c r="CL353" i="7"/>
  <c r="CM353" i="7" s="1"/>
  <c r="CL352" i="7"/>
  <c r="CM352" i="7" s="1"/>
  <c r="CL351" i="7"/>
  <c r="CM351" i="7" s="1"/>
  <c r="CL350" i="7"/>
  <c r="AS350" i="7"/>
  <c r="AR350" i="7"/>
  <c r="CQ345" i="7"/>
  <c r="CL345" i="7"/>
  <c r="CM345" i="7" s="1"/>
  <c r="AW345" i="7"/>
  <c r="CL344" i="7"/>
  <c r="CM344" i="7" s="1"/>
  <c r="CQ343" i="7"/>
  <c r="CL343" i="7"/>
  <c r="CM343" i="7" s="1"/>
  <c r="BJ343" i="7"/>
  <c r="AU343" i="7"/>
  <c r="CQ342" i="7"/>
  <c r="CL342" i="7"/>
  <c r="CM342" i="7" s="1"/>
  <c r="CL341" i="7"/>
  <c r="CM341" i="7" s="1"/>
  <c r="CL340" i="7"/>
  <c r="CQ327" i="7"/>
  <c r="CL327" i="7"/>
  <c r="CM327" i="7" s="1"/>
  <c r="AU327" i="7"/>
  <c r="CL326" i="7"/>
  <c r="CM326" i="7" s="1"/>
  <c r="AY326" i="7"/>
  <c r="AW326" i="7"/>
  <c r="AU326" i="7"/>
  <c r="AR326" i="7"/>
  <c r="CL324" i="7"/>
  <c r="CM324" i="7" s="1"/>
  <c r="AY324" i="7"/>
  <c r="AW324" i="7"/>
  <c r="AU324" i="7"/>
  <c r="AR324" i="7"/>
  <c r="CL323" i="7"/>
  <c r="CM323" i="7" s="1"/>
  <c r="AY323" i="7"/>
  <c r="AW323" i="7"/>
  <c r="AU323" i="7"/>
  <c r="AR323" i="7"/>
  <c r="CL322" i="7"/>
  <c r="CM322" i="7" s="1"/>
  <c r="AW322" i="7"/>
  <c r="AU322" i="7"/>
  <c r="CQ321" i="7"/>
  <c r="CL321" i="7"/>
  <c r="CM321" i="7" s="1"/>
  <c r="AS321" i="7"/>
  <c r="AY321" i="7"/>
  <c r="CQ320" i="7"/>
  <c r="CL320" i="7"/>
  <c r="CM320" i="7" s="1"/>
  <c r="AS320" i="7"/>
  <c r="AY320" i="7"/>
  <c r="CQ319" i="7"/>
  <c r="CL319" i="7"/>
  <c r="CM319" i="7" s="1"/>
  <c r="AY319" i="7"/>
  <c r="AW319" i="7"/>
  <c r="AU319" i="7"/>
  <c r="AR319" i="7"/>
  <c r="CQ318" i="7"/>
  <c r="CL318" i="7"/>
  <c r="CM318" i="7" s="1"/>
  <c r="BJ318" i="7"/>
  <c r="AS318" i="7"/>
  <c r="AW318" i="7"/>
  <c r="CQ317" i="7"/>
  <c r="CL317" i="7"/>
  <c r="CM317" i="7" s="1"/>
  <c r="BJ317" i="7"/>
  <c r="AY317" i="7"/>
  <c r="CQ316" i="7"/>
  <c r="CL316" i="7"/>
  <c r="CM316" i="7" s="1"/>
  <c r="AY316" i="7"/>
  <c r="AW316" i="7"/>
  <c r="AU316" i="7"/>
  <c r="AR316" i="7"/>
  <c r="CQ315" i="7"/>
  <c r="CL315" i="7"/>
  <c r="CM315" i="7" s="1"/>
  <c r="AW315" i="7"/>
  <c r="CQ314" i="7"/>
  <c r="CL314" i="7"/>
  <c r="CM314" i="7" s="1"/>
  <c r="AR314" i="7"/>
  <c r="CQ313" i="7"/>
  <c r="CL313" i="7"/>
  <c r="CM313" i="7" s="1"/>
  <c r="AY313" i="7"/>
  <c r="CQ312" i="7"/>
  <c r="CL312" i="7"/>
  <c r="CM312" i="7" s="1"/>
  <c r="AY312" i="7"/>
  <c r="CL311" i="7"/>
  <c r="CM311" i="7" s="1"/>
  <c r="BJ311" i="7"/>
  <c r="AY311" i="7"/>
  <c r="AS311" i="7"/>
  <c r="AR311" i="7"/>
  <c r="CQ310" i="7"/>
  <c r="CL310" i="7"/>
  <c r="CM310" i="7" s="1"/>
  <c r="BJ310" i="7"/>
  <c r="AY310" i="7"/>
  <c r="CQ309" i="7"/>
  <c r="CL309" i="7"/>
  <c r="CM309" i="7" s="1"/>
  <c r="BJ309" i="7"/>
  <c r="AS309" i="7"/>
  <c r="AY309" i="7"/>
  <c r="CQ308" i="7"/>
  <c r="CL308" i="7"/>
  <c r="CM308" i="7" s="1"/>
  <c r="BJ308" i="7"/>
  <c r="AR308" i="7"/>
  <c r="CQ307" i="7"/>
  <c r="CL307" i="7"/>
  <c r="CM307" i="7" s="1"/>
  <c r="BJ307" i="7"/>
  <c r="AS307" i="7"/>
  <c r="AY307" i="7"/>
  <c r="CQ306" i="7"/>
  <c r="CL306" i="7"/>
  <c r="CM306" i="7" s="1"/>
  <c r="BJ306" i="7"/>
  <c r="AS306" i="7"/>
  <c r="AY306" i="7"/>
  <c r="CQ305" i="7"/>
  <c r="CL305" i="7"/>
  <c r="CM305" i="7" s="1"/>
  <c r="BJ305" i="7"/>
  <c r="AS305" i="7"/>
  <c r="AY305" i="7"/>
  <c r="CQ304" i="7"/>
  <c r="CL304" i="7"/>
  <c r="CM304" i="7" s="1"/>
  <c r="AS304" i="7"/>
  <c r="AU304" i="7"/>
  <c r="CQ303" i="7"/>
  <c r="CL303" i="7"/>
  <c r="CM303" i="7" s="1"/>
  <c r="AS303" i="7"/>
  <c r="AR303" i="7"/>
  <c r="CQ302" i="7"/>
  <c r="CL302" i="7"/>
  <c r="CM302" i="7" s="1"/>
  <c r="AY302" i="7"/>
  <c r="AW302" i="7"/>
  <c r="AU302" i="7"/>
  <c r="AS302" i="7"/>
  <c r="AR302" i="7"/>
  <c r="CL301" i="7"/>
  <c r="CM301" i="7" s="1"/>
  <c r="AY301" i="7"/>
  <c r="AW301" i="7"/>
  <c r="AU301" i="7"/>
  <c r="AR301" i="7"/>
  <c r="CL300" i="7"/>
  <c r="CM300" i="7" s="1"/>
  <c r="AY300" i="7"/>
  <c r="CQ299" i="7"/>
  <c r="CL299" i="7"/>
  <c r="CM299" i="7" s="1"/>
  <c r="AW299" i="7"/>
  <c r="CL298" i="7"/>
  <c r="CM298" i="7" s="1"/>
  <c r="AW298" i="7"/>
  <c r="CQ297" i="7"/>
  <c r="CL297" i="7"/>
  <c r="CM297" i="7" s="1"/>
  <c r="AR297" i="7"/>
  <c r="CQ296" i="7"/>
  <c r="CL296" i="7"/>
  <c r="CM296" i="7" s="1"/>
  <c r="AY296" i="7"/>
  <c r="AW296" i="7"/>
  <c r="AU296" i="7"/>
  <c r="AR296" i="7"/>
  <c r="CL295" i="7"/>
  <c r="CM295" i="7" s="1"/>
  <c r="BJ295" i="7"/>
  <c r="AS295" i="7"/>
  <c r="AW295" i="7"/>
  <c r="CQ294" i="7"/>
  <c r="CL294" i="7"/>
  <c r="CM294" i="7" s="1"/>
  <c r="AW294" i="7"/>
  <c r="CL293" i="7"/>
  <c r="CM293" i="7" s="1"/>
  <c r="AY293" i="7"/>
  <c r="AW293" i="7"/>
  <c r="AU293" i="7"/>
  <c r="AR293" i="7"/>
  <c r="CL292" i="7"/>
  <c r="CM292" i="7" s="1"/>
  <c r="AY292" i="7"/>
  <c r="AW292" i="7"/>
  <c r="AU292" i="7"/>
  <c r="AR292" i="7"/>
  <c r="CQ291" i="7"/>
  <c r="CL291" i="7"/>
  <c r="CM291" i="7" s="1"/>
  <c r="AY291" i="7"/>
  <c r="CQ290" i="7"/>
  <c r="CL290" i="7"/>
  <c r="CM290" i="7" s="1"/>
  <c r="AW290" i="7"/>
  <c r="CQ289" i="7"/>
  <c r="CL289" i="7"/>
  <c r="CM289" i="7" s="1"/>
  <c r="AY289" i="7"/>
  <c r="CL288" i="7"/>
  <c r="AY288" i="7"/>
  <c r="CL282" i="7"/>
  <c r="DF278" i="7"/>
  <c r="CQ278" i="7"/>
  <c r="CL278" i="7"/>
  <c r="CM278" i="7" s="1"/>
  <c r="AY278" i="7"/>
  <c r="CL277" i="7"/>
  <c r="CM277" i="7" s="1"/>
  <c r="CL276" i="7"/>
  <c r="CM276" i="7" s="1"/>
  <c r="CL275" i="7"/>
  <c r="AS275" i="7"/>
  <c r="BQ117" i="8"/>
  <c r="BO55" i="8"/>
  <c r="BN55" i="8"/>
  <c r="BN56" i="8" s="1"/>
  <c r="BN53" i="8"/>
  <c r="BN54" i="8" s="1"/>
  <c r="BN51" i="8"/>
  <c r="FF33" i="3"/>
  <c r="FF41" i="3" s="1"/>
  <c r="FG33" i="3"/>
  <c r="FH33" i="3"/>
  <c r="FH38" i="3" s="1"/>
  <c r="FG37" i="3"/>
  <c r="FF38" i="3"/>
  <c r="FG40" i="3"/>
  <c r="FG41" i="3" s="1"/>
  <c r="FG42" i="3"/>
  <c r="FG44" i="3"/>
  <c r="FF84" i="3"/>
  <c r="FG84" i="3"/>
  <c r="FH84" i="3"/>
  <c r="FG85" i="3"/>
  <c r="FG88" i="3" s="1"/>
  <c r="FH88" i="3"/>
  <c r="FG100" i="3"/>
  <c r="FG103" i="3"/>
  <c r="BC117" i="8"/>
  <c r="BC51" i="8"/>
  <c r="BB55" i="8"/>
  <c r="CL135" i="7"/>
  <c r="CM135" i="7" s="1"/>
  <c r="CL134" i="7"/>
  <c r="CM134" i="7" s="1"/>
  <c r="CL133" i="7"/>
  <c r="CM133" i="7" s="1"/>
  <c r="CL132" i="7"/>
  <c r="CM132" i="7" s="1"/>
  <c r="CL131" i="7"/>
  <c r="CM131" i="7" s="1"/>
  <c r="CL130" i="7"/>
  <c r="CM130" i="7" s="1"/>
  <c r="CL129" i="7"/>
  <c r="CM129" i="7" s="1"/>
  <c r="CL127" i="7"/>
  <c r="CM127" i="7" s="1"/>
  <c r="CL126" i="7"/>
  <c r="CM126" i="7" s="1"/>
  <c r="CL125" i="7"/>
  <c r="CM125" i="7" s="1"/>
  <c r="BJ125" i="7"/>
  <c r="BI125" i="7"/>
  <c r="CL123" i="7"/>
  <c r="CM123" i="7" s="1"/>
  <c r="CL122" i="7"/>
  <c r="CM122" i="7" s="1"/>
  <c r="CL121" i="7"/>
  <c r="CM121" i="7" s="1"/>
  <c r="CL120" i="7"/>
  <c r="CM120" i="7" s="1"/>
  <c r="CL119" i="7"/>
  <c r="CM119" i="7" s="1"/>
  <c r="CQ116" i="7"/>
  <c r="CL116" i="7"/>
  <c r="CM116" i="7" s="1"/>
  <c r="CL115" i="7"/>
  <c r="CM115" i="7" s="1"/>
  <c r="CL113" i="7"/>
  <c r="CL106" i="7"/>
  <c r="CM106" i="7" s="1"/>
  <c r="CL105" i="7"/>
  <c r="CM105" i="7" s="1"/>
  <c r="CL104" i="7"/>
  <c r="CM104" i="7" s="1"/>
  <c r="CL103" i="7"/>
  <c r="CM103" i="7" s="1"/>
  <c r="CL102" i="7"/>
  <c r="CM102" i="7" s="1"/>
  <c r="CL101" i="7"/>
  <c r="CM101" i="7" s="1"/>
  <c r="CL100" i="7"/>
  <c r="CM100" i="7" s="1"/>
  <c r="DF99" i="7"/>
  <c r="DC99" i="7"/>
  <c r="CL99" i="7"/>
  <c r="CM99" i="7" s="1"/>
  <c r="CL98" i="7"/>
  <c r="CM98" i="7" s="1"/>
  <c r="CL97" i="7"/>
  <c r="CM97" i="7" s="1"/>
  <c r="CL96" i="7"/>
  <c r="CM96" i="7" s="1"/>
  <c r="CL95" i="7"/>
  <c r="CM95" i="7" s="1"/>
  <c r="CL94" i="7"/>
  <c r="CM94" i="7" s="1"/>
  <c r="CL93" i="7"/>
  <c r="CM93" i="7" s="1"/>
  <c r="CL92" i="7"/>
  <c r="CM92" i="7" s="1"/>
  <c r="CL91" i="7"/>
  <c r="CM91" i="7" s="1"/>
  <c r="CL90" i="7"/>
  <c r="CM90" i="7" s="1"/>
  <c r="CL89" i="7"/>
  <c r="CM89" i="7" s="1"/>
  <c r="CL88" i="7"/>
  <c r="CM88" i="7" s="1"/>
  <c r="CL87" i="7"/>
  <c r="CL84" i="7"/>
  <c r="CM84" i="7" s="1"/>
  <c r="CL83" i="7"/>
  <c r="CL74" i="7"/>
  <c r="CM74" i="7" s="1"/>
  <c r="CQ73" i="7"/>
  <c r="CL73" i="7"/>
  <c r="CM73" i="7" s="1"/>
  <c r="CL72" i="7"/>
  <c r="CM72" i="7" s="1"/>
  <c r="CL71" i="7"/>
  <c r="CL68" i="7"/>
  <c r="CM68" i="7" s="1"/>
  <c r="BJ68" i="7"/>
  <c r="AR68" i="7"/>
  <c r="CQ67" i="7"/>
  <c r="CL67" i="7"/>
  <c r="AU67" i="7"/>
  <c r="AR7" i="7"/>
  <c r="AR9" i="7"/>
  <c r="AU13" i="7"/>
  <c r="AU17" i="7"/>
  <c r="AW18" i="7"/>
  <c r="AW20" i="7"/>
  <c r="AU21" i="7"/>
  <c r="AU22" i="7"/>
  <c r="AU23" i="7"/>
  <c r="AY24" i="7"/>
  <c r="AR25" i="7"/>
  <c r="AR34" i="7"/>
  <c r="AU38" i="7"/>
  <c r="AO41" i="7"/>
  <c r="AR48" i="7"/>
  <c r="AW52" i="7"/>
  <c r="AU58" i="7"/>
  <c r="AU65" i="7"/>
  <c r="AY77" i="7"/>
  <c r="AW107" i="7"/>
  <c r="AR109" i="7"/>
  <c r="AU110" i="7"/>
  <c r="AW281" i="7"/>
  <c r="AU338" i="7"/>
  <c r="AU339" i="7"/>
  <c r="AW378" i="7"/>
  <c r="AW383" i="7"/>
  <c r="AU387" i="7"/>
  <c r="AU388" i="7"/>
  <c r="AR389" i="7"/>
  <c r="AW410" i="7"/>
  <c r="BA412" i="7"/>
  <c r="BA416" i="7"/>
  <c r="AR440" i="7"/>
  <c r="BA455" i="7"/>
  <c r="CL49" i="7"/>
  <c r="BI49" i="7"/>
  <c r="AQ49" i="7"/>
  <c r="CL45" i="7"/>
  <c r="CM45" i="7" s="1"/>
  <c r="CL44" i="7"/>
  <c r="CM44" i="7" s="1"/>
  <c r="CL43" i="7"/>
  <c r="CL38" i="7"/>
  <c r="BJ38" i="7"/>
  <c r="CL36" i="7"/>
  <c r="CM36" i="7" s="1"/>
  <c r="BJ36" i="7"/>
  <c r="AS36" i="7"/>
  <c r="CL35" i="7"/>
  <c r="CM35" i="7" s="1"/>
  <c r="BJ35" i="7"/>
  <c r="AS35" i="7"/>
  <c r="CQ34" i="7"/>
  <c r="CL34" i="7"/>
  <c r="CM34" i="7" s="1"/>
  <c r="BJ34" i="7"/>
  <c r="AS34" i="7"/>
  <c r="CQ33" i="7"/>
  <c r="CL33" i="7"/>
  <c r="CM33" i="7" s="1"/>
  <c r="BJ33" i="7"/>
  <c r="AS33" i="7"/>
  <c r="AR33" i="7"/>
  <c r="CQ32" i="7"/>
  <c r="CL32" i="7"/>
  <c r="CM32" i="7" s="1"/>
  <c r="BJ32" i="7"/>
  <c r="AS32" i="7"/>
  <c r="AR32" i="7"/>
  <c r="CQ31" i="7"/>
  <c r="CN31" i="7"/>
  <c r="Y127" i="8" s="1"/>
  <c r="CL31" i="7"/>
  <c r="CM31" i="7" s="1"/>
  <c r="BJ31" i="7"/>
  <c r="AS31" i="7"/>
  <c r="AQ31" i="7"/>
  <c r="CL29" i="7"/>
  <c r="BJ29" i="7"/>
  <c r="AS29" i="7"/>
  <c r="CL37" i="7"/>
  <c r="Z147" i="8" s="1"/>
  <c r="CL39" i="7"/>
  <c r="AT40" i="7"/>
  <c r="CL40" i="7"/>
  <c r="CL41" i="7"/>
  <c r="CM41" i="7" s="1"/>
  <c r="CQ41" i="7"/>
  <c r="CL42" i="7"/>
  <c r="CM42" i="7" s="1"/>
  <c r="BJ46" i="7"/>
  <c r="CL46" i="7"/>
  <c r="CQ25" i="7"/>
  <c r="CL25" i="7"/>
  <c r="CM25" i="7" s="1"/>
  <c r="AS25" i="7"/>
  <c r="CQ24" i="7"/>
  <c r="CL24" i="7"/>
  <c r="CM24" i="7" s="1"/>
  <c r="CQ23" i="7"/>
  <c r="CL23" i="7"/>
  <c r="CM23" i="7" s="1"/>
  <c r="AS23" i="7"/>
  <c r="CQ22" i="7"/>
  <c r="CL22" i="7"/>
  <c r="BJ22" i="7"/>
  <c r="AS22" i="7"/>
  <c r="CL15" i="7"/>
  <c r="CM15" i="7" s="1"/>
  <c r="CL14" i="7"/>
  <c r="CL455" i="7"/>
  <c r="CQ440" i="7"/>
  <c r="CL440" i="7"/>
  <c r="CV147" i="8" s="1"/>
  <c r="FI439" i="7"/>
  <c r="FH439" i="7"/>
  <c r="EP439" i="7"/>
  <c r="EM439" i="7"/>
  <c r="EJ439" i="7"/>
  <c r="ED439" i="7"/>
  <c r="DU439" i="7"/>
  <c r="DF439" i="7"/>
  <c r="CN439" i="7"/>
  <c r="BZ439" i="7"/>
  <c r="CU93" i="8" s="1"/>
  <c r="BU439" i="7"/>
  <c r="CU83" i="8" s="1"/>
  <c r="Q83" i="8" s="1"/>
  <c r="BT439" i="7"/>
  <c r="CU81" i="8" s="1"/>
  <c r="Q81" i="8" s="1"/>
  <c r="BO439" i="7"/>
  <c r="CU71" i="8" s="1"/>
  <c r="BN439" i="7"/>
  <c r="CU69" i="8" s="1"/>
  <c r="BM439" i="7"/>
  <c r="CU123" i="8" s="1"/>
  <c r="BL439" i="7"/>
  <c r="CU122" i="8" s="1"/>
  <c r="BK439" i="7"/>
  <c r="CU121" i="8" s="1"/>
  <c r="BI439" i="7"/>
  <c r="BJ439" i="7" s="1"/>
  <c r="AV439" i="7"/>
  <c r="AT439" i="7"/>
  <c r="AQ439" i="7"/>
  <c r="AN439" i="7"/>
  <c r="CL438" i="7"/>
  <c r="CQ437" i="7"/>
  <c r="CQ417" i="7"/>
  <c r="CL417" i="7"/>
  <c r="CM417" i="7" s="1"/>
  <c r="BM417" i="7"/>
  <c r="CR123" i="8" s="1"/>
  <c r="BL417" i="7"/>
  <c r="CR122" i="8" s="1"/>
  <c r="BK417" i="7"/>
  <c r="CR121" i="8" s="1"/>
  <c r="AX417" i="7"/>
  <c r="AQ417" i="7"/>
  <c r="CQ416" i="7"/>
  <c r="CL416" i="7"/>
  <c r="CL412" i="7"/>
  <c r="CM412" i="7" s="1"/>
  <c r="CL411" i="7"/>
  <c r="CM411" i="7" s="1"/>
  <c r="CL410" i="7"/>
  <c r="CL396" i="7"/>
  <c r="CM396" i="7" s="1"/>
  <c r="CL395" i="7"/>
  <c r="CM395" i="7" s="1"/>
  <c r="CL394" i="7"/>
  <c r="CL392" i="7"/>
  <c r="CM392" i="7" s="1"/>
  <c r="FI391" i="7"/>
  <c r="CL391" i="7"/>
  <c r="CQ389" i="7"/>
  <c r="CL389" i="7"/>
  <c r="CM389" i="7" s="1"/>
  <c r="BJ389" i="7"/>
  <c r="AP389" i="7"/>
  <c r="CQ388" i="7"/>
  <c r="CL388" i="7"/>
  <c r="CM388" i="7" s="1"/>
  <c r="BJ388" i="7"/>
  <c r="AP388" i="7"/>
  <c r="CQ387" i="7"/>
  <c r="CL387" i="7"/>
  <c r="CM147" i="8" s="1"/>
  <c r="BJ387" i="7"/>
  <c r="BH387" i="7"/>
  <c r="AP387" i="7"/>
  <c r="CL385" i="7"/>
  <c r="CQ384" i="7"/>
  <c r="BN384" i="7"/>
  <c r="BJ384" i="7"/>
  <c r="AX384" i="7"/>
  <c r="AP384" i="7"/>
  <c r="CQ383" i="7"/>
  <c r="CL383" i="7"/>
  <c r="CM383" i="7" s="1"/>
  <c r="BJ383" i="7"/>
  <c r="ED382" i="7"/>
  <c r="CQ382" i="7"/>
  <c r="CL382" i="7"/>
  <c r="BJ382" i="7"/>
  <c r="AP382" i="7"/>
  <c r="CL381" i="7"/>
  <c r="CL379" i="7"/>
  <c r="CM379" i="7" s="1"/>
  <c r="CL378" i="7"/>
  <c r="CM378" i="7" s="1"/>
  <c r="CQ376" i="7"/>
  <c r="CL376" i="7"/>
  <c r="CM376" i="7" s="1"/>
  <c r="CL375" i="7"/>
  <c r="ED349" i="7"/>
  <c r="EA349" i="7"/>
  <c r="CN349" i="7"/>
  <c r="CL349" i="7"/>
  <c r="CF147" i="8" s="1"/>
  <c r="BJ349" i="7"/>
  <c r="AX349" i="7"/>
  <c r="AP349" i="7"/>
  <c r="CL348" i="7"/>
  <c r="CL347" i="7"/>
  <c r="AP347" i="7"/>
  <c r="CL346" i="7"/>
  <c r="CX339" i="7"/>
  <c r="CQ339" i="7"/>
  <c r="CL339" i="7"/>
  <c r="CM339" i="7" s="1"/>
  <c r="BJ339" i="7"/>
  <c r="AP339" i="7"/>
  <c r="CQ338" i="7"/>
  <c r="CL338" i="7"/>
  <c r="CM338" i="7" s="1"/>
  <c r="BJ338" i="7"/>
  <c r="AP338" i="7"/>
  <c r="CQ337" i="7"/>
  <c r="CL337" i="7"/>
  <c r="CB147" i="8" s="1"/>
  <c r="BJ337" i="7"/>
  <c r="AP337" i="7"/>
  <c r="CL336" i="7"/>
  <c r="CM336" i="7" s="1"/>
  <c r="CL335" i="7"/>
  <c r="CL334" i="7"/>
  <c r="CL333" i="7"/>
  <c r="CM333" i="7" s="1"/>
  <c r="CL332" i="7"/>
  <c r="CM332" i="7" s="1"/>
  <c r="CL331" i="7"/>
  <c r="CL330" i="7"/>
  <c r="CM330" i="7" s="1"/>
  <c r="FI329" i="7"/>
  <c r="FH329" i="7"/>
  <c r="CX329" i="7"/>
  <c r="CL329" i="7"/>
  <c r="CM329" i="7" s="1"/>
  <c r="CL328" i="7"/>
  <c r="CQ287" i="7"/>
  <c r="CL287" i="7"/>
  <c r="CM287" i="7" s="1"/>
  <c r="BI287" i="7"/>
  <c r="BJ287" i="7" s="1"/>
  <c r="BA287" i="7"/>
  <c r="AX287" i="7"/>
  <c r="BW142" i="8" s="1"/>
  <c r="AQ287" i="7"/>
  <c r="BW136" i="8" s="1"/>
  <c r="AN287" i="7"/>
  <c r="CQ286" i="7"/>
  <c r="CL286" i="7"/>
  <c r="BJ286" i="7"/>
  <c r="AW286" i="7"/>
  <c r="AU286" i="7"/>
  <c r="AR286" i="7"/>
  <c r="AP286" i="7"/>
  <c r="AO286" i="7"/>
  <c r="CL285" i="7"/>
  <c r="CM285" i="7" s="1"/>
  <c r="CL284" i="7"/>
  <c r="CM284" i="7" s="1"/>
  <c r="CL283" i="7"/>
  <c r="CQ281" i="7"/>
  <c r="CL281" i="7"/>
  <c r="BU147" i="8" s="1"/>
  <c r="CL280" i="7"/>
  <c r="CM280" i="7" s="1"/>
  <c r="CL279" i="7"/>
  <c r="BJ117" i="8"/>
  <c r="BI117" i="8"/>
  <c r="BH117" i="8"/>
  <c r="BD55" i="8"/>
  <c r="BD56" i="8" s="1"/>
  <c r="BB117" i="8"/>
  <c r="AZ117" i="8"/>
  <c r="CL111" i="7"/>
  <c r="AW147" i="8" s="1"/>
  <c r="CQ110" i="7"/>
  <c r="CL110" i="7"/>
  <c r="CM110" i="7" s="1"/>
  <c r="BJ110" i="7"/>
  <c r="AP110" i="7"/>
  <c r="CQ109" i="7"/>
  <c r="CL109" i="7"/>
  <c r="CM109" i="7" s="1"/>
  <c r="BJ109" i="7"/>
  <c r="AP109" i="7"/>
  <c r="CQ108" i="7"/>
  <c r="CL108" i="7"/>
  <c r="CM108" i="7" s="1"/>
  <c r="BJ108" i="7"/>
  <c r="AP108" i="7"/>
  <c r="CQ107" i="7"/>
  <c r="CL107" i="7"/>
  <c r="BJ107" i="7"/>
  <c r="AP107" i="7"/>
  <c r="CL86" i="7"/>
  <c r="AU147" i="8" s="1"/>
  <c r="CL82" i="7"/>
  <c r="CM82" i="7" s="1"/>
  <c r="CL81" i="7"/>
  <c r="CL80" i="7"/>
  <c r="BM80" i="7"/>
  <c r="AS123" i="8" s="1"/>
  <c r="BL80" i="7"/>
  <c r="AS122" i="8" s="1"/>
  <c r="BJ80" i="7"/>
  <c r="AX80" i="7"/>
  <c r="CQ79" i="7"/>
  <c r="CL79" i="7"/>
  <c r="CM79" i="7" s="1"/>
  <c r="CQ78" i="7"/>
  <c r="CL78" i="7"/>
  <c r="CM78" i="7" s="1"/>
  <c r="AX78" i="7"/>
  <c r="CQ77" i="7"/>
  <c r="CL77" i="7"/>
  <c r="CL70" i="7"/>
  <c r="AO147" i="8" s="1"/>
  <c r="CQ69" i="7"/>
  <c r="CL69" i="7"/>
  <c r="BJ69" i="7"/>
  <c r="AP69" i="7"/>
  <c r="AU69" i="7"/>
  <c r="CL66" i="7"/>
  <c r="CM66" i="7" s="1"/>
  <c r="BJ66" i="7"/>
  <c r="AP66" i="7"/>
  <c r="CL65" i="7"/>
  <c r="CM65" i="7" s="1"/>
  <c r="BJ65" i="7"/>
  <c r="AP65" i="7"/>
  <c r="CQ64" i="7"/>
  <c r="CL64" i="7"/>
  <c r="BJ64" i="7"/>
  <c r="BA64" i="7"/>
  <c r="AW64" i="7"/>
  <c r="AU64" i="7"/>
  <c r="AR64" i="7"/>
  <c r="AP64" i="7"/>
  <c r="AO64" i="7"/>
  <c r="CL62" i="7"/>
  <c r="CL60" i="7"/>
  <c r="CQ59" i="7"/>
  <c r="CL59" i="7"/>
  <c r="CM59" i="7" s="1"/>
  <c r="BM59" i="7"/>
  <c r="AH123" i="8" s="1"/>
  <c r="BA59" i="7"/>
  <c r="CQ58" i="7"/>
  <c r="CL58" i="7"/>
  <c r="CM58" i="7" s="1"/>
  <c r="CL57" i="7"/>
  <c r="CL55" i="7"/>
  <c r="CM55" i="7" s="1"/>
  <c r="CL54" i="7"/>
  <c r="CM54" i="7" s="1"/>
  <c r="CL53" i="7"/>
  <c r="BJ53" i="7"/>
  <c r="CQ52" i="7"/>
  <c r="CL52" i="7"/>
  <c r="CM52" i="7" s="1"/>
  <c r="CQ51" i="7"/>
  <c r="CL51" i="7"/>
  <c r="BJ51" i="7"/>
  <c r="AP51" i="7"/>
  <c r="AU51" i="7"/>
  <c r="CQ48" i="7"/>
  <c r="CL48" i="7"/>
  <c r="AD147" i="8" s="1"/>
  <c r="BJ48" i="7"/>
  <c r="AP48" i="7"/>
  <c r="BM47" i="7"/>
  <c r="AC123" i="8" s="1"/>
  <c r="BL47" i="7"/>
  <c r="AC122" i="8" s="1"/>
  <c r="BK47" i="7"/>
  <c r="AC121" i="8" s="1"/>
  <c r="BJ47" i="7"/>
  <c r="CL28" i="7"/>
  <c r="CM28" i="7" s="1"/>
  <c r="CL27" i="7"/>
  <c r="CM27" i="7" s="1"/>
  <c r="CQ26" i="7"/>
  <c r="CK26" i="7"/>
  <c r="Y115" i="8" s="1"/>
  <c r="Q115" i="8" s="1"/>
  <c r="CF26" i="7"/>
  <c r="Y105" i="8" s="1"/>
  <c r="Q105" i="8" s="1"/>
  <c r="CC26" i="7"/>
  <c r="Y99" i="8" s="1"/>
  <c r="Q99" i="8" s="1"/>
  <c r="CB26" i="7"/>
  <c r="Y97" i="8" s="1"/>
  <c r="Q97" i="8" s="1"/>
  <c r="CA26" i="7"/>
  <c r="Y95" i="8" s="1"/>
  <c r="Q95" i="8" s="1"/>
  <c r="BZ26" i="7"/>
  <c r="Y93" i="8" s="1"/>
  <c r="BY26" i="7"/>
  <c r="Y91" i="8" s="1"/>
  <c r="BX26" i="7"/>
  <c r="Y89" i="8" s="1"/>
  <c r="Q89" i="8" s="1"/>
  <c r="BW26" i="7"/>
  <c r="Y87" i="8" s="1"/>
  <c r="Q87" i="8" s="1"/>
  <c r="BV26" i="7"/>
  <c r="Y85" i="8" s="1"/>
  <c r="BO26" i="7"/>
  <c r="Y71" i="8" s="1"/>
  <c r="BN26" i="7"/>
  <c r="Y69" i="8" s="1"/>
  <c r="BJ26" i="7"/>
  <c r="AP26" i="7"/>
  <c r="CQ21" i="7"/>
  <c r="CL21" i="7"/>
  <c r="CM21" i="7" s="1"/>
  <c r="BJ21" i="7"/>
  <c r="AP21" i="7"/>
  <c r="CQ20" i="7"/>
  <c r="CL20" i="7"/>
  <c r="CM20" i="7" s="1"/>
  <c r="BJ20" i="7"/>
  <c r="AP20" i="7"/>
  <c r="CQ19" i="7"/>
  <c r="CL19" i="7"/>
  <c r="CM19" i="7" s="1"/>
  <c r="BJ19" i="7"/>
  <c r="AP19" i="7"/>
  <c r="AU19" i="7"/>
  <c r="CQ18" i="7"/>
  <c r="CL18" i="7"/>
  <c r="CM18" i="7" s="1"/>
  <c r="BJ18" i="7"/>
  <c r="AP18" i="7"/>
  <c r="BV17" i="7"/>
  <c r="BJ17" i="7"/>
  <c r="AP17" i="7"/>
  <c r="CL16" i="7"/>
  <c r="CL13" i="7"/>
  <c r="V147" i="8" s="1"/>
  <c r="AP13" i="7"/>
  <c r="CL12" i="7"/>
  <c r="CL11" i="7"/>
  <c r="CM11" i="7" s="1"/>
  <c r="AV11" i="7"/>
  <c r="CL10" i="7"/>
  <c r="CL9" i="7"/>
  <c r="CM9" i="7" s="1"/>
  <c r="BA9" i="7"/>
  <c r="AY9" i="7"/>
  <c r="AW9" i="7"/>
  <c r="AU9" i="7"/>
  <c r="CL7" i="7"/>
  <c r="AY7" i="7"/>
  <c r="AW7" i="7"/>
  <c r="AU7" i="7"/>
  <c r="CL6" i="7"/>
  <c r="AL6" i="7"/>
  <c r="R146" i="8" s="1"/>
  <c r="EH22" i="3"/>
  <c r="G33" i="3"/>
  <c r="G41" i="3" s="1"/>
  <c r="H33" i="3"/>
  <c r="H41" i="3" s="1"/>
  <c r="I33" i="3"/>
  <c r="I45" i="3" s="1"/>
  <c r="J33" i="3"/>
  <c r="J41" i="3" s="1"/>
  <c r="K33" i="3"/>
  <c r="M33" i="3"/>
  <c r="N33" i="3"/>
  <c r="P33" i="3"/>
  <c r="Q33" i="3"/>
  <c r="R33" i="3"/>
  <c r="R38" i="3" s="1"/>
  <c r="S33" i="3"/>
  <c r="T33" i="3"/>
  <c r="AF33" i="3"/>
  <c r="AF38" i="3" s="1"/>
  <c r="AG33" i="3"/>
  <c r="AG38" i="3" s="1"/>
  <c r="AJ33" i="3"/>
  <c r="AK33" i="3"/>
  <c r="AL33" i="3"/>
  <c r="AQ33" i="3"/>
  <c r="AR33" i="3"/>
  <c r="AT33" i="3"/>
  <c r="AU33" i="3"/>
  <c r="BA33" i="3"/>
  <c r="BB33" i="3"/>
  <c r="BC33" i="3"/>
  <c r="BD33" i="3"/>
  <c r="BE33" i="3"/>
  <c r="BF33" i="3"/>
  <c r="BG33" i="3"/>
  <c r="BI33" i="3"/>
  <c r="BJ33" i="3"/>
  <c r="BK33" i="3"/>
  <c r="BM33" i="3"/>
  <c r="BO33" i="3"/>
  <c r="BP33" i="3"/>
  <c r="BQ33" i="3"/>
  <c r="BT33" i="3"/>
  <c r="BU33" i="3"/>
  <c r="BV33" i="3"/>
  <c r="BW33" i="3"/>
  <c r="BZ33" i="3"/>
  <c r="CA33" i="3"/>
  <c r="CB33" i="3"/>
  <c r="CC33" i="3"/>
  <c r="CE33" i="3"/>
  <c r="CF33" i="3"/>
  <c r="CH33" i="3"/>
  <c r="CJ33" i="3"/>
  <c r="CK33" i="3"/>
  <c r="CL33" i="3"/>
  <c r="CR33" i="3"/>
  <c r="CR45" i="3" s="1"/>
  <c r="CS33" i="3"/>
  <c r="CU33" i="3"/>
  <c r="CY33" i="3"/>
  <c r="CZ33" i="3"/>
  <c r="DE33" i="3"/>
  <c r="DF33" i="3"/>
  <c r="DI33" i="3"/>
  <c r="DK33" i="3"/>
  <c r="DM33" i="3"/>
  <c r="DN33" i="3"/>
  <c r="DQ33" i="3"/>
  <c r="DU33" i="3"/>
  <c r="DV33" i="3"/>
  <c r="DW33" i="3"/>
  <c r="DX33" i="3"/>
  <c r="DY33" i="3"/>
  <c r="DZ33" i="3"/>
  <c r="EA33" i="3"/>
  <c r="EB33" i="3"/>
  <c r="ED33" i="3"/>
  <c r="EE33" i="3"/>
  <c r="EF33" i="3"/>
  <c r="ES33" i="3"/>
  <c r="ES38" i="3" s="1"/>
  <c r="ET33" i="3"/>
  <c r="ET43" i="3" s="1"/>
  <c r="EU33" i="3"/>
  <c r="EU41" i="3" s="1"/>
  <c r="EV33" i="3"/>
  <c r="EV38" i="3" s="1"/>
  <c r="EW33" i="3"/>
  <c r="EX33" i="3"/>
  <c r="EY33" i="3"/>
  <c r="FA33" i="3"/>
  <c r="FB33" i="3"/>
  <c r="FE33" i="3"/>
  <c r="FI33" i="3"/>
  <c r="FJ33" i="3"/>
  <c r="FL33" i="3"/>
  <c r="FM33" i="3"/>
  <c r="FO33" i="3"/>
  <c r="FR33" i="3"/>
  <c r="FT33" i="3"/>
  <c r="FV33" i="3"/>
  <c r="FW33" i="3"/>
  <c r="FW45" i="3" s="1"/>
  <c r="FZ33" i="3"/>
  <c r="GA33" i="3"/>
  <c r="GA45" i="3" s="1"/>
  <c r="GD33" i="3"/>
  <c r="GE33" i="3"/>
  <c r="GE38" i="3" s="1"/>
  <c r="GG33" i="3"/>
  <c r="GG38" i="3" s="1"/>
  <c r="GH33" i="3"/>
  <c r="GJ33" i="3"/>
  <c r="GK33" i="3"/>
  <c r="GK43" i="3" s="1"/>
  <c r="GL33" i="3"/>
  <c r="GM33" i="3"/>
  <c r="GM45" i="3" s="1"/>
  <c r="GN33" i="3"/>
  <c r="GP33" i="3"/>
  <c r="GR33" i="3"/>
  <c r="GR38" i="3" s="1"/>
  <c r="GS33" i="3"/>
  <c r="GU33" i="3"/>
  <c r="GV33" i="3"/>
  <c r="GX33" i="3"/>
  <c r="GX38" i="3" s="1"/>
  <c r="GY33" i="3"/>
  <c r="GY38" i="3" s="1"/>
  <c r="GZ33" i="3"/>
  <c r="HA33" i="3"/>
  <c r="HB33" i="3"/>
  <c r="HD33" i="3"/>
  <c r="HG33" i="3"/>
  <c r="HH33" i="3"/>
  <c r="HI33" i="3"/>
  <c r="HK33" i="3"/>
  <c r="HK45" i="3" s="1"/>
  <c r="HM33" i="3"/>
  <c r="HO33" i="3"/>
  <c r="HO38" i="3" s="1"/>
  <c r="HP33" i="3"/>
  <c r="HP41" i="3" s="1"/>
  <c r="HQ33" i="3"/>
  <c r="HQ41" i="3" s="1"/>
  <c r="HR33" i="3"/>
  <c r="HR45" i="3" s="1"/>
  <c r="HU33" i="3"/>
  <c r="HU38" i="3" s="1"/>
  <c r="HV33" i="3"/>
  <c r="HV45" i="3" s="1"/>
  <c r="HX33" i="3"/>
  <c r="HX41" i="3" s="1"/>
  <c r="HY33" i="3"/>
  <c r="HY41" i="3" s="1"/>
  <c r="HZ33" i="3"/>
  <c r="IA33" i="3"/>
  <c r="IA45" i="3" s="1"/>
  <c r="IB33" i="3"/>
  <c r="IB38" i="3" s="1"/>
  <c r="IE33" i="3"/>
  <c r="IE45" i="3" s="1"/>
  <c r="IF33" i="3"/>
  <c r="IF38" i="3" s="1"/>
  <c r="IG33" i="3"/>
  <c r="IG38" i="3" s="1"/>
  <c r="IH33" i="3"/>
  <c r="IH38" i="3" s="1"/>
  <c r="II33" i="3"/>
  <c r="II38" i="3" s="1"/>
  <c r="IJ33" i="3"/>
  <c r="IJ38" i="3" s="1"/>
  <c r="IK33" i="3"/>
  <c r="IK38" i="3" s="1"/>
  <c r="IL33" i="3"/>
  <c r="IL39" i="3" s="1"/>
  <c r="IN33" i="3"/>
  <c r="IN38" i="3" s="1"/>
  <c r="IO33" i="3"/>
  <c r="IO41" i="3" s="1"/>
  <c r="IP33" i="3"/>
  <c r="IP41" i="3" s="1"/>
  <c r="IQ33" i="3"/>
  <c r="IQ43" i="3" s="1"/>
  <c r="IS33" i="3"/>
  <c r="IS45" i="3" s="1"/>
  <c r="IT33" i="3"/>
  <c r="IT41" i="3" s="1"/>
  <c r="IV33" i="3"/>
  <c r="IV38" i="3" s="1"/>
  <c r="IW33" i="3"/>
  <c r="IW38" i="3" s="1"/>
  <c r="JC33" i="3"/>
  <c r="JC41" i="3" s="1"/>
  <c r="JD33" i="3"/>
  <c r="JH33" i="3"/>
  <c r="JI33" i="3"/>
  <c r="JJ33" i="3"/>
  <c r="JK33" i="3"/>
  <c r="JK38" i="3" s="1"/>
  <c r="JL33" i="3"/>
  <c r="JM33" i="3"/>
  <c r="JM43" i="3" s="1"/>
  <c r="JQ33" i="3"/>
  <c r="JQ45" i="3" s="1"/>
  <c r="JR33" i="3"/>
  <c r="JS33" i="3"/>
  <c r="JT33" i="3"/>
  <c r="JU33" i="3"/>
  <c r="JV33" i="3"/>
  <c r="JW33" i="3"/>
  <c r="JX33" i="3"/>
  <c r="JY33" i="3"/>
  <c r="JY38" i="3" s="1"/>
  <c r="JZ33" i="3"/>
  <c r="KA33" i="3"/>
  <c r="KB33" i="3"/>
  <c r="KC33" i="3"/>
  <c r="KC38" i="3" s="1"/>
  <c r="KD33" i="3"/>
  <c r="KD38" i="3" s="1"/>
  <c r="KG33" i="3"/>
  <c r="KH33" i="3"/>
  <c r="KI33" i="3"/>
  <c r="KI45" i="3" s="1"/>
  <c r="KL33" i="3"/>
  <c r="KM33" i="3"/>
  <c r="KN33" i="3"/>
  <c r="KO33" i="3"/>
  <c r="KO39" i="3" s="1"/>
  <c r="KV33" i="3"/>
  <c r="KV45" i="3" s="1"/>
  <c r="LK33" i="3"/>
  <c r="LO33" i="3"/>
  <c r="LW33" i="3"/>
  <c r="LX33" i="3"/>
  <c r="LX38" i="3" s="1"/>
  <c r="LY33" i="3"/>
  <c r="LZ33" i="3"/>
  <c r="MA33" i="3"/>
  <c r="MJ33" i="3"/>
  <c r="ML33" i="3"/>
  <c r="MN33" i="3"/>
  <c r="MO33" i="3"/>
  <c r="MP33" i="3"/>
  <c r="MR33" i="3"/>
  <c r="MR41" i="3" s="1"/>
  <c r="MS33" i="3"/>
  <c r="MS38" i="3" s="1"/>
  <c r="MU33" i="3"/>
  <c r="MW33" i="3"/>
  <c r="MW38" i="3" s="1"/>
  <c r="L37" i="3"/>
  <c r="L33" i="3" s="1"/>
  <c r="V37" i="3"/>
  <c r="V33" i="3" s="1"/>
  <c r="AZ37" i="3"/>
  <c r="DA37" i="3"/>
  <c r="DA33" i="3" s="1"/>
  <c r="EH37" i="3"/>
  <c r="EI37" i="3"/>
  <c r="FQ37" i="3"/>
  <c r="HE37" i="3"/>
  <c r="HE39" i="3" s="1"/>
  <c r="KP37" i="3"/>
  <c r="KW37" i="3"/>
  <c r="LV37" i="3"/>
  <c r="LV33" i="3" s="1"/>
  <c r="MQ37" i="3"/>
  <c r="MQ33" i="3" s="1"/>
  <c r="MQ39" i="3" s="1"/>
  <c r="M38" i="3"/>
  <c r="N38" i="3"/>
  <c r="O38" i="3"/>
  <c r="CR38" i="3"/>
  <c r="EE38" i="3"/>
  <c r="GA38" i="3"/>
  <c r="HR38" i="3"/>
  <c r="HS38" i="3"/>
  <c r="HT38" i="3"/>
  <c r="HW38" i="3"/>
  <c r="IC38" i="3"/>
  <c r="ID38" i="3"/>
  <c r="IE38" i="3"/>
  <c r="IM38" i="3"/>
  <c r="IR38" i="3"/>
  <c r="IU38" i="3"/>
  <c r="IY38" i="3"/>
  <c r="IZ38" i="3"/>
  <c r="JA38" i="3"/>
  <c r="JB38" i="3"/>
  <c r="JC38" i="3"/>
  <c r="KF38" i="3"/>
  <c r="LN38" i="3"/>
  <c r="ML38" i="3"/>
  <c r="G39" i="3"/>
  <c r="H39" i="3"/>
  <c r="J39" i="3"/>
  <c r="K39" i="3"/>
  <c r="L39" i="3"/>
  <c r="M39" i="3"/>
  <c r="N39" i="3"/>
  <c r="O39" i="3"/>
  <c r="P39" i="3"/>
  <c r="Q39" i="3"/>
  <c r="CR39" i="3"/>
  <c r="EE39" i="3"/>
  <c r="ET39" i="3"/>
  <c r="EU39" i="3"/>
  <c r="EV39" i="3"/>
  <c r="EY39" i="3"/>
  <c r="HG39" i="3"/>
  <c r="HV39" i="3"/>
  <c r="ID39" i="3"/>
  <c r="IE39" i="3"/>
  <c r="IF39" i="3"/>
  <c r="IG39" i="3"/>
  <c r="IH39" i="3"/>
  <c r="II39" i="3"/>
  <c r="IJ39" i="3"/>
  <c r="IK39" i="3"/>
  <c r="IM39" i="3"/>
  <c r="IT39" i="3"/>
  <c r="IV39" i="3"/>
  <c r="IW39" i="3"/>
  <c r="JQ39" i="3"/>
  <c r="KV39" i="3"/>
  <c r="LN39" i="3"/>
  <c r="LX39" i="3"/>
  <c r="ML39" i="3"/>
  <c r="MV39" i="3"/>
  <c r="EI40" i="3"/>
  <c r="KP40" i="3"/>
  <c r="KW40" i="3"/>
  <c r="LL40" i="3"/>
  <c r="LL33" i="3" s="1"/>
  <c r="MV40" i="3"/>
  <c r="MV33" i="3" s="1"/>
  <c r="O41" i="3"/>
  <c r="HO41" i="3"/>
  <c r="HS41" i="3"/>
  <c r="HT41" i="3"/>
  <c r="HW41" i="3"/>
  <c r="IC41" i="3"/>
  <c r="ID41" i="3"/>
  <c r="IN41" i="3"/>
  <c r="IR41" i="3"/>
  <c r="IU41" i="3"/>
  <c r="IX41" i="3"/>
  <c r="IY41" i="3"/>
  <c r="IZ41" i="3"/>
  <c r="JA41" i="3"/>
  <c r="JB41" i="3"/>
  <c r="ML41" i="3"/>
  <c r="HR43" i="3"/>
  <c r="HS43" i="3"/>
  <c r="HT43" i="3"/>
  <c r="HW43" i="3"/>
  <c r="IC43" i="3"/>
  <c r="ID43" i="3"/>
  <c r="IE43" i="3"/>
  <c r="IF43" i="3"/>
  <c r="IR43" i="3"/>
  <c r="IT43" i="3"/>
  <c r="IU43" i="3"/>
  <c r="IX43" i="3"/>
  <c r="IY43" i="3"/>
  <c r="IZ43" i="3"/>
  <c r="JA43" i="3"/>
  <c r="JB43" i="3"/>
  <c r="JC43" i="3"/>
  <c r="JK43" i="3"/>
  <c r="EH44" i="3"/>
  <c r="FQ44" i="3"/>
  <c r="HE44" i="3"/>
  <c r="KW44" i="3"/>
  <c r="EE45" i="3"/>
  <c r="HS45" i="3"/>
  <c r="HT45" i="3"/>
  <c r="HW45" i="3"/>
  <c r="IC45" i="3"/>
  <c r="ID45" i="3"/>
  <c r="II45" i="3"/>
  <c r="IM45" i="3"/>
  <c r="IN45" i="3"/>
  <c r="IR45" i="3"/>
  <c r="IU45" i="3"/>
  <c r="IY45" i="3"/>
  <c r="IZ45" i="3"/>
  <c r="JA45" i="3"/>
  <c r="JB45" i="3"/>
  <c r="KC45" i="3"/>
  <c r="ML45" i="3"/>
  <c r="HE54" i="3"/>
  <c r="V55" i="3"/>
  <c r="CA55" i="3"/>
  <c r="CB55" i="3"/>
  <c r="EH55" i="3"/>
  <c r="FQ55" i="3"/>
  <c r="FQ56" i="3" s="1"/>
  <c r="HE55" i="3"/>
  <c r="HE56" i="3" s="1"/>
  <c r="KP55" i="3"/>
  <c r="MQ55" i="3"/>
  <c r="MQ56" i="3" s="1"/>
  <c r="MR55" i="3"/>
  <c r="MV55" i="3"/>
  <c r="MV56" i="3" s="1"/>
  <c r="MW55" i="3"/>
  <c r="G56" i="3"/>
  <c r="K56" i="3"/>
  <c r="L56" i="3"/>
  <c r="M56" i="3"/>
  <c r="N56" i="3"/>
  <c r="O56" i="3"/>
  <c r="P56" i="3"/>
  <c r="Q56" i="3"/>
  <c r="R56" i="3"/>
  <c r="AG56" i="3"/>
  <c r="CA56" i="3"/>
  <c r="CB56" i="3"/>
  <c r="CR56" i="3"/>
  <c r="ET56" i="3"/>
  <c r="EU56" i="3"/>
  <c r="EY56" i="3"/>
  <c r="GP56" i="3"/>
  <c r="GS56" i="3"/>
  <c r="GV56" i="3"/>
  <c r="HV56" i="3"/>
  <c r="IG56" i="3"/>
  <c r="IH56" i="3"/>
  <c r="II56" i="3"/>
  <c r="IJ56" i="3"/>
  <c r="IK56" i="3"/>
  <c r="IL56" i="3"/>
  <c r="IM56" i="3"/>
  <c r="IS56" i="3"/>
  <c r="IT56" i="3"/>
  <c r="JK56" i="3"/>
  <c r="KV56" i="3"/>
  <c r="LL56" i="3"/>
  <c r="LN56" i="3"/>
  <c r="ML56" i="3"/>
  <c r="HE57" i="3"/>
  <c r="MJ57" i="3"/>
  <c r="ML57" i="3"/>
  <c r="MM57" i="3"/>
  <c r="MO57" i="3"/>
  <c r="MR57" i="3"/>
  <c r="HE58" i="3"/>
  <c r="MJ58" i="3"/>
  <c r="ML58" i="3"/>
  <c r="MO58" i="3"/>
  <c r="MR58" i="3"/>
  <c r="HE59" i="3"/>
  <c r="MJ59" i="3"/>
  <c r="MO59" i="3"/>
  <c r="MR59" i="3"/>
  <c r="HE71" i="3"/>
  <c r="MN71" i="3"/>
  <c r="MN84" i="3" s="1"/>
  <c r="HE83" i="3"/>
  <c r="E84" i="3"/>
  <c r="F84" i="3"/>
  <c r="G84" i="3"/>
  <c r="H84" i="3"/>
  <c r="I84" i="3"/>
  <c r="J84" i="3"/>
  <c r="K84" i="3"/>
  <c r="L84" i="3"/>
  <c r="M84" i="3"/>
  <c r="N84" i="3"/>
  <c r="O84" i="3"/>
  <c r="P84" i="3"/>
  <c r="Q84" i="3"/>
  <c r="R84" i="3"/>
  <c r="S84" i="3"/>
  <c r="T84" i="3"/>
  <c r="U84" i="3"/>
  <c r="V84" i="3"/>
  <c r="AF84" i="3"/>
  <c r="AG84" i="3"/>
  <c r="AI84" i="3"/>
  <c r="AJ84" i="3"/>
  <c r="AK84" i="3"/>
  <c r="AL84" i="3"/>
  <c r="AQ84" i="3"/>
  <c r="AR84" i="3"/>
  <c r="AT84" i="3"/>
  <c r="AU84" i="3"/>
  <c r="AV84" i="3"/>
  <c r="AW84" i="3"/>
  <c r="AX84" i="3"/>
  <c r="AY84" i="3"/>
  <c r="AZ84" i="3"/>
  <c r="BA84" i="3"/>
  <c r="BB84" i="3"/>
  <c r="BC84" i="3"/>
  <c r="BD84" i="3"/>
  <c r="BE84" i="3"/>
  <c r="BF84" i="3"/>
  <c r="BG84" i="3"/>
  <c r="BH84" i="3"/>
  <c r="BI84" i="3"/>
  <c r="BJ84" i="3"/>
  <c r="BK84" i="3"/>
  <c r="BL84" i="3"/>
  <c r="BM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D84" i="3"/>
  <c r="EE84" i="3"/>
  <c r="EF84" i="3"/>
  <c r="EH84" i="3"/>
  <c r="EI84" i="3"/>
  <c r="ER84" i="3"/>
  <c r="ES84" i="3"/>
  <c r="ET84" i="3"/>
  <c r="EU84" i="3"/>
  <c r="EV84" i="3"/>
  <c r="EW84" i="3"/>
  <c r="EX84" i="3"/>
  <c r="EY84" i="3"/>
  <c r="EZ84" i="3"/>
  <c r="FA84" i="3"/>
  <c r="FB84" i="3"/>
  <c r="FC84" i="3"/>
  <c r="FE84" i="3"/>
  <c r="FI84" i="3"/>
  <c r="FJ84" i="3"/>
  <c r="FL84" i="3"/>
  <c r="FM84" i="3"/>
  <c r="FO84" i="3"/>
  <c r="FQ84" i="3"/>
  <c r="FR84" i="3"/>
  <c r="FT84" i="3"/>
  <c r="FV84" i="3"/>
  <c r="FW84" i="3"/>
  <c r="FX84" i="3"/>
  <c r="FZ84" i="3"/>
  <c r="GA84" i="3"/>
  <c r="GB84" i="3"/>
  <c r="GD84" i="3"/>
  <c r="GE84" i="3"/>
  <c r="GF84" i="3"/>
  <c r="GG84" i="3"/>
  <c r="GH84" i="3"/>
  <c r="GJ84" i="3"/>
  <c r="GK84" i="3"/>
  <c r="GL84" i="3"/>
  <c r="GM84" i="3"/>
  <c r="GN84" i="3"/>
  <c r="GP84" i="3"/>
  <c r="GR84" i="3"/>
  <c r="GS84" i="3"/>
  <c r="GU84" i="3"/>
  <c r="GV84" i="3"/>
  <c r="GX84" i="3"/>
  <c r="GY84" i="3"/>
  <c r="GZ84" i="3"/>
  <c r="HA84" i="3"/>
  <c r="HB84" i="3"/>
  <c r="HC84" i="3"/>
  <c r="HD84" i="3"/>
  <c r="HG84" i="3"/>
  <c r="HH84" i="3"/>
  <c r="HI84" i="3"/>
  <c r="HJ84" i="3"/>
  <c r="HK84" i="3"/>
  <c r="HM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H84" i="3"/>
  <c r="JI84" i="3"/>
  <c r="JJ84" i="3"/>
  <c r="JK84" i="3"/>
  <c r="JL84" i="3"/>
  <c r="JM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V84" i="3"/>
  <c r="KW84" i="3"/>
  <c r="LK84" i="3"/>
  <c r="LL84" i="3"/>
  <c r="LN84" i="3"/>
  <c r="LO84" i="3"/>
  <c r="LU84" i="3"/>
  <c r="LV84" i="3"/>
  <c r="LW84" i="3"/>
  <c r="LX84" i="3"/>
  <c r="LY84" i="3"/>
  <c r="LZ84" i="3"/>
  <c r="MB84" i="3"/>
  <c r="MJ84" i="3"/>
  <c r="ML84" i="3"/>
  <c r="MM84" i="3"/>
  <c r="MO84" i="3"/>
  <c r="MP84" i="3"/>
  <c r="MQ84" i="3"/>
  <c r="MR84" i="3"/>
  <c r="MS84" i="3"/>
  <c r="MT84" i="3"/>
  <c r="MU84" i="3"/>
  <c r="MV84" i="3"/>
  <c r="MW84" i="3"/>
  <c r="L85" i="3"/>
  <c r="HE85" i="3"/>
  <c r="KW85" i="3"/>
  <c r="LK85" i="3"/>
  <c r="LK88" i="3" s="1"/>
  <c r="MV85" i="3"/>
  <c r="MV88" i="3" s="1"/>
  <c r="G88" i="3"/>
  <c r="H88" i="3"/>
  <c r="I88" i="3"/>
  <c r="J88" i="3"/>
  <c r="L88" i="3"/>
  <c r="M88" i="3"/>
  <c r="N88" i="3"/>
  <c r="O88" i="3"/>
  <c r="AF88" i="3"/>
  <c r="AK88" i="3"/>
  <c r="BS88" i="3"/>
  <c r="EU88" i="3"/>
  <c r="EV88" i="3"/>
  <c r="GH88" i="3"/>
  <c r="GM88" i="3"/>
  <c r="GP88" i="3"/>
  <c r="GR88" i="3"/>
  <c r="GU88" i="3"/>
  <c r="GX88" i="3"/>
  <c r="GY88" i="3"/>
  <c r="GZ88" i="3"/>
  <c r="HK88" i="3"/>
  <c r="HP88" i="3"/>
  <c r="HQ88" i="3"/>
  <c r="HR88" i="3"/>
  <c r="HU88" i="3"/>
  <c r="HW88" i="3"/>
  <c r="HX88" i="3"/>
  <c r="IA88" i="3"/>
  <c r="ID88" i="3"/>
  <c r="IE88" i="3"/>
  <c r="IF88" i="3"/>
  <c r="IG88" i="3"/>
  <c r="IH88" i="3"/>
  <c r="II88" i="3"/>
  <c r="IJ88" i="3"/>
  <c r="IK88" i="3"/>
  <c r="IL88" i="3"/>
  <c r="IN88" i="3"/>
  <c r="IO88" i="3"/>
  <c r="IP88" i="3"/>
  <c r="IQ88" i="3"/>
  <c r="IR88" i="3"/>
  <c r="IS88" i="3"/>
  <c r="IT88" i="3"/>
  <c r="IU88" i="3"/>
  <c r="IV88" i="3"/>
  <c r="IW88" i="3"/>
  <c r="JC88" i="3"/>
  <c r="JJ88" i="3"/>
  <c r="JK88" i="3"/>
  <c r="JM88" i="3"/>
  <c r="JW88" i="3"/>
  <c r="KB88" i="3"/>
  <c r="KD88" i="3"/>
  <c r="KE88" i="3"/>
  <c r="KF88" i="3"/>
  <c r="KI88" i="3"/>
  <c r="KV88" i="3"/>
  <c r="LN88" i="3"/>
  <c r="LU88" i="3"/>
  <c r="LX88" i="3"/>
  <c r="ML88" i="3"/>
  <c r="MO88" i="3"/>
  <c r="MS88" i="3"/>
  <c r="HE89" i="3"/>
  <c r="KW89" i="3"/>
  <c r="MW97" i="3"/>
  <c r="BF100" i="3"/>
  <c r="KW100" i="3"/>
  <c r="MJ100" i="3"/>
  <c r="BF103" i="3"/>
  <c r="HK103" i="3"/>
  <c r="KW103" i="3"/>
  <c r="LN103" i="3"/>
  <c r="MJ103" i="3"/>
  <c r="MV103" i="3"/>
  <c r="MJ124" i="3"/>
  <c r="MW124" i="3"/>
  <c r="MO127" i="3"/>
  <c r="MR127" i="3"/>
  <c r="MW127" i="3"/>
  <c r="MW142" i="3"/>
  <c r="ES45" i="3" l="1"/>
  <c r="G43" i="3"/>
  <c r="IB41" i="3"/>
  <c r="IJ45" i="3"/>
  <c r="IQ38" i="3"/>
  <c r="HQ45" i="3"/>
  <c r="HK38" i="3"/>
  <c r="KD45" i="3"/>
  <c r="IO45" i="3"/>
  <c r="HU45" i="3"/>
  <c r="GE45" i="3"/>
  <c r="GK38" i="3"/>
  <c r="IH45" i="3"/>
  <c r="MS45" i="3"/>
  <c r="IT45" i="3"/>
  <c r="IW41" i="3"/>
  <c r="HU41" i="3"/>
  <c r="GK41" i="3"/>
  <c r="JC45" i="3"/>
  <c r="IL45" i="3"/>
  <c r="IF45" i="3"/>
  <c r="HY45" i="3"/>
  <c r="GY45" i="3"/>
  <c r="ET45" i="3"/>
  <c r="AG45" i="3"/>
  <c r="IN43" i="3"/>
  <c r="EU43" i="3"/>
  <c r="JK41" i="3"/>
  <c r="HR41" i="3"/>
  <c r="IS38" i="3"/>
  <c r="GM38" i="3"/>
  <c r="FW38" i="3"/>
  <c r="G38" i="3"/>
  <c r="HY43" i="3"/>
  <c r="AG39" i="3"/>
  <c r="JQ38" i="3"/>
  <c r="HY38" i="3"/>
  <c r="FF43" i="3"/>
  <c r="HO45" i="3"/>
  <c r="IO43" i="3"/>
  <c r="HU43" i="3"/>
  <c r="LX41" i="3"/>
  <c r="IF41" i="3"/>
  <c r="ET41" i="3"/>
  <c r="H38" i="3"/>
  <c r="Q93" i="8"/>
  <c r="CW123" i="8"/>
  <c r="Q123" i="8" s="1"/>
  <c r="J88" i="10" s="1"/>
  <c r="CF142" i="8"/>
  <c r="AL349" i="7"/>
  <c r="CF146" i="8" s="1"/>
  <c r="CU49" i="8"/>
  <c r="CU50" i="8" s="1"/>
  <c r="CU136" i="8"/>
  <c r="AS142" i="8"/>
  <c r="AL80" i="7"/>
  <c r="AS146" i="8" s="1"/>
  <c r="CJ142" i="8"/>
  <c r="AL384" i="7"/>
  <c r="CJ146" i="8" s="1"/>
  <c r="CU51" i="8"/>
  <c r="CU138" i="8"/>
  <c r="AD152" i="8"/>
  <c r="AL49" i="7"/>
  <c r="AD162" i="8" s="1"/>
  <c r="CL445" i="7"/>
  <c r="CM445" i="7" s="1"/>
  <c r="CW91" i="8"/>
  <c r="Q91" i="8" s="1"/>
  <c r="CW152" i="8"/>
  <c r="AL448" i="7"/>
  <c r="CW154" i="8"/>
  <c r="AL453" i="7"/>
  <c r="T140" i="8"/>
  <c r="AL11" i="7"/>
  <c r="T146" i="8" s="1"/>
  <c r="CU53" i="8"/>
  <c r="CU54" i="8" s="1"/>
  <c r="CU140" i="8"/>
  <c r="Y152" i="8"/>
  <c r="AL31" i="7"/>
  <c r="Y162" i="8" s="1"/>
  <c r="Y128" i="8"/>
  <c r="CG152" i="8"/>
  <c r="AL380" i="7"/>
  <c r="CG162" i="8" s="1"/>
  <c r="CQ413" i="7"/>
  <c r="CP127" i="8"/>
  <c r="CP128" i="8" s="1"/>
  <c r="CL17" i="7"/>
  <c r="X117" i="8" s="1"/>
  <c r="X85" i="8"/>
  <c r="Q85" i="8" s="1"/>
  <c r="Q71" i="8"/>
  <c r="BW134" i="8"/>
  <c r="AL287" i="7"/>
  <c r="BW146" i="8" s="1"/>
  <c r="CQ349" i="7"/>
  <c r="CF127" i="8"/>
  <c r="CF128" i="8" s="1"/>
  <c r="CU134" i="8"/>
  <c r="AL439" i="7"/>
  <c r="CU146" i="8" s="1"/>
  <c r="CG51" i="8"/>
  <c r="CG154" i="8"/>
  <c r="CP154" i="8"/>
  <c r="AL414" i="7"/>
  <c r="CP162" i="8" s="1"/>
  <c r="CW121" i="8"/>
  <c r="Q121" i="8" s="1"/>
  <c r="J86" i="10" s="1"/>
  <c r="CQ439" i="7"/>
  <c r="CU127" i="8"/>
  <c r="CU128" i="8" s="1"/>
  <c r="AB138" i="8"/>
  <c r="Q138" i="8" s="1"/>
  <c r="C129" i="10" s="1"/>
  <c r="AL40" i="7"/>
  <c r="AB146" i="8" s="1"/>
  <c r="CW122" i="8"/>
  <c r="Q122" i="8" s="1"/>
  <c r="J87" i="10" s="1"/>
  <c r="CQ453" i="7"/>
  <c r="CW127" i="8"/>
  <c r="CW128" i="8" s="1"/>
  <c r="CR136" i="8"/>
  <c r="AL417" i="7"/>
  <c r="CR146" i="8" s="1"/>
  <c r="CR55" i="8"/>
  <c r="CR57" i="8" s="1"/>
  <c r="CR142" i="8"/>
  <c r="BS117" i="8"/>
  <c r="BS163" i="8"/>
  <c r="S147" i="8"/>
  <c r="BX147" i="8"/>
  <c r="AT147" i="8"/>
  <c r="CP147" i="8"/>
  <c r="T147" i="8"/>
  <c r="AF147" i="8"/>
  <c r="CR147" i="8"/>
  <c r="BW147" i="8"/>
  <c r="AS117" i="8"/>
  <c r="AS147" i="8"/>
  <c r="AR147" i="8"/>
  <c r="CD117" i="8"/>
  <c r="CD147" i="8"/>
  <c r="CK117" i="8"/>
  <c r="CK147" i="8"/>
  <c r="AA117" i="8"/>
  <c r="AA147" i="8"/>
  <c r="CM29" i="7"/>
  <c r="Y163" i="8"/>
  <c r="CM38" i="7"/>
  <c r="Z163" i="8"/>
  <c r="CM71" i="7"/>
  <c r="AO163" i="8"/>
  <c r="CM288" i="7"/>
  <c r="BW163" i="8"/>
  <c r="CM350" i="7"/>
  <c r="CF163" i="8"/>
  <c r="CM380" i="7"/>
  <c r="CG163" i="8"/>
  <c r="CM390" i="7"/>
  <c r="CM163" i="8"/>
  <c r="CM413" i="7"/>
  <c r="CP163" i="8"/>
  <c r="CM418" i="7"/>
  <c r="CR163" i="8"/>
  <c r="CM442" i="7"/>
  <c r="CW163" i="8"/>
  <c r="X147" i="8"/>
  <c r="W117" i="8"/>
  <c r="W147" i="8"/>
  <c r="CE117" i="8"/>
  <c r="CE147" i="8"/>
  <c r="CG147" i="8"/>
  <c r="CI117" i="8"/>
  <c r="CI147" i="8"/>
  <c r="CO147" i="8"/>
  <c r="CT117" i="8"/>
  <c r="CT147" i="8"/>
  <c r="AC117" i="8"/>
  <c r="AC147" i="8"/>
  <c r="CM43" i="7"/>
  <c r="AB163" i="8"/>
  <c r="CM83" i="7"/>
  <c r="AT163" i="8"/>
  <c r="CM113" i="7"/>
  <c r="AW163" i="8"/>
  <c r="R117" i="8"/>
  <c r="R147" i="8"/>
  <c r="AI117" i="8"/>
  <c r="AI147" i="8"/>
  <c r="AN117" i="8"/>
  <c r="AN147" i="8"/>
  <c r="AV117" i="8"/>
  <c r="AV147" i="8"/>
  <c r="U117" i="8"/>
  <c r="U147" i="8"/>
  <c r="AE147" i="8"/>
  <c r="AH147" i="8"/>
  <c r="AK117" i="8"/>
  <c r="AK147" i="8"/>
  <c r="AM147" i="8"/>
  <c r="AL78" i="7"/>
  <c r="AY78" i="7" s="1"/>
  <c r="AR142" i="8"/>
  <c r="BZ117" i="8"/>
  <c r="BZ147" i="8"/>
  <c r="CC117" i="8"/>
  <c r="CC147" i="8"/>
  <c r="CH117" i="8"/>
  <c r="CH147" i="8"/>
  <c r="CN147" i="8"/>
  <c r="CX117" i="8"/>
  <c r="CX147" i="8"/>
  <c r="AB147" i="8"/>
  <c r="CM49" i="7"/>
  <c r="AD163" i="8"/>
  <c r="CM282" i="7"/>
  <c r="BU163" i="8"/>
  <c r="CM340" i="7"/>
  <c r="CB163" i="8"/>
  <c r="BT147" i="8"/>
  <c r="BV147" i="8"/>
  <c r="BY147" i="8"/>
  <c r="CA147" i="8"/>
  <c r="CM14" i="7"/>
  <c r="V163" i="8"/>
  <c r="CM22" i="7"/>
  <c r="X163" i="8"/>
  <c r="CM67" i="7"/>
  <c r="AM163" i="8"/>
  <c r="CM87" i="7"/>
  <c r="AU163" i="8"/>
  <c r="CM275" i="7"/>
  <c r="BR163" i="8"/>
  <c r="AO417" i="7"/>
  <c r="CL384" i="7"/>
  <c r="CJ69" i="8"/>
  <c r="Q69" i="8" s="1"/>
  <c r="AY439" i="7"/>
  <c r="BD51" i="8"/>
  <c r="BD57" i="8" s="1"/>
  <c r="BD49" i="8"/>
  <c r="BD50" i="8" s="1"/>
  <c r="BD117" i="8"/>
  <c r="CM117" i="8"/>
  <c r="AD117" i="8"/>
  <c r="BM117" i="8"/>
  <c r="BU117" i="8"/>
  <c r="BP117" i="8"/>
  <c r="V117" i="8"/>
  <c r="BO117" i="8"/>
  <c r="AO117" i="8"/>
  <c r="AW117" i="8"/>
  <c r="BA117" i="8"/>
  <c r="CV117" i="8"/>
  <c r="BW117" i="8"/>
  <c r="AE117" i="8"/>
  <c r="AU117" i="8"/>
  <c r="BK117" i="8"/>
  <c r="CF117" i="8"/>
  <c r="BN117" i="8"/>
  <c r="AH117" i="8"/>
  <c r="AY117" i="8"/>
  <c r="BE117" i="8"/>
  <c r="BL117" i="8"/>
  <c r="CN117" i="8"/>
  <c r="AB117" i="8"/>
  <c r="AM117" i="8"/>
  <c r="AF117" i="8"/>
  <c r="T117" i="8"/>
  <c r="AR117" i="8"/>
  <c r="AT117" i="8"/>
  <c r="BT117" i="8"/>
  <c r="BV117" i="8"/>
  <c r="BY117" i="8"/>
  <c r="CA117" i="8"/>
  <c r="CB117" i="8"/>
  <c r="CR117" i="8"/>
  <c r="CW117" i="8"/>
  <c r="S117" i="8"/>
  <c r="AX117" i="8"/>
  <c r="BX117" i="8"/>
  <c r="CG117" i="8"/>
  <c r="CO117" i="8"/>
  <c r="Z117" i="8"/>
  <c r="EV41" i="3"/>
  <c r="FG45" i="3"/>
  <c r="FF45" i="3"/>
  <c r="J43" i="3"/>
  <c r="IK45" i="3"/>
  <c r="IG45" i="3"/>
  <c r="HP45" i="3"/>
  <c r="J38" i="3"/>
  <c r="FG43" i="3"/>
  <c r="FH43" i="3"/>
  <c r="FH45" i="3"/>
  <c r="FG38" i="3"/>
  <c r="BN47" i="8"/>
  <c r="CF55" i="8"/>
  <c r="CF56" i="8" s="1"/>
  <c r="AR349" i="7"/>
  <c r="BC49" i="8"/>
  <c r="BC50" i="8" s="1"/>
  <c r="BO49" i="8"/>
  <c r="BO50" i="8" s="1"/>
  <c r="CG49" i="8"/>
  <c r="CG50" i="8" s="1"/>
  <c r="AX55" i="8"/>
  <c r="AX56" i="8" s="1"/>
  <c r="CN49" i="8"/>
  <c r="CN50" i="8" s="1"/>
  <c r="BD47" i="8"/>
  <c r="CU47" i="8"/>
  <c r="BR49" i="8"/>
  <c r="BR50" i="8" s="1"/>
  <c r="CM279" i="7"/>
  <c r="CM283" i="7"/>
  <c r="CM331" i="7"/>
  <c r="CM335" i="7"/>
  <c r="CM337" i="7"/>
  <c r="CM12" i="7"/>
  <c r="CM51" i="7"/>
  <c r="CM57" i="7"/>
  <c r="CM62" i="7"/>
  <c r="CM64" i="7"/>
  <c r="CM86" i="7"/>
  <c r="CM46" i="7"/>
  <c r="CM37" i="7"/>
  <c r="CM281" i="7"/>
  <c r="CM328" i="7"/>
  <c r="CM348" i="7"/>
  <c r="CM349" i="7"/>
  <c r="CM375" i="7"/>
  <c r="CM382" i="7"/>
  <c r="CM394" i="7"/>
  <c r="CM438" i="7"/>
  <c r="CM10" i="7"/>
  <c r="CM53" i="7"/>
  <c r="CM70" i="7"/>
  <c r="CM80" i="7"/>
  <c r="CM111" i="7"/>
  <c r="CM334" i="7"/>
  <c r="CM346" i="7"/>
  <c r="CM381" i="7"/>
  <c r="CM391" i="7"/>
  <c r="CM455" i="7"/>
  <c r="CM40" i="7"/>
  <c r="CM416" i="7"/>
  <c r="CM13" i="7"/>
  <c r="CM17" i="7"/>
  <c r="CM77" i="7"/>
  <c r="CM81" i="7"/>
  <c r="CM6" i="7"/>
  <c r="CM7" i="7"/>
  <c r="CM16" i="7"/>
  <c r="CM48" i="7"/>
  <c r="CM60" i="7"/>
  <c r="CM69" i="7"/>
  <c r="CM107" i="7"/>
  <c r="CM286" i="7"/>
  <c r="CM347" i="7"/>
  <c r="CM385" i="7"/>
  <c r="CM387" i="7"/>
  <c r="CM410" i="7"/>
  <c r="CM440" i="7"/>
  <c r="CM39" i="7"/>
  <c r="BN49" i="8"/>
  <c r="BN50" i="8" s="1"/>
  <c r="BB49" i="8"/>
  <c r="BB50" i="8" s="1"/>
  <c r="AR287" i="7"/>
  <c r="BB56" i="8"/>
  <c r="BB57" i="8"/>
  <c r="BC57" i="8"/>
  <c r="BC52" i="8"/>
  <c r="BO57" i="8"/>
  <c r="BO56" i="8"/>
  <c r="AY453" i="7"/>
  <c r="CW51" i="8"/>
  <c r="BE55" i="8"/>
  <c r="AS55" i="8"/>
  <c r="AY287" i="7"/>
  <c r="AO384" i="7"/>
  <c r="CJ55" i="8"/>
  <c r="AR40" i="7"/>
  <c r="AB51" i="8"/>
  <c r="AW49" i="8"/>
  <c r="AW50" i="8" s="1"/>
  <c r="CP51" i="8"/>
  <c r="AW11" i="7"/>
  <c r="T53" i="8"/>
  <c r="CR49" i="8"/>
  <c r="CR50" i="8" s="1"/>
  <c r="AD49" i="8"/>
  <c r="AD50" i="8" s="1"/>
  <c r="CG57" i="8"/>
  <c r="CG52" i="8"/>
  <c r="Y49" i="8"/>
  <c r="Y50" i="8" s="1"/>
  <c r="BN57" i="8"/>
  <c r="BN52" i="8"/>
  <c r="CN57" i="8"/>
  <c r="CN52" i="8"/>
  <c r="AS448" i="7"/>
  <c r="CW49" i="8"/>
  <c r="CW50" i="8" s="1"/>
  <c r="AR55" i="8"/>
  <c r="BR55" i="8"/>
  <c r="AY450" i="7"/>
  <c r="AR454" i="7"/>
  <c r="AR449" i="7"/>
  <c r="AU449" i="7"/>
  <c r="FH41" i="3"/>
  <c r="AR428" i="7"/>
  <c r="AY390" i="7"/>
  <c r="AR362" i="7"/>
  <c r="AY350" i="7"/>
  <c r="AR363" i="7"/>
  <c r="AR343" i="7"/>
  <c r="AW343" i="7"/>
  <c r="AU313" i="7"/>
  <c r="AW314" i="7"/>
  <c r="AU314" i="7"/>
  <c r="AR307" i="7"/>
  <c r="AR327" i="7"/>
  <c r="AR289" i="7"/>
  <c r="AR318" i="7"/>
  <c r="AR288" i="7"/>
  <c r="AW289" i="7"/>
  <c r="AU290" i="7"/>
  <c r="AR291" i="7"/>
  <c r="AW303" i="7"/>
  <c r="AU34" i="7"/>
  <c r="AR295" i="7"/>
  <c r="AU297" i="7"/>
  <c r="AR300" i="7"/>
  <c r="AR310" i="7"/>
  <c r="AW327" i="7"/>
  <c r="AW297" i="7"/>
  <c r="AR306" i="7"/>
  <c r="AS308" i="7"/>
  <c r="AR317" i="7"/>
  <c r="AY318" i="7"/>
  <c r="AW288" i="7"/>
  <c r="AU289" i="7"/>
  <c r="AY295" i="7"/>
  <c r="AY308" i="7"/>
  <c r="AR312" i="7"/>
  <c r="AR313" i="7"/>
  <c r="AY290" i="7"/>
  <c r="AY294" i="7"/>
  <c r="AY298" i="7"/>
  <c r="AY299" i="7"/>
  <c r="AW304" i="7"/>
  <c r="AY315" i="7"/>
  <c r="AU288" i="7"/>
  <c r="AR290" i="7"/>
  <c r="AU291" i="7"/>
  <c r="AR294" i="7"/>
  <c r="AY297" i="7"/>
  <c r="AR298" i="7"/>
  <c r="AR299" i="7"/>
  <c r="AU300" i="7"/>
  <c r="AY303" i="7"/>
  <c r="AR304" i="7"/>
  <c r="AY304" i="7"/>
  <c r="AR305" i="7"/>
  <c r="AR309" i="7"/>
  <c r="AS310" i="7"/>
  <c r="AU312" i="7"/>
  <c r="AW313" i="7"/>
  <c r="AY314" i="7"/>
  <c r="AR315" i="7"/>
  <c r="AU320" i="7"/>
  <c r="AU321" i="7"/>
  <c r="AY327" i="7"/>
  <c r="AW291" i="7"/>
  <c r="AU294" i="7"/>
  <c r="AU295" i="7"/>
  <c r="AU298" i="7"/>
  <c r="AU299" i="7"/>
  <c r="AW300" i="7"/>
  <c r="AW312" i="7"/>
  <c r="AU315" i="7"/>
  <c r="AU318" i="7"/>
  <c r="AW320" i="7"/>
  <c r="AW321" i="7"/>
  <c r="AR320" i="7"/>
  <c r="AR321" i="7"/>
  <c r="AR278" i="7"/>
  <c r="HV43" i="3"/>
  <c r="EU45" i="3"/>
  <c r="IA43" i="3"/>
  <c r="GR43" i="3"/>
  <c r="HV41" i="3"/>
  <c r="EU38" i="3"/>
  <c r="I38" i="3"/>
  <c r="KW88" i="3"/>
  <c r="IP43" i="3"/>
  <c r="IV41" i="3"/>
  <c r="IA41" i="3"/>
  <c r="IP45" i="3"/>
  <c r="GG45" i="3"/>
  <c r="GX41" i="3"/>
  <c r="HV38" i="3"/>
  <c r="MW43" i="3"/>
  <c r="AR67" i="7"/>
  <c r="AS68" i="7"/>
  <c r="AY68" i="7"/>
  <c r="AR24" i="7"/>
  <c r="AW38" i="7"/>
  <c r="AR38" i="7"/>
  <c r="AY38" i="7"/>
  <c r="AS38" i="7"/>
  <c r="IT38" i="3"/>
  <c r="IO38" i="3"/>
  <c r="AW41" i="7"/>
  <c r="AR41" i="7"/>
  <c r="AU41" i="7"/>
  <c r="BA41" i="7"/>
  <c r="AW24" i="7"/>
  <c r="AW23" i="7"/>
  <c r="AR22" i="7"/>
  <c r="AR23" i="7"/>
  <c r="AU24" i="7"/>
  <c r="AU25" i="7"/>
  <c r="AW25" i="7"/>
  <c r="AW22" i="7"/>
  <c r="AW338" i="7"/>
  <c r="AW51" i="7"/>
  <c r="AP383" i="7"/>
  <c r="AO382" i="7"/>
  <c r="AO410" i="7"/>
  <c r="AY387" i="7"/>
  <c r="AO19" i="7"/>
  <c r="AO21" i="7"/>
  <c r="AO65" i="7"/>
  <c r="AO387" i="7"/>
  <c r="BA387" i="7"/>
  <c r="BA410" i="7"/>
  <c r="AO416" i="7"/>
  <c r="AO51" i="7"/>
  <c r="AO338" i="7"/>
  <c r="AO20" i="7"/>
  <c r="AR387" i="7"/>
  <c r="AP439" i="7"/>
  <c r="AR13" i="7"/>
  <c r="AW69" i="7"/>
  <c r="AW388" i="7"/>
  <c r="AW13" i="7"/>
  <c r="AY69" i="7"/>
  <c r="AR107" i="7"/>
  <c r="AO110" i="7"/>
  <c r="AO281" i="7"/>
  <c r="AO287" i="7"/>
  <c r="AO337" i="7"/>
  <c r="AR339" i="7"/>
  <c r="AY382" i="7"/>
  <c r="AW387" i="7"/>
  <c r="AO388" i="7"/>
  <c r="AY388" i="7"/>
  <c r="AR416" i="7"/>
  <c r="CL439" i="7"/>
  <c r="AU440" i="7"/>
  <c r="AO9" i="7"/>
  <c r="AO13" i="7"/>
  <c r="AO17" i="7"/>
  <c r="CL26" i="7"/>
  <c r="AR59" i="7"/>
  <c r="BA65" i="7"/>
  <c r="AO69" i="7"/>
  <c r="BA107" i="7"/>
  <c r="AP287" i="7"/>
  <c r="BA339" i="7"/>
  <c r="BA388" i="7"/>
  <c r="AU455" i="7"/>
  <c r="AO7" i="7"/>
  <c r="AO18" i="7"/>
  <c r="AW21" i="7"/>
  <c r="AU59" i="7"/>
  <c r="AW110" i="7"/>
  <c r="AO339" i="7"/>
  <c r="AO383" i="7"/>
  <c r="AR388" i="7"/>
  <c r="AU48" i="7"/>
  <c r="BA389" i="7"/>
  <c r="AO48" i="7"/>
  <c r="AW48" i="7"/>
  <c r="AO52" i="7"/>
  <c r="AW59" i="7"/>
  <c r="AR65" i="7"/>
  <c r="AR69" i="7"/>
  <c r="AO77" i="7"/>
  <c r="AU107" i="7"/>
  <c r="AO109" i="7"/>
  <c r="BA110" i="7"/>
  <c r="AR281" i="7"/>
  <c r="BA338" i="7"/>
  <c r="AO378" i="7"/>
  <c r="AR382" i="7"/>
  <c r="BA382" i="7"/>
  <c r="AR383" i="7"/>
  <c r="AO389" i="7"/>
  <c r="AR410" i="7"/>
  <c r="AO412" i="7"/>
  <c r="AU416" i="7"/>
  <c r="AW440" i="7"/>
  <c r="AW455" i="7"/>
  <c r="AR17" i="7"/>
  <c r="AR18" i="7"/>
  <c r="AR19" i="7"/>
  <c r="AR20" i="7"/>
  <c r="AR21" i="7"/>
  <c r="AY48" i="7"/>
  <c r="AR51" i="7"/>
  <c r="AR52" i="7"/>
  <c r="AO59" i="7"/>
  <c r="S53" i="7" s="1"/>
  <c r="AR77" i="7"/>
  <c r="AO107" i="7"/>
  <c r="AR110" i="7"/>
  <c r="AR338" i="7"/>
  <c r="AR378" i="7"/>
  <c r="AU410" i="7"/>
  <c r="AR412" i="7"/>
  <c r="AO440" i="7"/>
  <c r="AO455" i="7"/>
  <c r="AY455" i="7"/>
  <c r="BA378" i="7"/>
  <c r="AR455" i="7"/>
  <c r="HE84" i="3"/>
  <c r="MR38" i="3"/>
  <c r="KW33" i="3"/>
  <c r="KW38" i="3" s="1"/>
  <c r="IP38" i="3"/>
  <c r="IA38" i="3"/>
  <c r="MQ38" i="3"/>
  <c r="HE33" i="3"/>
  <c r="HE45" i="3" s="1"/>
  <c r="FQ33" i="3"/>
  <c r="FQ45" i="3" s="1"/>
  <c r="HE88" i="3"/>
  <c r="KP33" i="3"/>
  <c r="EI33" i="3"/>
  <c r="EH33" i="3"/>
  <c r="MV45" i="3"/>
  <c r="MV38" i="3"/>
  <c r="MV43" i="3"/>
  <c r="HX45" i="3"/>
  <c r="R45" i="3"/>
  <c r="HQ43" i="3"/>
  <c r="I43" i="3"/>
  <c r="MV41" i="3"/>
  <c r="IQ41" i="3"/>
  <c r="AF41" i="3"/>
  <c r="I41" i="3"/>
  <c r="IL38" i="3"/>
  <c r="HQ38" i="3"/>
  <c r="ET38" i="3"/>
  <c r="MR45" i="3"/>
  <c r="IW45" i="3"/>
  <c r="IV45" i="3"/>
  <c r="IB45" i="3"/>
  <c r="IW43" i="3"/>
  <c r="HX43" i="3"/>
  <c r="HP43" i="3"/>
  <c r="H43" i="3"/>
  <c r="R41" i="3"/>
  <c r="FQ39" i="3"/>
  <c r="R39" i="3"/>
  <c r="KV38" i="3"/>
  <c r="HX38" i="3"/>
  <c r="HP38" i="3"/>
  <c r="IQ45" i="3"/>
  <c r="IV43" i="3"/>
  <c r="IB43" i="3"/>
  <c r="HO43" i="3"/>
  <c r="R43" i="3"/>
  <c r="ER33" i="1"/>
  <c r="ER45" i="1" s="1"/>
  <c r="ER79" i="1"/>
  <c r="CU57" i="8" l="1"/>
  <c r="CU58" i="8" s="1"/>
  <c r="CR56" i="8"/>
  <c r="CU52" i="8"/>
  <c r="CG58" i="8"/>
  <c r="CG59" i="8"/>
  <c r="CU48" i="8"/>
  <c r="CU64" i="8"/>
  <c r="CR58" i="8"/>
  <c r="CR59" i="8"/>
  <c r="CN58" i="8"/>
  <c r="CN59" i="8"/>
  <c r="BC58" i="8"/>
  <c r="BC59" i="8"/>
  <c r="BD48" i="8"/>
  <c r="BD64" i="8"/>
  <c r="BN48" i="8"/>
  <c r="BN64" i="8"/>
  <c r="BD58" i="8"/>
  <c r="BD59" i="8"/>
  <c r="BB58" i="8"/>
  <c r="BB59" i="8"/>
  <c r="BN58" i="8"/>
  <c r="BN59" i="8"/>
  <c r="BO58" i="8"/>
  <c r="BO59" i="8"/>
  <c r="Q140" i="8"/>
  <c r="C130" i="10" s="1"/>
  <c r="CW162" i="8"/>
  <c r="Q134" i="8"/>
  <c r="C126" i="10" s="1"/>
  <c r="Q154" i="8"/>
  <c r="D129" i="10" s="1"/>
  <c r="D128" i="10" s="1"/>
  <c r="Q127" i="8"/>
  <c r="Q142" i="8"/>
  <c r="C131" i="10" s="1"/>
  <c r="Y117" i="8"/>
  <c r="Y147" i="8"/>
  <c r="Q163" i="8"/>
  <c r="D137" i="10" s="1"/>
  <c r="CU117" i="8"/>
  <c r="CU147" i="8"/>
  <c r="CJ117" i="8"/>
  <c r="CJ147" i="8"/>
  <c r="CM384" i="7"/>
  <c r="BD52" i="8"/>
  <c r="AX57" i="8"/>
  <c r="BR117" i="8"/>
  <c r="CP117" i="8"/>
  <c r="CF57" i="8"/>
  <c r="AU384" i="7"/>
  <c r="AY384" i="7"/>
  <c r="BA40" i="7"/>
  <c r="CM26" i="7"/>
  <c r="CM439" i="7"/>
  <c r="AU40" i="7"/>
  <c r="AR384" i="7"/>
  <c r="AO40" i="7"/>
  <c r="AY417" i="7"/>
  <c r="AW384" i="7"/>
  <c r="AR448" i="7"/>
  <c r="AU417" i="7"/>
  <c r="AU453" i="7"/>
  <c r="AW417" i="7"/>
  <c r="AR417" i="7"/>
  <c r="AR453" i="7"/>
  <c r="AW453" i="7"/>
  <c r="AS57" i="8"/>
  <c r="AS56" i="8"/>
  <c r="CW57" i="8"/>
  <c r="CW52" i="8"/>
  <c r="T57" i="8"/>
  <c r="T54" i="8"/>
  <c r="AB57" i="8"/>
  <c r="AB52" i="8"/>
  <c r="BE56" i="8"/>
  <c r="BE57" i="8"/>
  <c r="CP57" i="8"/>
  <c r="CP52" i="8"/>
  <c r="CJ57" i="8"/>
  <c r="CJ56" i="8"/>
  <c r="AW78" i="7"/>
  <c r="AR78" i="7"/>
  <c r="AU78" i="7"/>
  <c r="AO78" i="7"/>
  <c r="AR57" i="8"/>
  <c r="AR59" i="8" s="1"/>
  <c r="BR56" i="8"/>
  <c r="BR57" i="8"/>
  <c r="AY349" i="7"/>
  <c r="AO349" i="7"/>
  <c r="AO439" i="7"/>
  <c r="AR439" i="7"/>
  <c r="AW439" i="7"/>
  <c r="AU439" i="7"/>
  <c r="AO80" i="7"/>
  <c r="AR80" i="7"/>
  <c r="AP80" i="7"/>
  <c r="R62" i="8" s="1" a="1"/>
  <c r="R62" i="8" s="1"/>
  <c r="AO11" i="7"/>
  <c r="AR11" i="7"/>
  <c r="AU11" i="7"/>
  <c r="AY80" i="7"/>
  <c r="FQ38" i="3"/>
  <c r="HE38" i="3"/>
  <c r="ER35" i="1"/>
  <c r="ER38" i="1"/>
  <c r="CU59" i="8" l="1"/>
  <c r="CP58" i="8"/>
  <c r="CP59" i="8"/>
  <c r="AX58" i="8"/>
  <c r="AX59" i="8"/>
  <c r="AB58" i="8"/>
  <c r="AB59" i="8"/>
  <c r="CW58" i="8"/>
  <c r="CW59" i="8"/>
  <c r="CF58" i="8"/>
  <c r="CF59" i="8"/>
  <c r="BE58" i="8"/>
  <c r="BE59" i="8"/>
  <c r="BR58" i="8"/>
  <c r="BR59" i="8"/>
  <c r="CJ58" i="8"/>
  <c r="CJ59" i="8"/>
  <c r="T58" i="8"/>
  <c r="T59" i="8"/>
  <c r="AS58" i="8"/>
  <c r="AS59" i="8"/>
  <c r="C128" i="10"/>
  <c r="Q128" i="8"/>
  <c r="Q129" i="8"/>
  <c r="Q147" i="8"/>
  <c r="C137" i="10" s="1"/>
  <c r="C139" i="10" s="1"/>
  <c r="D141" i="10"/>
  <c r="D139" i="10"/>
  <c r="Q117" i="8"/>
  <c r="J89" i="10" s="1"/>
  <c r="J94" i="10" s="1"/>
  <c r="EF84" i="1"/>
  <c r="EF33" i="1"/>
  <c r="J99" i="10" l="1"/>
  <c r="J96" i="10"/>
  <c r="C141" i="10"/>
  <c r="Q106" i="8"/>
  <c r="Q72" i="8"/>
  <c r="Q70" i="8"/>
  <c r="Q114" i="8"/>
  <c r="Q116" i="8"/>
  <c r="Q82" i="8"/>
  <c r="Q104" i="8"/>
  <c r="Q84" i="8"/>
  <c r="Q108" i="8"/>
  <c r="Q112" i="8"/>
  <c r="Q100" i="8"/>
  <c r="Q80" i="8"/>
  <c r="Q74" i="8"/>
  <c r="Q102" i="8"/>
  <c r="Q76" i="8"/>
  <c r="Q88" i="8"/>
  <c r="Q92" i="8"/>
  <c r="Q110" i="8"/>
  <c r="Q98" i="8"/>
  <c r="Q94" i="8"/>
  <c r="Q96" i="8"/>
  <c r="Q78" i="8"/>
  <c r="Q86" i="8"/>
  <c r="Q90" i="8"/>
  <c r="DC33" i="1"/>
  <c r="DC84" i="1"/>
  <c r="X33" i="1"/>
  <c r="X84" i="1"/>
  <c r="R33" i="1"/>
  <c r="R38" i="1" s="1"/>
  <c r="R88" i="1"/>
  <c r="R84" i="1"/>
  <c r="R56" i="1"/>
  <c r="R36" i="1"/>
  <c r="R35" i="1" l="1"/>
  <c r="R43" i="1"/>
  <c r="P33" i="1" l="1"/>
  <c r="P38" i="1" s="1"/>
  <c r="P88" i="1"/>
  <c r="P84" i="1"/>
  <c r="P56" i="1"/>
  <c r="P36" i="1"/>
  <c r="P43" i="1" l="1"/>
  <c r="P35" i="1"/>
  <c r="I33" i="1"/>
  <c r="I38" i="1" s="1"/>
  <c r="I84" i="1"/>
  <c r="I47" i="1"/>
  <c r="I45" i="1"/>
  <c r="I43" i="1"/>
  <c r="I41" i="1"/>
  <c r="I35" i="1" l="1"/>
  <c r="H33" i="1"/>
  <c r="BT33" i="1" l="1"/>
  <c r="BT38" i="1" s="1"/>
  <c r="BT83" i="1"/>
  <c r="BT79" i="1"/>
  <c r="BT54" i="1"/>
  <c r="BT36" i="1"/>
  <c r="BT35" i="1" l="1"/>
  <c r="BT41" i="1"/>
  <c r="BN33" i="1" l="1"/>
  <c r="BN47" i="1" s="1"/>
  <c r="BN36" i="1"/>
  <c r="BN41" i="1" l="1"/>
  <c r="BN35" i="1"/>
  <c r="BN43" i="1"/>
  <c r="BN45" i="1"/>
  <c r="BN38" i="1"/>
  <c r="BO33" i="1" l="1"/>
  <c r="BO84" i="1"/>
  <c r="BO36" i="1"/>
  <c r="BM33" i="1" l="1"/>
  <c r="BM35" i="1" s="1"/>
  <c r="BM84" i="1"/>
  <c r="BM36" i="1"/>
  <c r="AN33" i="1" l="1"/>
  <c r="AN43" i="1" s="1"/>
  <c r="AN88" i="1"/>
  <c r="AN84" i="1"/>
  <c r="AN59" i="1"/>
  <c r="AN35" i="1" l="1"/>
  <c r="AN38" i="1"/>
  <c r="AN47" i="1"/>
  <c r="AN41" i="1"/>
  <c r="AM33" i="1" l="1"/>
  <c r="AM41" i="1" s="1"/>
  <c r="AM88" i="1"/>
  <c r="AM84" i="1"/>
  <c r="AK33" i="1" l="1"/>
  <c r="AL33" i="1"/>
  <c r="AJ33" i="1"/>
  <c r="AL84" i="1"/>
  <c r="K84" i="1"/>
  <c r="K42" i="1"/>
  <c r="K33" i="1" s="1"/>
  <c r="K43" i="1" s="1"/>
  <c r="K38" i="1" l="1"/>
  <c r="K41" i="1"/>
  <c r="K35" i="1"/>
  <c r="DF88" i="1"/>
  <c r="DF84" i="1"/>
  <c r="DF55" i="1"/>
  <c r="DF56" i="1" s="1"/>
  <c r="DF47" i="1"/>
  <c r="DF44" i="1"/>
  <c r="DF45" i="1" s="1"/>
  <c r="DF37" i="1"/>
  <c r="DF38" i="1" s="1"/>
  <c r="DF34" i="1"/>
  <c r="DF35" i="1" s="1"/>
  <c r="DF36" i="1" l="1"/>
  <c r="DF33" i="1"/>
  <c r="DG33" i="1"/>
  <c r="DG84" i="1"/>
  <c r="ED33" i="1" l="1"/>
  <c r="ED38" i="1" s="1"/>
  <c r="EC33" i="1"/>
  <c r="ED88" i="1"/>
  <c r="ED84" i="1"/>
  <c r="ED56" i="1"/>
  <c r="ED43" i="1" l="1"/>
  <c r="ED35" i="1"/>
  <c r="ED36" i="1"/>
  <c r="EC127" i="1" l="1"/>
  <c r="EC88" i="1"/>
  <c r="EC84" i="1"/>
  <c r="EC56" i="1"/>
  <c r="EC36" i="1"/>
  <c r="EC45" i="1"/>
  <c r="EC41" i="1" l="1"/>
  <c r="EC38" i="1"/>
  <c r="EC47" i="1"/>
  <c r="EC35" i="1"/>
  <c r="EC43" i="1"/>
  <c r="DV127" i="1" l="1"/>
  <c r="DV124" i="1"/>
  <c r="DV85" i="1"/>
  <c r="DV88" i="1" s="1"/>
  <c r="DV84" i="1"/>
  <c r="DV56" i="1"/>
  <c r="DV44" i="1"/>
  <c r="DV33" i="1" s="1"/>
  <c r="DV38" i="1" s="1"/>
  <c r="DV36" i="1"/>
  <c r="DV45" i="1" l="1"/>
  <c r="DV35" i="1"/>
  <c r="CP33" i="1" l="1"/>
  <c r="CP38" i="1" s="1"/>
  <c r="CP88" i="1"/>
  <c r="CP56" i="1"/>
  <c r="CP36" i="1"/>
  <c r="CN33" i="1"/>
  <c r="CO84" i="1"/>
  <c r="CO56" i="1"/>
  <c r="CO37" i="1"/>
  <c r="CO34" i="1"/>
  <c r="CO33" i="1" l="1"/>
  <c r="CP43" i="1"/>
  <c r="CP41" i="1"/>
  <c r="CP35" i="1"/>
  <c r="CO36" i="1"/>
  <c r="CO41" i="1" l="1"/>
  <c r="CO47" i="1"/>
  <c r="CO43" i="1"/>
  <c r="CO38" i="1"/>
  <c r="CO35" i="1"/>
  <c r="EU88" i="1" l="1"/>
  <c r="EU84" i="1"/>
  <c r="EU59" i="1"/>
  <c r="EU58" i="1"/>
  <c r="EU57" i="1"/>
  <c r="EU44" i="1"/>
  <c r="EU37" i="1"/>
  <c r="EU33" i="1" s="1"/>
  <c r="ET33" i="1"/>
  <c r="ET41" i="1" s="1"/>
  <c r="ET88" i="1"/>
  <c r="ET84" i="1"/>
  <c r="EU41" i="1" l="1"/>
  <c r="EU43" i="1"/>
  <c r="EU35" i="1"/>
  <c r="EU45" i="1"/>
  <c r="EU38" i="1"/>
  <c r="ET38" i="1"/>
  <c r="ET47" i="1"/>
  <c r="ET35" i="1"/>
  <c r="M84" i="1" l="1"/>
  <c r="M36" i="1"/>
  <c r="M33" i="1"/>
  <c r="M43" i="1" s="1"/>
  <c r="M38" i="1" l="1"/>
  <c r="M41" i="1"/>
  <c r="M35" i="1"/>
  <c r="CA33" i="1" l="1"/>
  <c r="CA84" i="1"/>
  <c r="CX33" i="1" l="1"/>
  <c r="CX84" i="1"/>
  <c r="CX36" i="1"/>
  <c r="CQ88" i="1" l="1"/>
  <c r="CQ84" i="1"/>
  <c r="CQ56" i="1"/>
  <c r="CQ33" i="1"/>
  <c r="CQ45" i="1" s="1"/>
  <c r="CN84" i="1"/>
  <c r="CN38" i="1"/>
  <c r="CQ47" i="1" l="1"/>
  <c r="CQ41" i="1"/>
  <c r="CQ43" i="1"/>
  <c r="CQ38" i="1"/>
  <c r="CQ35" i="1"/>
  <c r="CN43" i="1"/>
  <c r="CN41" i="1"/>
  <c r="CN35" i="1"/>
  <c r="CN45" i="1"/>
  <c r="CT33" i="1" l="1"/>
  <c r="CT43" i="1" s="1"/>
  <c r="CT85" i="1"/>
  <c r="CT81" i="1"/>
  <c r="CT56" i="1"/>
  <c r="CT36" i="1"/>
  <c r="CT45" i="1" l="1"/>
  <c r="CT38" i="1"/>
  <c r="CT41" i="1"/>
  <c r="CT35" i="1"/>
  <c r="CU33" i="1" l="1"/>
  <c r="CU43" i="1" s="1"/>
  <c r="CU88" i="1"/>
  <c r="CU84" i="1"/>
  <c r="CU56" i="1"/>
  <c r="CU36" i="1"/>
  <c r="CU38" i="1" l="1"/>
  <c r="CU35" i="1"/>
  <c r="CU47" i="1"/>
  <c r="CS33" i="1" l="1"/>
  <c r="CS45" i="1" s="1"/>
  <c r="CS88" i="1"/>
  <c r="CS84" i="1"/>
  <c r="CS56" i="1"/>
  <c r="CS36" i="1"/>
  <c r="CS47" i="1" l="1"/>
  <c r="CS38" i="1"/>
  <c r="CS43" i="1"/>
  <c r="CS35" i="1"/>
  <c r="CW84" i="1" l="1"/>
  <c r="CW56" i="1"/>
  <c r="CW44" i="1"/>
  <c r="CW33" i="1" s="1"/>
  <c r="CW43" i="1" s="1"/>
  <c r="CW36" i="1"/>
  <c r="CW45" i="1" l="1"/>
  <c r="CW38" i="1"/>
  <c r="CW41" i="1"/>
  <c r="CW35" i="1"/>
  <c r="BQ33" i="1" l="1"/>
  <c r="BQ41" i="1" s="1"/>
  <c r="BQ88" i="1"/>
  <c r="BQ84" i="1"/>
  <c r="BQ43" i="1" l="1"/>
  <c r="BQ35" i="1"/>
  <c r="BQ45" i="1"/>
  <c r="BQ38" i="1"/>
  <c r="BW84" i="1" l="1"/>
  <c r="BW56" i="1"/>
  <c r="BW44" i="1"/>
  <c r="BW33" i="1" s="1"/>
  <c r="BW36" i="1"/>
  <c r="BW45" i="1" l="1"/>
  <c r="BX33" i="1"/>
  <c r="BX45" i="1" s="1"/>
  <c r="BX88" i="1"/>
  <c r="BX84" i="1"/>
  <c r="BX56" i="1"/>
  <c r="BX36" i="1"/>
  <c r="BX47" i="1" l="1"/>
  <c r="BX38" i="1"/>
  <c r="BX41" i="1"/>
  <c r="BX35" i="1"/>
  <c r="BV33" i="1"/>
  <c r="BV43" i="1" s="1"/>
  <c r="BV84" i="1"/>
  <c r="BV56" i="1"/>
  <c r="BV36" i="1"/>
  <c r="BV45" i="1" l="1"/>
  <c r="BV38" i="1"/>
  <c r="BV47" i="1"/>
  <c r="BV41" i="1"/>
  <c r="BV35" i="1"/>
  <c r="EB33" i="1" l="1"/>
  <c r="EB84" i="1"/>
  <c r="DT33" i="1"/>
  <c r="DT84" i="1"/>
  <c r="DT36" i="1"/>
  <c r="DA33" i="1" l="1"/>
  <c r="DA43" i="1" s="1"/>
  <c r="DA88" i="1"/>
  <c r="DA84" i="1"/>
  <c r="DA35" i="1" l="1"/>
  <c r="DA38" i="1"/>
  <c r="DD33" i="1" l="1"/>
  <c r="DD84" i="1"/>
  <c r="DB33" i="1" l="1"/>
  <c r="DB84" i="1"/>
  <c r="DK33" i="1" l="1"/>
  <c r="DK84" i="1"/>
  <c r="DL33" i="1"/>
  <c r="DL84" i="1"/>
  <c r="DJ33" i="1"/>
  <c r="DJ84" i="1"/>
  <c r="DH33" i="1" l="1"/>
  <c r="DH158" i="1"/>
  <c r="DH157" i="1"/>
  <c r="DH95" i="1"/>
  <c r="DH84" i="1"/>
  <c r="DI33" i="1" l="1"/>
  <c r="DI84" i="1"/>
  <c r="DO33" i="1"/>
  <c r="DO84" i="1"/>
  <c r="DN33" i="1" l="1"/>
  <c r="DN84" i="1"/>
  <c r="DE33" i="1" l="1"/>
  <c r="DE88" i="1"/>
  <c r="DE84" i="1"/>
  <c r="DE56" i="1"/>
  <c r="DE43" i="1"/>
  <c r="DE41" i="1"/>
  <c r="DE38" i="1"/>
  <c r="DE36" i="1"/>
  <c r="DE35" i="1"/>
  <c r="DQ33" i="1" l="1"/>
  <c r="DQ43" i="1" s="1"/>
  <c r="DQ88" i="1"/>
  <c r="DQ84" i="1"/>
  <c r="DQ56" i="1"/>
  <c r="DQ36" i="1"/>
  <c r="DR33" i="1"/>
  <c r="DR38" i="1" s="1"/>
  <c r="DR95" i="1"/>
  <c r="DR88" i="1"/>
  <c r="DR84" i="1"/>
  <c r="DR56" i="1"/>
  <c r="DR36" i="1"/>
  <c r="DP33" i="1"/>
  <c r="DP41" i="1" s="1"/>
  <c r="DP88" i="1"/>
  <c r="DP84" i="1"/>
  <c r="DP56" i="1"/>
  <c r="DP36" i="1"/>
  <c r="DQ41" i="1" l="1"/>
  <c r="DQ47" i="1"/>
  <c r="DQ38" i="1"/>
  <c r="DQ35" i="1"/>
  <c r="DR47" i="1"/>
  <c r="DR41" i="1"/>
  <c r="DR35" i="1"/>
  <c r="DP35" i="1"/>
  <c r="DP43" i="1"/>
  <c r="DP38" i="1"/>
  <c r="DY33" i="1" l="1"/>
  <c r="DZ33" i="1"/>
  <c r="DZ35" i="1" s="1"/>
  <c r="DZ84" i="1"/>
  <c r="DZ38" i="1" l="1"/>
  <c r="DZ43" i="1"/>
  <c r="DZ47" i="1"/>
  <c r="DX33" i="1" l="1"/>
  <c r="DX88" i="1"/>
  <c r="DX84" i="1"/>
  <c r="EA33" i="1" l="1"/>
  <c r="EA84" i="1"/>
  <c r="DW33" i="1"/>
  <c r="DW84" i="1"/>
  <c r="EI33" i="1" l="1"/>
  <c r="EI45" i="1" s="1"/>
  <c r="EI88" i="1"/>
  <c r="EI84" i="1"/>
  <c r="EI56" i="1"/>
  <c r="EI36" i="1"/>
  <c r="EJ33" i="1"/>
  <c r="EJ38" i="1" s="1"/>
  <c r="EJ88" i="1"/>
  <c r="EJ84" i="1"/>
  <c r="EJ56" i="1"/>
  <c r="EJ36" i="1"/>
  <c r="EI41" i="1" l="1"/>
  <c r="EI47" i="1"/>
  <c r="EI43" i="1"/>
  <c r="EI38" i="1"/>
  <c r="EI35" i="1"/>
  <c r="EJ35" i="1"/>
  <c r="EJ47" i="1"/>
  <c r="EH33" i="1" l="1"/>
  <c r="EH47" i="1" s="1"/>
  <c r="EH88" i="1"/>
  <c r="EH84" i="1"/>
  <c r="EH56" i="1"/>
  <c r="EH54" i="1"/>
  <c r="EH36" i="1"/>
  <c r="EH41" i="1" l="1"/>
  <c r="EH35" i="1"/>
  <c r="EH45" i="1"/>
  <c r="EH43" i="1"/>
  <c r="EH38" i="1"/>
  <c r="EL33" i="1" l="1"/>
  <c r="EL84" i="1"/>
  <c r="EK33" i="1" l="1"/>
  <c r="EK158" i="1"/>
  <c r="EK84" i="1"/>
  <c r="EO33" i="1" l="1"/>
  <c r="EO84" i="1"/>
  <c r="EN33" i="1" l="1"/>
  <c r="EN84" i="1"/>
  <c r="EM33" i="1"/>
  <c r="EM84" i="1"/>
  <c r="CD33" i="1" l="1"/>
  <c r="CD84" i="1"/>
  <c r="BS84" i="1" l="1"/>
  <c r="BS56" i="1"/>
  <c r="BS37" i="1"/>
  <c r="BS33" i="1" s="1"/>
  <c r="BS38" i="1" s="1"/>
  <c r="BS36" i="1"/>
  <c r="BS35" i="1" l="1"/>
  <c r="BS43" i="1"/>
  <c r="BS41" i="1"/>
  <c r="BR84" i="1" l="1"/>
  <c r="BR56" i="1"/>
  <c r="BR37" i="1"/>
  <c r="BR33" i="1" s="1"/>
  <c r="BR41" i="1" s="1"/>
  <c r="BR36" i="1"/>
  <c r="BR38" i="1" l="1"/>
  <c r="BR35" i="1"/>
  <c r="BR43" i="1"/>
  <c r="BL88" i="1" l="1"/>
  <c r="BL84" i="1"/>
  <c r="BL56" i="1"/>
  <c r="BL44" i="1"/>
  <c r="BL33" i="1" s="1"/>
  <c r="BL36" i="1"/>
  <c r="BL45" i="1" l="1"/>
  <c r="AW33" i="1" l="1"/>
  <c r="AW84" i="1"/>
  <c r="EY33" i="1"/>
  <c r="EY38" i="1" s="1"/>
  <c r="EY88" i="1"/>
  <c r="EY84" i="1"/>
  <c r="EY43" i="1" l="1"/>
  <c r="EY35" i="1"/>
  <c r="EY41" i="1"/>
  <c r="J33" i="1" l="1"/>
  <c r="J84" i="1"/>
  <c r="AU33" i="1" l="1"/>
  <c r="AU84" i="1"/>
  <c r="AU56" i="1"/>
  <c r="AU36" i="1"/>
  <c r="AT33" i="1"/>
  <c r="AT38" i="1" s="1"/>
  <c r="AT84" i="1"/>
  <c r="AT56" i="1"/>
  <c r="AT36" i="1"/>
  <c r="AS33" i="1"/>
  <c r="AS88" i="1"/>
  <c r="AS84" i="1"/>
  <c r="AS56" i="1"/>
  <c r="AS47" i="1"/>
  <c r="AS43" i="1"/>
  <c r="AS41" i="1"/>
  <c r="AS38" i="1"/>
  <c r="AS36" i="1"/>
  <c r="AS35" i="1"/>
  <c r="AT41" i="1" l="1"/>
  <c r="AT35" i="1"/>
  <c r="AT47" i="1"/>
  <c r="V33" i="1" l="1"/>
  <c r="V84" i="1"/>
  <c r="U33" i="1" l="1"/>
  <c r="U84" i="1"/>
  <c r="T33" i="1" l="1"/>
  <c r="T88" i="1"/>
  <c r="T83" i="1"/>
  <c r="T78" i="1"/>
  <c r="T75" i="1"/>
  <c r="T74" i="1"/>
  <c r="T73" i="1"/>
  <c r="T72" i="1"/>
  <c r="T71" i="1"/>
  <c r="T70" i="1"/>
  <c r="T69" i="1"/>
  <c r="T68" i="1"/>
  <c r="T61" i="1"/>
  <c r="T60" i="1"/>
  <c r="T56" i="1"/>
  <c r="T36" i="1"/>
  <c r="T84" i="1" l="1"/>
  <c r="N33" i="1" l="1"/>
  <c r="N84" i="1"/>
  <c r="AC59" i="1" l="1"/>
  <c r="AC58" i="1"/>
  <c r="AC57" i="1"/>
  <c r="AC56" i="1"/>
  <c r="AB84" i="1"/>
  <c r="AB56" i="1"/>
  <c r="BE33" i="1" l="1"/>
  <c r="BE84" i="1"/>
  <c r="BD33" i="1"/>
  <c r="BD84" i="1"/>
  <c r="BB88" i="1" l="1"/>
  <c r="BB84" i="1"/>
  <c r="BA88" i="1"/>
  <c r="BA84" i="1"/>
  <c r="BA44" i="1"/>
  <c r="BA33" i="1" s="1"/>
  <c r="BA43" i="1" s="1"/>
  <c r="AZ33" i="1"/>
  <c r="AZ35" i="1" s="1"/>
  <c r="AZ88" i="1"/>
  <c r="AZ84" i="1"/>
  <c r="BA35" i="1" l="1"/>
  <c r="BA45" i="1"/>
  <c r="BA38" i="1"/>
  <c r="BA41" i="1"/>
  <c r="AZ38" i="1"/>
  <c r="AZ45" i="1"/>
  <c r="BK33" i="1" l="1"/>
  <c r="BK84" i="1"/>
  <c r="BF33" i="1" l="1"/>
  <c r="BF84" i="1"/>
  <c r="EQ33" i="1" l="1"/>
  <c r="EQ84" i="1"/>
  <c r="FA33" i="1" l="1"/>
  <c r="FA41" i="1" s="1"/>
  <c r="FA84" i="1"/>
  <c r="FA43" i="1" l="1"/>
  <c r="FA35" i="1"/>
  <c r="FA45" i="1"/>
  <c r="FA38" i="1"/>
  <c r="FA47" i="1"/>
  <c r="EV88" i="1"/>
  <c r="EP33" i="1"/>
  <c r="EP38" i="1" s="1"/>
  <c r="EP84" i="1"/>
  <c r="EP43" i="1" l="1"/>
  <c r="EP41" i="1"/>
  <c r="EP35" i="1"/>
  <c r="EP47" i="1"/>
  <c r="S33" i="1"/>
  <c r="S41" i="1" s="1"/>
  <c r="S88" i="1"/>
  <c r="S84" i="1"/>
  <c r="S56" i="1"/>
  <c r="S36" i="1"/>
  <c r="S43" i="1" l="1"/>
  <c r="S35" i="1"/>
  <c r="S38" i="1"/>
  <c r="Q33" i="1" l="1"/>
  <c r="Q38" i="1" s="1"/>
  <c r="Q88" i="1"/>
  <c r="Q84" i="1"/>
  <c r="Q56" i="1"/>
  <c r="Q36" i="1"/>
  <c r="Q35" i="1" l="1"/>
  <c r="Q41" i="1"/>
  <c r="O33" i="1" l="1"/>
  <c r="O35" i="1" s="1"/>
  <c r="O68" i="1"/>
  <c r="O84" i="1" s="1"/>
  <c r="O56" i="1"/>
  <c r="O36" i="1"/>
  <c r="O41" i="1" l="1"/>
  <c r="O38" i="1"/>
  <c r="CZ33" i="1" l="1"/>
  <c r="CZ84" i="1"/>
  <c r="CY33" i="1"/>
  <c r="CY84" i="1"/>
  <c r="EX158" i="1"/>
  <c r="EX157" i="1"/>
  <c r="EX139" i="1"/>
  <c r="EX136" i="1"/>
  <c r="EX133" i="1"/>
  <c r="EX127" i="1"/>
  <c r="EX118" i="1"/>
  <c r="EX103" i="1"/>
  <c r="EX85" i="1"/>
  <c r="EX88" i="1" s="1"/>
  <c r="EX72" i="1"/>
  <c r="EX67" i="1"/>
  <c r="EX66" i="1"/>
  <c r="EX61" i="1"/>
  <c r="EX60" i="1"/>
  <c r="EX59" i="1"/>
  <c r="EX58" i="1"/>
  <c r="EX57" i="1"/>
  <c r="EX55" i="1"/>
  <c r="EX56" i="1" s="1"/>
  <c r="EX42" i="1"/>
  <c r="EX40" i="1"/>
  <c r="EX37" i="1"/>
  <c r="EX34" i="1"/>
  <c r="EX36" i="1" s="1"/>
  <c r="EX84" i="1" l="1"/>
  <c r="EX33" i="1"/>
  <c r="EX45" i="1" s="1"/>
  <c r="EX43" i="1" l="1"/>
  <c r="EX35" i="1"/>
  <c r="EX41" i="1"/>
  <c r="EX38" i="1"/>
  <c r="CR33" i="1" l="1"/>
  <c r="CR38" i="1" s="1"/>
  <c r="CR88" i="1"/>
  <c r="CR84" i="1"/>
  <c r="CR56" i="1"/>
  <c r="CR36" i="1"/>
  <c r="AO33" i="1"/>
  <c r="AO84" i="1"/>
  <c r="CC33" i="1"/>
  <c r="CC84" i="1"/>
  <c r="CL33" i="1"/>
  <c r="CL84" i="1"/>
  <c r="CR35" i="1" l="1"/>
  <c r="CR45" i="1"/>
  <c r="CK33" i="1"/>
  <c r="CK84" i="1"/>
  <c r="CJ33" i="1" l="1"/>
  <c r="CJ84" i="1"/>
  <c r="CI33" i="1" l="1"/>
  <c r="CI96" i="1"/>
  <c r="CI84" i="1"/>
  <c r="CH33" i="1" l="1"/>
  <c r="CH158" i="1"/>
  <c r="CH84" i="1"/>
  <c r="CG33" i="1" l="1"/>
  <c r="CF33" i="1"/>
  <c r="CF84" i="1"/>
  <c r="CF56" i="1"/>
  <c r="CE33" i="1"/>
  <c r="CE84" i="1"/>
  <c r="CM33" i="1" l="1"/>
  <c r="CM88" i="1"/>
  <c r="CM84" i="1"/>
  <c r="CB33" i="1"/>
  <c r="CB84" i="1"/>
  <c r="BJ33" i="1" l="1"/>
  <c r="BJ47" i="1" s="1"/>
  <c r="BJ88" i="1"/>
  <c r="BJ84" i="1"/>
  <c r="BJ56" i="1"/>
  <c r="BJ36" i="1"/>
  <c r="BJ38" i="1" l="1"/>
  <c r="BJ35" i="1"/>
  <c r="BJ43" i="1"/>
  <c r="BJ41" i="1"/>
  <c r="BI33" i="1" l="1"/>
  <c r="BI38" i="1" s="1"/>
  <c r="BI88" i="1"/>
  <c r="BI84" i="1"/>
  <c r="BI56" i="1"/>
  <c r="BI36" i="1"/>
  <c r="BH33" i="1"/>
  <c r="BH88" i="1"/>
  <c r="BH84" i="1"/>
  <c r="BH56" i="1"/>
  <c r="BH36" i="1"/>
  <c r="BI35" i="1" l="1"/>
  <c r="BG33" i="1"/>
  <c r="BG43" i="1" s="1"/>
  <c r="BG88" i="1"/>
  <c r="BG84" i="1"/>
  <c r="BG56" i="1"/>
  <c r="BG36" i="1"/>
  <c r="G33" i="1"/>
  <c r="G38" i="1" s="1"/>
  <c r="G84" i="1"/>
  <c r="G45" i="1"/>
  <c r="G43" i="1"/>
  <c r="G41" i="1"/>
  <c r="BG35" i="1" l="1"/>
  <c r="BG47" i="1"/>
  <c r="BG38" i="1"/>
  <c r="BG41" i="1"/>
  <c r="G35" i="1"/>
  <c r="F33" i="1"/>
  <c r="F84" i="1"/>
  <c r="BC84" i="1" l="1"/>
  <c r="BC59" i="1"/>
  <c r="BC58" i="1"/>
  <c r="BC56" i="1"/>
  <c r="BC44" i="1"/>
  <c r="BC33" i="1" s="1"/>
  <c r="BC45" i="1" s="1"/>
  <c r="BC36" i="1" l="1"/>
  <c r="BC38" i="1"/>
  <c r="BC35" i="1"/>
  <c r="AJ84" i="1" l="1"/>
  <c r="AI33" i="1"/>
  <c r="AH33" i="1"/>
  <c r="AI84" i="1"/>
  <c r="AH84" i="1"/>
  <c r="AH56" i="1"/>
  <c r="AH14" i="1"/>
  <c r="AA33" i="1" l="1"/>
  <c r="AA84" i="1"/>
  <c r="Z33" i="1" l="1"/>
  <c r="Z38" i="1" s="1"/>
  <c r="Z88" i="1"/>
  <c r="Z84" i="1"/>
  <c r="Z43" i="1" l="1"/>
  <c r="Z41" i="1"/>
  <c r="Z35" i="1"/>
  <c r="Z47" i="1"/>
  <c r="Y84" i="1" l="1"/>
  <c r="Y40" i="1"/>
  <c r="Y33" i="1" s="1"/>
  <c r="Y47" i="1" s="1"/>
  <c r="Y41" i="1" l="1"/>
  <c r="Y38" i="1"/>
  <c r="Y35" i="1"/>
  <c r="AG33" i="1"/>
  <c r="AG35" i="1" s="1"/>
  <c r="AG88" i="1"/>
  <c r="AG84" i="1"/>
  <c r="AF33" i="1"/>
  <c r="AF41" i="1" s="1"/>
  <c r="AE33" i="1"/>
  <c r="AF88" i="1"/>
  <c r="AF84" i="1"/>
  <c r="AF56" i="1"/>
  <c r="AF36" i="1"/>
  <c r="AG38" i="1" l="1"/>
  <c r="AG43" i="1"/>
  <c r="AF43" i="1"/>
  <c r="AF35" i="1"/>
  <c r="AF38" i="1"/>
  <c r="EW33" i="1" l="1"/>
  <c r="EW84" i="1"/>
  <c r="AV33" i="1" l="1"/>
  <c r="AV38" i="1" s="1"/>
  <c r="AV88" i="1"/>
  <c r="AV84" i="1"/>
  <c r="AV56" i="1"/>
  <c r="AV36" i="1"/>
  <c r="AV41" i="1" l="1"/>
  <c r="AV35" i="1"/>
  <c r="AV43" i="1"/>
  <c r="AV45" i="1"/>
  <c r="DS33" i="1" l="1"/>
  <c r="DS84" i="1"/>
  <c r="L33" i="1"/>
  <c r="L84" i="1"/>
  <c r="AD33" i="1" l="1"/>
  <c r="AD43" i="1" s="1"/>
  <c r="AD88" i="1"/>
  <c r="AD84" i="1"/>
  <c r="AD56" i="1"/>
  <c r="AD36" i="1"/>
  <c r="AD45" i="1" l="1"/>
  <c r="AD35" i="1"/>
  <c r="AD38" i="1"/>
  <c r="AD41" i="1"/>
  <c r="AQ33" i="1"/>
  <c r="AQ84" i="1"/>
  <c r="BU84" i="1" l="1"/>
  <c r="BU44" i="1"/>
  <c r="BU40" i="1"/>
  <c r="BU37" i="1"/>
  <c r="BU34" i="1"/>
  <c r="BU33" i="1" l="1"/>
  <c r="DM33" i="1"/>
  <c r="DM84" i="1"/>
  <c r="DU33" i="1"/>
  <c r="BP33" i="1"/>
  <c r="W33" i="1"/>
  <c r="BP84" i="1"/>
  <c r="W84" i="1" l="1"/>
  <c r="EE88" i="1" l="1"/>
  <c r="EE60" i="1"/>
  <c r="EE84" i="1" s="1"/>
  <c r="EE56" i="1"/>
  <c r="EE44" i="1"/>
  <c r="EE33" i="1" s="1"/>
  <c r="EE38" i="1" s="1"/>
  <c r="EE36" i="1"/>
  <c r="EE45" i="1" l="1"/>
  <c r="EE41" i="1"/>
  <c r="EE35" i="1"/>
  <c r="EE43" i="1"/>
  <c r="DU84" i="1" l="1"/>
  <c r="BY33" i="1" l="1"/>
  <c r="BZ33" i="1"/>
  <c r="CV33" i="1"/>
  <c r="EG33" i="1"/>
  <c r="ES33" i="1"/>
  <c r="EZ33" i="1"/>
  <c r="AP33" i="1"/>
  <c r="AR33" i="1"/>
  <c r="AX33" i="1"/>
  <c r="AY33" i="1"/>
  <c r="BW47" i="8"/>
  <c r="Q47" i="8" l="1"/>
  <c r="BW64" i="8"/>
  <c r="BW51" i="8"/>
  <c r="Q51" i="8" s="1"/>
  <c r="BW53" i="8"/>
  <c r="BW55" i="8"/>
  <c r="J9" i="10" l="1"/>
  <c r="J35" i="10" s="1"/>
  <c r="J5" i="10"/>
  <c r="Q64" i="8"/>
  <c r="Q55" i="8"/>
  <c r="Q53" i="8"/>
  <c r="BW57" i="8"/>
  <c r="BW59" i="8" s="1"/>
  <c r="Q57" i="8" l="1"/>
  <c r="Q59" i="8" s="1"/>
  <c r="J32" i="10"/>
  <c r="J97" i="10"/>
  <c r="J11" i="10"/>
  <c r="J37" i="10" s="1"/>
  <c r="J10" i="10"/>
  <c r="J36" i="10" s="1"/>
  <c r="AR44" i="8"/>
  <c r="BW44" i="8"/>
  <c r="AR45" i="8"/>
  <c r="Q45" i="8" s="1"/>
  <c r="C123" i="10" s="1"/>
  <c r="C138" i="10" s="1"/>
  <c r="BW46" i="8"/>
  <c r="Q46" i="8" s="1"/>
  <c r="D123" i="10" s="1"/>
  <c r="D138" i="10" s="1"/>
  <c r="BW54" i="8" l="1"/>
  <c r="BW63" i="8"/>
  <c r="AR52" i="8"/>
  <c r="AR63" i="8"/>
  <c r="BW56" i="8"/>
  <c r="BW58" i="8"/>
  <c r="AR54" i="8"/>
  <c r="AR56" i="8"/>
  <c r="BW48" i="8"/>
  <c r="BW61" i="8"/>
  <c r="AR58" i="8"/>
  <c r="BW52" i="8"/>
  <c r="AR48" i="8"/>
  <c r="Q44" i="8"/>
  <c r="AR61" i="8"/>
  <c r="Q63" i="8" l="1"/>
  <c r="Q65" i="8"/>
  <c r="Q54" i="8"/>
  <c r="Q52" i="8"/>
  <c r="Q61" i="8"/>
  <c r="Q48" i="8"/>
  <c r="Q58" i="8"/>
  <c r="J4" i="10"/>
  <c r="Q56" i="8"/>
  <c r="J95" i="10" l="1"/>
  <c r="K95" i="10" s="1"/>
  <c r="L4" i="10"/>
  <c r="K4" i="10"/>
  <c r="J20" i="10"/>
  <c r="J44" i="10" s="1"/>
  <c r="J18" i="10"/>
  <c r="J45" i="10" s="1"/>
  <c r="J22" i="10"/>
  <c r="J48" i="10" s="1"/>
  <c r="J23" i="10"/>
  <c r="J49" i="10" s="1"/>
  <c r="J24" i="10"/>
  <c r="J50" i="10" s="1"/>
  <c r="J47" i="10" l="1"/>
  <c r="BW50" i="8"/>
  <c r="BW49" i="8"/>
  <c r="J6" i="10"/>
  <c r="J19" i="10"/>
  <c r="J17" i="10"/>
  <c r="Q155" i="8"/>
  <c r="Q157" i="8"/>
  <c r="AU162" i="8"/>
  <c r="Q162" i="8"/>
  <c r="Q159" i="8"/>
  <c r="D140" i="10"/>
  <c r="D127" i="10"/>
  <c r="D124" i="10"/>
  <c r="C124" i="10"/>
  <c r="C127" i="10"/>
  <c r="C140" i="10"/>
  <c r="AO79" i="7"/>
  <c r="J33" i="10"/>
  <c r="J98" i="10"/>
  <c r="K8" i="10"/>
  <c r="BB35" i="1"/>
  <c r="AR136" i="8"/>
  <c r="Q136" i="8"/>
  <c r="Q137" i="8"/>
  <c r="AR79" i="7"/>
  <c r="AR50" i="8"/>
  <c r="J8" i="10"/>
  <c r="J21" i="10"/>
  <c r="J46" i="10"/>
  <c r="J43" i="10"/>
  <c r="S43" i="8"/>
  <c r="AR49" i="8"/>
  <c r="Q49" i="8"/>
  <c r="Q50" i="8"/>
  <c r="BW162" i="8"/>
  <c r="AU325" i="7"/>
  <c r="AY325" i="7"/>
  <c r="AW325" i="7"/>
  <c r="Q139" i="8"/>
  <c r="Q145" i="8"/>
  <c r="Q143" i="8"/>
  <c r="Q141" i="8"/>
  <c r="AQ79" i="7"/>
  <c r="AL79" i="7"/>
  <c r="AR146" i="8"/>
  <c r="Q146" i="8"/>
  <c r="Q135" i="8"/>
  <c r="BB33" i="1"/>
  <c r="BB37" i="1"/>
  <c r="BB38" i="1"/>
  <c r="AU152" i="8"/>
  <c r="Q152" i="8"/>
  <c r="Q153" i="8"/>
  <c r="BW152" i="8"/>
  <c r="AL325" i="7"/>
  <c r="AQ325" i="7"/>
  <c r="AR325" i="7"/>
  <c r="AL93" i="7"/>
  <c r="AQ93" i="7"/>
  <c r="AU49" i="8"/>
  <c r="AU5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author>
    <author>Эльза</author>
    <author>Клюбердина Наталья Сергеевна</author>
  </authors>
  <commentList>
    <comment ref="F1" authorId="0" shapeId="0" xr:uid="{03706723-5560-614A-8F24-5FDF9CAA00F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xr:uid="{26C70892-8629-BC43-9865-29FBCDDFC34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1" authorId="0" shapeId="0" xr:uid="{F5D1C128-7FA5-A544-AB75-C117719DC94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1" authorId="0" shapeId="0" xr:uid="{DC9F8BC2-CE6C-DF4A-B6C6-D922B3FF273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1" authorId="0" shapeId="0" xr:uid="{7ACD92B5-E28C-E549-BA94-7A1E95FD319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1" authorId="0" shapeId="0" xr:uid="{889274F3-B041-AC47-85DC-26DFBB6D9F2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1" authorId="0" shapeId="0" xr:uid="{43993070-973D-5C46-90F8-3181423441C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1" authorId="0" shapeId="0" xr:uid="{DA4730FB-532A-9948-8EC0-CC159A7176B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N1" authorId="0" shapeId="0" xr:uid="{559B55FA-F162-594C-B8D7-43F5FBD2171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O1" authorId="0" shapeId="0" xr:uid="{45363037-A739-764F-8151-0DABF107214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P1" authorId="0" shapeId="0" xr:uid="{19EE4F1D-4EA6-044E-8B26-54883CC301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Q1" authorId="0" shapeId="0" xr:uid="{AD4DF3FA-E71A-C541-BE53-072B3120EAC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R1" authorId="0" shapeId="0" xr:uid="{18DBD8FB-8532-024F-9DC1-5D54203CAF9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S1" authorId="0" shapeId="0" xr:uid="{D2D181F4-628D-184B-B58A-3BD616D2BA9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T1" authorId="0" shapeId="0" xr:uid="{8C2B7481-F855-0849-B3EA-3573ABC79D4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U1" authorId="0" shapeId="0" xr:uid="{5A8B7857-96C3-CA42-AF2B-7D2C24C2433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V1" authorId="0" shapeId="0" xr:uid="{02EA601A-CFF0-B040-8AD7-E2D742BAC6E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W1" authorId="0" shapeId="0" xr:uid="{717B167E-511E-4845-AD28-5DA22AD38C5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X1" authorId="0" shapeId="0" xr:uid="{51A1DFAA-F7E9-A145-90BD-AA8C26A1E67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Y1" authorId="0" shapeId="0" xr:uid="{98EEA1DD-D5B8-0947-8F9F-F4CA512424C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Z1" authorId="0" shapeId="0" xr:uid="{19578B09-A1BC-944F-909F-403C013F441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A1" authorId="0" shapeId="0" xr:uid="{B721A568-0A0A-4C42-B2D2-BF4D75FF49C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B1" authorId="0" shapeId="0" xr:uid="{F18B8399-F8E9-1D43-BE4E-65871F82110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C1" authorId="0" shapeId="0" xr:uid="{718135ED-5EAB-8846-B9B9-9A4EC28E98E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D1" authorId="0" shapeId="0" xr:uid="{2E9A9445-BB78-5D40-9D9A-FE9857AE46E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E1" authorId="0" shapeId="0" xr:uid="{D907595A-704D-654E-AEBB-F6F62F30017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F1" authorId="0" shapeId="0" xr:uid="{B7240113-001F-EE40-BBDA-250A0F9B0C1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G1" authorId="0" shapeId="0" xr:uid="{C53A208A-A049-8246-9138-05F4148A9AE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H1" authorId="0" shapeId="0" xr:uid="{6F4DA6AC-E1FB-8D44-920C-8E3BBA6D9BA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I1" authorId="0" shapeId="0" xr:uid="{1C4D864C-34DC-6A46-BD01-1E96CB66472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J1" authorId="0" shapeId="0" xr:uid="{2135D8B9-2194-5A48-AC6C-D7004C9176D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K1" authorId="0" shapeId="0" xr:uid="{B1A4115B-41DC-5841-9121-E1F0F1AB52B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L1" authorId="0" shapeId="0" xr:uid="{6C65B70C-05D8-CC4E-8A7B-A3576EA91F0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M1" authorId="0" shapeId="0" xr:uid="{10F45FA1-1395-EE4C-BF81-6A415EDA606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N1" authorId="0" shapeId="0" xr:uid="{75AE81FF-3738-8948-94C1-F4FF8BB43C4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O1" authorId="0" shapeId="0" xr:uid="{09302D53-A884-5C47-8C7A-17E1C0508EA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P1" authorId="0" shapeId="0" xr:uid="{016F4518-8758-3141-A93F-C68B5065875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Q1" authorId="0" shapeId="0" xr:uid="{7ED24997-5FB8-3A4B-9511-613B28ECAFA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R1" authorId="0" shapeId="0" xr:uid="{B8EF73E5-FA79-CF46-A218-4FD81FEEDB58}">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S1" authorId="0" shapeId="0" xr:uid="{B98873A4-716C-1548-B595-F7883C343B5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T1" authorId="0" shapeId="0" xr:uid="{9F9BA9AA-E2F9-D34E-B958-D5A022BE137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U1" authorId="0" shapeId="0" xr:uid="{3713E80B-B175-EF41-97E3-9FF87119E4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V1" authorId="0" shapeId="0" xr:uid="{9DB6E37B-43F3-5B42-9EAE-925C4E97F27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W1" authorId="0" shapeId="0" xr:uid="{5ACFC6D5-67C6-D34E-8D82-152108F333C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X1" authorId="0" shapeId="0" xr:uid="{2DB7DACF-21F0-8844-ABB9-CFEBFB1A1EF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Y1" authorId="0" shapeId="0" xr:uid="{CD24912D-08BB-D647-832E-77C59E1B193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Z1" authorId="0" shapeId="0" xr:uid="{7B870360-C548-E042-B3C2-12118A92343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A1" authorId="0" shapeId="0" xr:uid="{41BA0531-A2A8-BD48-BBBC-6CB35238C11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B1" authorId="0" shapeId="0" xr:uid="{D72C94C9-4A19-B14B-B3C5-3A38CFA406A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C1" authorId="0" shapeId="0" xr:uid="{2C966166-CFB8-C743-B189-E3ADC23C23A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D1" authorId="0" shapeId="0" xr:uid="{38823891-91E3-E146-A7E7-46E8BC7B89E1}">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E1" authorId="0" shapeId="0" xr:uid="{E672CBA9-B511-FE49-B9C5-CD1D05C8210C}">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F1" authorId="0" shapeId="0" xr:uid="{1948EF93-CD3F-B64B-B781-1599F8EDAF3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G1" authorId="0" shapeId="0" xr:uid="{55E10EB0-42F0-CE48-958A-F6E2DC6C8E3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H1" authorId="0" shapeId="0" xr:uid="{7586DE2F-F075-3541-90A3-DF1E8DBFB88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I1" authorId="0" shapeId="0" xr:uid="{71B5B668-4363-5C43-A0AC-7655C682C4C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J1" authorId="0" shapeId="0" xr:uid="{9CC4EE1A-24AF-8043-9FC9-E22BC3C0753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K1" authorId="0" shapeId="0" xr:uid="{06502EB3-85D3-C741-B8EC-F270ACB9D57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L1" authorId="0" shapeId="0" xr:uid="{FD8A21A3-B55B-0842-B463-B2968D54CC8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M1" authorId="0" shapeId="0" xr:uid="{915816C0-030E-584E-A45F-0467F0C5FF62}">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N1" authorId="0" shapeId="0" xr:uid="{E81CBB4A-2B95-FA4A-899A-B5C9BB9C11F5}">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O1" authorId="0" shapeId="0" xr:uid="{86302955-E70F-4042-9529-E1D1DCD65DEB}">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P1" authorId="0" shapeId="0" xr:uid="{9FF38CC8-8D77-5E46-8349-BFA887A1CA69}">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Q1" authorId="0" shapeId="0" xr:uid="{2CFB447A-1116-3A4E-96B3-B1D3CEB9CAFB}">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R1" authorId="0" shapeId="0" xr:uid="{6B01839A-C50D-0A4F-A38C-588AA34BE48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T1" authorId="0" shapeId="0" xr:uid="{E1CE98D2-2B97-4648-8355-8C072A04813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U1" authorId="0" shapeId="0" xr:uid="{24CE4782-8F07-B94E-9B90-E3BB193DAC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V1" authorId="0" shapeId="0" xr:uid="{E654E3AF-DE0F-4A4D-8990-D06AFB0851A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W1" authorId="0" shapeId="0" xr:uid="{FEC5C529-384F-6447-84AF-3F737255D5A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X1" authorId="0" shapeId="0" xr:uid="{EF5BC47A-207C-3F4C-8254-C5701FB4197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Y1" authorId="0" shapeId="0" xr:uid="{0E79C4BA-A89A-F145-905A-F21893C5587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Z1" authorId="0" shapeId="0" xr:uid="{4134DB22-D030-CB47-AD88-CA925D0511BE}">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A1" authorId="0" shapeId="0" xr:uid="{66C7258A-D73F-FD41-A2B4-FB89C70376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B1" authorId="0" shapeId="0" xr:uid="{7AA40CCC-3B7F-5D4E-BBA2-CF943A28A79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C1" authorId="0" shapeId="0" xr:uid="{858DA0BD-EF74-9547-8BF1-A5D38853700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D1" authorId="0" shapeId="0" xr:uid="{B8AC0B39-73EA-8A4D-973C-1AD681ED212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E1" authorId="0" shapeId="0" xr:uid="{2AD228A8-E85A-564B-827E-2E7C65BF4CD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F1" authorId="0" shapeId="0" xr:uid="{E1A568B5-31B6-F044-A992-5DF547E813B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G1" authorId="0" shapeId="0" xr:uid="{807C00CE-3BB6-BF43-9B04-FA7F0BC90D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H1" authorId="0" shapeId="0" xr:uid="{576B23F7-8278-1342-8B2A-25497C420C2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I1" authorId="0" shapeId="0" xr:uid="{99209E69-16B1-6242-870B-C906DCB8488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J1" authorId="0" shapeId="0" xr:uid="{A99B1881-0BEA-3949-92B5-64715C1C4F6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K1" authorId="0" shapeId="0" xr:uid="{E734A61D-52F6-EC42-B349-F96B984990C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L1" authorId="0" shapeId="0" xr:uid="{AE6857CC-1B53-214D-9647-78BC5F0B8E2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M1" authorId="0" shapeId="0" xr:uid="{21CA040B-9DC4-C14F-A304-54B6361D0FC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N1" authorId="0" shapeId="0" xr:uid="{027AB8AB-2E19-FD46-8E1C-ACECA3EFFBC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O1" authorId="0" shapeId="0" xr:uid="{1E076E45-4091-5241-A4C2-51A2B05C0A2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P1" authorId="0" shapeId="0" xr:uid="{0AA77135-A82F-554F-9CD7-AF007F14650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Q1" authorId="0" shapeId="0" xr:uid="{2A6E9B11-1E97-8544-8FEA-4AA92B79759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R1" authorId="0" shapeId="0" xr:uid="{1A953322-55F5-664D-9C94-BF0EC5D9710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S1" authorId="0" shapeId="0" xr:uid="{D03DB3D0-844F-F74D-B8CD-67C7C5A3035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T1" authorId="0" shapeId="0" xr:uid="{06043482-017B-044D-91A7-B0F59A54CF0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U1" authorId="0" shapeId="0" xr:uid="{FB14B61B-E552-A641-8209-8A654D849084}">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V1" authorId="0" shapeId="0" xr:uid="{366701DC-748E-4E49-874D-CFDD7CEFEB6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W1" authorId="0" shapeId="0" xr:uid="{B067F94A-F7EE-C84F-9DC8-550CBF0ABB6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X1" authorId="0" shapeId="0" xr:uid="{734744EB-942E-8347-A52D-EAB12D30453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Y1" authorId="0" shapeId="0" xr:uid="{3F310C13-6853-2D47-9457-B39718FBE42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Z1" authorId="0" shapeId="0" xr:uid="{FC44212F-E940-0B41-826B-CABEC493A48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A1" authorId="0" shapeId="0" xr:uid="{6FAF2923-B425-244E-838F-126DBB25830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B1" authorId="0" shapeId="0" xr:uid="{8679B8D0-176E-B245-A6C8-38DD34AC45B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C1" authorId="0" shapeId="0" xr:uid="{3E53A2CC-4A37-564E-B839-3A88041E54D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D1" authorId="0" shapeId="0" xr:uid="{DFA467B9-FD0F-7646-8F3A-B2337A77408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E1" authorId="0" shapeId="0" xr:uid="{BF1780C2-9987-2F40-8341-6134CD7D2EB3}">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F1" authorId="0" shapeId="0" xr:uid="{07F5ED0C-87D7-914D-AF90-1EA28921B7A9}">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G1" authorId="0" shapeId="0" xr:uid="{17C455F1-F517-CE40-BBB0-70F62C14F0C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H1" authorId="0" shapeId="0" xr:uid="{2B5B2455-E940-FF41-9994-058AF5F0B26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I1" authorId="0" shapeId="0" xr:uid="{800D3E97-29EE-AD42-B0D8-C1DAC9D54DE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J1" authorId="0" shapeId="0" xr:uid="{1BDCA1AC-9261-B042-A6D7-E4EA8608242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K1" authorId="0" shapeId="0" xr:uid="{77B06CEA-66C3-3142-959D-EEDC2CA91ED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L1" authorId="0" shapeId="0" xr:uid="{2199FC53-2CDB-BB49-929E-1AF4D6D0053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M1" authorId="0" shapeId="0" xr:uid="{E5DE0393-96B7-1C44-ADE7-F0B020DCBE0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N1" authorId="0" shapeId="0" xr:uid="{1F7F44A8-13D4-D647-82E9-85021478163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O1" authorId="0" shapeId="0" xr:uid="{8AB65770-E8FF-DD49-9619-F8E7261523F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P1" authorId="0" shapeId="0" xr:uid="{2BAB465A-37E7-A546-B3E1-AE0C52E8959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Q1" authorId="0" shapeId="0" xr:uid="{87FA9CB2-B66A-E448-86FA-5EB3590334E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R1" authorId="0" shapeId="0" xr:uid="{5760353E-A9C5-4A4C-B436-AA4BFEA114A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S1" authorId="0" shapeId="0" xr:uid="{2DAB1BEB-5199-8248-874E-9FDE76FF8C26}">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T1" authorId="0" shapeId="0" xr:uid="{D99F0790-5E32-7440-8237-8181F64FE97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U1" authorId="0" shapeId="0" xr:uid="{1C62DDF3-35B9-2E42-9CB4-A8500A21538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V1" authorId="0" shapeId="0" xr:uid="{004C0FF1-10D1-414B-8437-14144757EEA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W1" authorId="0" shapeId="0" xr:uid="{2705675C-615F-864F-B9F6-C8082393DBE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X1" authorId="0" shapeId="0" xr:uid="{C9CE5A45-F0E9-9B40-8440-17705E7FD42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Y1" authorId="0" shapeId="0" xr:uid="{C9057388-9F15-3D48-90FE-2A1FCD1C111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Z1" authorId="0" shapeId="0" xr:uid="{DEE324BD-DAF4-FD45-803F-15BF2652C7E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A1" authorId="0" shapeId="0" xr:uid="{95370D21-D66C-3545-894C-1C0D598E072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B1" authorId="0" shapeId="0" xr:uid="{6C1D0BEC-36B0-994F-9B99-F2DA0DE09CC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C1" authorId="0" shapeId="0" xr:uid="{E14D9334-4B1C-2F45-B412-5825D0AC09B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D1" authorId="0" shapeId="0" xr:uid="{117E1631-4743-F540-B2C4-960A7388108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E1" authorId="0" shapeId="0" xr:uid="{2B862368-D3D7-4447-8778-874C8A4840B6}">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F1" authorId="0" shapeId="0" xr:uid="{29401A63-661F-124A-8E2A-3EF2AC9208BC}">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G1" authorId="0" shapeId="0" xr:uid="{671E8FD9-720A-F743-8FAF-49B5ACBA423F}">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H1" authorId="0" shapeId="0" xr:uid="{3D26DE7E-200A-1541-8479-B5EB06A1473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I1" authorId="0" shapeId="0" xr:uid="{FBC96F7A-A6A1-8348-99B0-B5FCEBEEC4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J1" authorId="0" shapeId="0" xr:uid="{75DE3E3F-CA83-FF44-98CB-66A855DA3B4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K1" authorId="0" shapeId="0" xr:uid="{97397CF6-9E6F-0F4E-9683-3CEA4D76A8A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L1" authorId="0" shapeId="0" xr:uid="{EE2FA299-D7CD-5049-8103-8C4F4F6A462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M1" authorId="0" shapeId="0" xr:uid="{0EC294C6-A7EA-E747-804D-96FB0AF24B1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N1" authorId="0" shapeId="0" xr:uid="{70696F2A-CC6F-A048-A492-095C9E34B32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O1" authorId="0" shapeId="0" xr:uid="{86FE0023-7B29-9142-822F-FF983B8D731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P1" authorId="0" shapeId="0" xr:uid="{781794D8-4066-4840-ABD0-0FC007E48B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Q1" authorId="0" shapeId="0" xr:uid="{A215F792-D1A9-AF48-8A10-97783D9E1F0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R1" authorId="0" shapeId="0" xr:uid="{856CBADA-B59C-D649-A9A5-5DFFE1842D8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S1" authorId="0" shapeId="0" xr:uid="{8A6008FF-08A1-AE47-B57B-305AB3186A4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T1" authorId="0" shapeId="0" xr:uid="{AD7FACF0-36C1-C24A-9A2F-4D2F8663EA0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U1" authorId="0" shapeId="0" xr:uid="{F8EF4253-11E9-5D40-AB60-6D924D8D8CF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V1" authorId="0" shapeId="0" xr:uid="{E7AF3DFD-FEFA-DC4A-ACC6-F934669C8B31}">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W1" authorId="0" shapeId="0" xr:uid="{B352F0EC-C576-A945-959C-356061CC46C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X1" authorId="0" shapeId="0" xr:uid="{2E51AD50-C1B9-024F-BECC-205D8BDEE42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Y1" authorId="0" shapeId="0" xr:uid="{D9CE0281-A435-2C4F-89C6-9AE3317D19B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Z1" authorId="0" shapeId="0" xr:uid="{03A2989F-BAFD-F74A-846F-390B0FC0F7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A1" authorId="0" shapeId="0" xr:uid="{DCC7AC95-77C5-0249-8854-22E616AF1C0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N33" authorId="1" shapeId="0" xr:uid="{69190466-7835-DA4C-BA19-378D5D961B09}">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- 346,76
</t>
        </r>
        <r>
          <rPr>
            <b/>
            <sz val="9"/>
            <color rgb="FF000000"/>
            <rFont val="Tahoma"/>
            <family val="2"/>
            <charset val="204"/>
          </rPr>
          <t xml:space="preserve">1.2. Иной межбюджетный трансфер (Всероссийский конкурс) - 59,7 0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- 52,15
</t>
        </r>
        <r>
          <rPr>
            <b/>
            <sz val="9"/>
            <color rgb="FF000000"/>
            <rFont val="Tahoma"/>
            <family val="2"/>
            <charset val="204"/>
          </rPr>
          <t xml:space="preserve">3. ФЦП Увековечение памяти погибших при защите Отечества - 2,84
</t>
        </r>
        <r>
          <rPr>
            <b/>
            <sz val="9"/>
            <color rgb="FF000000"/>
            <rFont val="Tahoma"/>
            <family val="2"/>
            <charset val="204"/>
          </rPr>
          <t xml:space="preserve">4.Умный город - 1,05
</t>
        </r>
        <r>
          <rPr>
            <b/>
            <sz val="9"/>
            <color rgb="FF000000"/>
            <rFont val="Tahoma"/>
            <family val="2"/>
            <charset val="204"/>
          </rPr>
          <t xml:space="preserve">5.Информ освещение - 0,5
</t>
        </r>
        <r>
          <rPr>
            <b/>
            <sz val="9"/>
            <color rgb="FF000000"/>
            <rFont val="Tahoma"/>
            <family val="2"/>
            <charset val="204"/>
          </rPr>
          <t xml:space="preserve">6.предтавление субсидий ОГКП - 7,56
</t>
        </r>
        <r>
          <rPr>
            <b/>
            <sz val="9"/>
            <color rgb="FF000000"/>
            <rFont val="Tahoma"/>
            <family val="2"/>
            <charset val="204"/>
          </rPr>
          <t xml:space="preserve">
</t>
        </r>
        <r>
          <rPr>
            <b/>
            <sz val="9"/>
            <color rgb="FF000000"/>
            <rFont val="Tahoma"/>
            <family val="2"/>
            <charset val="204"/>
          </rPr>
          <t xml:space="preserve">
</t>
        </r>
      </text>
    </comment>
    <comment ref="EN34" authorId="1" shapeId="0" xr:uid="{6D348175-D20E-3E48-9873-648471ED4033}">
      <text>
        <r>
          <rPr>
            <b/>
            <sz val="9"/>
            <color indexed="81"/>
            <rFont val="Tahoma"/>
            <family val="2"/>
            <charset val="204"/>
          </rPr>
          <t xml:space="preserve">В том числе:
1. В рамках национального проекта:
1.1. формирование комфортной городской среды - 9,9
(ОБЛАСТНЫЕ ПРОЕКТЫ:)
2. Благоустройство населен пунктов - 49,43
3. ФЦП Увековечение памяти погибших при защите Отечества - 0,53
4.Умный город - 1,0
5.Информ освещение - 0,5
6.предтавление субсидий ОГКП - 7,56
</t>
        </r>
      </text>
    </comment>
    <comment ref="EN35" authorId="1" shapeId="0" xr:uid="{ACD573E7-E494-BE4D-9916-21CF4AFADBB0}">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EN36" authorId="1" shapeId="0" xr:uid="{AB64B389-53F0-6741-8A8E-39DE0C9BE779}">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EN37" authorId="1" shapeId="0" xr:uid="{CCF89EAD-CCB5-654E-B8D8-259441C8B137}">
      <text>
        <r>
          <rPr>
            <b/>
            <sz val="9"/>
            <color indexed="81"/>
            <rFont val="Tahoma"/>
            <family val="2"/>
            <charset val="204"/>
          </rPr>
          <t xml:space="preserve">В том числе:
1. В рамках национального проекта:
1.1. формирование комфортной городской среды - 17,4
(ОБЛАСТНЫЕ ПРОЕКТЫ:)
2. Благоустройство населен пунктов - 2,73
3. ФЦП Увековечение памяти погибших при защите Отечества - 0,14
4.Умный город - 0,05
5.Информ освещение - 0,0
6.предтавление субсидий ОГКП - 0,0
</t>
        </r>
      </text>
    </comment>
    <comment ref="EN38" authorId="1" shapeId="0" xr:uid="{50B20F7F-379C-0D43-930F-780CFE732913}">
      <text>
        <r>
          <rPr>
            <b/>
            <sz val="9"/>
            <color indexed="81"/>
            <rFont val="Tahoma"/>
            <family val="2"/>
            <charset val="204"/>
          </rPr>
          <t>соотношение ко всей сумме, предусмотренной в Соглашениях с МО</t>
        </r>
        <r>
          <rPr>
            <sz val="9"/>
            <color indexed="81"/>
            <rFont val="Tahoma"/>
            <family val="2"/>
            <charset val="204"/>
          </rPr>
          <t xml:space="preserve">
</t>
        </r>
      </text>
    </comment>
    <comment ref="EN44" authorId="1" shapeId="0" xr:uid="{7D32849C-395B-5446-83C7-0B18566FCBC0}">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319,467  (97% средств федерального бюджета предусмотрено Соглашении от 24.12.2021 № 069-09-2022-607, заключенного с Минтроем РФ)
</t>
        </r>
        <r>
          <rPr>
            <b/>
            <sz val="9"/>
            <color rgb="FF000000"/>
            <rFont val="Tahoma"/>
            <family val="2"/>
            <charset val="204"/>
          </rPr>
          <t xml:space="preserve">1.2. Иной межбюджетный трансфер (Всероссийский конкурс) – 59,7 (100% средств федерального бюджета предусмотрено    в Доп.Соглашении от 17.08.2022  № 069-17-2022-056/2, заключенного с Минтроем РФ)
</t>
        </r>
        <r>
          <rPr>
            <b/>
            <sz val="9"/>
            <color rgb="FF000000"/>
            <rFont val="Tahoma"/>
            <family val="2"/>
            <charset val="204"/>
          </rPr>
          <t xml:space="preserve">3. ФЦП Увековечение памяти погибших при защите Отечества – 2,157 (80% федерального бюджета предусмотрено в Доп.Соглашении от 27.12.2021 № 187-09-2020-030/4 , заключенного с Минобороной РФ)
</t>
        </r>
        <r>
          <rPr>
            <b/>
            <sz val="9"/>
            <color rgb="FF000000"/>
            <rFont val="Tahoma"/>
            <family val="2"/>
            <charset val="204"/>
          </rPr>
          <t xml:space="preserve">
</t>
        </r>
        <r>
          <rPr>
            <sz val="9"/>
            <color rgb="FF000000"/>
            <rFont val="Tahoma"/>
            <family val="2"/>
            <charset val="204"/>
          </rPr>
          <t xml:space="preserve">
</t>
        </r>
      </text>
    </comment>
    <comment ref="EN45" authorId="1" shapeId="0" xr:uid="{B3DCC1EE-A75A-2543-9971-2EBE89B5BE1B}">
      <text>
        <r>
          <rPr>
            <sz val="9"/>
            <color indexed="81"/>
            <rFont val="Tahoma"/>
            <family val="2"/>
            <charset val="204"/>
          </rPr>
          <t xml:space="preserve">Процентное соотношение ко всей сумме, предусмотренной в Соглашениях с МО
</t>
        </r>
      </text>
    </comment>
    <comment ref="EN55" authorId="1" shapeId="0" xr:uid="{CBEB7AB3-4703-9146-8977-100D052D5A33}">
      <text>
        <r>
          <rPr>
            <b/>
            <sz val="9"/>
            <color indexed="81"/>
            <rFont val="Tahoma"/>
            <family val="2"/>
            <charset val="204"/>
          </rPr>
          <t>В госпрограмме в 2023 году запланировано 838,2 млн рублей, в том числе из ФБ - 713,6 млн руб и  из ОБ 124,5</t>
        </r>
        <r>
          <rPr>
            <sz val="9"/>
            <color indexed="81"/>
            <rFont val="Tahoma"/>
            <family val="2"/>
            <charset val="204"/>
          </rPr>
          <t xml:space="preserve">
</t>
        </r>
      </text>
    </comment>
    <comment ref="DQ59" authorId="2" shapeId="0" xr:uid="{3CBCE01B-9801-554B-8959-97B54F7AD4EF}">
      <text>
        <r>
          <rPr>
            <b/>
            <sz val="9"/>
            <color indexed="81"/>
            <rFont val="Tahoma"/>
            <family val="2"/>
            <charset val="204"/>
          </rPr>
          <t>Клюбердина Наталья Сергеевна:</t>
        </r>
        <r>
          <rPr>
            <sz val="9"/>
            <color indexed="81"/>
            <rFont val="Tahoma"/>
            <family val="2"/>
            <charset val="204"/>
          </rPr>
          <t xml:space="preserve">
Это относится к 2022 году или к 2023? </t>
        </r>
      </text>
    </comment>
    <comment ref="EN67" authorId="1" shapeId="0" xr:uid="{DCF6A6A1-9B0A-B940-87A4-E3F6F688724A}">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- 90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- 11</t>
        </r>
        <r>
          <rPr>
            <sz val="9"/>
            <color rgb="FF000000"/>
            <rFont val="Tahoma"/>
            <family val="2"/>
            <charset val="204"/>
          </rPr>
          <t xml:space="preserve">
</t>
        </r>
      </text>
    </comment>
    <comment ref="EN69" authorId="1" shapeId="0" xr:uid="{2BF549F6-8CC4-8741-B671-88F666157F1F}">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- 90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- 43</t>
        </r>
        <r>
          <rPr>
            <sz val="9"/>
            <color rgb="FF000000"/>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NG</author>
  </authors>
  <commentList>
    <comment ref="A1" authorId="0" shapeId="0" xr:uid="{63FB547E-353E-ED4F-B558-39DB35D2F5F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К субъектовым относятся практики, в реализации которых задействованы средства регионального и в отдельных случаях федерального бюджетов, реализуемые на территории двух и более муниципальных образований. </t>
        </r>
      </text>
    </comment>
    <comment ref="E1" authorId="0" shapeId="0" xr:uid="{348FA385-28B4-9043-AAC3-8AADED5C0F1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1" authorId="0" shapeId="0" xr:uid="{C789E388-6624-7C44-A89C-54870A1E7F1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xr:uid="{E8A8460E-6DF0-9141-9BF2-2E4B02313DF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1" authorId="0" shapeId="0" xr:uid="{C5B7BAEB-6986-ED44-9F51-46BA116D7EF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1" authorId="0" shapeId="0" xr:uid="{224E63D0-246B-3048-BFD1-B254D118E89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1" authorId="0" shapeId="0" xr:uid="{370A7F54-D933-A746-8111-A62B0ED12D6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1" authorId="0" shapeId="0" xr:uid="{D546ECFC-7103-5741-9217-18096D68A6E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1" authorId="0" shapeId="0" xr:uid="{175DCC81-F8F6-D344-BAFB-678679A3F27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P1" authorId="0" shapeId="0" xr:uid="{D90E075E-08D7-A84D-BFC6-E0A59707F3E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Q1" authorId="0" shapeId="0" xr:uid="{BAE56CF7-53D1-BB40-ADAA-55075345F91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R1" authorId="0" shapeId="0" xr:uid="{F4FC92CE-09C1-444E-AAEA-928291390E9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S1" authorId="0" shapeId="0" xr:uid="{62F48D11-8EAE-8D49-9B21-378D5C1AAC0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T1" authorId="0" shapeId="0" xr:uid="{340F2115-9D8E-CE48-9B59-ABD67DE71BA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U1" authorId="0" shapeId="0" xr:uid="{FE4881E8-DF36-E749-82EC-172B223B5F9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V1" authorId="0" shapeId="0" xr:uid="{169B6141-DFF3-8149-A535-857631FA5F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W1" authorId="0" shapeId="0" xr:uid="{FC4F2456-9DDC-E34C-8DC8-760C5585C33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X1" authorId="0" shapeId="0" xr:uid="{3C569B6D-42BB-5D40-B408-B135008CDC6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Y1" authorId="0" shapeId="0" xr:uid="{4A03BD34-7099-FF46-8680-DEA1D86F52A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Z1" authorId="0" shapeId="0" xr:uid="{06A07288-7267-B540-9EB1-0D55AB6B8E5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A1" authorId="0" shapeId="0" xr:uid="{ED893D32-9619-8641-B2CC-3EB6318DBB1F}">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B1" authorId="0" shapeId="0" xr:uid="{0DD14803-254D-1E41-924E-BD13DB18E9B3}">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C1" authorId="0" shapeId="0" xr:uid="{41202580-1842-1545-AE22-C47C71DB755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D1" authorId="0" shapeId="0" xr:uid="{8D4156E0-1DF5-E74D-8479-93C4BEAEC71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E1" authorId="0" shapeId="0" xr:uid="{4F498C9B-36BF-234D-B72E-D865F912596D}">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F1" authorId="0" shapeId="0" xr:uid="{3BF290BC-7591-DF4D-86F3-83D69EBE719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G1" authorId="0" shapeId="0" xr:uid="{5E8ABDCF-9D74-6F46-A458-36DAF426491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H1" authorId="0" shapeId="0" xr:uid="{0F234AFC-B291-5E46-B813-DB4E459A23E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I1" authorId="0" shapeId="0" xr:uid="{725EDCC4-C4C5-4847-93F4-D16F482E9CA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J1" authorId="0" shapeId="0" xr:uid="{2C244AAD-DFDF-EC45-9799-BDD4500FEC1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K1" authorId="0" shapeId="0" xr:uid="{0480B07F-66B8-614F-B357-35C399E90F3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L1" authorId="0" shapeId="0" xr:uid="{5C8FF052-4690-FE40-B3F0-2BADD30B25C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M1" authorId="0" shapeId="0" xr:uid="{A83F2464-D716-A64C-B8E9-43BB1B39DB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N1" authorId="0" shapeId="0" xr:uid="{43B3F7E5-739E-3044-BBFE-57767585F57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O1" authorId="0" shapeId="0" xr:uid="{3868EECE-FC5B-3847-99B4-35400AD30ED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P1" authorId="0" shapeId="0" xr:uid="{19F1E4E5-C9C3-C347-B342-CCC2954D757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Q1" authorId="0" shapeId="0" xr:uid="{3EBED656-EAFE-7F4A-AF0E-73CF1ED2745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R1" authorId="0" shapeId="0" xr:uid="{3E3D68FF-A293-1948-9AE3-01C14A9F050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S1" authorId="0" shapeId="0" xr:uid="{9BAF6B52-5DD3-4145-8D03-0F2850225C3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T1" authorId="0" shapeId="0" xr:uid="{42577778-F371-2046-A312-D2B988343D5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U1" authorId="0" shapeId="0" xr:uid="{C28C497E-EE41-3E4D-AE57-B35F1CF045F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V1" authorId="0" shapeId="0" xr:uid="{53DCBD97-89F8-6A4C-BF49-43081CF96B4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W1" authorId="0" shapeId="0" xr:uid="{C127E821-4E0E-C745-A9CD-D5A2F196EC1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X1" authorId="0" shapeId="0" xr:uid="{F0D43214-19A0-104D-AAB3-E4611FA457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Y1" authorId="0" shapeId="0" xr:uid="{1B99540C-65B4-6B49-985E-E7991D702F4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Z1" authorId="0" shapeId="0" xr:uid="{D792B903-8AE2-2641-BFB4-5503B364B94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A1" authorId="0" shapeId="0" xr:uid="{16FC3ACF-FD34-BD4B-A9BA-A3C577BAFFA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B1" authorId="0" shapeId="0" xr:uid="{7F0EDDCF-9563-EB4C-9C90-58C449A9B0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C1" authorId="0" shapeId="0" xr:uid="{3426957A-2A45-AE4E-A7EB-C119FCACEFC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D1" authorId="0" shapeId="0" xr:uid="{6D92FB0A-E778-2F4F-B552-82ADB768EC1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E1" authorId="0" shapeId="0" xr:uid="{16DFAAB1-0E7C-DA41-B20B-46447BF3E7C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F1" authorId="0" shapeId="0" xr:uid="{F5BC81AF-EA05-704D-B3A3-0CA75DFE5B4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G1" authorId="0" shapeId="0" xr:uid="{59C8918C-4636-EA4F-A001-482BF381FC7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H1" authorId="0" shapeId="0" xr:uid="{79566281-979B-F44C-BABB-7C65DEC22A8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I1" authorId="0" shapeId="0" xr:uid="{21B28FC8-D610-DF47-841B-C3206E0E726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J1" authorId="0" shapeId="0" xr:uid="{BACFEE56-BF67-0A4A-8589-77290729C4F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K1" authorId="0" shapeId="0" xr:uid="{3E24EF4D-4A1B-CE45-8778-57BFB9CFF6D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L1" authorId="0" shapeId="0" xr:uid="{A9230B68-2D5E-BC45-A941-22E88082E4B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M1" authorId="0" shapeId="0" xr:uid="{E367C1DB-E93E-F947-B110-A617736F9BB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N1" authorId="0" shapeId="0" xr:uid="{ECBD45A6-7CAD-D949-AAFE-8F57B53BCE5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O1" authorId="0" shapeId="0" xr:uid="{ABCE5D1C-B447-354F-A284-056CCAA59FE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P1" authorId="0" shapeId="0" xr:uid="{83220459-274D-6E47-BC29-EAE9B62FFDF3}">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Q1" authorId="0" shapeId="0" xr:uid="{4FCA8E67-EF01-8B4D-8DDB-185855FC455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R1" authorId="0" shapeId="0" xr:uid="{1B69F51D-AF48-E945-837D-4D884A0C6AE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S1" authorId="0" shapeId="0" xr:uid="{AD733233-5222-8844-B10F-4CB28D23B57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T1" authorId="0" shapeId="0" xr:uid="{E1D64DB3-9A47-E54F-AED3-82166DC0921E}">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U1" authorId="0" shapeId="0" xr:uid="{2EFF3B23-D277-8A43-98ED-A80DF39F4DF7}">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V1" authorId="0" shapeId="0" xr:uid="{85511A7C-3A3A-D74B-B1D8-8EBFCDD59149}">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W1" authorId="0" shapeId="0" xr:uid="{6FD5D7C4-B87A-AF4F-8FCC-74497E6F9FB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X1" authorId="0" shapeId="0" xr:uid="{4CDA5789-B20C-3543-A064-A141336C391E}">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Y1" authorId="0" shapeId="0" xr:uid="{3AE60F97-1A60-EC49-9861-02BFDBD3AD91}">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Z1" authorId="0" shapeId="0" xr:uid="{50878CCA-FE77-2049-8261-26EA0635929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A1" authorId="0" shapeId="0" xr:uid="{7CCD2325-7D56-E640-8EE7-9FD7C957FAC6}">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B1" authorId="0" shapeId="0" xr:uid="{546B7F7A-715E-B848-9F94-F900F26B7E06}">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C1" authorId="0" shapeId="0" xr:uid="{13C2C8B4-D6C8-DE4D-8E4F-B4A03D4D000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D1" authorId="0" shapeId="0" xr:uid="{D560F2CD-06AE-4B42-80D0-2248B1EB327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E1" authorId="0" shapeId="0" xr:uid="{CCC36BA3-47D9-1647-A486-5B4E9645DD3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F1" authorId="0" shapeId="0" xr:uid="{0C8EE2A7-3CF7-4547-828F-074E0BD7EF16}">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G1" authorId="0" shapeId="0" xr:uid="{B018ED41-F11A-FA41-B6B1-C5C7F4E72007}">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H1" authorId="0" shapeId="0" xr:uid="{89FD61AD-F2D8-0F45-B866-48E4E15EF9E3}">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I1" authorId="0" shapeId="0" xr:uid="{6CAB72CC-67A7-664B-9ABB-B461932EB22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J1" authorId="0" shapeId="0" xr:uid="{927A6DE4-0B7F-064C-84D0-BB9CFC9D702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K1" authorId="0" shapeId="0" xr:uid="{2F787815-3DFF-0947-B138-EB675D8817DD}">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L1" authorId="0" shapeId="0" xr:uid="{872CBF93-7801-8649-8E8F-DA4A3EE5B5F8}">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M1" authorId="0" shapeId="0" xr:uid="{4304CCF8-9BFC-A54F-8A70-B229D9CA8CF3}">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N1" authorId="0" shapeId="0" xr:uid="{710E12EA-18BE-E943-997F-9FDD2285D68D}">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O1" authorId="0" shapeId="0" xr:uid="{BE492F5C-9823-F24B-8D73-0D617F73283F}">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P1" authorId="0" shapeId="0" xr:uid="{D1ACC8B8-F6CE-A242-8447-CC1F0843CA7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Q1" authorId="0" shapeId="0" xr:uid="{2C2C9DD2-59E2-594E-AC01-6E9A86A13FB3}">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R1" authorId="0" shapeId="0" xr:uid="{F3D91D7E-7FBF-424B-8D81-2F5D8C1F5148}">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S1" authorId="0" shapeId="0" xr:uid="{8717434D-AFD9-7444-B197-EF1642D93155}">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T1" authorId="0" shapeId="0" xr:uid="{B5F664D6-1578-4347-A253-D59EB38A5FA9}">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U1" authorId="0" shapeId="0" xr:uid="{EB4739E7-8D80-4B4A-9AB6-A7BFF66FD9C1}">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V1" authorId="0" shapeId="0" xr:uid="{B5940D71-9389-C24E-9BA5-F81EA3481F15}">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W1" authorId="0" shapeId="0" xr:uid="{32F2A005-4AC3-5249-BE1C-6D531C47700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X1" authorId="0" shapeId="0" xr:uid="{4027482A-E8EA-5543-A323-93C5F1092D6B}">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Y1" authorId="0" shapeId="0" xr:uid="{99AB85EC-D3F9-294E-BD9E-03C4F2794E85}">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Z1" authorId="0" shapeId="0" xr:uid="{5CF1C1CE-5A2E-DD4E-8BAE-711D99AF448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A1" authorId="0" shapeId="0" xr:uid="{F3645769-CB60-3849-A933-3DBBA0037D2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B1" authorId="0" shapeId="0" xr:uid="{D1A7E0B4-0F5D-2A4B-BA55-7C398D71CD35}">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C1" authorId="0" shapeId="0" xr:uid="{1F2594D8-84B7-F843-9517-6E6FE6C25F9F}">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D1" authorId="0" shapeId="0" xr:uid="{54F33A99-E0CE-A84C-96D2-10EFF6E910DD}">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E1" authorId="0" shapeId="0" xr:uid="{0A897858-9E19-3148-9225-FF41451AB54E}">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F1" authorId="0" shapeId="0" xr:uid="{C0B75BB6-F59F-464B-8711-D1AFBCB80CD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G1" authorId="0" shapeId="0" xr:uid="{37E10922-F462-BD44-8A73-1930DA9789AF}">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H1" authorId="0" shapeId="0" xr:uid="{0761C727-035D-8F42-AF60-39CE6168EA0B}">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I1" authorId="0" shapeId="0" xr:uid="{9590EF6A-23C0-0C46-9838-ECFBD7DBD85D}">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J1" authorId="0" shapeId="0" xr:uid="{63EB7590-B07D-6042-8F2E-25491185CD35}">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K1" authorId="0" shapeId="0" xr:uid="{68EBFB57-1E18-A34C-A983-D6729A9BB6FF}">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L1" authorId="0" shapeId="0" xr:uid="{8482E5D0-D9F9-974B-9BFB-D41FBBD7E91E}">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M1" authorId="0" shapeId="0" xr:uid="{3F5A3E8F-8C3B-B648-BE53-D80F3E0E153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N1" authorId="0" shapeId="0" xr:uid="{096442E2-ACAC-664B-A47F-FFCDD36A0766}">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O1" authorId="0" shapeId="0" xr:uid="{3105BB1D-2A75-EE48-A4AF-4508683CEFA2}">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P1" authorId="0" shapeId="0" xr:uid="{319409BE-E5E0-8046-9317-C9566C149B3B}">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Q1" authorId="0" shapeId="0" xr:uid="{B3FA908D-C1CC-F540-9234-33EBBF44549C}">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R1" authorId="0" shapeId="0" xr:uid="{545F5601-DCA8-CC48-B8D5-23ACA1D32CDD}">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S1" authorId="0" shapeId="0" xr:uid="{6B4F0FEA-A136-6847-AA5E-C598B2794E24}">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T1" authorId="0" shapeId="0" xr:uid="{A3954896-16CE-F74E-BFCB-E8D679EB32A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U1" authorId="0" shapeId="0" xr:uid="{0E5C63E5-7E36-4C48-9364-EFE396CA42CA}">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V1" authorId="0" shapeId="0" xr:uid="{8EC4EAE3-688D-3345-A8DB-F3D9A3AA0D9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W1" authorId="0" shapeId="0" xr:uid="{A0826429-0677-1A46-A6CA-C968023230A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X1" authorId="0" shapeId="0" xr:uid="{16B688EE-A9D6-8947-B865-456B199FBB2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Y1" authorId="0" shapeId="0" xr:uid="{138B0CCE-3CB9-B149-BCC9-451E2989700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Z1" authorId="0" shapeId="0" xr:uid="{1F3DAA27-F2BD-434F-A01F-15A18850E1B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A1" authorId="0" shapeId="0" xr:uid="{0AC100CF-0D32-514E-9675-09B82C50B06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B1" authorId="0" shapeId="0" xr:uid="{0B3BE908-A4FE-6D47-89BF-E2354A40C5F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C1" authorId="0" shapeId="0" xr:uid="{1905D1FB-2D92-A143-80F3-C1974CCE50A9}">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D1" authorId="0" shapeId="0" xr:uid="{33C1CD52-94F3-5A46-8CB3-D5B261889CA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E1" authorId="0" shapeId="0" xr:uid="{BBFB4887-E648-E64E-A39B-CB88C856939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F1" authorId="0" shapeId="0" xr:uid="{CB983205-B15B-6745-AC2A-553DF56EBAB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G1" authorId="0" shapeId="0" xr:uid="{62E1B825-7B96-864E-A61F-D47F97D34A6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H1" authorId="0" shapeId="0" xr:uid="{38DC59B5-DEE4-6649-914F-1096A2173E6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I1" authorId="0" shapeId="0" xr:uid="{8ED8A339-B341-C14D-938E-62C3B0E9C54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J1" authorId="0" shapeId="0" xr:uid="{00EA6A0A-035C-254D-BD1A-1EB99799693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K1" authorId="0" shapeId="0" xr:uid="{53C3F08A-DDEB-0F4E-B084-BA554244FC5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L1" authorId="0" shapeId="0" xr:uid="{E349AE86-9A73-714A-A663-E6BB338F10B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M1" authorId="0" shapeId="0" xr:uid="{A26DEE1F-D179-BB4D-9FC7-C4D7BC632D0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N1" authorId="0" shapeId="0" xr:uid="{7BF76FF1-9471-E84C-8E94-BBC6CCDB3916}">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O1" authorId="0" shapeId="0" xr:uid="{510201B8-E58C-7A43-8EED-7B50E4C1E25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P1" authorId="0" shapeId="0" xr:uid="{A0CE021D-9CE4-C548-B650-FD049CD99B7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Q1" authorId="0" shapeId="0" xr:uid="{DF171619-CCA7-7948-8936-EF7B92E199B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R1" authorId="0" shapeId="0" xr:uid="{D4BA1AF3-1DF0-C14A-BAF6-DA9662DA454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S1" authorId="0" shapeId="0" xr:uid="{77427758-CE4B-E346-A283-99F07E1CC4B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T1" authorId="0" shapeId="0" xr:uid="{2388B3B6-6A9C-3B49-B033-0B1398F391E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U1" authorId="0" shapeId="0" xr:uid="{9364F15F-846D-8845-8A0F-2F980A65544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V1" authorId="0" shapeId="0" xr:uid="{72C36A5E-486B-F64C-9634-BF2DA87BD9D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W1" authorId="0" shapeId="0" xr:uid="{6504B37F-664E-E84B-A38B-C4C0CD2AC86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X1" authorId="0" shapeId="0" xr:uid="{9B42BBEE-CA44-EC4E-A727-0A16836A2B4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Y1" authorId="0" shapeId="0" xr:uid="{8370AD9A-F90B-4041-BD14-85C3FF47981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Z1" authorId="0" shapeId="0" xr:uid="{E631000F-8AC0-2B4C-9D19-0705897A62B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A1" authorId="0" shapeId="0" xr:uid="{1D077EAB-25B8-9E4C-AFAD-EE8811FE55C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B1" authorId="0" shapeId="0" xr:uid="{F1726787-993D-7042-8772-86F82702C4C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C1" authorId="0" shapeId="0" xr:uid="{59E5475D-36FA-8C4F-8E16-B60D56906BD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D1" authorId="0" shapeId="0" xr:uid="{3B590264-FF07-8E45-9E9A-EE545B7636F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E1" authorId="0" shapeId="0" xr:uid="{34700A2C-CFCD-9946-B738-434C2A9B2D6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F1" authorId="0" shapeId="0" xr:uid="{87929201-8C5B-D346-B2FD-47DA533BCB0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G1" authorId="0" shapeId="0" xr:uid="{917727FB-F799-D74F-847A-54CB39633B4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H1" authorId="0" shapeId="0" xr:uid="{B1B99572-06FB-FF47-B7B3-265DC8322FB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I1" authorId="0" shapeId="0" xr:uid="{587D3D33-C856-1245-BE30-F6E5E43FE9D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J1" authorId="0" shapeId="0" xr:uid="{7DB599C3-9BB8-D74A-8303-56BA0F17C70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K1" authorId="0" shapeId="0" xr:uid="{7693C170-F3C7-A44B-AA07-E4FB7487D0F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L1" authorId="0" shapeId="0" xr:uid="{D6DC91C1-B156-4B40-B196-48D946743CF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M1" authorId="0" shapeId="0" xr:uid="{E5FC4E5B-3C2B-B14D-A813-4A562E437E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N1" authorId="0" shapeId="0" xr:uid="{3BA90644-EAE5-0F4E-8650-80E8CB9FD05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O1" authorId="0" shapeId="0" xr:uid="{4FEC41F4-862A-B14B-B12B-6702CE4B1A5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P1" authorId="0" shapeId="0" xr:uid="{9D37CEDE-08BD-454A-9437-CD0774F087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Q1" authorId="0" shapeId="0" xr:uid="{42986D4F-DA6A-334A-AE7A-41468011AAF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R1" authorId="0" shapeId="0" xr:uid="{8B7A8A11-543D-8C45-A13D-D1BCB99421A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S1" authorId="0" shapeId="0" xr:uid="{6C5B27C6-B75B-C24E-8CCB-6E3E90B9D3C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T1" authorId="0" shapeId="0" xr:uid="{A41A380A-7655-6848-8EAD-084A360ACD0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V1" authorId="0" shapeId="0" xr:uid="{6091563B-AB05-484D-8124-94C0398E8BC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W1" authorId="0" shapeId="0" xr:uid="{D03FE91D-BF5F-344B-BA88-D3ACCBA68D7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X1" authorId="0" shapeId="0" xr:uid="{A9E25BA6-EC1A-874C-B720-8C68F27441C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Z1" authorId="0" shapeId="0" xr:uid="{4025D81F-26B6-CC4C-B341-623316CA64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A1" authorId="0" shapeId="0" xr:uid="{0A473F05-DD70-004D-83C7-C52E1A9F831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B1" authorId="0" shapeId="0" xr:uid="{1D92CA98-FB74-1F40-9188-416A8C7A8E6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D1" authorId="0" shapeId="0" xr:uid="{DFDD1ACE-47BE-AC4E-9D83-4C5E48AB701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E1" authorId="0" shapeId="0" xr:uid="{A11C1B27-DC4F-8746-A90E-A9DAD3F3BC0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F1" authorId="0" shapeId="0" xr:uid="{C60A16CD-B605-5249-9CE2-20AF4D66B42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G1" authorId="0" shapeId="0" xr:uid="{6046CB96-59A6-454F-8444-1CF412B31A9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H1" authorId="0" shapeId="0" xr:uid="{549CF76E-AC18-D74B-AEB1-7887A9F4C14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J1" authorId="0" shapeId="0" xr:uid="{2E600D84-FD41-A14F-A3F6-3BF5099E82F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K1" authorId="0" shapeId="0" xr:uid="{4FEE5A97-6412-E746-AB35-B445999C1F3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L1" authorId="0" shapeId="0" xr:uid="{4704206F-51BE-DC4E-B022-B0BB786FB82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M1" authorId="0" shapeId="0" xr:uid="{EBEFE501-CDBB-624F-9CA8-BFDEC7AF9C3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N1" authorId="0" shapeId="0" xr:uid="{FFACCE45-EE3E-E644-AECB-56BBB20B90D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P1" authorId="0" shapeId="0" xr:uid="{C5EE3931-B534-324B-B38E-B494150C48B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R1" authorId="0" shapeId="0" xr:uid="{4CF1DC63-C6DD-6D4F-826F-C8F16A1C16A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S1" authorId="0" shapeId="0" xr:uid="{3CDEE225-1D57-BC41-ADA0-51BA546250D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T1" authorId="0" shapeId="0" xr:uid="{AD2919D6-BAE8-B240-9403-F2478E61A80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U1" authorId="0" shapeId="0" xr:uid="{76ECC424-2D74-834B-8D4A-1FDF50B46A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V1" authorId="0" shapeId="0" xr:uid="{92E6C7AC-30B7-4748-8BF0-1BAE07390AA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X1" authorId="0" shapeId="0" xr:uid="{DE42C735-06A5-3540-B75B-1BB4338047E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Y1" authorId="0" shapeId="0" xr:uid="{09442065-19F9-544A-8F53-0C2CB77FF0B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Z1" authorId="0" shapeId="0" xr:uid="{D278AFD4-4F68-8441-97EE-36D9E769305A}">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A1" authorId="0" shapeId="0" xr:uid="{4233D34F-1DE9-004D-84AE-BF97B6F8B0F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B1" authorId="0" shapeId="0" xr:uid="{A9A124D5-7FD0-A64A-97F4-AD78824B430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C1" authorId="0" shapeId="0" xr:uid="{42DC7168-2BDC-C84A-A085-998E37EC2E5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D1" authorId="0" shapeId="0" xr:uid="{8716CAD2-3844-8048-952E-27EB035C6AA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E1" authorId="0" shapeId="0" xr:uid="{BEFB395E-F9BD-EC46-AC96-F036CB7F5C5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F1" authorId="0" shapeId="0" xr:uid="{BACF28D1-2611-4845-8EEA-AD8F181252B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G1" authorId="0" shapeId="0" xr:uid="{AF63EA5E-D7C6-E546-AD16-895CBEFE9E0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H1" authorId="0" shapeId="0" xr:uid="{A0974300-E9E5-4540-A02D-5C204A49906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I1" authorId="0" shapeId="0" xr:uid="{2769052D-BCF3-0B40-BCCF-5424E4C116A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J1" authorId="0" shapeId="0" xr:uid="{D3E48A0D-1D91-CF4A-9A50-40716264184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K1" authorId="0" shapeId="0" xr:uid="{80C6B26E-E4F3-3F44-B398-4E8526F5ED3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L1" authorId="0" shapeId="0" xr:uid="{22EA80CD-89B2-2D44-A396-A434D5B302D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M1" authorId="0" shapeId="0" xr:uid="{8E615F49-1A0D-864A-AAA6-6514E6F7B96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N1" authorId="0" shapeId="0" xr:uid="{A6106F12-7FEA-4545-BA7F-C09AFF4346A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O1" authorId="0" shapeId="0" xr:uid="{3C36C6A3-33BC-6942-AA1D-9663A6FDE95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P1" authorId="0" shapeId="0" xr:uid="{5F49B59D-21D3-894B-9D9E-5C3C0125AFD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Q1" authorId="0" shapeId="0" xr:uid="{ED7D465E-6A4D-8449-A37F-D19355CCA2C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R1" authorId="0" shapeId="0" xr:uid="{B5E56661-4C22-2B41-AA5B-875D5346A41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S1" authorId="0" shapeId="0" xr:uid="{000CB98A-CBCB-1449-97D2-206629DD1E0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T1" authorId="0" shapeId="0" xr:uid="{BE064EAB-063A-2E44-9412-2D261843C40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U1" authorId="0" shapeId="0" xr:uid="{6D0E6D1E-2B79-FD4F-AEAE-4A12787B936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V1" authorId="0" shapeId="0" xr:uid="{3586FD14-B615-3D40-8DD6-0FABBD0E784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W1" authorId="0" shapeId="0" xr:uid="{0BB67720-A8D9-194B-8834-038F5B8CB54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X1" authorId="0" shapeId="0" xr:uid="{53E85F89-F583-1E42-B576-37802186DC6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Y1" authorId="0" shapeId="0" xr:uid="{24148D4E-19E1-A747-80CF-F039FBF10F2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Z1" authorId="0" shapeId="0" xr:uid="{9D886145-EE65-FB42-A339-0CB3048AF8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A1" authorId="0" shapeId="0" xr:uid="{B24946AA-14D7-EC48-B9FF-A6067D531B4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B1" authorId="0" shapeId="0" xr:uid="{3D6AF311-672C-1F4E-967D-9FDA51E2C90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C1" authorId="0" shapeId="0" xr:uid="{71FAF8AB-DF45-4647-83D8-F949C17A426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D1" authorId="0" shapeId="0" xr:uid="{25170C3F-A142-0F42-9E3E-6619805AC73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E1" authorId="0" shapeId="0" xr:uid="{9CCAD6A4-5BAD-E945-BAF4-5393429FFDD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F1" authorId="0" shapeId="0" xr:uid="{1020B1C1-6198-7049-971A-5074430A849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G1" authorId="0" shapeId="0" xr:uid="{C64C24CB-B33D-8647-9440-2223EAAA55B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H1" authorId="0" shapeId="0" xr:uid="{69D53E05-08F1-A045-9E38-AF7DD79D00A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I1" authorId="0" shapeId="0" xr:uid="{C0C58BB5-22A6-134A-BA8F-BDE1081E33C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J1" authorId="0" shapeId="0" xr:uid="{F95A78CE-B08E-D449-8D72-2B11E082664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K1" authorId="0" shapeId="0" xr:uid="{4BAD42CB-206D-7A47-9BB6-7EAE7E19280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L1" authorId="0" shapeId="0" xr:uid="{D422767B-974C-D442-B320-A5923D1944F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M1" authorId="0" shapeId="0" xr:uid="{7A3886AE-CE4F-624E-815E-82491434501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N1" authorId="0" shapeId="0" xr:uid="{8169B082-074E-7A4D-89F4-24319550AC1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O1" authorId="0" shapeId="0" xr:uid="{2978F351-F9B7-A343-B044-88CF8CE021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P1" authorId="0" shapeId="0" xr:uid="{8FA5B38C-631B-BD4C-8A32-EC9E061A7CC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Q1" authorId="0" shapeId="0" xr:uid="{6A376498-836C-2B42-8655-56B2C09F2DD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R1" authorId="0" shapeId="0" xr:uid="{985F884D-C8D3-8A40-9637-88B406D317B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S1" authorId="0" shapeId="0" xr:uid="{4538654F-688A-A248-8FF5-E6DCA030BB3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T1" authorId="0" shapeId="0" xr:uid="{9A6F36C1-10F4-D744-A15C-7D844AF0FEE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U1" authorId="0" shapeId="0" xr:uid="{4961AE32-21E6-2346-B5C5-E0521ADEEE8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V1" authorId="0" shapeId="0" xr:uid="{E85FA3AB-09F7-714A-B472-B81443AEA97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W1" authorId="0" shapeId="0" xr:uid="{69CBB472-D50B-434A-80D2-DE4DCE75043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X1" authorId="0" shapeId="0" xr:uid="{C78090EF-95CD-C04B-9A5A-428D69E636B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Y1" authorId="0" shapeId="0" xr:uid="{DC896BBE-B35C-284E-94A9-8EBE2739916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Z1" authorId="0" shapeId="0" xr:uid="{172A6534-5182-FF4E-929C-BFB445B1D9AF}">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A1" authorId="0" shapeId="0" xr:uid="{C87D2ABB-9792-AE45-8330-9930097B32E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B1" authorId="0" shapeId="0" xr:uid="{7CAEF457-B8C2-314A-8728-FC6337275A0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C1" authorId="0" shapeId="0" xr:uid="{7A3F41A9-660F-C442-A377-E1653848E2D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D1" authorId="0" shapeId="0" xr:uid="{12B064F5-3BBA-B846-923D-2BEBF5AB876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E1" authorId="0" shapeId="0" xr:uid="{68A881D7-8A18-1646-A6E4-5E464C345D4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F1" authorId="0" shapeId="0" xr:uid="{32CD300C-0CAE-724A-A4E4-0BCA98A04A9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G1" authorId="0" shapeId="0" xr:uid="{E435365A-FCD6-684C-9656-6731CE43747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H1" authorId="0" shapeId="0" xr:uid="{8BD26DC1-0BF5-C74F-A33E-BE468B6C2C7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I1" authorId="0" shapeId="0" xr:uid="{4A84EAA9-69B4-8A46-BDDC-71C3FDD7EBA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J1" authorId="0" shapeId="0" xr:uid="{C994B16C-0465-A440-834E-098C8589356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K1" authorId="0" shapeId="0" xr:uid="{ADDFDFFE-307D-8A47-81BD-623B3AEEB82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L1" authorId="0" shapeId="0" xr:uid="{89BB3AD7-E15A-2E47-B8BE-ABB1950412B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M1" authorId="0" shapeId="0" xr:uid="{03F147ED-89B5-9B42-960A-FD545E1C0B8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N1" authorId="0" shapeId="0" xr:uid="{9494CC56-9DF1-8C44-911B-40A1163717B2}">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O1" authorId="0" shapeId="0" xr:uid="{A8745C60-47C2-DF4B-A5B7-85A899EDF10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P1" authorId="0" shapeId="0" xr:uid="{7F13A888-A2F0-F143-8E8E-3E333978EB6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Q1" authorId="0" shapeId="0" xr:uid="{DFB2054A-D8E5-E645-B482-9D610A7BE88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R1" authorId="0" shapeId="0" xr:uid="{D77C785C-7EE1-674A-B418-B4F48A1B0B2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S1" authorId="0" shapeId="0" xr:uid="{8FD6164B-A160-434C-98D8-246591F1322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T1" authorId="0" shapeId="0" xr:uid="{D19AEBC9-193A-844E-A1F0-7D3132C7BB2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U1" authorId="0" shapeId="0" xr:uid="{D81A2143-BFFB-EF4B-8FD5-95A19F880FE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V1" authorId="0" shapeId="0" xr:uid="{D84135EA-43DF-B84D-8B65-E9EE67AC27E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W1" authorId="0" shapeId="0" xr:uid="{E40B5C81-7348-694F-A4B7-9D936D36D63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X1" authorId="0" shapeId="0" xr:uid="{0FCD4083-EF74-404E-B5CD-9DE18C292B7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Y1" authorId="0" shapeId="0" xr:uid="{CDFC9D05-54D5-7B43-A1DE-50D212A58EC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Z1" authorId="0" shapeId="0" xr:uid="{BF9CE6DD-9950-E340-B20E-5E3FC4BD3AD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A1" authorId="0" shapeId="0" xr:uid="{4E3DD82B-8E91-724F-9AA7-E3131815AF1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B1" authorId="0" shapeId="0" xr:uid="{0B1364D7-CEFF-A74D-94D5-E1057B41EBF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C1" authorId="0" shapeId="0" xr:uid="{5B7CBC2A-3F83-5B43-8571-53049715760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D1" authorId="0" shapeId="0" xr:uid="{AB5E0E56-0077-AB4D-97A3-9A612F3525E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E1" authorId="0" shapeId="0" xr:uid="{114E82B7-2DA3-9B4C-A19A-E21E88C2363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F1" authorId="0" shapeId="0" xr:uid="{3EC0B75F-CDDA-C34E-9BE9-09E6F20BD36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G1" authorId="0" shapeId="0" xr:uid="{2B256845-B25F-3A46-B22A-78A34FAABAB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H1" authorId="0" shapeId="0" xr:uid="{DEA3A27F-4024-3E46-8323-62EB7CA5CFE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I1" authorId="0" shapeId="0" xr:uid="{07B61204-9407-2748-8F41-AF37C9FAA69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J1" authorId="0" shapeId="0" xr:uid="{2C740C60-FB8B-8449-8A9D-F8BCD2C26B1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K1" authorId="0" shapeId="0" xr:uid="{135BE8A3-38F0-3641-8B19-A42728F73CD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L1" authorId="0" shapeId="0" xr:uid="{69255735-311D-4547-BF26-E7CCD7C921A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M1" authorId="0" shapeId="0" xr:uid="{EAECA11A-1080-C247-938C-81EEDC242EE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N1" authorId="0" shapeId="0" xr:uid="{3A972048-A9B3-F54B-8820-5C307F782C4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O1" authorId="0" shapeId="0" xr:uid="{CC22EF9F-E4DD-4041-BC13-ABEE93FBF57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P1" authorId="0" shapeId="0" xr:uid="{E99932D1-60AE-EA47-B726-33E76DC572D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Q1" authorId="0" shapeId="0" xr:uid="{B4018857-FB17-6946-BF33-6D8695DE89A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R1" authorId="0" shapeId="0" xr:uid="{9891ED16-ECAE-AC43-939B-399A0A26CC8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S1" authorId="0" shapeId="0" xr:uid="{DB650CCF-C8C2-CB46-B371-646EFD2DC47B}">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T1" authorId="0" shapeId="0" xr:uid="{AF87503B-701C-AD43-9AB2-D85491AF9E33}">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U1" authorId="0" shapeId="0" xr:uid="{9EF4ECD2-AB9C-264F-8036-FA827F6B5E8E}">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V1" authorId="0" shapeId="0" xr:uid="{3926BF60-1FC4-9149-9C07-75D91CE1B3D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W1" authorId="0" shapeId="0" xr:uid="{71329C61-CC24-A941-A260-4984C533345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X1" authorId="0" shapeId="0" xr:uid="{BDED3D86-9C61-4D46-B73B-70AFA6B85B0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Y1" authorId="0" shapeId="0" xr:uid="{47F512C9-56F0-8E4C-BA61-2E02C9818A1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Z1" authorId="0" shapeId="0" xr:uid="{315AD1DC-3540-554E-9EFB-7C04A1F954FD}">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A1" authorId="0" shapeId="0" xr:uid="{2A72A26C-A4B9-FF40-B3BB-F4C0E92C35E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B1" authorId="0" shapeId="0" xr:uid="{935A633C-249B-E34B-A634-4A9CA0D5BF8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C1" authorId="0" shapeId="0" xr:uid="{698FD8F5-CADC-E745-8CCD-BD55B4A4B9D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D1" authorId="0" shapeId="0" xr:uid="{EC2173E2-C049-6A46-AFA4-A2E2DDD2C36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E1" authorId="0" shapeId="0" xr:uid="{26A8CE2E-14EE-8549-8330-9313057105D8}">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F1" authorId="0" shapeId="0" xr:uid="{66982796-8064-F042-BB1B-8594FAC9C8B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G1" authorId="0" shapeId="0" xr:uid="{A82843E0-0BB3-C442-847D-F084C2B3B24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H1" authorId="0" shapeId="0" xr:uid="{91C0547C-0849-3840-9E42-77ECEF33AF3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I1" authorId="0" shapeId="0" xr:uid="{386EFE8E-607D-6B41-8457-E2DC6D2D4A0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J1" authorId="0" shapeId="0" xr:uid="{95850623-535A-C741-8030-81ACF7686F9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K1" authorId="0" shapeId="0" xr:uid="{1C0E38CD-F542-D14A-83AA-E48C57DC607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L1" authorId="0" shapeId="0" xr:uid="{65E35A5E-79DE-6144-BD14-6961E904AE9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M1" authorId="0" shapeId="0" xr:uid="{D4F9D12C-5519-064E-8DC8-3B095B3EAC8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N1" authorId="0" shapeId="0" xr:uid="{7F21CABB-420C-1C47-9AB4-26973A5F50A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O1" authorId="0" shapeId="0" xr:uid="{DBC1674D-847A-A644-B116-5C41B3C9089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P1" authorId="0" shapeId="0" xr:uid="{5B322302-DC0E-5D47-8AED-5F3E87DF226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Q1" authorId="0" shapeId="0" xr:uid="{E7AD9248-6462-4644-832B-7901938D08E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R1" authorId="0" shapeId="0" xr:uid="{811DF980-D834-C747-8532-A3C8AAAB58CA}">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S1" authorId="0" shapeId="0" xr:uid="{DE351FC9-D333-2243-9CFE-86CF2E7953D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T1" authorId="0" shapeId="0" xr:uid="{F4B6F3B4-7732-0C49-83CF-ABBC99E7937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U1" authorId="0" shapeId="0" xr:uid="{D0793AEF-5D0B-1E43-9EED-778E6BE86D0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V1" authorId="0" shapeId="0" xr:uid="{C4EA20D6-E672-774D-900E-5F8CED04946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W1" authorId="0" shapeId="0" xr:uid="{27DFDC41-3F85-774E-ADEC-F89742F9CC7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X1" authorId="0" shapeId="0" xr:uid="{BEE66A22-70AB-A64E-957A-928E0C688C3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Y1" authorId="0" shapeId="0" xr:uid="{F82A3A86-4CD2-D649-AC11-F4601F8F36D2}">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Z1" authorId="0" shapeId="0" xr:uid="{74CEF2DF-14B5-AA4A-B309-D919615A155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A1" authorId="0" shapeId="0" xr:uid="{141E3EE1-AF8E-3F4A-B5D6-C23ACE56057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B1" authorId="0" shapeId="0" xr:uid="{90CAE81C-4DE4-E041-9678-B306332EA18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C1" authorId="0" shapeId="0" xr:uid="{91C9BCBA-64E1-9B4C-BC03-B6370FFEBA1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D1" authorId="0" shapeId="0" xr:uid="{B3A68A33-D808-6F4A-B4D8-C68DD9ACC2B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E1" authorId="0" shapeId="0" xr:uid="{C7236066-1E05-DA41-B406-465AFF6AA57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F1" authorId="0" shapeId="0" xr:uid="{23AF2304-A23F-5E4F-9336-42EF2C9BD70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G1" authorId="0" shapeId="0" xr:uid="{814C2637-0769-BF40-8642-949AB3CBB1C7}">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H1" authorId="0" shapeId="0" xr:uid="{FA9F5873-A7EF-DA4B-B6AA-E0317ED47FF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I1" authorId="0" shapeId="0" xr:uid="{F1AD1F74-42DB-6745-96F5-974E9C6BDD0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J1" authorId="0" shapeId="0" xr:uid="{65D6A3DD-8542-DC47-8D4D-FF651C34E7B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K1" authorId="0" shapeId="0" xr:uid="{CAA53415-4E88-404B-9780-C7645003D4B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L1" authorId="0" shapeId="0" xr:uid="{BF551ACB-D41F-534A-9ACA-E2F011D697E1}">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M1" authorId="0" shapeId="0" xr:uid="{73A76E3E-938D-2149-9570-1B9D67619309}">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N1" authorId="0" shapeId="0" xr:uid="{2EB3401A-75FA-8B47-8225-4DDA42E5421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O1" authorId="0" shapeId="0" xr:uid="{F1F1FC31-9E4A-A747-9EAC-58EC5772EB0E}">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P1" authorId="0" shapeId="0" xr:uid="{F60316CB-F91F-A84E-A542-3095AA9F869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Q1" authorId="0" shapeId="0" xr:uid="{84AF1C7F-B5E7-804D-9D64-F3CD38A651E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R1" authorId="0" shapeId="0" xr:uid="{A4C2BDAA-4C60-F343-B65D-2C58285E6F55}">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S1" authorId="0" shapeId="0" xr:uid="{7BD7118C-F905-0E48-B89A-B6C1CB318017}">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T1" authorId="0" shapeId="0" xr:uid="{1F18159A-DD26-AA47-848F-484FD3EE66D4}">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U1" authorId="0" shapeId="0" xr:uid="{1E950BC9-2A1D-3B42-9EC7-37D434939366}">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V1" authorId="0" shapeId="0" xr:uid="{0D5C25FD-AE3B-564E-AEB3-04EE90D0F0C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W1" authorId="0" shapeId="0" xr:uid="{12DC5177-E28F-1940-95E7-1A0C23EAC25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X1" authorId="0" shapeId="0" xr:uid="{0AA57005-ED7E-A64A-A10A-4522E5D231E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Y1" authorId="0" shapeId="0" xr:uid="{6A5217AC-9E79-8241-B34C-D1A30F47905B}">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Z1" authorId="0" shapeId="0" xr:uid="{848AA9C7-65BF-5F40-962D-B44A246C6B0C}">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NA1" authorId="0" shapeId="0" xr:uid="{CD79C378-51C2-E24E-B1E7-D4988052C3B3}">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Клюбердина Наталья Сергеевна</author>
    <author>Эльза</author>
  </authors>
  <commentList>
    <comment ref="BM338" authorId="0" shapeId="0" xr:uid="{2E7CA428-B531-1D41-81CC-67CA40B3395C}">
      <text>
        <r>
          <rPr>
            <b/>
            <sz val="9"/>
            <color indexed="81"/>
            <rFont val="Tahoma"/>
            <family val="2"/>
            <charset val="204"/>
          </rPr>
          <t>Клюбердина Наталья Сергеевна:</t>
        </r>
        <r>
          <rPr>
            <sz val="9"/>
            <color indexed="81"/>
            <rFont val="Tahoma"/>
            <family val="2"/>
            <charset val="204"/>
          </rPr>
          <t xml:space="preserve">
Это относится к 2022 году или к 2023? </t>
        </r>
      </text>
    </comment>
    <comment ref="AL395" authorId="1" shapeId="0" xr:uid="{875D1843-6F06-154A-B519-FB9AB0B0D16E}">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- 346,76
</t>
        </r>
        <r>
          <rPr>
            <b/>
            <sz val="9"/>
            <color rgb="FF000000"/>
            <rFont val="Tahoma"/>
            <family val="2"/>
            <charset val="204"/>
          </rPr>
          <t xml:space="preserve">1.2. Иной межбюджетный трансфер (Всероссийский конкурс) - 59,7 0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- 52,15
</t>
        </r>
        <r>
          <rPr>
            <b/>
            <sz val="9"/>
            <color rgb="FF000000"/>
            <rFont val="Tahoma"/>
            <family val="2"/>
            <charset val="204"/>
          </rPr>
          <t xml:space="preserve">3. ФЦП Увековечение памяти погибших при защите Отечества - 2,84
</t>
        </r>
        <r>
          <rPr>
            <b/>
            <sz val="9"/>
            <color rgb="FF000000"/>
            <rFont val="Tahoma"/>
            <family val="2"/>
            <charset val="204"/>
          </rPr>
          <t xml:space="preserve">4.Умный город - 1,05
</t>
        </r>
        <r>
          <rPr>
            <b/>
            <sz val="9"/>
            <color rgb="FF000000"/>
            <rFont val="Tahoma"/>
            <family val="2"/>
            <charset val="204"/>
          </rPr>
          <t xml:space="preserve">5.Информ освещение - 0,5
</t>
        </r>
        <r>
          <rPr>
            <b/>
            <sz val="9"/>
            <color rgb="FF000000"/>
            <rFont val="Tahoma"/>
            <family val="2"/>
            <charset val="204"/>
          </rPr>
          <t xml:space="preserve">6.предтавление субсидий ОГКП - 7,56
</t>
        </r>
        <r>
          <rPr>
            <b/>
            <sz val="9"/>
            <color rgb="FF000000"/>
            <rFont val="Tahoma"/>
            <family val="2"/>
            <charset val="204"/>
          </rPr>
          <t xml:space="preserve">
</t>
        </r>
        <r>
          <rPr>
            <b/>
            <sz val="9"/>
            <color rgb="FF000000"/>
            <rFont val="Tahoma"/>
            <family val="2"/>
            <charset val="204"/>
          </rPr>
          <t xml:space="preserve">
</t>
        </r>
      </text>
    </comment>
    <comment ref="AN395" authorId="1" shapeId="0" xr:uid="{6294C8D7-784A-2944-B2E2-1E9C7C65C2FD}">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- 9,9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- 49,43
</t>
        </r>
        <r>
          <rPr>
            <b/>
            <sz val="9"/>
            <color rgb="FF000000"/>
            <rFont val="Tahoma"/>
            <family val="2"/>
            <charset val="204"/>
          </rPr>
          <t xml:space="preserve">3. ФЦП Увековечение памяти погибших при защите Отечества - 0,53
</t>
        </r>
        <r>
          <rPr>
            <b/>
            <sz val="9"/>
            <color rgb="FF000000"/>
            <rFont val="Tahoma"/>
            <family val="2"/>
            <charset val="204"/>
          </rPr>
          <t xml:space="preserve">4.Умный город - 1,0
</t>
        </r>
        <r>
          <rPr>
            <b/>
            <sz val="9"/>
            <color rgb="FF000000"/>
            <rFont val="Tahoma"/>
            <family val="2"/>
            <charset val="204"/>
          </rPr>
          <t xml:space="preserve">5.Информ освещение - 0,5
</t>
        </r>
        <r>
          <rPr>
            <b/>
            <sz val="9"/>
            <color rgb="FF000000"/>
            <rFont val="Tahoma"/>
            <family val="2"/>
            <charset val="204"/>
          </rPr>
          <t xml:space="preserve">6.предтавление субсидий ОГКП - 7,56
</t>
        </r>
      </text>
    </comment>
    <comment ref="AO395" authorId="1" shapeId="0" xr:uid="{376E2560-1AC9-BD4E-825D-205FBE32F214}">
      <text>
        <r>
          <rPr>
            <b/>
            <sz val="9"/>
            <color rgb="FF000000"/>
            <rFont val="Tahoma"/>
            <family val="2"/>
            <charset val="204"/>
          </rPr>
          <t>соотношение ко всей сумме, предусмотренной в Соглашениях с МО</t>
        </r>
        <r>
          <rPr>
            <sz val="9"/>
            <color rgb="FF000000"/>
            <rFont val="Tahoma"/>
            <family val="2"/>
            <charset val="204"/>
          </rPr>
          <t xml:space="preserve">
</t>
        </r>
      </text>
    </comment>
    <comment ref="AP395" authorId="1" shapeId="0" xr:uid="{5D179984-715F-A44F-AAAD-33CBBFA19E6B}">
      <text>
        <r>
          <rPr>
            <b/>
            <sz val="9"/>
            <color rgb="FF000000"/>
            <rFont val="Tahoma"/>
            <family val="2"/>
            <charset val="204"/>
          </rPr>
          <t>соотношение ко всей сумме, предусмотренной в Соглашениях с МО</t>
        </r>
        <r>
          <rPr>
            <sz val="9"/>
            <color rgb="FF000000"/>
            <rFont val="Tahoma"/>
            <family val="2"/>
            <charset val="204"/>
          </rPr>
          <t xml:space="preserve">
</t>
        </r>
      </text>
    </comment>
    <comment ref="AQ395" authorId="1" shapeId="0" xr:uid="{DE3F4901-57A5-8F4A-A7D7-7498D19105DE}">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- 17,4
</t>
        </r>
        <r>
          <rPr>
            <b/>
            <sz val="9"/>
            <color rgb="FF000000"/>
            <rFont val="Tahoma"/>
            <family val="2"/>
            <charset val="204"/>
          </rPr>
          <t xml:space="preserve">(ОБЛАСТНЫЕ ПРОЕКТЫ:)
</t>
        </r>
        <r>
          <rPr>
            <b/>
            <sz val="9"/>
            <color rgb="FF000000"/>
            <rFont val="Tahoma"/>
            <family val="2"/>
            <charset val="204"/>
          </rPr>
          <t xml:space="preserve">2. Благоустройство населен пунктов - 2,73
</t>
        </r>
        <r>
          <rPr>
            <b/>
            <sz val="9"/>
            <color rgb="FF000000"/>
            <rFont val="Tahoma"/>
            <family val="2"/>
            <charset val="204"/>
          </rPr>
          <t xml:space="preserve">3. ФЦП Увековечение памяти погибших при защите Отечества - 0,14
</t>
        </r>
        <r>
          <rPr>
            <b/>
            <sz val="9"/>
            <color rgb="FF000000"/>
            <rFont val="Tahoma"/>
            <family val="2"/>
            <charset val="204"/>
          </rPr>
          <t xml:space="preserve">4.Умный город - 0,05
</t>
        </r>
        <r>
          <rPr>
            <b/>
            <sz val="9"/>
            <color rgb="FF000000"/>
            <rFont val="Tahoma"/>
            <family val="2"/>
            <charset val="204"/>
          </rPr>
          <t xml:space="preserve">5.Информ освещение - 0,0
</t>
        </r>
        <r>
          <rPr>
            <b/>
            <sz val="9"/>
            <color rgb="FF000000"/>
            <rFont val="Tahoma"/>
            <family val="2"/>
            <charset val="204"/>
          </rPr>
          <t xml:space="preserve">6.предтавление субсидий ОГКП - 0,0
</t>
        </r>
      </text>
    </comment>
    <comment ref="AR395" authorId="1" shapeId="0" xr:uid="{3837B995-E5C7-2A42-B42E-A7075661FE1B}">
      <text>
        <r>
          <rPr>
            <b/>
            <sz val="9"/>
            <color rgb="FF000000"/>
            <rFont val="Tahoma"/>
            <family val="2"/>
            <charset val="204"/>
          </rPr>
          <t>соотношение ко всей сумме, предусмотренной в Соглашениях с МО</t>
        </r>
        <r>
          <rPr>
            <sz val="9"/>
            <color rgb="FF000000"/>
            <rFont val="Tahoma"/>
            <family val="2"/>
            <charset val="204"/>
          </rPr>
          <t xml:space="preserve">
</t>
        </r>
      </text>
    </comment>
    <comment ref="AX395" authorId="1" shapeId="0" xr:uid="{6E746BDC-A213-0949-AE22-C9B3208560A7}">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319,467  (97% средств федерального бюджета предусмотрено Соглашении от 24.12.2021 № 069-09-2022-607, заключенного с Минтроем РФ)
</t>
        </r>
        <r>
          <rPr>
            <b/>
            <sz val="9"/>
            <color rgb="FF000000"/>
            <rFont val="Tahoma"/>
            <family val="2"/>
            <charset val="204"/>
          </rPr>
          <t xml:space="preserve">1.2. Иной межбюджетный трансфер (Всероссийский конкурс) – 59,7 (100% средств федерального бюджета предусмотрено    в Доп.Соглашении от 17.08.2022  № 069-17-2022-056/2, заключенного с Минтроем РФ)
</t>
        </r>
        <r>
          <rPr>
            <b/>
            <sz val="9"/>
            <color rgb="FF000000"/>
            <rFont val="Tahoma"/>
            <family val="2"/>
            <charset val="204"/>
          </rPr>
          <t xml:space="preserve">3. ФЦП Увековечение памяти погибших при защите Отечества – 2,157 (80% федерального бюджета предусмотрено в Доп.Соглашении от 27.12.2021 № 187-09-2020-030/4 , заключенного с Минобороной РФ)
</t>
        </r>
        <r>
          <rPr>
            <b/>
            <sz val="9"/>
            <color rgb="FF000000"/>
            <rFont val="Tahoma"/>
            <family val="2"/>
            <charset val="204"/>
          </rPr>
          <t xml:space="preserve">
</t>
        </r>
        <r>
          <rPr>
            <sz val="9"/>
            <color rgb="FF000000"/>
            <rFont val="Tahoma"/>
            <family val="2"/>
            <charset val="204"/>
          </rPr>
          <t xml:space="preserve">
</t>
        </r>
      </text>
    </comment>
    <comment ref="AY395" authorId="1" shapeId="0" xr:uid="{3271776B-5196-8E47-AE55-6D5E38372DDB}">
      <text>
        <r>
          <rPr>
            <sz val="9"/>
            <color indexed="81"/>
            <rFont val="Tahoma"/>
            <family val="2"/>
            <charset val="204"/>
          </rPr>
          <t xml:space="preserve">Процентное соотношение ко всей сумме, предусмотренной в Соглашениях с МО
</t>
        </r>
      </text>
    </comment>
    <comment ref="BI395" authorId="1" shapeId="0" xr:uid="{8277A1CE-3C60-4D46-8556-568D9DB0FB84}">
      <text>
        <r>
          <rPr>
            <b/>
            <sz val="9"/>
            <color indexed="81"/>
            <rFont val="Tahoma"/>
            <family val="2"/>
            <charset val="204"/>
          </rPr>
          <t>В госпрограмме в 2023 году запланировано 838,2 млн рублей, в том числе из ФБ - 713,6 млн руб и  из ОБ 124,5</t>
        </r>
        <r>
          <rPr>
            <sz val="9"/>
            <color indexed="81"/>
            <rFont val="Tahoma"/>
            <family val="2"/>
            <charset val="204"/>
          </rPr>
          <t xml:space="preserve">
</t>
        </r>
      </text>
    </comment>
    <comment ref="BU395" authorId="1" shapeId="0" xr:uid="{C5A6D53A-8A45-6D4F-AF08-FCF0FB924BAE}">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- 90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- 11</t>
        </r>
        <r>
          <rPr>
            <sz val="9"/>
            <color rgb="FF000000"/>
            <rFont val="Tahoma"/>
            <family val="2"/>
            <charset val="204"/>
          </rPr>
          <t xml:space="preserve">
</t>
        </r>
      </text>
    </comment>
    <comment ref="BW395" authorId="1" shapeId="0" xr:uid="{02783A3E-5398-C54B-B677-B60D903CEA1D}">
      <text>
        <r>
          <rPr>
            <b/>
            <sz val="9"/>
            <color rgb="FF000000"/>
            <rFont val="Tahoma"/>
            <family val="2"/>
            <charset val="204"/>
          </rPr>
          <t xml:space="preserve">В том числе:
</t>
        </r>
        <r>
          <rPr>
            <b/>
            <sz val="9"/>
            <color rgb="FF000000"/>
            <rFont val="Tahoma"/>
            <family val="2"/>
            <charset val="204"/>
          </rPr>
          <t xml:space="preserve">1. В рамках национального проекта:
</t>
        </r>
        <r>
          <rPr>
            <b/>
            <sz val="9"/>
            <color rgb="FF000000"/>
            <rFont val="Tahoma"/>
            <family val="2"/>
            <charset val="204"/>
          </rPr>
          <t xml:space="preserve">1.1. формирование комфортной городской среды - 90 дворовых территорий
</t>
        </r>
        <r>
          <rPr>
            <b/>
            <sz val="9"/>
            <color rgb="FF000000"/>
            <rFont val="Tahoma"/>
            <family val="2"/>
            <charset val="204"/>
          </rPr>
          <t xml:space="preserve">2. За счет областных средств 
</t>
        </r>
        <r>
          <rPr>
            <b/>
            <sz val="9"/>
            <color rgb="FF000000"/>
            <rFont val="Tahoma"/>
            <family val="2"/>
            <charset val="204"/>
          </rPr>
          <t>2.1 Благоустройство населенных пунктов - 43</t>
        </r>
        <r>
          <rPr>
            <sz val="9"/>
            <color rgb="FF000000"/>
            <rFont val="Tahoma"/>
            <family val="2"/>
            <charset val="204"/>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<sst xmlns="http://schemas.openxmlformats.org/spreadsheetml/2006/main" count="58214" uniqueCount="9662">
  <si>
    <t>№</t>
  </si>
  <si>
    <t>Параметр</t>
  </si>
  <si>
    <t>№№</t>
  </si>
  <si>
    <t xml:space="preserve">Детализация </t>
  </si>
  <si>
    <t>Формат / Единица измерения</t>
  </si>
  <si>
    <t>1.</t>
  </si>
  <si>
    <t>2.</t>
  </si>
  <si>
    <t>3.</t>
  </si>
  <si>
    <t>4.</t>
  </si>
  <si>
    <t>5.</t>
  </si>
  <si>
    <t>6.</t>
  </si>
  <si>
    <t>0.</t>
  </si>
  <si>
    <t>Субъект РФ</t>
  </si>
  <si>
    <t>0.1.</t>
  </si>
  <si>
    <t>Субъект РФ (наименование)</t>
  </si>
  <si>
    <t>текст</t>
  </si>
  <si>
    <t>1.1.</t>
  </si>
  <si>
    <t>В официальных документах (законах, распоряжениях и постановлениях правительства, и иных нормативных правовых актах)</t>
  </si>
  <si>
    <t>1.2.</t>
  </si>
  <si>
    <t>Публичное название (бренд, применяемый в рекламных или информационных целях, если отличается)</t>
  </si>
  <si>
    <t>Год начала реализации практики</t>
  </si>
  <si>
    <t>2.1.</t>
  </si>
  <si>
    <t>Год, с которого было начато финансовое обеспечение практики ИБ в субъекте РФ</t>
  </si>
  <si>
    <t>год</t>
  </si>
  <si>
    <t>Период реализации практики</t>
  </si>
  <si>
    <t>3.1.</t>
  </si>
  <si>
    <t>Даты начала и завершения мероприятий по выбору и реализации проектов ИБ, финансовое обеспечение которых осуществлялось в 2022 году</t>
  </si>
  <si>
    <t>Начало: дд.мм.гг</t>
  </si>
  <si>
    <t>Завершение: дд.мм.гг</t>
  </si>
  <si>
    <t xml:space="preserve">Нормативно-правовое регулирование практики </t>
  </si>
  <si>
    <t>4.1.</t>
  </si>
  <si>
    <t>Полное название госпрограммы субъекта РФ и соответствующий раздел (подпрограмма, направление, мероприятие)
(при наличии)</t>
  </si>
  <si>
    <t>4.2.</t>
  </si>
  <si>
    <t>Дата и реквизиты постановления / распоряжения, на основании которого мероприятия практики впервые были закреплены в составе указанной госпрограммы</t>
  </si>
  <si>
    <t>ссылка</t>
  </si>
  <si>
    <t>4.3.</t>
  </si>
  <si>
    <t>Непрограммный источник, в котором указаны бюджетные ассигнования, направляемые на реализацию проектов ИБ (при наличии)</t>
  </si>
  <si>
    <t>4.4.</t>
  </si>
  <si>
    <t>Закон субъекта РФ об инициативном бюджетировании</t>
  </si>
  <si>
    <t>4.5.</t>
  </si>
  <si>
    <t>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t>
  </si>
  <si>
    <t>4.6.</t>
  </si>
  <si>
    <t>Другие НПА, регулирующие практику в субъекте РФ (при наличии)</t>
  </si>
  <si>
    <t>Администрирование практики</t>
  </si>
  <si>
    <t>5.1.</t>
  </si>
  <si>
    <t>Региональный орган исполнительной власти, ответственный за реализацию практики в субъекте РФ</t>
  </si>
  <si>
    <t>ГРБС, форма предоставления бюджетных ассигнований на реализацию проектов, получатели бюджетных средств</t>
  </si>
  <si>
    <t>6.1.</t>
  </si>
  <si>
    <t>Главный распорядитель / распорядители бюджетных средств на проекты ИБ, инициативные проекты</t>
  </si>
  <si>
    <t>6.2.</t>
  </si>
  <si>
    <t>Форма предоставления бюджетных ассигнований (гранты, субсидии или иные формы)</t>
  </si>
  <si>
    <t>6.3.</t>
  </si>
  <si>
    <t xml:space="preserve">Непосредственный получатель / получатели бюджетных средств </t>
  </si>
  <si>
    <t>7.</t>
  </si>
  <si>
    <t>Общая стоимость проектов ИБ, инициативных проектов в 2022 году</t>
  </si>
  <si>
    <t>7.1.</t>
  </si>
  <si>
    <t>Общий объем средств, направленных из различных источников на финансовое обеспечение проектов (показатель рассчитывается автоматически)</t>
  </si>
  <si>
    <t>млн руб.</t>
  </si>
  <si>
    <t>7.A.</t>
  </si>
  <si>
    <t>бюджетные ассигнования на реализацию проектов из бюджета субъекта РФ</t>
  </si>
  <si>
    <t>7.A.1.</t>
  </si>
  <si>
    <t>Объем ассигнований из бюджета субъекта РФ на финансовое обеспечение проектов в 2022 году</t>
  </si>
  <si>
    <t>7.A.2.</t>
  </si>
  <si>
    <t>Доля этих средств в общей стоимости проектов</t>
  </si>
  <si>
    <t>%</t>
  </si>
  <si>
    <t>7.A.3.</t>
  </si>
  <si>
    <t>Доля указанных бюджетных ассигнований в бюджете субъекта РФ на 2022 год</t>
  </si>
  <si>
    <t>7.B.</t>
  </si>
  <si>
    <t>бюджетные ассигнования на реализацию проектов из бюджетов муниципальных образований</t>
  </si>
  <si>
    <t>7.B.1.</t>
  </si>
  <si>
    <t xml:space="preserve">Объем ассигнований из бюджетов муниципальных образований на финансовое обеспечение проектов в 2022 году </t>
  </si>
  <si>
    <t>7.B.2.</t>
  </si>
  <si>
    <t>7.C.</t>
  </si>
  <si>
    <t>средства софинансирования со стороны граждан</t>
  </si>
  <si>
    <t>7.C.1.</t>
  </si>
  <si>
    <t>Объем средств софинансирования со стороны граждан на финансовое обеспечение проектов в 2022 году</t>
  </si>
  <si>
    <t>7.C.2.</t>
  </si>
  <si>
    <t>7.D.</t>
  </si>
  <si>
    <t>средства софинансирования со стороны юридических лиц и индивидуальных предпринимателей</t>
  </si>
  <si>
    <t>7.D.1.</t>
  </si>
  <si>
    <t>Объем средств софинансирования со стороны юридических лиц и индивидуальных предпринимателей на финансовое обеспечение проектов в 2022 году</t>
  </si>
  <si>
    <t>7.D.2.</t>
  </si>
  <si>
    <t>7.Е.</t>
  </si>
  <si>
    <t xml:space="preserve">инициативные платежи граждан и юридических лиц </t>
  </si>
  <si>
    <t>7.Е.1.</t>
  </si>
  <si>
    <t>7.Е.2.</t>
  </si>
  <si>
    <t>7.F.</t>
  </si>
  <si>
    <t>объемы финансирования с использованием субсидии из федерального бюджета</t>
  </si>
  <si>
    <t>7.F.1.</t>
  </si>
  <si>
    <t>Объем субсидий из федерального бюджета, направленный на финансовое обеспечение проектов  в 2022 году</t>
  </si>
  <si>
    <t>7.F.2.</t>
  </si>
  <si>
    <t xml:space="preserve">Доля этих средств в общей стоимости проектов </t>
  </si>
  <si>
    <t>7.F.3.</t>
  </si>
  <si>
    <t>Наименование госпрограмм / национальных (федеральных) проектов, в рамках которых были получены субсидии из федерального бюджета</t>
  </si>
  <si>
    <t>7.F.4.</t>
  </si>
  <si>
    <t>Федеральный орган исполнительной власти – распорядитель указанных бюджетных средств</t>
  </si>
  <si>
    <t>7.F.5.</t>
  </si>
  <si>
    <t>Орган исполнительной власти субъекта РФ – получатель указанных бюджетных средств</t>
  </si>
  <si>
    <t>7.G.</t>
  </si>
  <si>
    <t>Нефинансовый вклад со стороны граждан, индивидуальных предпринимателей и юридических лиц</t>
  </si>
  <si>
    <t>7.G.1.</t>
  </si>
  <si>
    <t>В случае, если такой вклад не предусмотрен НПА, ответ «нет»</t>
  </si>
  <si>
    <t>да / нет</t>
  </si>
  <si>
    <t>7.G.2.</t>
  </si>
  <si>
    <t>В случае если такой вклад предусмотрен, описание его формы и используемой методики финансовой оценки</t>
  </si>
  <si>
    <t>7.G.3.</t>
  </si>
  <si>
    <t>Финансовая оценка вклада граждан, индивидуальных предпринимателей и юридических лиц, если такая оценка проводилась</t>
  </si>
  <si>
    <t>8.</t>
  </si>
  <si>
    <t>Планы финансирования практики из бюджета субъекта РФ на 2023 год</t>
  </si>
  <si>
    <t>8.1.</t>
  </si>
  <si>
    <t>Объем бюджетных ассигнований из бюджета субъекта РФ, которые запланированы на реализацию проектов в рамках практики в 2023 году</t>
  </si>
  <si>
    <t>8.2.</t>
  </si>
  <si>
    <t>Доля указанных бюджетных средств в общем объеме расходов бюджета субъекта РФ на 2023 год</t>
  </si>
  <si>
    <t>9.</t>
  </si>
  <si>
    <t>Динамика отбора: выдвинутые проектные идеи, поддержанные и отобранные проектные заявки</t>
  </si>
  <si>
    <t>9.1.</t>
  </si>
  <si>
    <t>Количество проектных идей, выдвинутых гражданами в ходе первичных встреч, анкетирования, через интернет или другим способом, если такая статистика велась</t>
  </si>
  <si>
    <t>число</t>
  </si>
  <si>
    <t>9.2.</t>
  </si>
  <si>
    <t xml:space="preserve">Количество поддержанных гражданами проектных заявок, прошедших технический анализ и зарегистрированных для участия в конкурсных процедурах </t>
  </si>
  <si>
    <t>9.3.</t>
  </si>
  <si>
    <t>Количество проектных заявок, отобранных в ходе конкурсных процедур для финансирования</t>
  </si>
  <si>
    <t>10.</t>
  </si>
  <si>
    <t>Типология проектов ИБ, инициативных проектов, финансовое обеспечение которых осуществлялось в 2022 году</t>
  </si>
  <si>
    <t>10.1.</t>
  </si>
  <si>
    <t>Водоснабжение, водоотведение</t>
  </si>
  <si>
    <t>10.2.</t>
  </si>
  <si>
    <t>Автомобильные дороги, тротуары, пешеходные переходы, остановки</t>
  </si>
  <si>
    <t>10.3.</t>
  </si>
  <si>
    <t>Уличное освещение</t>
  </si>
  <si>
    <t>10.4.</t>
  </si>
  <si>
    <t>Пожарная безопасность</t>
  </si>
  <si>
    <t>10.5.</t>
  </si>
  <si>
    <t>Проекты в сфере бытового обслуживания населения</t>
  </si>
  <si>
    <t>10.6.</t>
  </si>
  <si>
    <t>Культурное наследие (памятники, мемориалы, музеи)</t>
  </si>
  <si>
    <t>10.7.</t>
  </si>
  <si>
    <t>Проекты в сфере образования (отобранные без прямого участия школьников)</t>
  </si>
  <si>
    <t>10.8.</t>
  </si>
  <si>
    <t>Проекты в сфере культуры, библиотечного дела, ремонт домов культуры</t>
  </si>
  <si>
    <t>10.9.</t>
  </si>
  <si>
    <t>Физическая культура и массовый спорт</t>
  </si>
  <si>
    <t>10.10.</t>
  </si>
  <si>
    <t>Благоустройство дворовых территорий, в том числе включающее несколько видов работ</t>
  </si>
  <si>
    <t>10.11.</t>
  </si>
  <si>
    <t>Детские игровые площадки</t>
  </si>
  <si>
    <t>10.12.</t>
  </si>
  <si>
    <t>Места массового отдыха и объекты организации благоустройства</t>
  </si>
  <si>
    <t>10.13.</t>
  </si>
  <si>
    <t>Обустройство мест захоронений</t>
  </si>
  <si>
    <t>10.14.</t>
  </si>
  <si>
    <t>Организация сбора твердых коммунальных отходов и мусора</t>
  </si>
  <si>
    <t>10.15.</t>
  </si>
  <si>
    <t>Событийные проекты (праздники, фестивали)</t>
  </si>
  <si>
    <t>10.16.</t>
  </si>
  <si>
    <t xml:space="preserve">Проекты ЖКХ, ремонт многоквартирных домов </t>
  </si>
  <si>
    <t>10.17.</t>
  </si>
  <si>
    <t>Крупные инфраструктурные проекты (мосты, плотины, водоёмы)</t>
  </si>
  <si>
    <t>10.18.</t>
  </si>
  <si>
    <t>Приобретение оборудования, крупногабаритного транспорта (микроавтобусы, трактора) и специализированной техники (для уборки снега и пр.)</t>
  </si>
  <si>
    <t>10.19.</t>
  </si>
  <si>
    <t>Проекты, направленные на уязвимые социальные группы и граждан с ограниченными возможностями</t>
  </si>
  <si>
    <t>10.20.</t>
  </si>
  <si>
    <t>Проекты школьного и молодежного инициативного бюджетирования</t>
  </si>
  <si>
    <t>10.21.</t>
  </si>
  <si>
    <t>Социальные проекты (занятость, безработица, бездомные)</t>
  </si>
  <si>
    <t>10.22.</t>
  </si>
  <si>
    <t>Проекты в сфере охраны окружающей среды</t>
  </si>
  <si>
    <t>10.23.</t>
  </si>
  <si>
    <t xml:space="preserve">Проекты туристической инфраструктуры </t>
  </si>
  <si>
    <t>10.24.</t>
  </si>
  <si>
    <t>Другое (опишите  _________________ )</t>
  </si>
  <si>
    <t>10.25.</t>
  </si>
  <si>
    <t>число; сумма ячеек Е44:Е64</t>
  </si>
  <si>
    <t>11.</t>
  </si>
  <si>
    <t>Количество благополучателей от реализации проектов, финансовое обеспечение которых осуществлялось в 2022 году</t>
  </si>
  <si>
    <t>11.1.</t>
  </si>
  <si>
    <t>Количество благополучателей от релизации проектов</t>
  </si>
  <si>
    <t>тыс. человек</t>
  </si>
  <si>
    <t>11.2.</t>
  </si>
  <si>
    <t>Описание методики подсчета благополучателей или ссылка на неё (без методики подсчета благополучателей показатель не будет учитываться)</t>
  </si>
  <si>
    <t>11.3.</t>
  </si>
  <si>
    <t xml:space="preserve">Доля благополучателей от общего количества жителей субъекта РФ </t>
  </si>
  <si>
    <t>11.4.</t>
  </si>
  <si>
    <t>Общее количество граждан, проживавших в субъекте РФ на 1 января 2022 года, или средняя численность за 2022 год. Указать источник статистики о количестве жителей</t>
  </si>
  <si>
    <t>12.</t>
  </si>
  <si>
    <t xml:space="preserve">Организация сопровождения практики ИБ </t>
  </si>
  <si>
    <t>12.0.</t>
  </si>
  <si>
    <t>Если проектный центр имеется, указать ответ "да". Если специально организованного проектного центра нет и сопровождением практики занимается орган власти, указать ответ "нет"</t>
  </si>
  <si>
    <t>12.1.</t>
  </si>
  <si>
    <t xml:space="preserve">Наименование и юридический статус проектного центра </t>
  </si>
  <si>
    <t>Привести ссылку на документ, в котором регламентирована деятельность по сопровождению практики ИБ</t>
  </si>
  <si>
    <t>12.2.</t>
  </si>
  <si>
    <t>Источник финансирования деятельности проектного центра</t>
  </si>
  <si>
    <t>12.3.</t>
  </si>
  <si>
    <t>Количество вовлеченных в реализацию практики консультантов проектного центра</t>
  </si>
  <si>
    <t>12.4.</t>
  </si>
  <si>
    <t>Количество привлекаемых волонтеров (описать задачи волонтеров)</t>
  </si>
  <si>
    <t>12.5.</t>
  </si>
  <si>
    <t>Количество администрирующих реализацию практики сотрудников органов власти</t>
  </si>
  <si>
    <t>13.</t>
  </si>
  <si>
    <t xml:space="preserve">Процедуры сбора и выдвижения проектных идей от граждан и количество граждан, принявших в них участие </t>
  </si>
  <si>
    <t>13.1.</t>
  </si>
  <si>
    <t>Анкетирование, опросы граждан, сбор подписей</t>
  </si>
  <si>
    <t>Использовалась ли процедура: да / нет</t>
  </si>
  <si>
    <t>Способ фиксации участия: текст и(или) ссылка</t>
  </si>
  <si>
    <t>Количество участвовавших: число</t>
  </si>
  <si>
    <t>13.2.</t>
  </si>
  <si>
    <t xml:space="preserve">Очные встречи и обсуждения граждан, в том числе выдвижение проектных идей инициативной группой граждан </t>
  </si>
  <si>
    <t xml:space="preserve">Количество участвовавших: число </t>
  </si>
  <si>
    <t>13.3.</t>
  </si>
  <si>
    <t>Выдвижение через органы территориального общественного самоуправления, в том числе собрания ТОС</t>
  </si>
  <si>
    <t>13.4.</t>
  </si>
  <si>
    <t>Выдвижение проектных идей сельскими старостами</t>
  </si>
  <si>
    <t>13.5.</t>
  </si>
  <si>
    <t>Ящики для сбора проектных идей</t>
  </si>
  <si>
    <t>13.6.</t>
  </si>
  <si>
    <t>Подача проектных идей через интернет</t>
  </si>
  <si>
    <t>13.7.</t>
  </si>
  <si>
    <t>Подача проектных идей через общественные приемные и депутатов</t>
  </si>
  <si>
    <t>13.8.</t>
  </si>
  <si>
    <t xml:space="preserve">Иной механизм </t>
  </si>
  <si>
    <t>Описание механизма: текст</t>
  </si>
  <si>
    <t>14.</t>
  </si>
  <si>
    <t>Процедуры конкурсного отбора проектных заявок и количество граждан, принявших в них участие</t>
  </si>
  <si>
    <t>14.1.</t>
  </si>
  <si>
    <t xml:space="preserve">Интернет-голосование </t>
  </si>
  <si>
    <t>14.2.</t>
  </si>
  <si>
    <t>Очное голосование на сходах, собраниях и конференциях</t>
  </si>
  <si>
    <t>14.3.</t>
  </si>
  <si>
    <t>Собрание или конференция граждан по вопросам осуществления территориального общественного самоуправления</t>
  </si>
  <si>
    <t>14.4.</t>
  </si>
  <si>
    <t xml:space="preserve">Референдум </t>
  </si>
  <si>
    <t>14.5.</t>
  </si>
  <si>
    <t>Бюджетные комиссии граждан (применяются в рамках модели партиципаторного бюджетирования ЕУСПб и практик на ее основе, например "Твой Бюджет" в г. Санкт-Петербург)</t>
  </si>
  <si>
    <t>14.6.</t>
  </si>
  <si>
    <t>Комиссии представителей власти</t>
  </si>
  <si>
    <t>14.7.</t>
  </si>
  <si>
    <t>Коллегиальный орган (комиссия) (применяется в рамках модели инициативных проектов - на основании статьи 26.1 131-ФЗ)</t>
  </si>
  <si>
    <t>14.8.</t>
  </si>
  <si>
    <t>Иной механизм</t>
  </si>
  <si>
    <t>15.</t>
  </si>
  <si>
    <t>Административный охват практикой ИБ согласно НПА</t>
  </si>
  <si>
    <t>15.1.</t>
  </si>
  <si>
    <t>Предусматривает ли практика возможность участия всех муниципальных образований (административно-территориальных единиц) или только части из них</t>
  </si>
  <si>
    <t>текст (или 100%)</t>
  </si>
  <si>
    <t>15.2.</t>
  </si>
  <si>
    <t>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</si>
  <si>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16.</t>
  </si>
  <si>
    <t>Количество муниципальных образований (административно-территориальных единиц), принявших участие в практике в 2022 году</t>
  </si>
  <si>
    <t>16.1.</t>
  </si>
  <si>
    <t xml:space="preserve">Количество муниципальных образований (административно-территориальных единиц), от которых поступили проектные заявки  </t>
  </si>
  <si>
    <t>17.</t>
  </si>
  <si>
    <t>Наличие интернет-решения, используемоего для управления практикой</t>
  </si>
  <si>
    <t>17.1.</t>
  </si>
  <si>
    <t>Если интерент решение используется, ответ "да" (необходимо указать ссылку. В случае,  если для управления практикой не предусмотрено интернет-решение, ответ «нет»</t>
  </si>
  <si>
    <t>да (ссылка) / нет</t>
  </si>
  <si>
    <t>17.2.</t>
  </si>
  <si>
    <t>В случае если была предусмотрена реализация отдельных процедур практики через Интернет, описание этих процедур</t>
  </si>
  <si>
    <t>18.</t>
  </si>
  <si>
    <t>Информационное сопровождение практики</t>
  </si>
  <si>
    <t>18.1.</t>
  </si>
  <si>
    <t>Ссылка на официальный интернет-ресурс практики</t>
  </si>
  <si>
    <t>18.2.</t>
  </si>
  <si>
    <t>Ссылки на иные официальные и неофициальные информационные ресурсы практики, в том числе в социальных сетях</t>
  </si>
  <si>
    <t>18.3.</t>
  </si>
  <si>
    <t xml:space="preserve">Ссылка на логотип или графическое изображение названия практики </t>
  </si>
  <si>
    <t xml:space="preserve">ссылка </t>
  </si>
  <si>
    <t>18.4.</t>
  </si>
  <si>
    <t>Описание того, каким образом и в каких масштабах проводилась рекламная кампания ИБ в субъекте РФ (ТВ, радио, наружная реклама, социальные сети и др.) Ссылки на примеры, обеспечившие самый большой охват населения или целевой аудитории практики</t>
  </si>
  <si>
    <t>18.5.</t>
  </si>
  <si>
    <t>Описание использованных видов информационных раздаточных материалов, инфографики. Ссылки на макеты</t>
  </si>
  <si>
    <t>19.</t>
  </si>
  <si>
    <t>Обучающие мероприятия по инициативному бюджетированию</t>
  </si>
  <si>
    <t>19.1.</t>
  </si>
  <si>
    <t>Формат, периодичность и состав участников</t>
  </si>
  <si>
    <t>19.2.</t>
  </si>
  <si>
    <t>Количество мероприятий</t>
  </si>
  <si>
    <t>19.3.</t>
  </si>
  <si>
    <t>Общее количество участников</t>
  </si>
  <si>
    <t>20.</t>
  </si>
  <si>
    <t>Ответственный за заполнение формы</t>
  </si>
  <si>
    <t>20.1.</t>
  </si>
  <si>
    <t>Фамилия, имя отчество полностью, должность, РОИВ</t>
  </si>
  <si>
    <t>20.2.</t>
  </si>
  <si>
    <t>Контактный телефон с кодом</t>
  </si>
  <si>
    <t>тел.</t>
  </si>
  <si>
    <t>20.3.</t>
  </si>
  <si>
    <t>Адрес электронной почты</t>
  </si>
  <si>
    <t>e-mail</t>
  </si>
  <si>
    <t>21.</t>
  </si>
  <si>
    <t>Контактное лицо от финансового органа субъекта РФ (если форма заполнялась специалистами иных РОИВ)</t>
  </si>
  <si>
    <t>21.1.</t>
  </si>
  <si>
    <t>Фамилия, имя отчество полностью, должность</t>
  </si>
  <si>
    <t>21.2.</t>
  </si>
  <si>
    <t>21.3.</t>
  </si>
  <si>
    <t xml:space="preserve">АНКЕТА </t>
  </si>
  <si>
    <t>АНКЕТА</t>
  </si>
  <si>
    <t>регион 1</t>
  </si>
  <si>
    <t>регион 4</t>
  </si>
  <si>
    <t>регион 22</t>
  </si>
  <si>
    <t>регион 28</t>
  </si>
  <si>
    <t>регион 29</t>
  </si>
  <si>
    <t>регион 30</t>
  </si>
  <si>
    <t>регион 2</t>
  </si>
  <si>
    <t>регион 31</t>
  </si>
  <si>
    <t>регион 32</t>
  </si>
  <si>
    <t>регион 3</t>
  </si>
  <si>
    <t>регион 33</t>
  </si>
  <si>
    <t>регион 34</t>
  </si>
  <si>
    <t>регион 35</t>
  </si>
  <si>
    <t>регион 36</t>
  </si>
  <si>
    <t>регион 5</t>
  </si>
  <si>
    <t>регион 75</t>
  </si>
  <si>
    <t>регион 37</t>
  </si>
  <si>
    <t xml:space="preserve">регион 6 </t>
  </si>
  <si>
    <t>регион 38</t>
  </si>
  <si>
    <t>регион 39</t>
  </si>
  <si>
    <t>регион 8</t>
  </si>
  <si>
    <t>регион 40</t>
  </si>
  <si>
    <t>регион 41</t>
  </si>
  <si>
    <t>регион 10</t>
  </si>
  <si>
    <t>регион 42</t>
  </si>
  <si>
    <t>регион 43</t>
  </si>
  <si>
    <t>регион 11</t>
  </si>
  <si>
    <t>регион 44</t>
  </si>
  <si>
    <t>регион 23</t>
  </si>
  <si>
    <t>регион 24</t>
  </si>
  <si>
    <t>регион 46</t>
  </si>
  <si>
    <t>регион 91</t>
  </si>
  <si>
    <t>регион 47</t>
  </si>
  <si>
    <t>регион 48</t>
  </si>
  <si>
    <t>регион 49</t>
  </si>
  <si>
    <t>регион 12</t>
  </si>
  <si>
    <t>регион 50</t>
  </si>
  <si>
    <t>регион 83</t>
  </si>
  <si>
    <t>регион 52</t>
  </si>
  <si>
    <t>регион 53</t>
  </si>
  <si>
    <t>регион 54</t>
  </si>
  <si>
    <t>регион 55</t>
  </si>
  <si>
    <t>регион 56</t>
  </si>
  <si>
    <t>регион 57</t>
  </si>
  <si>
    <t>регион 58</t>
  </si>
  <si>
    <t>регион 59</t>
  </si>
  <si>
    <t>регион 25</t>
  </si>
  <si>
    <t>регион 60</t>
  </si>
  <si>
    <t>регион 61</t>
  </si>
  <si>
    <t>регион 62</t>
  </si>
  <si>
    <t>регион 63</t>
  </si>
  <si>
    <t>регион 78</t>
  </si>
  <si>
    <t>регион 64</t>
  </si>
  <si>
    <t>регион 14</t>
  </si>
  <si>
    <t>регион 65</t>
  </si>
  <si>
    <t>регион 66</t>
  </si>
  <si>
    <t>регион 92</t>
  </si>
  <si>
    <t>регион 15</t>
  </si>
  <si>
    <t>регион 67</t>
  </si>
  <si>
    <t>регион 26</t>
  </si>
  <si>
    <t>регион 68</t>
  </si>
  <si>
    <t>регион 16</t>
  </si>
  <si>
    <t>регион 69</t>
  </si>
  <si>
    <t>регион 70</t>
  </si>
  <si>
    <t>регион 71</t>
  </si>
  <si>
    <t>регион 17</t>
  </si>
  <si>
    <t>регион 72</t>
  </si>
  <si>
    <t>регион 18</t>
  </si>
  <si>
    <t>регион 73</t>
  </si>
  <si>
    <t>регион 27</t>
  </si>
  <si>
    <t>регион 19</t>
  </si>
  <si>
    <t>регион 86</t>
  </si>
  <si>
    <t>регион 74</t>
  </si>
  <si>
    <t>регион 20</t>
  </si>
  <si>
    <t>регион 21</t>
  </si>
  <si>
    <t>регион 87</t>
  </si>
  <si>
    <t>регион 89</t>
  </si>
  <si>
    <t>регион 76</t>
  </si>
  <si>
    <t>Адыгея, республика</t>
  </si>
  <si>
    <t>Алтай, республика (1)</t>
  </si>
  <si>
    <t>Алтайский край</t>
  </si>
  <si>
    <t>Амурская область</t>
  </si>
  <si>
    <t>Архангельская область</t>
  </si>
  <si>
    <t>Астраханская область</t>
  </si>
  <si>
    <t>Башкортостан, республика</t>
  </si>
  <si>
    <t>Белгородская область</t>
  </si>
  <si>
    <t>Брянская область</t>
  </si>
  <si>
    <t>Республика Бурятия</t>
  </si>
  <si>
    <t>Владимирская область</t>
  </si>
  <si>
    <t>Волгоградская область</t>
  </si>
  <si>
    <t>Вологодская область</t>
  </si>
  <si>
    <t>Воронежская область</t>
  </si>
  <si>
    <t>Дагестан, республика (1)</t>
  </si>
  <si>
    <t xml:space="preserve">Еврейская АО </t>
  </si>
  <si>
    <t>Забайкальский край</t>
  </si>
  <si>
    <t>Ивановская область</t>
  </si>
  <si>
    <t>Ингушетия, респ.</t>
  </si>
  <si>
    <t>Иркутская область</t>
  </si>
  <si>
    <t>Кабардино-Балкарская респ.</t>
  </si>
  <si>
    <t>Калининградская область</t>
  </si>
  <si>
    <t>Калмыкия, республика</t>
  </si>
  <si>
    <t>Калужская область</t>
  </si>
  <si>
    <t>Камчатский край</t>
  </si>
  <si>
    <t>Карчаево-Черкесская респ.</t>
  </si>
  <si>
    <t>Карелия, республика</t>
  </si>
  <si>
    <t>Кемеровская область</t>
  </si>
  <si>
    <t>Кировская область</t>
  </si>
  <si>
    <t>Коми, республика</t>
  </si>
  <si>
    <t>Костромская область</t>
  </si>
  <si>
    <t>Краснодарский край</t>
  </si>
  <si>
    <t>Красноярский край</t>
  </si>
  <si>
    <t>Курганская область</t>
  </si>
  <si>
    <t>Курская область</t>
  </si>
  <si>
    <t>Крым, респ.</t>
  </si>
  <si>
    <t>Ленинградская область</t>
  </si>
  <si>
    <t>Липецкая область</t>
  </si>
  <si>
    <t>Магаданская область</t>
  </si>
  <si>
    <t>Мари-Эл республика</t>
  </si>
  <si>
    <t>Мордовия, республика</t>
  </si>
  <si>
    <t>Москва, г.</t>
  </si>
  <si>
    <t>Московская область</t>
  </si>
  <si>
    <t>Мурманская область</t>
  </si>
  <si>
    <t>Ненецкий АО</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</si>
  <si>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</si>
  <si>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</si>
  <si>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</si>
  <si>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</si>
  <si>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</si>
  <si>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</si>
  <si>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</si>
  <si>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</si>
  <si>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</si>
  <si>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</si>
  <si>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Ростовская область</t>
  </si>
  <si>
    <t>Рязанская область</t>
  </si>
  <si>
    <t>Самарская область</t>
  </si>
  <si>
    <t>Санкт-Петербург</t>
  </si>
  <si>
    <t>Саратовская область</t>
  </si>
  <si>
    <t>Саха (Якутия) республика</t>
  </si>
  <si>
    <t>Сахалинская область</t>
  </si>
  <si>
    <t>Свердловская область</t>
  </si>
  <si>
    <t>Севастополь</t>
  </si>
  <si>
    <t>Северная Осетия-Алания, республика</t>
  </si>
  <si>
    <t>Смоленская область</t>
  </si>
  <si>
    <t>Ставропольский край</t>
  </si>
  <si>
    <t>Тамбовская область</t>
  </si>
  <si>
    <t>Татарстан, респ.</t>
  </si>
  <si>
    <t>Тверская область</t>
  </si>
  <si>
    <t>Томская область</t>
  </si>
  <si>
    <t>Тульская область</t>
  </si>
  <si>
    <t>Тыва, респ.</t>
  </si>
  <si>
    <t>Тюменская область</t>
  </si>
  <si>
    <t>Удмуртия республика</t>
  </si>
  <si>
    <t>Ульяновская область</t>
  </si>
  <si>
    <t>Хабаровский край</t>
  </si>
  <si>
    <t>Хакассия, респ.</t>
  </si>
  <si>
    <t>ХМАО-Югра</t>
  </si>
  <si>
    <t>Челябинская область</t>
  </si>
  <si>
    <t>Чеченская республика</t>
  </si>
  <si>
    <t>Чувашская республика</t>
  </si>
  <si>
    <t>Чукотский АО</t>
  </si>
  <si>
    <t>Ямало-Ненецкий АО</t>
  </si>
  <si>
    <t>Ярославская область</t>
  </si>
  <si>
    <t>КОММЕНТ</t>
  </si>
  <si>
    <t>регион 79</t>
  </si>
  <si>
    <t>регион 7</t>
  </si>
  <si>
    <t>регион 9</t>
  </si>
  <si>
    <t>регион 45</t>
  </si>
  <si>
    <t>регион 13</t>
  </si>
  <si>
    <t>регион 77</t>
  </si>
  <si>
    <t>регион 51</t>
  </si>
  <si>
    <t xml:space="preserve">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
</t>
  </si>
  <si>
    <t>нет</t>
  </si>
  <si>
    <t>1 февраля 2022 года</t>
  </si>
  <si>
    <t>31 декабря 2022 года</t>
  </si>
  <si>
    <t>областная государственная программа "Местное самоуправление в Смоленской области" (постановление Администрации Смоленской области от 20.11.2013 №931)</t>
  </si>
  <si>
    <t>Постановление Администрации Смоленской области от 19.02.2018 №66 "О внесении изменений в областную государственную программу "Местное самоуправление в Смоленской области" на 2014 - 2020 годы"</t>
  </si>
  <si>
    <t>http://dvp.admin-smolensk.ru/celevye-programmy/oblastnaya-gosudarstvennaya-programma-mestnoe-samoupravlenie-v-smolenskoj-oblasti-na-2014-2016-gody/</t>
  </si>
  <si>
    <t>Департамент Смоленской области по внутренней политике</t>
  </si>
  <si>
    <t>субсидии</t>
  </si>
  <si>
    <t>городские и сельские поселения - победители конкурсного отбора в 2022 году: 1) Дорогобужское городское поселение Дорогобужского района Смоленской области; 2) Руднянское городское поселение Руднянского района Смоленской области; 3) Кощинское сельское поселение Смоленского района Смоленской области; 4) Богдановское сельское поселение Холм-Жирковского района Смоленской области</t>
  </si>
  <si>
    <t>да</t>
  </si>
  <si>
    <t>трудовое участие граждан в реализации проекта, иные нефинансовые формы участия граждан в реализации проекта: предоставление материалов (песок для детской площадки), предоставление помещений для хранения оборудования и доступа к электричеству. Методика финансовой оценки отсутствует</t>
  </si>
  <si>
    <t>статистика не велась</t>
  </si>
  <si>
    <t>методика отсутствует, благополучателями считали лиц, проживающих в границах территориального общественного самоуправления, инициирующего проект, а также жителей прилегающих территорий, использующих результаты реализации проекта</t>
  </si>
  <si>
    <t>Источник статистики: Оценка численности постоянного населения Смоленской области на 1 января 2022 года, https://sml.gks.ru/folder/32741</t>
  </si>
  <si>
    <t>протокол собрания ТОС</t>
  </si>
  <si>
    <t>Отбор проводился комиссией, состав которой утвержденной приказом Департамента Смоленской области по внутренней политике от 22.05.2019 №51-ОД (состав изменен в 2021). Оценка осуществлялась в соответствии с критериями оценки и при соблюдении условий, предусмотренных постановлением Администрации Смоленской области от 19.03.2018 № 160. Оформлен протокол заседания комиссии</t>
  </si>
  <si>
    <t>городские, сельские поселения, городские округа соответствующие критерию отбора</t>
  </si>
  <si>
    <t>критерий участия в отборе - наличие проекта территориального общественного самоуправления  в сфере благоустройства территории, разработанного совместно с органами местного самоуправления</t>
  </si>
  <si>
    <t>https://dvp.admin-smolensk.ru/territorialnoe-obschestvennoe-samoupravlenie-tos/</t>
  </si>
  <si>
    <t>не проводилась</t>
  </si>
  <si>
    <t xml:space="preserve">Обучающий семинар в режиме ВКС. Участники -  члены ТОС,  ответственые специалисты органов местного самуправления. Организатор - Департамент Смоленской области по внутреней политике </t>
  </si>
  <si>
    <t>Сабишева Ирина Николаевна, консультант отдела муниципальной службы, мониторинга и содействия развитию местного самоуправления Департамента Смоленской области по внутренней политике</t>
  </si>
  <si>
    <t>(4812) 29-21-40</t>
  </si>
  <si>
    <t>samoupr@admin-smolensk.ru</t>
  </si>
  <si>
    <t>Зрелова Екатерина Александровна, консультант отдела межбюджетных отношений управления по межбюджетным отношениям и долговым обязательствам Департамента бюджета и финансов Смоленской области</t>
  </si>
  <si>
    <t>(4812) 20-44-16</t>
  </si>
  <si>
    <t>zrelova_ea@admin-smolensk.ru</t>
  </si>
  <si>
    <t>Субсидии местным бюджетам на финансовую поддержку инициативных проектов, выдвигаемых муниципальными образованиями Томской области</t>
  </si>
  <si>
    <t>Инициативное бюджетирование в Томской области</t>
  </si>
  <si>
    <t xml:space="preserve">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Основное мероприятие: Содействие в реализации в муниципальных образованиях Томской области инициативных проектов, предложенных населением Томской области
</t>
  </si>
  <si>
    <t xml:space="preserve">Постановление Администрации Томской области от 23.03.2018 N 115а
"О внесении изменения в постановление Администрации Томской области от 26.11.2014 N 433а"
</t>
  </si>
  <si>
    <t>https://depfin.tomsk.gov.ru/gosudarstvennye-i-vedomstvennye-tselevye-programmy;
https://depfin.tomsk.gov.ru/uploads/ckfinder/285/userfiles/files/%D0%9F%D0%BE%D1%81%D1%82%D0%B0%D0%BD%D0%BE%D0%B2%D0%BB%D0%B5%D0%BD%D0%B8%D0%B5%20%D0%90%D0%B4%D0%BC%D0%B8%D0%BD%D0%B8%D1%81%D1%82%D1%80%D0%B0%D1%86%D0%B8%D0%B8%20%D0%A2%D0%BE%D0%BC%D1%81%D0%BA%D0%BE%D0%B9%20%D0%BE%D0%B1%D0%BB%D0%B0%D1%81%D1%82%D0%B8%20329%D0%B0(1).pdf;
https://depfin.tomsk.gov.ru/uploads/ckfinder/285/userfiles/files/%D0%9F620%D0%B0.pdf</t>
  </si>
  <si>
    <t>https://depfin.tomsk.gov.ru/pravovoe-regulirovanie</t>
  </si>
  <si>
    <t>Департамент финансов Томской области</t>
  </si>
  <si>
    <t>Субсидии</t>
  </si>
  <si>
    <t>Бюджеты муниципальных образований Томской области</t>
  </si>
  <si>
    <t>1) в форме неоплачиваемых работ (калькулыция/расчет, исходя из рыночной стоимости работ);
2) в форме предоставления материалов и оборудования (калькуляция/расчет, исходя из рыночной стоимости материалов и оборудования);
3) в форме предоставления транспортных средств или иной техники (калькуляция/расчет, исходя из рыночной стоимости часа/дня работы техники)</t>
  </si>
  <si>
    <t>такая статистика не ведется в связи с существенными трудозатратами</t>
  </si>
  <si>
    <t xml:space="preserve">Благополучатели (население, которое будет пользоваться результатами реализации проекта на регулярной основе) – категория оценочная. Вместе с тем, необходимо понимать, что существуют объекты массового пользования (например, площади, парки, скверы, дома культуры), и ограниченного пользования (например, детские площадки, и спортивные объекты). 
Для мест массового пользования в качестве категории получателей возможно указать население соответствующего населенного пункта в целом. 
Для детских площадок в качестве категорий потребителей возможно указывать детей в возрасте до 14 лет.
Для спортивных объектов – детей в возрасте от 7 до 14 лет, подростков, взрослое трудоспособное население (например, в возрасте до 65 лет).
По дорожным объектам при определении категории получателей необходимо учитывать их место расположения. Если это центральная дорога, тогда благополучателями будет все население соответствующего населенного пункта, если, например, переулок, которым в основном пользуются жители близлежащих домов, то благополучателями будут граждане, проживающие на прилегающих улицах.
Общее количество благополучателей по объектам общего пользования определяется как численность населенного пункта. Общее количество благополучателей по объектам ограниченного пользования – только численность соответствующей категории.
В качестве способа определения следует использовать статистические и иные официальные данные о численности соответствующей группы населения.
</t>
  </si>
  <si>
    <t>https://depfin.tomsk.gov.ru/konkursnyj-otbor</t>
  </si>
  <si>
    <t>https://tmsk.gks.ru/storage/mediabank/%D0%A7%D0%B8%D1%81%D0%BB%D0%B5%D0%BD%D0%BD%D0%BE%D1%81%D1%82%D1%8C%20%D0%BF%D0%BE%D1%81%D1%82%D0%BE%D1%8F%D0%BD%D0%BD%D0%BE%D0%B3%D0%BE%20%D0%BD%D0%B0%D1%81%D0%B5%D0%BB%D0%B5%D0%BD%D0%B8%D1%8F%20%D0%A2%D0%BE%D0%BC%D1%81%D0%BA%D0%BE%D0%B9%20%D0%BE%D0%B1%D0%BB%D0%B0%D1%81%D1%82%D0%B8%20%D0%BD%D0%B0%201%20%D1%8F%D0%BD%D0%B2%D0%B0%D1%80%D1%8F%202022%20%D0%B3%D0%BE%D0%B4%D0%B0.pdf</t>
  </si>
  <si>
    <t>анкеты (опросные листы), подписные листы подомовых обходов, фото с указанием даты съемки во время подомового обхода</t>
  </si>
  <si>
    <t xml:space="preserve">протоколы собраний граждан (предварительных и итоговых собраний по выбору проекта для подачи заявки), фото с указанием даты съемки с собраний граждан </t>
  </si>
  <si>
    <t>ссылки на интернет-страницы в соц.сетях и на официальных сайтах МО с результатами опросов (https://www.gorodasino.ru/news/general/blagoustrojstvo_detskoj_ploshhadki_v_mikrorajone_perevalka_goroda_asino_tomskoj_oblasti;
https://ok.ru/profile/571818986099/statuses/153754008271731;
https://www.bdselp.asino.ru/questions)</t>
  </si>
  <si>
    <t>протокол заседания комиссии из состава представителей власти (граждане не принимают участие в заседаниях комиссии)</t>
  </si>
  <si>
    <t>участие предусмотрено для всех МО, в состав которых входят населенные пункты численностью до 35 тыс.человек (могут участвовать все сельские и городские поселения, муниципальные районы и три из четырех городских округов)</t>
  </si>
  <si>
    <t>в конкурсном отборе не может участвовать городской округ Стрежевой, поскольку в его составе нет населенных пунктов численностью населения до 35 тыс.человек</t>
  </si>
  <si>
    <t>не предусмотрена</t>
  </si>
  <si>
    <t>https://depfin.tomsk.gov.ru/initsiativnoe-bjudzhetirovanie</t>
  </si>
  <si>
    <t>http://vlfin.ru/nashi-stati/lichnye-finansy/zdes-moya-kopeechka-vot-nasha-skameechka-initsiativnoe-byudzhetirovanie-prineslo-oshchutimye-plody/?sphrase_id=7835;
http://vlfin.ru/galereya/videogalereya/chast-2-initsiativnoe-byudzhetirovanie-v-tomskoy-oblasti-kakie-proekty-realizovany-v-2019/?sphrase_id=7835;
https://www.youtube.com/watch?v=YEnLKAHgH8o;
http://smo-tomsk.ru/news/?newsid=491</t>
  </si>
  <si>
    <t>https://depfin.tomsk.gov.ru/uploads/ckfinder/285/userfiles/images/%D0%B8%D0%B7%D0%BE%D0%B1%D1%80%D0%B0%D0%B6%D0%B5%D0%BD%D0%B8%D0%B5(1).png</t>
  </si>
  <si>
    <t>Сайт проекта "Ваши личные финансы" (https://www.youtube.com/watch?v=YEnLKAHgH8o;
https://www.youtube.com/watch?v=VWCcsVh64as;
https://vlfin.ru/search?search=%D0%B8%D0%BD%D0%B8%D1%86%D0%B8%D0%B0%D1%82%D0%B8%D0%B2%D0%BD%D0%BE%D0%B5+%D0%B1%D1%8E%D0%B4%D0%B6%D0%B5%D1%82%D0%B8%D1%80%D0%BE%D0%B2%D0%B0%D0%BD%D0%B8%D0%B5;
https://vlfin.ru/a/tomskaya-oblast-nachnet-vnedryat-initsiativnoe-byudzhetirovanie-s-uchastiem-grazhdan);
радио;
официальный сайт Департамента финансов Томской области;
официальный сайт Администрации Томской области;
сайт Совета муниципальных образований Томской области
(http://smo-tomsk.ru/news/?newsid=357; http://smo-tomsk.ru/news/?newsid=560)</t>
  </si>
  <si>
    <t>Использовались презентационные материалы (http://smo-tomsk.ru/files/Dokumenty/2022/Prezentaciya_IB_2022.pptx)</t>
  </si>
  <si>
    <t>Семинар в очном и онлайн формате (23.09.2022), участники:  главы поселений и сотрудники органов местного самоуправления поселений, районов и городских округов. Спикер - представитель Департамента финансов Томской области</t>
  </si>
  <si>
    <t>(3822)712-427</t>
  </si>
  <si>
    <t>kyk@findep.org</t>
  </si>
  <si>
    <t>Реализация программ (проектов) инициативного бюджетирования</t>
  </si>
  <si>
    <t>2018 год</t>
  </si>
  <si>
    <t>1 января 2022 года</t>
  </si>
  <si>
    <t>Государственная программа "Региональная политика Брянской области" , мероприятие "Реализация инициативных проектов"</t>
  </si>
  <si>
    <t>Постановление Правительства Брянской области "О внесении изменений в государственную программу "Региональная политика Брянской области"</t>
  </si>
  <si>
    <t>от 25.12.2017 №706-п</t>
  </si>
  <si>
    <t>Постановление Правительства Брянской области  "Об утверждении Порядка проведения конкурсного отбора инициативных проектов муниципальных образований Брянской области, методики проведения оценки инициативных проектов муниципальных образований Брянской области и состава конкурсной комиссии по определению победителей конкурса инициативных проектов муниципальных образований Брянской области"</t>
  </si>
  <si>
    <t>15.04.2019 № 163-п</t>
  </si>
  <si>
    <t>департамент внутренней политики Брянской области</t>
  </si>
  <si>
    <t>муницпальные образования Брянской области</t>
  </si>
  <si>
    <t xml:space="preserve">Число граждан, проживающих в населенном пункте </t>
  </si>
  <si>
    <t>Число граждан определяется по данным Федеральной государственной службы статистики</t>
  </si>
  <si>
    <t>https://bryansk.gks.ru/</t>
  </si>
  <si>
    <t>Нет</t>
  </si>
  <si>
    <t>Да</t>
  </si>
  <si>
    <t>Протокол собрания граждан</t>
  </si>
  <si>
    <t>Протокол собрания ТОС</t>
  </si>
  <si>
    <t>Протокол собрания</t>
  </si>
  <si>
    <t>Публикации на официальных сайтах администраций муниципальных образований Брянской области, сайтах районных газет, а также печатные статьи в них, сюжеты на телеканале "Брянская губерния", новостные заметки на портале РИА "Стрела" и ВГТРК "Брянск"</t>
  </si>
  <si>
    <t>Козлов Павел Юрьевич, начальник отдела по работе с органами местного самоуправления и мониторинга социально-политической ситуации департамента внутренней политики Брянской области</t>
  </si>
  <si>
    <t>8(4832) 32-56-28</t>
  </si>
  <si>
    <t>oms032@yandex.ru</t>
  </si>
  <si>
    <t>Боровикова Елена Михайловна, начальник отдела межбюджетных отношений с муниципальными образованиями департамента финансов Брянской области</t>
  </si>
  <si>
    <t>74-29-00</t>
  </si>
  <si>
    <t>rtfin5@bryanskoblfin.ru</t>
  </si>
  <si>
    <t>Проект "Народный бюджет " в Курской области</t>
  </si>
  <si>
    <t>"Народный  бюджет" в Курской области</t>
  </si>
  <si>
    <t>24 февраля 2021</t>
  </si>
  <si>
    <t>31 декабря 2022</t>
  </si>
  <si>
    <t>Бюджетные ассигнования на реализацию проекта "Народный бюджет" в Курской области предусматриваются в законе об областном бюджете при его формировании на очередной финансовый год, в том числе с распределением по ГРБС и в разрезе муниципальных образований (таблица 23 приложения № 18 к Закону Курской области от 07.12.2021  № 115-ЗКО "Об областном бюджете на 2022 год и на плановый период 2023 и 2024 годов")</t>
  </si>
  <si>
    <t>https://kursk.ru/region/economy/page-192659/</t>
  </si>
  <si>
    <t>Постановление Администрации Курской области от 27.09.2016 № 732-па "О вопросах реализации проекта "Народный бюджет" в Курской области"</t>
  </si>
  <si>
    <t>https://docs.cntd.ru/document/444712158;          https://kursk.ru/upload/iblock/123/qy4fvj9joefafhfzzu021bx28tvv7rgx/363_pp.pdf</t>
  </si>
  <si>
    <t xml:space="preserve">Министерство внутренней и молодежной политики Курской области (организатор конкурсного отбора), Министерство финансов и бюджетного контроля Курской области, 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стоительства Курской области </t>
  </si>
  <si>
    <t xml:space="preserve">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стоительства Курской области, Министерство внутренней и молодежной политики Курской области </t>
  </si>
  <si>
    <t>муниципальные образования, прошедшие конкурсный отбор в 2021 году</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</si>
  <si>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</si>
  <si>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https://kursk.ru/region/economy/page-185717/</t>
  </si>
  <si>
    <t>Численность населения, принявшего участие в обсуждении, фиксируется в протоколе собрания инициативной группы (населения)</t>
  </si>
  <si>
    <t>граждане не участвуют в процедурах конкурсного отбора  проектов, представленных в конкурсную комиссию</t>
  </si>
  <si>
    <t>в состав конкурсной комиссии входят представители органов исполнительной власти Курской области, органов местного самоуправления, депутаты Курской областной Думы, представители общественности. Всего членов конкурсной комиссии - 16</t>
  </si>
  <si>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Губернатора и Правительства Курской области, а также в региональных печатных СМИ  и местных.                                                                (https://vk.com/wall-201762324_9699;                                         https://kursksmo.ru/proekt-narodnyj-byudzhet/;                                https://gtrkkursk.ru/news/23021-narodnomu-byudzhetu-2022-godu-kurskoy-oblasti-realizuyut-372-proekta;                               https://kpravda.ru/2022/02/15/narodnyj-byudzhet-podros/;                                              https://dddkursk.ru/lenta/2022/02/13/083229/;                                                                           https://vk.com/wall516521317_151801;                                                        https://gtrkkursk.ru/news/25872-programme-narodnyy-byudzhet-kurskoy-oblasti-etot-god-otremontiruyut-postroyat-54-dorogi)</t>
  </si>
  <si>
    <t>не использовались</t>
  </si>
  <si>
    <t>онлайн-семинар с главами муниципальных образований, онлайн-семинар с членами Общественного совета</t>
  </si>
  <si>
    <t>Хондзинская Елена Александровна - референт управления по взаимодействию с органами местного самоуправления Министерства внутренней и молодежной политики Курской области</t>
  </si>
  <si>
    <t>8 (4712) 400-200 доб. 1153</t>
  </si>
  <si>
    <t>hondzinskaya.kvp@rkursk.ru</t>
  </si>
  <si>
    <t>Руденко Ирина Борисовна - референт управления межбюджетных отношений Министерства финансов и бюджетного контроля Курской области</t>
  </si>
  <si>
    <t>8 (4712) 400-250 доб. 1165</t>
  </si>
  <si>
    <t>rudenko.ib@rkursk.ru</t>
  </si>
  <si>
    <t>Постановление Правительства Республики Саха (Якутия) № 338 от 15.09.2021г. «О государственной программе Республики Саха (Якутия) "Управление государственными финансами и государственным долгом"</t>
  </si>
  <si>
    <t>Программа поддержки местных инициатив</t>
  </si>
  <si>
    <t>01 января 2022</t>
  </si>
  <si>
    <t>https://ppmi.yakutia.click/Home</t>
  </si>
  <si>
    <t>Постановление №96 от 14.04.2021 г. "Об утверждении распределения в 2021 году субсидий
из государственного бюджета Республики Саха (Якутия) местным бюджетам на софинансирование проектов развития общественной инфраструктуры, основанных на местных инициативах"</t>
  </si>
  <si>
    <t xml:space="preserve">https://ppmi.yakutia.click/Home </t>
  </si>
  <si>
    <t>Министерство финансов Республики Саха (Якутия)</t>
  </si>
  <si>
    <t>Муниципальные образования</t>
  </si>
  <si>
    <t xml:space="preserve">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t>
  </si>
  <si>
    <t xml:space="preserve">https://sakha.gks.ru/folder/32348  </t>
  </si>
  <si>
    <t>Проектного центра нет, занимается департамент министерства финансов РС(Я) цифрового управления бюджетным процессом и защиты информации.</t>
  </si>
  <si>
    <t>Руководитель департамента цифрового управления бюджетным процессом и защиты информации.</t>
  </si>
  <si>
    <t>Эксперты ППМИ - 4 человека</t>
  </si>
  <si>
    <t>Анкетирование, предварительные обсуждения</t>
  </si>
  <si>
    <t>Очное участие в итоговых собраниях</t>
  </si>
  <si>
    <t>Привлечение к работе с населением руководителей "Туолбэ" (Местные территориальные объединения граждан)</t>
  </si>
  <si>
    <t>366 муниципальных образований</t>
  </si>
  <si>
    <t>Приказ "Об утверждении Порядка проведения конкурсного отбора проектов развития общественной инфраструктуры, основанных на местных инициативах, на территории муниципальных образований Республики Саха (Якутия)"
№01-04/0261-Н от 03.03.2020</t>
  </si>
  <si>
    <t>На сайте ППМИ МО предоставляют:                         1.Предоставление протоколов предварительных и общих собраний.                                                                                 2.Подача конкурсных заявок.</t>
  </si>
  <si>
    <t xml:space="preserve">https://ppmi.yakutia.click/ </t>
  </si>
  <si>
    <t>https://t.me/ppmi_ykt</t>
  </si>
  <si>
    <t>Информационное сопровождение и оповещение по отдельному медиа- плану (ТВ, радио), социальные сети</t>
  </si>
  <si>
    <t>Семинары и видеоконференции</t>
  </si>
  <si>
    <t>Состав - главы МР, главы МО, ответственные по ППМИ, подключение к ВКС все районы республики.</t>
  </si>
  <si>
    <t>Колодезникова Светлана Романовна - начальник отдела инициативного бюджетирования.</t>
  </si>
  <si>
    <t>8(4112)344572</t>
  </si>
  <si>
    <t xml:space="preserve">proekt2@sakha.gov.ru </t>
  </si>
  <si>
    <t>Павлова Лариса Афанасьевна, руководитель департамента цифрового управления бюджетным процессом и защиты информации.</t>
  </si>
  <si>
    <t>8(4112)325152</t>
  </si>
  <si>
    <t xml:space="preserve">minfin@sakha.gov.ru </t>
  </si>
  <si>
    <t xml:space="preserve">
Финансовая поддержка инициативных проектов
</t>
  </si>
  <si>
    <t>23 ноября 2021</t>
  </si>
  <si>
    <t>Государственная программа Магаданской области «Содействие развитию институтов гражданского общества и реализация государственной национальной политики в Магаданской области», подпрограмма «Поддержка инициативных проектов», основное мероприятие "Финансовая поддержка инициативных проектов"</t>
  </si>
  <si>
    <t>Постановление Правительства Магаданской области от 30.12.2021 N 1079-пп</t>
  </si>
  <si>
    <t>http://publication.pravo.gov.ru/Document/View/4900202112300044</t>
  </si>
  <si>
    <t>Постановление Правительства Магаданской области от 19.05.2021 N 393-пп "О Порядке проведения конкурсного отбора инициативных проектов, выдвигаемых для получения финансовой поддержки за счет межбюджетных трансфертов из областного бюджета"</t>
  </si>
  <si>
    <t>http://publication.pravo.gov.ru/Document/View/4900202105200008</t>
  </si>
  <si>
    <t>Постановление Правительства Магаданской области от 30.12.2021 N 1079-пп (ред. от 03.03.2022) "Об утверждении государственной программы Магаданской области "Содействие развитию институтов гражданского общества и реализация государственной национальной политики в Магаданской области". Срок реализации 2022-2025гг.</t>
  </si>
  <si>
    <t>Министерство внутренней, информационной и молодежной политики Магаданской области</t>
  </si>
  <si>
    <t>Субсидия</t>
  </si>
  <si>
    <t xml:space="preserve">Муниципальное образование "Тенькинский городской округ Магаданской области", Муниципальное образование "Омсукчанский городской округ Магаданской области" </t>
  </si>
  <si>
    <t>Количество благополучателей исходит из количетсва жителей населенного пункта</t>
  </si>
  <si>
    <t>https://27.rosstat.gov.ru</t>
  </si>
  <si>
    <t>протокол собрания жителей</t>
  </si>
  <si>
    <t>собрание инициативной группы</t>
  </si>
  <si>
    <t>протокол собрания инициативной группы</t>
  </si>
  <si>
    <t>https://politic.49gov.ru/</t>
  </si>
  <si>
    <t>Полянский Анатолий Леонидович</t>
  </si>
  <si>
    <t>8(4132)62-60-16</t>
  </si>
  <si>
    <t>PolyanskiyAL@49gov.ru</t>
  </si>
  <si>
    <t xml:space="preserve">мероприятия перечня проектов народных инициатив
</t>
  </si>
  <si>
    <t>проект "Народные инициативы"</t>
  </si>
  <si>
    <t>10.02.2022 г.</t>
  </si>
  <si>
    <t xml:space="preserve">   государственная программа «Экономическое развитие и инновационная экономика» на 2019-2025 годы
   подпрограмма «Государственная политика в сфере экономического развития Иркутской области» на 2019-2025 годы
    мероприятие «Субсидии на реализацию мероприятий перечня проектов народных инициатив»</t>
  </si>
  <si>
    <t xml:space="preserve">постановление Правительства Ирктуской области 
от 12.11.2018 г. № 828-пп  (ред. от 28.02.2023)
</t>
  </si>
  <si>
    <t xml:space="preserve">1. Закон Иркутской области от 16.12.2021 г. № 130-ОЗ «Об областном бюджете на 2022 и на плановый период 2023 и 2024 годов»;
2. Положение о предоставлении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 
№ 675-пп, приказ министерства финансов Иркутской области от 19.12.2017 г. 
№ 95н-мпр).
6. Предельный уровень софинансирования Иркутской области объема расходного обязательства муниципального образования на 2022 год и на плановый период 2023 и 2024 годов, утв. распоряжением Правительства ИО от 17.06.2021 г. № 336-рп
</t>
  </si>
  <si>
    <t>министерство экономического развития и промышленности Иркутской области</t>
  </si>
  <si>
    <t>субсидия</t>
  </si>
  <si>
    <t>бюджет муниципального образования/финансовый орган муниципального образования</t>
  </si>
  <si>
    <t>Количество граждан (прямых и заинтересованных благополучателей), получающих выгоду от реализации мероприятия.</t>
  </si>
  <si>
    <t>https://38.rosstat.gov.ru/storage/mediabank/post_nasel_obl_2023(1).html</t>
  </si>
  <si>
    <t>Комиссия по реализации проектов народных инициатив</t>
  </si>
  <si>
    <t>постановление Правительства Иркутской области от 16.05.2014 г. № 247-пп,  распоряжение Правительства Иркутской области от 28.12.2012 г.
№ 785-рп</t>
  </si>
  <si>
    <t>финансирование не осуществлялось, деятельность велась на общественных началах</t>
  </si>
  <si>
    <t>протокол</t>
  </si>
  <si>
    <t>Сайт министерства экономического развития и промышленности Иркутской области: http://irkobl.ru/sites/economy/razvitie-municipalnyh-obrazovaniy/initiatives/ 
ИАС "Живой регион": http://expert.irkobl.ru</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</si>
  <si>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 промышленности Иркутской области, Законодательного Собрания Иркутской области, муниципальных образований региона, ИАС "Живой регион".</t>
  </si>
  <si>
    <t>Обучающие семинары</t>
  </si>
  <si>
    <t>Дырдо Анна Геннадьевна, советник отдела территориального развития в управлении государственного регулирования экономики министерства экономического развития и промышленности Иркутской области</t>
  </si>
  <si>
    <t>8 3952 28 66 31</t>
  </si>
  <si>
    <t>a.dyrdo@govirk.ru</t>
  </si>
  <si>
    <t>Гладышева Наталья Гельевна, ведущий советник отдела исполнения межбюджетных трансфертов в управлении межбюджетных отношений министерства финансов Иркутской области</t>
  </si>
  <si>
    <t>8 3952 25 62 60</t>
  </si>
  <si>
    <t>gladysheva@gfu.ru</t>
  </si>
  <si>
    <t>проект "Народный бюджет"</t>
  </si>
  <si>
    <t>Проект "Команда Губернатора: Мы вместе - Народный бюджет"</t>
  </si>
  <si>
    <t>30 сентября 2021 г.</t>
  </si>
  <si>
    <t>Государственная программа Вологодской области "Управление региональными финансами Вологодской области на 2021-2025 годы" 
Подпрограмма "Поддержание устойчивого  исполнения местных бюджетов и повышение качества  управления муниципальными финансами"
Основное мероприятие "Реализация мероприятий по поддержке местных инициатив населения области" 
Предоставление субсидий муниципальным образованиям области на реализацию проекта "Народный бюджет".</t>
  </si>
  <si>
    <t>Впервые закреплены в постановлении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 (действовала до 2020 года).
Далее - в постановлении Правительства Вологодской области от 20.05.2019 N 469 "Об утверждении государственной программы Вологодской области "Управление региональными финансами Вологодской области на 2021 - 2025 годы" (действует в настоящее время).</t>
  </si>
  <si>
    <t>https://df.gov35.ru/dokumenty-strategicheskogo-planirovaniya/gosudarstvennaya-programma-departamenta-finansov/aktualnaya-versiya-gosudarstvennoy-programmy/</t>
  </si>
  <si>
    <t>-</t>
  </si>
  <si>
    <t>Департамент внутренней политики Правительства области, Департамент финансов области</t>
  </si>
  <si>
    <t>Правительство области (Департамент внутренней политики Правительства области и Департамент управления делами Правительства области)</t>
  </si>
  <si>
    <t>Субсидии муниципальным образованиям области</t>
  </si>
  <si>
    <t>Муниципальные районы, городские и сельские поселения области</t>
  </si>
  <si>
    <t>Формы участия, не имеющие денежного исчисления: трудовое участие, материалы, предоставление помещений, технических средств, оборудования, транспорта и другое.
Правилами предусмотрено наличие вклада граждан и (или) юридических лиц (индивидуальных предпринимателей) в виде пожертвования (за исключением финансовых средств).
Для подтверждения вклада представляются копии документов, подтверждающих получение пожертвования (акты приема-передачи, накладные, иные документы).</t>
  </si>
  <si>
    <t xml:space="preserve">Количество благополучателей отражает долю жителей области,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Методика подсчета закреплена в постановлении Правительства Вологодской области от 20.05.2019 N 469.
А = ((Nn / Nчn) x 100) / n, где
Nn - число жителей в муниципального образования области (за исключением городских округов),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Nчn - численность постоянного населения муниципального образования области (за исключением городских округов) на начало отчетного финансового года;
n - общее количество проектов.
Источник информации - протоколы собраний инициативных групп муниципальных образований области и официальная статистическая информация.
</t>
  </si>
  <si>
    <t>https://vologdastat.gks.ru</t>
  </si>
  <si>
    <t>Региональная конкурсная комиссия принимает решение о допуске заявок к участию в конкурсном отборе; оценивает заявки в соответствии с установленными критериями, принимает решение об определении победителей.
Формой деятельности Комиссии является заседание.
Принятые на заседании Комиссии решения оформляются протоколом.</t>
  </si>
  <si>
    <t>99% (205 муниципальных образований из 207)</t>
  </si>
  <si>
    <t>Получателями субсидии в рамках конкурса "Народный бюджет" в Вологодской области в 2022 году являлись муниципальные районы, городские и сельские поселения. 
Получателями субсидии - то есть участниками регионального конкурса - не могут стать городские округа (их в области два - город Вологда и город Череповец). На их территории отдельно реализуются проекты по инициативному бюджетированию за счет средств бюджетов городских округов.</t>
  </si>
  <si>
    <t>https://okuvshinnikov.ru/prog/programma_gubernatora_narodnyj_byudzhet/</t>
  </si>
  <si>
    <t>https://вести35.рф/video/2022/03/24/itogi_realizacii_proekta_narodnyy_byudzhet_za_2021_god_podveli_v_vologde
https://vologdaregion.ru/news/2020/9/14/na-vologodchine-startoval-priem-zayavok-v-narodnyy-byudzhet-na-2021-god
https://35media.ru/news/2022/03/28/V-etom-godu-v-ramkakh-proekta-Narodnii-byudzhet-na-Vologodchine-budut-realizovani-1335-initsiativ-grazhdan
http://www.krassever.ru/news/v-regione-podveli-itogi-realizatsii-proyekta-narodnyy-byudzhet-za-2021-god</t>
  </si>
  <si>
    <t>Шушкова Светлана Алексевна, консультант управления бюджета и межбюджетных отношений Департамента финансов Вологодской области</t>
  </si>
  <si>
    <t>8 (8172) 23-01-50 доб. 4251</t>
  </si>
  <si>
    <t>Shushkovasa@df.gov35.ru</t>
  </si>
  <si>
    <t>Поддержка проектов развития территорий Амурской области, основанных на местных инициативах</t>
  </si>
  <si>
    <t>"Инициативное бюджетирование" (сайт министерства финансов Амурской области)</t>
  </si>
  <si>
    <t xml:space="preserve">Постановление Правительства Амурской области от 25.09.2013 № 442 "Об утверждении государственной программы Амурской области "Повышение эффективности деятельности органов государственной власти и управления Амурской области" </t>
  </si>
  <si>
    <t>Постановление Правительства Амурской области от 25.09.2017 № 460 "О внесении изменений в постановление Правительства Амурской области от 25.09.2013 № 442"</t>
  </si>
  <si>
    <t>Справочно-правовая система Консультатнт Плюс</t>
  </si>
  <si>
    <t>Закон Амурской области от 09.12.2021 № 48-ОЗ "Об областном бюджете на 2022 год и плановый период 2023 и 2024 годов"</t>
  </si>
  <si>
    <t>Постановление Правительства Амурской области от 05.04.2018 N 143
"О конкурсной комиссии по проведению конкурсного отбора муниципальных образований Амурской области для предоставления субсидий бюджетам муниципальных образований Амурской области на поддержку проектов развития территорий Амурской области, основанных на местных инициативах"</t>
  </si>
  <si>
    <t>министерство финансов Амурской области</t>
  </si>
  <si>
    <t xml:space="preserve">субсидии </t>
  </si>
  <si>
    <t xml:space="preserve">Администрации городских и сельских поселений </t>
  </si>
  <si>
    <t>Неквалифицированный труд по благоустройству объекта, вклад строительными материалами, безвозмездная аренда специализированной техники</t>
  </si>
  <si>
    <t>Данные представленны участниками конкурсного отбора. Количество прямых благополучателей не может привышать 100 % жителей населенного пункта</t>
  </si>
  <si>
    <t>https://amurstat.gks.ru/storage/mediabank/07_1_4.htm</t>
  </si>
  <si>
    <t xml:space="preserve">Автономная некомерческая организация "Центр развития территорий" </t>
  </si>
  <si>
    <t>Устав АНО "ЦРТ"</t>
  </si>
  <si>
    <t xml:space="preserve">Бюджет Амурской области </t>
  </si>
  <si>
    <t xml:space="preserve">Опросные анкеты, протокол счетной комиссии </t>
  </si>
  <si>
    <t xml:space="preserve">да </t>
  </si>
  <si>
    <t>Фотофиксация, листы регистрации, протоколы сходов</t>
  </si>
  <si>
    <t>Портал ведет учет голосов, после окончания голосования формируется итоговый протокол об онлайн-голосовании</t>
  </si>
  <si>
    <t>Городские и сельские поселения, а также муниципальные, городские округа, в соответствии с Постановлением Правительства Амурской области от 25.09.2013 № 442</t>
  </si>
  <si>
    <t>https://fin.amurobl.ru/pages/deyatelnost/initsiativnoe-byudzhetirovanie/</t>
  </si>
  <si>
    <t>https://golos-amur.ru</t>
  </si>
  <si>
    <t>ВКС Методические рекомендации по реализации ППМИ в 2022 (30 участников), пленарные сессии посвещенные развитию инициативного бюджетирования в рамках "АмурЭкспоФорум-2022" для глав и кураторов муниципальных образований области (60 участников), семинар практикум по вопросам реализации инициативного бюджетирования (40 участников)</t>
  </si>
  <si>
    <t>Горбунов Александр Олегович</t>
  </si>
  <si>
    <t>8 416 2  775- 474</t>
  </si>
  <si>
    <t>gorbunov@fin.amurobl.ru</t>
  </si>
  <si>
    <t>Постановление Правительства Севастополя от 26.09.2017 № 705-ПП "О проведении конкурса "Самый дружный двор" в городе Севастополе"</t>
  </si>
  <si>
    <t>Проекты реализовываются до настоящего времени</t>
  </si>
  <si>
    <t>Постановление Правительства Севастополя от 25.12.2021 № 706-ПП "Об утверждении государственной программы города Севастополя "Развитие жилищно-коммунальной инфраструктуры города Севастополя"</t>
  </si>
  <si>
    <t>Департамент внутренней политики города Севастополя;
Департамент городского хозяйства города Севастополя</t>
  </si>
  <si>
    <t>Департамент городского хозяйства города Севастополя</t>
  </si>
  <si>
    <t>Государственное казенное учреждение «Управление по эксплуатации объектов городского хозяйства»</t>
  </si>
  <si>
    <t>Количество благополучателей прописано в паспорте проекта</t>
  </si>
  <si>
    <t>https://crimea.gks.ru/storage/mediabank/11111.pdf</t>
  </si>
  <si>
    <t>фотофиксация</t>
  </si>
  <si>
    <t>решение ТОС</t>
  </si>
  <si>
    <t>Фотофиксация</t>
  </si>
  <si>
    <t>https://dvp.sev.gov.ru/konkurs-samyy-druzhnyy-dvor/</t>
  </si>
  <si>
    <t>ТВ, официальный сайт Правительства Севастополя</t>
  </si>
  <si>
    <t>Сурков Юрий Юрьевич, начальник отдела по взаимодействию с институтами гражданского общества и поддержки общественных проектов Управления по работе с органами местного самоуправления и взаимодействия с институтами гражданского общества Департамента внутренней политики города Севастополя</t>
  </si>
  <si>
    <t>8(8692)558908</t>
  </si>
  <si>
    <t>tos_dvp@sev.gov.ru</t>
  </si>
  <si>
    <t>Субсидии на реализацию социально значимых проектов развития территорий муниципальных образований, основанных на местных инициативах</t>
  </si>
  <si>
    <t>Практика инициативного бюджетирования</t>
  </si>
  <si>
    <t>Государственная программа Республики Калмыкия "Управление государственными финансами Республики Калмыкия"
Подпрограмма №7 "Развитие механизмов регулирования межбюджетных отношений"</t>
  </si>
  <si>
    <t>Постановление Правительства Республики Калмыкия от 1 апреля 2019 г. N 95 "О внесении изменений в государственную программу Республики Калмыкия "Управление государственными финансами Республики Калмыкия", утвержденную постановлением Правительства Республики Калмыкия от 15 октября 2018 г. N 316, и признании утратившим силу постановления Правительства Республики Калмыкия от 31 августа 2018 г. N 261"</t>
  </si>
  <si>
    <t>http://minfin.kalmregion.ru/deyatelnost/initsiativnoe-byudzhetirovanie/</t>
  </si>
  <si>
    <t>приказ Министерства финансов Республики Калмыкия от 23.08.2022 г. № 10/101м «О реализации Порядка предоставления субсидий из республиканского бюджета бюджетам муниципальных образований Республики Калмыкия на реализацию социально-значимых проектов развития территорий муниципальных образований, основанных на местных инициативах, являющегося приложением к подпрограмме № 7 «Развитие механизмов регулирования межбюджетных отношений» государственной программы Республики Калмыкия «Управление государственными финансами Республики Калмыкия», утвержденной постановлением Правительства Республики Калмыкия от 15 октября 2018 г. № 316»</t>
  </si>
  <si>
    <t>Министерство финансов Республики Калмыкия</t>
  </si>
  <si>
    <t>Бюджеты муниципальных образований Республики Калмыкия</t>
  </si>
  <si>
    <t>Безвозмездное оказание услуг (траспортировка материалов, безвозмездное приобретение материалов, предоставление техники и прочее)</t>
  </si>
  <si>
    <t>Степень восприятия жителями муниципального образования значимости реализации проектов посредством участия жителей муниципального образования в процессе рассмотрения (исходя из количества жителей муниципального образования, присутствовавших на общем собрании, согласно протоколу общего собрания к общему числу жителей муниципального образования)</t>
  </si>
  <si>
    <t>https://30.rosstat.gov.ru/folder/35673</t>
  </si>
  <si>
    <t>Протоколы собрания граждан</t>
  </si>
  <si>
    <t>http://vk.com/minfinrk_08</t>
  </si>
  <si>
    <t>Размещение информации о проведенной (планируемой) работе на официальном сайте Министерства финансов Республики Калмыкия, на официальной странице в социальной сети Вконтакте (https://vk.com/wall-146384522_1990)</t>
  </si>
  <si>
    <t>Совещания по вопросу реализации инициативного бюджетирования в РК
Руководство Министерства финансов РК, руководители финансовых органов районных муниципальных образований РК, Главы муниципальных образований РК, инициативные группы</t>
  </si>
  <si>
    <t>Манджиев Эрдем Шорваевич, начальник отдела Управления, Министерство финансов РК</t>
  </si>
  <si>
    <t>8 (84722) 3-54-69</t>
  </si>
  <si>
    <t>mbo@minfinrk.ru</t>
  </si>
  <si>
    <t>Инициативных проекты, выдвигаемые для получения
финансовой поддержки за счет межбюджетных трансфертов из бюджета Чеченской Республики.</t>
  </si>
  <si>
    <t>Государственная программа: «Обеспечение 
финансовой устойчивости Чеченской Республики», Подпрограмма: «Обеспечение сбалансированности и 
устойчивости республиканского бюджета и 
бюджетов муниципальных образований Чеченской 
Республики», 
Основное мероприятие: Финансовая поддержка из 
республиканского бюджета инициативных проектов 
муниципальных образований Чеченской Республики</t>
  </si>
  <si>
    <t>Постановление Правительства Чеченской Республики от 16 марта 2021 г. № 29 "О внесении изменений в постановление Правительства Чеченской Республики от 19 декабря 2013 года № 351"</t>
  </si>
  <si>
    <t>http://ivo.garant.ru/proxy/share?data=q4Og0aLnpN5Pvp_qlYqxjK_xqrzXt9W_qeqZArDksdj_97HLova1x5DWsdG8lFKko_yS8tuowbnMtcfyh_Gp47Xikv2K_L_hlQzwn7TasvW85r_8j9G0nuur5IkQ5bbjguS0rQ==</t>
  </si>
  <si>
    <t>Закон Чеченской Республики от 9 апреля 2021 г. № 17-РЗ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бюджета Чеченской Республики"</t>
  </si>
  <si>
    <t>http://ivo.garant.ru/proxy/share?data=q4Og0aLnpN5Pvp_qlYqxjK_xqrzXt9W_qeqZArDksdj_97HLova1x5DWsdG8lFKko_yS8tuowbnMtcfyh_Gp47Xikv2K_L_hlQzwn7TasvW85r_8j9G0nuur5IkQ5LfjgeWwrQ==</t>
  </si>
  <si>
    <t>Подпрограмма «Обеспечение сбалансированности и устойчивости республиканского бюджета и бюджетов муниципальных образований Чеченской Республики» государственной программы «Обеспечение финансовой устойчивости Чеченской Республики» (утв.а постановлением Правительства Чеченской Республики от 19 декабря 2013 года № 351 (актуальная редакция - постановление Правительства Чеченской Республики от 22 февраля 2023 г. № 47),
Срок действия подпрограммы 2021-2024 года.</t>
  </si>
  <si>
    <t>http://ivo.garant.ru/proxy/share?data=q4Og0aLnpN5Pvp_qlYq36LHjvI2U8J695LfQTvO68Jew5bHS__WxxaPOtc6Q10G47f7ApZz8kfLbqMS5z7T487_wg-KO4739gw3hjPKZ8aK17LL9vd2-yI7itJsa8bPljOC144bm_g==</t>
  </si>
  <si>
    <t>Постановление Правительства Чеченской Республики от 15 июля 2021 г. № 155 "О конкурсном отборе инициативных проектов в Чеченской Республике"</t>
  </si>
  <si>
    <t>http://ivo.garant.ru/proxy/share?data=q4Og0aLnpN5Pvp_qlYqxjK_xqrzXt9W_qeqZArDksdj_97HLova1x5DWsdG8lFKko_yS8tuowbnMtcfyh_Gp47Xikv2K_L_hlQzwn7TasvW85r_8j9G0nuur5IkR5bnoguOwrQ==</t>
  </si>
  <si>
    <t>Министерство финансов Чеченской Республики</t>
  </si>
  <si>
    <t>Администрации муниципальных районов (мэрии городских округов) Чеченской Республики</t>
  </si>
  <si>
    <t>0.02%</t>
  </si>
  <si>
    <t>Предоставление строительных материалов, оборудования, инструмента, уборка мусора, благоустройство, наем спецтехники, строительство ограды и прочее.                                                           Финансовая оценка нефинансового вклада со стороны граждан, индивидуальных предпринимателей и юр. лиц производится представителями муниципального образования по рыночной стоимости на момент подачи заявки на участие в конкурсном отборе инициативных проектов</t>
  </si>
  <si>
    <t>1) Строительство спортивной площадки г. Аргун, ул. Шоссейная (Благополучателями являются жители многоквартирных и частных домов проживающих на ул. Шоссейная и прилегающих к ней улицах, всего 6,851 человек);                                                                                    2)Благоустройство общественной территории по проспекту А. Кадырова в г. Грозном (Благополучателями являются жители проживающие в непосредственной близости от благоустроенной территории, на сопредельных улицах - 5 504 человек);  3)Строительство спортивной площадки в с. Зандак Ножай-Юртовского района ЧР (Основными благополучателями являются дети и молодежь с.Зандак в возрасте до 30 лет, всего - 1958 человек); 4)Капитальный ремонт автодороги местного значения г. Гудермес по ул. Еременко (Благополучатели - автомобилисты проезжающие и пешеходы проходящие вдоль улицы по тротуару, среднесуточная численность - 1950 человек); 5)Благоустройство спортивной площадки в с. Ачхой-Мартан, ул. Хасана Хатаева (Основными благополучателями являются дети и молодежь в возрасте до 30 лет проживающие в непосредственной близости на соседних улицах со спортивной площадкой , всего - 2900 человек);                                    6)Текущий ремонт внутрипоселенческой дороги в с. Цоци-Юрт, ул. Х.Г. Канташева (Благополучатели - автомобилисты проезжающие и пешеходы проходящие вдоль улицы по тротуару, среднесуточная численность - 2480 человек).</t>
  </si>
  <si>
    <t>https://chechenstat.gks.ru/folder/38713</t>
  </si>
  <si>
    <t>Протокол заседания</t>
  </si>
  <si>
    <t>https://www.minfinchr.ru/deyatelnost/mezhbyudzhetnye-otnosheniya/iniciativnoe-byudzhetirovanie</t>
  </si>
  <si>
    <t>размещение извещения о проведении конкурсного отбора и НПА регулирующие направление заявок на конкурсный отбор инициативных проектов, размещения результатов конкурсного отбора по определению инициативных проектов</t>
  </si>
  <si>
    <t>https://www.minfinchr.ru/</t>
  </si>
  <si>
    <t>Реклама проводилась посредством размещения на официальном сайте Министерства финансов Чеченской Республики извещения о проведении конкурсного отбора, размещения на сайтах администраций муниципальных районов Чеченской Республики объявлений о приеме заявок для дальнейшего конкурсного отбора инициативных проектов, а также в ходе проведения выездных мероприятий по повышению финансовой грамотности различных категорий населения</t>
  </si>
  <si>
    <t>Вацуев Адам Даудович-начальник отдела финансовой грамотности и проектного управления ГКУ "Управление по обеспечению деятельности Министерства финансов Чеченской Республики"</t>
  </si>
  <si>
    <t>8(963)701-00-10</t>
  </si>
  <si>
    <t>vatsuev_ad@minfinchr.ru</t>
  </si>
  <si>
    <t>Реализация проектов по поддержке местных инициатив на территории муниципальных образований Воронежской области</t>
  </si>
  <si>
    <t>Проекты по поддержке местных инициатив (ППМИ)</t>
  </si>
  <si>
    <t>01 июня 2021 г.</t>
  </si>
  <si>
    <t>25 ноября 2022 г.</t>
  </si>
  <si>
    <t>Государственная программа Воронежской области"Содействие развитию муниципальных образований и местного самоуправления, подпрограмма 1 "Реализация государственной политики в сфере социально-экономического развития муниципальных образований", основное мероприятие 1.3 , мероприятие 1.3.3 "Проведение ежегодного конкурсного отбора проектов по поддержке местных инициатив и их реализация"</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</si>
  <si>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</si>
  <si>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http://publication.pravo.gov.ru/Document/View/3600201905300001?rangeSize=20</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</si>
  <si>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2026 года;                   
 2.Закон Воронежской области от 20.12.2018 N 168-ОЗ
"О Стратегии социально-экономического развития Воронежской области на период до 2035 года";                                    
3. Постановление Правительства Воронежской обл. от 29.12.2018 N 1242 "О плане мероприятий по реализации Стратегии социально-экономического развития Воронежской области на период до 2035 года"</t>
  </si>
  <si>
    <t>https://pravo.govvrn.ru/?q=node/16285;  https://pravo.govvrn.ru/?q=node/15088; https://pravo.govvrn.ru/?q=node/21716</t>
  </si>
  <si>
    <t>Распоряжение правительства Воронежской области от 19.04.2017 № 282-р, постановление правительства Воронежской области от 31.08.2017 № 678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</si>
  <si>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http://aleksandrovskoe-pavlovskregion.ru/wp-content/uploads/2018/08/Rasporyazhenie-pravitelstva-Voronezhskoy-oblasti-ot-19.04.2017-----282-r---O-razvitii-initsiativnogo-byudzhetirovaniya-na-territorii-Voronezhskoy-oblasti--.doc</t>
  </si>
  <si>
    <t>Департамент по развитию муниципальных образований Воронежской области</t>
  </si>
  <si>
    <t>Бюджеты муниципальных образований Вороонежской области</t>
  </si>
  <si>
    <t>Часть работ (либо закупка материалов, предоставление техники) при реализации проекта выполняются благотворителями и населением. Такие работы не оплачиваются из бюджетов различных уровней (неденежный вклад), однако они осмечиваются, а их стоимость входит в конечную цену реализации инициативного проекта</t>
  </si>
  <si>
    <t>Статистика отсутствует</t>
  </si>
  <si>
    <t>Механизм определения следующий: если проект предполагает заинтересованность большого круга жителей (например благоустройство места массового отдыха или ремонт и благоустройство мемориального комплекса) то количество благополучателей определяется как 100 %, 
если проект имеет определенную территориальную локализацию (например устройство тротуарной дорожки по конкретной улице), то благополучателями будут жители домов вдоль ремонтируемой улицы, в то же время улица может иметь транзитное значение для других жителей и тогда определяется дополнительный процент благополучателей в зависимости от значимости проекта.
Иформация о количестве благополучателей декларируется заявителем в заявке  на участие в конкурсном отборе. Кроме того заявка содержит мотивированое описание групп благополучателей от реализации проекта.</t>
  </si>
  <si>
    <t>Реестр (справочник) "Административно-территориальное устройство Воронежской области",  ежегодно выпускаемый правительством Воронежской области в соответствии с Законом Воронежской области от 27.10.2006 № 87-ОЗ "Об Административно-территориальном устройстве Воронежской области и порядке его изменения"(в редакции от 25.02.2022) и данных о численности населения, предоставленные Территориальным органом Федеральной службы статистики по Воронежской области по состоянию на 01.01.2022)</t>
  </si>
  <si>
    <t>фото видеофиксация</t>
  </si>
  <si>
    <t>да (https://www.govvrn.ru/konkurs-mi)</t>
  </si>
  <si>
    <t>Подача заявки посредством электронного модуля на официальном сайте правительства Воронежской области в сети Интернет (govvrn.ru)</t>
  </si>
  <si>
    <t>https://www.govvrn.ru/iniciativnoe-budzetirovanie</t>
  </si>
  <si>
    <t>Ресурс "Инициативное бюджетирование) на официальном сайте правительства Воронежской области в сети Интернет (govvrn.ru),  СМИ (публикации во все районные газеты)</t>
  </si>
  <si>
    <t>обучающие вебинары в режиме видеоконференсвязи для всех муниципальных образований области по мере внесения изменений в НПА, устанавливающего условия проведения конкурсного отбора проектов по поддержке местных инициатив, 2 специалиста по 40-60 минут,  обновление методических рекомендаций, индивидуальные очные и заочные консультации</t>
  </si>
  <si>
    <t>2 вебинара</t>
  </si>
  <si>
    <t xml:space="preserve">475 муниципальных образований </t>
  </si>
  <si>
    <t>Анисимова Маргарита Нухимовна - заместитель начальника отдела проектного управления и развития инициативного бюджетирования департамента по развитию муниципальных образований Воронежской области</t>
  </si>
  <si>
    <t>8 (473) 212 76 53</t>
  </si>
  <si>
    <t>mn_anisimova@govvrn.ru</t>
  </si>
  <si>
    <t>«Поощрение проектов, реализуемых в рамках территориального общественного самоуправления в муниципальных образованиях Воронежской области»</t>
  </si>
  <si>
    <t>ТОСы Воронежской области</t>
  </si>
  <si>
    <t>Постановление правительства Воронежской области от 23.07.2015 № 614 «О внесении изменений в постановление правительства Воронежской области от 09.12.2013 № 1072»</t>
  </si>
  <si>
    <t>https://pravo.govvrn.ru/?q=node/4592</t>
  </si>
  <si>
    <t xml:space="preserve">подготовлен проект Закона Воронежской области "Об инициативном бюджетировании"     </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</si>
  <si>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2030 год                        2.Закон Воронежской области от 20.12.2018 N 168-ОЗ
(ред. от 23.12.2019) "О Стратегии социально-экономического развития Воронежской области на период до 2035 года".                                                                  3.Постановление Правительства Воронежской обл. от 29.12.2018 N 1242 (ред. от 26.12.2022) "О плане мероприятий по реализации Стратегии социально-экономического развития Воронежской области на период до 2035 года"</t>
  </si>
  <si>
    <t>https://pravo.govvrn.ru/?q=node/16285;  https://pravo.govvrn.ru/?q=node/15088; https://www.consultant.ru/law/review/reg/rlawc/rlawc1812023-01-20.html</t>
  </si>
  <si>
    <t>Постановление правительства Воронежской области от 02.07.2015 №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t>
  </si>
  <si>
    <t>https://pravo.govvrn.ru/?q=node/4481</t>
  </si>
  <si>
    <t xml:space="preserve"> субсидия  из областного бюджета</t>
  </si>
  <si>
    <t>Ассоциация «Совет муниципальных образований Воронежской области»</t>
  </si>
  <si>
    <t>Приложением № 3 Положения о конкурсе установлено, что  в завке на получение гранта представитель ТОС указывает сведения о мероприятиях по подготовке территории к установке объектов благоустройства, по очистке территории, об оказании активной помощи подрядной организации и выполнении работ (часть работ) самостоятельно, изготавлению элементов благоустройства собственными силами. Максимальный балл экспертной комиссии - 15 баллов</t>
  </si>
  <si>
    <t>https://tos.govvrn.ru/public/home/documents</t>
  </si>
  <si>
    <t>В каждой поданной ТОС заявке содержится информация по количеству участников ТОС и количеству благополучатей (жителей в границах ТОС)</t>
  </si>
  <si>
    <t>https://voronezhstat.gks.ru/storage/mediabank/Численность%20населения%20Воронежской%20области%20в%20разрезе%20муниципальных%20образований%20на%2001.01.2022%20года.pdf</t>
  </si>
  <si>
    <t>некоммерческая организация - Ассоциация «Совет муниципальных образований Воронежской области»</t>
  </si>
  <si>
    <t>бюджет Воронежской области</t>
  </si>
  <si>
    <t>указывается в заявке</t>
  </si>
  <si>
    <t>Критерии оценки поданных заявок закреплены распоряжением о проведении конкурса. Оценка проводится в два этапа:                                                   На первом этапе оценивается правильность заполнения заявки и перечень прилагаемых документов.                                                                      На втором этапе проводится очная защита проектов ТОС председателями ТОС и далее проводится оценка данной защиты членами межведомственной комиссии.</t>
  </si>
  <si>
    <t>Протокол заседания межведоственной комиссии.</t>
  </si>
  <si>
    <t xml:space="preserve">он-лайн подача заявок и он-лайн защита проектов ТОС </t>
  </si>
  <si>
    <t>https://tos.govvrn.ru/</t>
  </si>
  <si>
    <t xml:space="preserve">https://smovrn.ru/;      https://vk.com/;    https://www.govvrn.ru/ </t>
  </si>
  <si>
    <t>ТВ, официальный сайт, портал правительства Воронежской области, социальные сети, наружная реклама</t>
  </si>
  <si>
    <t>Методические материалы: пошаговая инструкция, презентации разного уровня, каталог лучших проектов ТОС, бланки и анкеты для ТОС и т.д. https://tos.govvrn.ru/public/home/documents</t>
  </si>
  <si>
    <t xml:space="preserve"> вебинары, видео-семинары, он-лайн конференции, конкурсы между активистами ТОС, с периодичностью - в течение года, основной состав участников - 7 человек</t>
  </si>
  <si>
    <t>Преснякова Людмила Александровна, советник отдела проектного управления и развития инициативного бюджетирования департамента по развитию муниципальных образований Воронежской области</t>
  </si>
  <si>
    <t>8 (473) 212-77-95</t>
  </si>
  <si>
    <t>l_presnaykova@govvrn.ru</t>
  </si>
  <si>
    <t>«О реализации практик гражданских инициатив в рамках развития инициативного бюджетирования на территории Воронежской области»</t>
  </si>
  <si>
    <t>Отбор практик гражданских инициатив</t>
  </si>
  <si>
    <t>30 декабря 2022 г.</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</si>
  <si>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1.2 «Развитие территорий муниципальных образований»
Задача 1.2.1 «Улучшение качества жизни населения и внешнего облика населенных пунктов путем взаимодействия с институтами общественного самоуправления»
Мероприятие 1.2.1 «Обустройство территорий городских и сельских населенных пунктов». Предоставление субсидий бюджетам муниципальных образований на софинансирование расходов муниципальных образований на обустройство территорий муниципальных образований»</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</si>
  <si>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</si>
  <si>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https://pravo.govvrn.ru/?q=node/16285</t>
  </si>
  <si>
    <t>1. Постановление правительства Воронежской области от 29.05.2019 № 531 (ред. от 29.03.2023 N 210)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2030 года                   
2. Закон Воронежской области от 20.12.2018 № 168-ОЗ (ред. от 23.12.2019 № 165-ОЗ) «О Стратегии социально-экономического развития Воронежской области на период до 2035 года» 
3. Постановление Правительства Воронежской области от 29.12.2018 № 1242 (ред. от 26.12.2022 N 978) «О плане мероприятий по реализации Стратегии социально-экономического развития Воронежской области на период до 2035 года»</t>
  </si>
  <si>
    <t>https://pravo.govvrn.ru/?q=node/16285
https://pravo.govvrn.ru/?q=node/15088 
https://pravo.govvrn.ru/?q=node/21716</t>
  </si>
  <si>
    <t>Постановление Правительства Воронежской области от 21.01.2019 № 30 (ред. От 27.03.2023 № 190) «О реализации практик гражданских инициатив в рамках развития инициативного бюджетирования на территории Воронежской области»</t>
  </si>
  <si>
    <t>https://pravo.govvrn.ru/?q=node/15372</t>
  </si>
  <si>
    <t>не предусмотрено</t>
  </si>
  <si>
    <t>не велась</t>
  </si>
  <si>
    <t>В каждой поданной от органов местного самоуправления в рамках отбора практик гражданских инициатив заявке содержится информация по количеству благополучатей (жителей в границах населенного пункта)</t>
  </si>
  <si>
    <t>https://voronezhstat.gks.ru/</t>
  </si>
  <si>
    <t>предусмотрено в заявочной на 2023 год и далее</t>
  </si>
  <si>
    <t>Решение о выборе той или иной практики принимается гражданами на собраниях и (или) конференциях</t>
  </si>
  <si>
    <t>видеофиксация</t>
  </si>
  <si>
    <t>Критерии, по которым оцениваются поданные заявки закреплены нормативно. Оценка проводится в два этапа. На первом этапе департамент оценивает практику по информации, содержащейся в заявке и представленных документах. На втором этапе оценка проводится членами межведомственной комиссии по отбору практик гражданских инициатив. По итогам двух этапов оценки практик, по каждой практике формирует рейтинг, в который включаются практики в порядке от наибольшего значения баллов к наименьшему. В межведомственную комиссию входят представители: профильных департаментов, общественных организаций. Членами межведомственной комиссии заполняется оценочный лист по итогам заседания и  обсуждения каждой практики</t>
  </si>
  <si>
    <t>Протокол заседания межведоственной комиссии по отбору практик гражданских инициатив</t>
  </si>
  <si>
    <t>Не участвуют муниципальные районы</t>
  </si>
  <si>
    <t>страница департамента по развитию муниципальных образований Воронежской области, ресурс «Инициативное бюджетиррование» на официальном сайте органов государственной власти Воронежской области в сети «Интернет»: www.govvrn.ru</t>
  </si>
  <si>
    <t>публикация информациии о сроках проведения и итогах конкурсного отбора в региональных и местных СМИ и на портале органов государственной власти Воронежской области в сети «Интернет»: www.govvrn.ru</t>
  </si>
  <si>
    <t>презентационные материалы, сопровождающие выступления специалистов департамента на семинарах для муниципалитетов</t>
  </si>
  <si>
    <t xml:space="preserve">Борщевская Наталья Викторовна,заместитель руководителя департамента по развитию муниципальных образований Воронежской области - начальник отдела программного развия и организации обустройства территорий  </t>
  </si>
  <si>
    <t>8(473)212-76-52</t>
  </si>
  <si>
    <t>nborschevskaja@govvrn.ru</t>
  </si>
  <si>
    <t>Формирование комфортной городской среды</t>
  </si>
  <si>
    <t>Региональный проект "Формирование комфортной городской среды", государственной программы Владимирской области "Благоустройство территорий муниципальных образований Владимирской области"</t>
  </si>
  <si>
    <t>Постановление администрации области от 30.08.2017 № 758 "О государственной программе Владимирской области "Благоустройство территорий муниципальных образований Владимирской области"</t>
  </si>
  <si>
    <t>https://clck.ru/Ueacz</t>
  </si>
  <si>
    <t>Министерство жилищно-коммунальнгго хозяйства Владимирской области</t>
  </si>
  <si>
    <t>Органы местного самоуправления</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</si>
  <si>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национального проекта "Жилье и городская среда"</t>
  </si>
  <si>
    <t>Министерство строительства и жилищно-коммунального хозяйства Российской Федерации</t>
  </si>
  <si>
    <t>Министерствожилищно-коммунального хозяйства Владмирской области</t>
  </si>
  <si>
    <t>Численность граждан, проживающих в муниципальных образованиях области, в которых проводилось  голосование</t>
  </si>
  <si>
    <t>https://vladimirstat.gks.ru</t>
  </si>
  <si>
    <t>Подсчитано количество граждан, принявших участие в опросах, интервьюировании, анкетировании в муниципальных образованиях</t>
  </si>
  <si>
    <t>Подсчитано количества граждан, принявших участие в общественных обсуждениях и иных очных мероприятиях</t>
  </si>
  <si>
    <t xml:space="preserve">Подсчет голосов, принявших участие в голосовании на онлан-платформе для голосования за выбор общественных территорий, подлежащих благоустройтву, разработанной Минстроем России </t>
  </si>
  <si>
    <t>В практике ИБ участвует 31 муниципальное образование</t>
  </si>
  <si>
    <t>В программе принимают участие городские округа  и городские поселения области</t>
  </si>
  <si>
    <t xml:space="preserve">https://jkx.avo.ru/formirovanie-komfortnoj-gorodskoj-sredy
</t>
  </si>
  <si>
    <t>Майорова Виктория Андреевна, консультант отдела жилищного фонда и развития объектов благоустройства Министерства жилищно-коммунального хозяйства Владимирской области</t>
  </si>
  <si>
    <t>8 (4922) 77-79-72</t>
  </si>
  <si>
    <t>mayorova@jkx.gov33.ru</t>
  </si>
  <si>
    <t>Жаворонкова Татьяна Геннадьевна, заместитель начальника отдела  бюджетной политики и финансирования в отраслях производственной сферы и ЖКХ Министерства финансов Владимирской области</t>
  </si>
  <si>
    <t>8 (4922) 32-60-23</t>
  </si>
  <si>
    <t>fps@vladfin.ru</t>
  </si>
  <si>
    <t>Комплексное развитие сельских территорий по благоустройству</t>
  </si>
  <si>
    <t>01 января 2022 г.</t>
  </si>
  <si>
    <t>31 декабря 2022 г.</t>
  </si>
  <si>
    <t>Государственная программа Владимирской области "Комплексное развитие сельских территорий Владимирской области". Региональный проект "Благоустройство сельских территорий"</t>
  </si>
  <si>
    <t>Постановление администрации Владимирской области от 20 декабря 2019 г. № 904 "Об утверждении государственной программы Владимирской области "Комплексное развитие сельских территоррий Владимирской области"</t>
  </si>
  <si>
    <t>consultantplus://offline/ref=63D6007F472A212D5240E5C0371BE1ABCCA69A409DFAEC8112CBC66372130BEC0B814969C336165E08DC94BFA57DFF0B0D853461BB50481B763A699509DBc7NBN</t>
  </si>
  <si>
    <t>Постановление Департамента сельского хозяйства Владимирской области от 08 апреля 2022 г. № 6 "Об утверждении Порядка отбора общественно значимых проектов по благоустройству сельских территорий".</t>
  </si>
  <si>
    <t>https://mcx.avo.ru/blagoustrojstvo-sel-skih-territorij</t>
  </si>
  <si>
    <t>Министерство сельского хозяйства Владимирской области</t>
  </si>
  <si>
    <t>Органы местного самоуправления сельских и городских поселений</t>
  </si>
  <si>
    <t xml:space="preserve">нет </t>
  </si>
  <si>
    <t xml:space="preserve">Государственная программа Российской Федерации "Комплексное развитие сельских территорий" Федеральный проект "Благоустройство сельских территорий" (постановление Правительства Российской Федерации от 31 мая 2019 г. № 696) </t>
  </si>
  <si>
    <t>Министерство сельского хозяйства Российской Федерации</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</si>
  <si>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</si>
  <si>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не учитывалось</t>
  </si>
  <si>
    <t>Подсчет благополучателей осуществляется на основании информации, предоставленной органами местного самоуправления</t>
  </si>
  <si>
    <t>проведение органами местного самоуправления собраний (сходов) граждан</t>
  </si>
  <si>
    <t>протоколы собрания (сходов) граждан</t>
  </si>
  <si>
    <t>Муниципальные образования сельских и городских поселений (100%)</t>
  </si>
  <si>
    <t>Муниципальные образования сельских и городских поселений</t>
  </si>
  <si>
    <t>Официальный сайт Министерства сельского хозяйства Владимирской области</t>
  </si>
  <si>
    <t>Назарова Марина Александровна - заместитель начальника отдела развития сельских территорий и малых форм хозяйствования на селе Министерства сельского хозяйства Владимирской области</t>
  </si>
  <si>
    <t>8 (4922) 600-182</t>
  </si>
  <si>
    <t>reformir@mcx.gov33.ru</t>
  </si>
  <si>
    <t>Опарина Марина Юрьевна - начальник отдела бюджетной политики и финансирования агропромышленного комплекса , охраны окружающей среды и земельных отношений Министерства финансов Владимирской области</t>
  </si>
  <si>
    <t>8 (4922) 32-63-52</t>
  </si>
  <si>
    <t>apk@vladfin.ru</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</si>
  <si>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</si>
  <si>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50/50</t>
  </si>
  <si>
    <t>23 декабря 2022</t>
  </si>
  <si>
    <t>Государственная программа Владимирской области "Управление государственными финансами и государственным долгом Владимирской области". Комплекс процессных мероприятий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</si>
  <si>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Губернатора области от 22.03.2013 №319</t>
  </si>
  <si>
    <t xml:space="preserve">https://dtf.avo.ru/podderzka-iniciativ-naselenia </t>
  </si>
  <si>
    <t>Закон Владимирской области от 09.02.2021 №12-ОЗ "Об отдельных вопросах в сфере регулирования отношений по реализации инициативных проектов, выдвигаемых для получения финансовой поддержки за счет межбюджетных трансфертов из областного бюджета, во Владимирской области"</t>
  </si>
  <si>
    <t>размещен в системе "Консультант Плюс"</t>
  </si>
  <si>
    <t>до 2030 года</t>
  </si>
  <si>
    <t>Министерство финансов Владимирской области</t>
  </si>
  <si>
    <t>Дотации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 (Межбюджетные трансферты)</t>
  </si>
  <si>
    <t>Муниципальные образования Владимирской области</t>
  </si>
  <si>
    <t>Отбор заявок не производится. Поддерживаются все правильно оформленные заявки. За счет средств областного бюджета стимулируются доходы в размере 100% от собранных средств. Средства предоставляются в форме дотации</t>
  </si>
  <si>
    <t>Количество жителей населенных пунктов, в которых реализованы проекты</t>
  </si>
  <si>
    <t>Протокол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</si>
  <si>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Собрание граждан населенного пункта, входящего в состав муниципального образования,  по вопросу принятия решения о сборе и использовании средств добровольных пожертвований</t>
  </si>
  <si>
    <t>Данилова Марина Владимировна, консультант отдела межбюджетных отношений и анализа консолидированного бюджета Министерства финансов Владимирской области</t>
  </si>
  <si>
    <t>8 (4922 )32-50-71</t>
  </si>
  <si>
    <t>bud@vladfin.ru</t>
  </si>
  <si>
    <t xml:space="preserve">  Субсидии на реализацию проектов местных инициатив, направленных на развитие туризма в муниципальных образованиях</t>
  </si>
  <si>
    <t>Проекты местных инициатив</t>
  </si>
  <si>
    <t>Государственная программа "Развитие туристско-рекреационного комплекса и народных художественных промыслов в Республике Дагестан". Подпрограмма 1 "Развитие туристско-рекреационного комплекса в Республике Дагестан на 2019 - 2025 годы".</t>
  </si>
  <si>
    <t>Постановление Правительства РД от 16 июля 2019 года в редакции от 29.03.2022 г № 55</t>
  </si>
  <si>
    <t xml:space="preserve">Министерство по туризму и народным художественным промыслам Республики Дагестан </t>
  </si>
  <si>
    <t>Муниципальные образования Республики Дагестан</t>
  </si>
  <si>
    <t>83.61%</t>
  </si>
  <si>
    <t>60 млн руб.</t>
  </si>
  <si>
    <t>https://05.rosstat.gov.ru/storage/mediabank/числ.%20на%2001.01.2022г.%20(чел.).pdf</t>
  </si>
  <si>
    <t>Подача муниципальными образованиями проектов 
в форме конкурсной документации в Министерство 
по туризму и народным художественным 
промыслам Республики Дагестан (организатор конкурсного отбора)</t>
  </si>
  <si>
    <t>Регистрация конкурсной документации организатором (Министерством по туризму и народным художественным промыслам 
Республики Дагестан)</t>
  </si>
  <si>
    <t>Протокол</t>
  </si>
  <si>
    <t>https://mintourismrd.ru/dejatelnost/mestnye-iniciativy/</t>
  </si>
  <si>
    <t>Дышекова Бэла Казбековна</t>
  </si>
  <si>
    <t>8(8722)55-44-26</t>
  </si>
  <si>
    <t>DzhateB@mail.ru</t>
  </si>
  <si>
    <t>Яхьяев Камиль Арслевдинович</t>
  </si>
  <si>
    <t>8-(8722)-67-38-71</t>
  </si>
  <si>
    <t>k.yahiyaev@e-dag.ru</t>
  </si>
  <si>
    <t xml:space="preserve">"О реализации на территории Республики Дагестан проектов местных инициатив"
</t>
  </si>
  <si>
    <t>"Местные инициативы"</t>
  </si>
  <si>
    <t xml:space="preserve">Постановление Правительства РД от 25 апреля 2016 года № 110 "О реализации на территории Республики Дагестан проектов местных инициатив"
</t>
  </si>
  <si>
    <t>consultantplus://offline/ref=86FD0AC683A02DEBC845D1228D6964392BB5BE36199F0B3F55E4216B368226B846D32F1956D64465A19AD9FAA7AF8DC34979C519JC59G</t>
  </si>
  <si>
    <t>Министерство экономики и территориального развития Республики Дагестан</t>
  </si>
  <si>
    <t>Администрации муниципальных образований Республики Дагестан</t>
  </si>
  <si>
    <t>статистика не ведется</t>
  </si>
  <si>
    <t xml:space="preserve">протокол собрания граждан с приложением подписей участников и материалов фото- и видеофиксации проведения собрания и вынесения коллективного решения
</t>
  </si>
  <si>
    <t>Протокол заседания Конкурсной комиссии по проведению конкурсного отбора проектов местных инициатив муниципальных образований Республики Дагестан для получения субсидий на их реализацию</t>
  </si>
  <si>
    <t>http://minec-rd.e-dag.ru/mestnye-initsiativy</t>
  </si>
  <si>
    <t>Информационное освещение проекта «Местные инициативы» в Республике Дагестан регулярно ведётся во всех региональных и муниципальных СМИ – телевидение (ГТРК Дагестан, РГВК Дагестан, НН,  к примеру https://rgvktv.ru/news/obshchestvo/novyy-park-otdykha-otkrylsya-v-karabudakhkente05012023/?sphrase_id=1187559 https://rgvktv.ru/news/obshchestvo/zavershaetsya-stroitelstvo-novogo-parka-pobedy-v-rayonnom-tsentre-kayakentskogo-rayona28122022/?sphrase_id=1187559  https://nnttv.ru/news/v-dahadaevskom-rajone-po-programme-mestnyh-iniciat  https://rgvktv.ru/news/obshchestvo/v-sele-tlyarata-gumbetovskogo-rayona-otkryli-detskuyu-ploshchadku06012023/?sphrase_id=1187559 https://rgvktv.ru/news/obshchestvo/v-sele-yubileynoe-kizlyarskogo-rayona-otkryli-novyy-skver06012023/?sphrase_id=1187559), газеты, новостные издания. Также активно продвигается информация о проекте в социальных сетях и мессенджерах: телеграмм-каналы, сообщества в ВК, в том числе в формате фото-коллажей «До/После» на примере уже реализованных проектов. Информация о проекте периодически выводится на светодиодном билборде Министерства по национальной политике и делам религий Республики Дагестан на Центральной площади г. Махачкалы.</t>
  </si>
  <si>
    <t>https://disk.yandex.ru/client/disk/%D0%91%D1%83%D0%BA%D0%BB%D0%B5%D1%82%20%22%D0%9C%D0%B5%D1%81%D1%82%D0%BD%D1%8B%D0%B5%20%D0%B8%D0%BD%D0%B8%D1%86%D0%B8%D0%B0%D1%82%D0%B8%D0%B2%D1%8B%22</t>
  </si>
  <si>
    <t>Дабишев Шамиль Магомедович</t>
  </si>
  <si>
    <t>+7 (8722) 68-15-65</t>
  </si>
  <si>
    <t>minfinrd1@yandex.ru</t>
  </si>
  <si>
    <t>Магомедов Исламудин Аслудинович</t>
  </si>
  <si>
    <t>Magomedov.Islam@mail.ru</t>
  </si>
  <si>
    <t>О мерах по реализации государственной программы Республики Дагестан "Комплексное развитие сельских территорий Республики Дагестан" от 27 апреля 2020 года</t>
  </si>
  <si>
    <t>"Комплексное развитие сельских территорий Республики Дагестан</t>
  </si>
  <si>
    <t>Об утверждении государственной программы Республики Дагестан "Комплексное развитие сельских территорий Республики Дагестан" от 25 октября 2019 года № 272</t>
  </si>
  <si>
    <t>https://docs.cntd.ru/document/570773121</t>
  </si>
  <si>
    <t>О мерах по реализации государственной программы Республики Дагестан "Комплексное развитие сельских территорий Республики Дагестан" от 27 апреля 2020 года №81</t>
  </si>
  <si>
    <t>http://publication.pravo.gov.ru/Document/View/0500202005060005?index=1&amp;rangeSize=1</t>
  </si>
  <si>
    <t>Министерство сельского  хозяства и продовольствия Республики Дагестан</t>
  </si>
  <si>
    <t>Мнистерство сельского  хозяства и продовольствия Республики Дагестан</t>
  </si>
  <si>
    <t>Государственная программа РФ "Благоустройство сельских территорий"</t>
  </si>
  <si>
    <t>Министерство сельского  хозяства Российкой Федерации</t>
  </si>
  <si>
    <t>Министерство сельского хозяйства и продововльствия Республики Дагестан</t>
  </si>
  <si>
    <t>Трудовое участие</t>
  </si>
  <si>
    <t>На основании паспортов обьектов</t>
  </si>
  <si>
    <t>https://dagstat.gks.ru/storage/mediabank/%D1%87%D0%B8%D1%81%D0%BB.%20%D0%BD%D0%B0%2001.01.2022%D0%B3.%20(%D1%87%D0%B5%D0%BB.).pdf</t>
  </si>
  <si>
    <t>Сход граждан</t>
  </si>
  <si>
    <t>голосование</t>
  </si>
  <si>
    <t>сход граждан</t>
  </si>
  <si>
    <t>Конкурсный отбор</t>
  </si>
  <si>
    <t>Аджеков Мухтарбий Кошманбетович, Министр сельского хозяйства и продововльствия Республики Дагестан</t>
  </si>
  <si>
    <t>mcxrd@mail.ru</t>
  </si>
  <si>
    <t>Проекты инициативного бюджетирования "Твой Кузбасс - твоя инициатива" в Кемеровской области - Кузбассе</t>
  </si>
  <si>
    <t>"Твой Кузбасс - твоя инициатива"</t>
  </si>
  <si>
    <t xml:space="preserve">"Об утверждении государственной программы Кемеровской области Кузбасса "Управление государственными финансами Кузбасса" на 2014-2022 годы, подпрограмма "Создание условий для повышения эффективности расходов бюджета Кемеровской области - Кузбасса, мероприятие "Реализация проектов инициативного бюджетирования "Твой Кузбасс - твоя инициатива" </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</si>
  <si>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t>
  </si>
  <si>
    <t>http://publication.pravo.gov.ru/Document/View/4200201908130001</t>
  </si>
  <si>
    <t>Закон Кемеровской области - Кузбасса от 14.11.2018 № 90-ОЗ "О реализации проектов инициативного бюджетирования в Кемеровской области - Кузбассе"</t>
  </si>
  <si>
    <t xml:space="preserve">http://docs.cntd.ru/document/550244134  </t>
  </si>
  <si>
    <t>http://docs.cntd.ru/document/550287796   http://docs.cntd.ru/document/550287820</t>
  </si>
  <si>
    <t>Министерство финансов Кузбасса</t>
  </si>
  <si>
    <t>33 получателя бюджетных средств, в том числе: администрации, управления  культуры, спорта, молодежи и национальной политики, управления образования, управления ЖКХ</t>
  </si>
  <si>
    <t>Численность благополучателей учитывается исходя из указанных данных в заявках городских или сельских поселений, муниципальных округов, городских округов на участие в конкурсах. Если численность населения муниципального образования превышает данные Росстата, участниками конкурсного отбора направлялись пояснительные записки к заявкам, с указанием планируемых мероприятий по дополнительному привлечению  благополучателей из других муниципальных образований или регионов.</t>
  </si>
  <si>
    <t>Методика подсчета благополучателей отсутствует</t>
  </si>
  <si>
    <t>https://42.rosstat.gov.ru/storage/mediabank/Кузбасс%20в%20цифрах(1).pdf</t>
  </si>
  <si>
    <t>Опросные листы, протоколы предварительных и заключительных собраний</t>
  </si>
  <si>
    <t>Протоколы заключительных собраний</t>
  </si>
  <si>
    <t>Протокол заседания областной конкурсной комиссии (в режиме ВКС) по проведению конкурсного отбора проектов инициативного бюджетирования "Твой Кузбасс- твоя инициатива" в Кемеровской области - Кузбассе на 2022 год от 28.01.2022 №8 https://www.ofukem.ru/upload/iblock/7ff/ProtokolN8ot220128.pdf</t>
  </si>
  <si>
    <t>В областном конкурсе проектов могут принимать участие ВСЕ  муниципальные образования Кузбасса.  В соответствии c пунктом 4 статьи 6 Закона Кемеровской области  от 14.11.2018 № 90-ОЗ «О реализации проектов инициативного бюджетирования в Кемеровской области - Кузбассе», учитывая протокол заседания областной конкурсной комиссии по проведению конкурсного отбора проектов инициативного бюджетирования «Твой Кузбасс – твоя инициатива» в Кемеровской области - Кузбассе от 22.01.2021 № 6, Правительство Кемеровской области – Кузбасса утвердждает максимальное количество проектов инициативного бюджетирования «Твой Кузбасс – твоя инициатива» в Кемеровской области - Кузбассе (ежегодно) на 2022 год: 
от городского округа, территория города в составе которого не разделяется на внутригородские районы, - один проект; от городского округа, территория города в составе которого разделяется на внутригородские районы, - один проект на каждый внутригородской район;
от муниципального округа – один проект на каждый центр административного района (не входящий в состав поселка городского типа, сельской территории и не наделенный статусом городского округа), город районного подчинения, поселок городского типа (не наделенный статусом городского округа), на каждую сельскую территорию;
от городского, сельского поселения муниципального района – один проект.
https://www.ofukem.ru/activity/initiative-budgeting/documents/</t>
  </si>
  <si>
    <t>https://www.ofukem.ru/activity/initiative-budgeting/about-the-projects/</t>
  </si>
  <si>
    <t xml:space="preserve">Инициативное проектирование — СОВЕТ МО КУЗБАССА (smoko42.ru)
https://vk.com/wall629020261_260 ВК Минфин
https://ako.ru/news/detail/300-proektov-initsiativnogo-byudzhetirovaniya-tvoy-kuzbass-tvoya-initsiativa-budut-realizovany-k-300 - сайт Администрация Правительства Кузбасса
https://vk.com/id534063931 страница ВК 
Опыт и перспективы развития проектов инициативного бюджетирования «Твой Кузбасс-твоя...» - поиск Яндекса по видео (yandex.ru)
</t>
  </si>
  <si>
    <t xml:space="preserve">https://www.ofukem.ru/activity/initiative-budgeting/about-the-projects/        Минфин </t>
  </si>
  <si>
    <t>Проведение ВКС, совещаний совместно с  Советом муниципальных образований Кузбасса, Парламентом Кузбасса, Общественным советом Минфина Кузбасса. Постоянное освещение новостей в социальных сетях. Описание рекламной кампании на примере Гурьевского муниципального круга  Кемеровской области - Кузбасса   (Приложение 1)</t>
  </si>
  <si>
    <t>1. Методические рекомендации  https://www.ofukem.ru/activity/initiative-budgeting/methodical-recommendations/  2. Листовки  https://www.ofukem.ru/lengf/news/events/aktsiya-po-privlecheniyu-grazhdan-k-initsiativnomu-byudzhetirovaniyu/</t>
  </si>
  <si>
    <t xml:space="preserve">Проведение ВКС (по мере необходимости), совещаний совместно с  Советом муниципальных образований Кузбасса ( ежеквартально), Парламентом Кузбасса (ежеквартально), Общественным советом Минфина Кузбасса (1, 4 квартал). </t>
  </si>
  <si>
    <t>Казакова-Казаковская Светлана Алексеевна, начальник контрольно-аналитического отдела Министерства финансов Кузбасса</t>
  </si>
  <si>
    <t>8(3842)58-25-98</t>
  </si>
  <si>
    <t>kaz-kazakovskay@mail.ru,  k-kazakovskaya@ofukem.ru</t>
  </si>
  <si>
    <t xml:space="preserve">Инициативное бюджетирование или реализация проектов развития общественной инфраструктуры, основанных на местных инициативах </t>
  </si>
  <si>
    <t>Инициативное бюджетирование в Республике Адыгея</t>
  </si>
  <si>
    <t>30 ноября 2022 г.</t>
  </si>
  <si>
    <t>Закон Республики Адыгея от 10 декабря 2021 года N 22"О республиканском бюджете Республики Адыгея на 2022 год и на плановый период 2023 и 2024 годов";Распоряжение Кабинета Министров Республики Адыгея от 13 апреля 2022 года N 111-р
"О распределении субсидий из республиканского бюджета Республики Адыгея бюджетам городского и сельских поселений на софинансирование проектов развития общественной инфраструктуры, основанных на местных инициативах, реализуемых на территории городского и сельских поселений в 2022 году";Распоряжение Кабинета Министров Республики Адыгея от 14 июня 2022 года N 179-р
"О распределении субсидий из республиканского бюджета Республики Адыгея бюджетам городских и сельских поселений на софинансирование проектов развития общественной инфраструктуры, основанных на местных инициативах, реализуемых на территории городских и сельских поселений в 2022 году"</t>
  </si>
  <si>
    <t>https://minfin01-maykop.ru/Show/Category/7?ItemId=55</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</si>
  <si>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</si>
  <si>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https://internet.garant.ru/#/document/43633176/paragraph/1/doclist/9491/1/0/0/Постановление%20Кабинета%20Министров%20Республики%20Адыгея%20от%2010.10.2018%20№%20212%20%22О%20некоторых%20вопросах%20реализации%20проектов%20развития%20общественной%20инфраструктуры,%20основанных%20на%20местных%20инициативах%22:2</t>
  </si>
  <si>
    <t>Министерство финансов Республики Адыгея</t>
  </si>
  <si>
    <t xml:space="preserve">Субсидии </t>
  </si>
  <si>
    <t>МО "Кошехабльское сельское поселение"; МО "Егерухайское сельское поселение"; МО "Шенджийское сельское поселение"; МО "Сергиевское сельское поселение"; МО  "Гиагинское сельское поселение"; МО "Каменномостское сельское поселение"; МО "Игнатьевское сельское поселение";  МО "Келермесское сельское поселение"; МО "Айрюмовское сельское поселение"; МО "Дондуковское сельское поселение"; МО "Блечепсинское сельское поселение"; МО "Тлюстенхабльское городское поселение"; МО "Хатукайское сельское поселение"; МО "Вольненское сельское поселение"; МО "Майское сельское поселение"; МО "Яблоновское городское поселение"</t>
  </si>
  <si>
    <t>неоплачиваемые работы; вклад материалами и оборудованием; вклад в форме техники и транспортных средств</t>
  </si>
  <si>
    <t>п. 1.1 постановления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</si>
  <si>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 xml:space="preserve"> Данные о прямых благополучателях указываются поселениями в заявках на участие в конкурсном отборе с описанием групп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При этом комиссией по конкурсному отбору данные могут уточняться, что отражается в протоколе заседания конкурсной комиссии. Доля благополучателей рассчитывается следующим образом: количество прямых благополучателей / численность населения поселения * 100%</t>
  </si>
  <si>
    <t>п.1.2 постановления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</si>
  <si>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krsdstat.gks.ru/population_ra</t>
  </si>
  <si>
    <t>заполнение опросных листов, анкет гражданами</t>
  </si>
  <si>
    <t>протокол собрания граждан</t>
  </si>
  <si>
    <t>https://mokoshehablsp.ru/administratsiya/initsiativnoe-byudzhetirovanie/2023</t>
  </si>
  <si>
    <t>осуществляется комиссией конкурсного отбора в соответствии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</si>
  <si>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городские и сельские поселения</t>
  </si>
  <si>
    <t>по типу мо (городские, сельские поселения)</t>
  </si>
  <si>
    <t>https://minfin01-maykop.ru/Show/Category/60?ItemId=237</t>
  </si>
  <si>
    <t>https://t.me/minfin01</t>
  </si>
  <si>
    <t xml:space="preserve">информация об ИБ освящается  на телевидении, радио, в газетах, официальных сайтах, социальных сетях </t>
  </si>
  <si>
    <t>заседание коллегии  Минфина РА  с участием финансовых органов МО, общественные советы</t>
  </si>
  <si>
    <t>Цыганкова Алена Юрьевна - начальник отдела методологии и мониторинга государственных финансов Республики Адыгея Министерства финансов Республики Адыгея</t>
  </si>
  <si>
    <t>8(8772) 52-86-99</t>
  </si>
  <si>
    <t>atsygankova@minfin-maykop.ru</t>
  </si>
  <si>
    <t>Проект «Инициативы граждан»</t>
  </si>
  <si>
    <t>1 января 2022</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</si>
  <si>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</si>
  <si>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</si>
  <si>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https://minregion-ra.ru/wp-content/uploads/2018/03/%D0%9F%D0%BE%D1%81%D1%82%D0%B0%D0%BD%D0%BE%D0%B2%D0%BB%D0%B5%D0%BD%D0%B8%D0%B5-%E2%84%96-25-%D0%BE%D1%82-31.01.2018.pdf</t>
  </si>
  <si>
    <t>Указ Главы Республики Алтай, Председателя Правительства Республики Алтай от 15.02.2018 № 51-у "О реализации на территории Республики Алтай проекта "Инициативы граждан";
Постановление Правительства Республики Алтай от 08.04.2020 № 127 "Об утверждении Правил проведения конкурсного отбора проектов развития общественной инфраструктуры, основанных на местных инициативах, на территории Республики Алтай в рамках реализации проекта "Инициативы граждан" и признании утратившими силу некоторых постановлений Правительства Республики Алтай"</t>
  </si>
  <si>
    <t>https://minfin-altai.ru/files/2022/08/2_20220815-!_51-u-v-redakcii-208-u.docx
https://minfin-altai.ru/files/2021/03/PPRA_ot_08.04.2020_g._127.docx</t>
  </si>
  <si>
    <t xml:space="preserve">Министерство регионального развития Республики Алтай </t>
  </si>
  <si>
    <t>муниципальные образования в Республике Алтай</t>
  </si>
  <si>
    <t>Неденежный вклад включает неоплачиваемые работы, строительные  материалы или оборудование,  вклад в  форме предоставления оборудования, техники и транспортных средств.
Сведения о неденежном вкладе граждан и спонсоров подаются вместе с заявкой для участия в конкурсном отборе (приложенияем к заявке) и включают в себя:
расчет неденежного вклада неоплачиваемых работ (стоимость работ с учетом продолжительности работ (человеко-дней));
расчет неденежного вклада материалами или оборудованием (Количество материала или оборудования * цену за единицу (рублей));
расчет неденежного вклада в форме техники и транспортных средств (Количество техники и транспортных средств*цену за единицу (рублей))</t>
  </si>
  <si>
    <t>https://minfin-altai.ru/files/2021/03/PPRA_ot_08.04.2020_g._127.docx</t>
  </si>
  <si>
    <t>2,650</t>
  </si>
  <si>
    <t>статистические данные</t>
  </si>
  <si>
    <t>https://akstat.gks.ru/folder/33349</t>
  </si>
  <si>
    <t>протоколы собраний</t>
  </si>
  <si>
    <t xml:space="preserve">Протокол
заседания комиссии по рассмотрению заявок, поданных городским округом и сельскими поселениями в Республике Алтай на предоставление субсидий муниципальным образованиям в Республике Алтай из республиканского бюджета  Республики Алтай на реализацию проектов по благоустройству территорий в рамках проекта «Инициативы граждан»
</t>
  </si>
  <si>
    <t>https://minregion-ra.ru/deyatelnost/realizatsiya-proekta-initsiativy-grazhdan.php</t>
  </si>
  <si>
    <t>https://minfin-altai.ru/deyatelnost/proactive-budgeting/</t>
  </si>
  <si>
    <t>Официальный сайт Министерства регионального развития Республики Алтай - организатора конкурсного отбора (https://minregion-ra.ru/deyatelnost/realizatsiya-proekta-initsiativy-grazhdan.php)</t>
  </si>
  <si>
    <t>Эдокова Толунай Ильинична, главный специалист 1 разряда отдела жилищной политики Министерства регионального развития Республики Алтай</t>
  </si>
  <si>
    <t>8(38822)47027</t>
  </si>
  <si>
    <t>gilpolitika.minregion@mail.ru</t>
  </si>
  <si>
    <t>Яграшева Арунай Амыровна, главный специалист 2 разряда отдела методологии и мониторинга Министерства финансов Республики Алтай</t>
  </si>
  <si>
    <t>8(38822) 2-14-63</t>
  </si>
  <si>
    <t>yaa@mfmail.ru</t>
  </si>
  <si>
    <t>Благоустройство</t>
  </si>
  <si>
    <t>Благоустройство сельских территорий</t>
  </si>
  <si>
    <t>Постановление Администрации Костромской области от 23.12.2019 N 513-а "Об утверждении государственной программы Костромской области "Комплексное развитие сельских территорий Костромской области"</t>
  </si>
  <si>
    <t>https://apk.kostroma.gov.ru/otraslevaya-informatsiya/otraslevaya-informatsiya/kompleksnoe-razvitie-selskikh-territoriy.php</t>
  </si>
  <si>
    <t>Департамент АПК Костромской области</t>
  </si>
  <si>
    <t>Муниципальные образования Костромской области</t>
  </si>
  <si>
    <t>Комплексное развитие сельских территорий</t>
  </si>
  <si>
    <t>Трудовое участие, волонтерская деятельность, предоставление помещений и технических средств</t>
  </si>
  <si>
    <t>http://www.statdata.ru/naselenie/kostromskoi-oblasti</t>
  </si>
  <si>
    <t>Протоколы схода граждан</t>
  </si>
  <si>
    <t>Все населенные пункты, численность населения которых не превышает 30 000 человек</t>
  </si>
  <si>
    <t xml:space="preserve">Не участвуют сельские агломерации Костромской области </t>
  </si>
  <si>
    <t>https://apkkostroma.ru/industry-info/krst/index.aspx</t>
  </si>
  <si>
    <t>Кадетова Наталья Александровна начальник отдела развития сельских территорий и малых форм хозяйствования на селе департамента агропромышленного комплекса Костромской области</t>
  </si>
  <si>
    <t>8 (4942) 55-27-03</t>
  </si>
  <si>
    <t>orst@apk.kostroma.gov.ru</t>
  </si>
  <si>
    <t>Жучкова Дария Дмитриевна, главный специалист-эксперт отдела бюджетной политики и управления государственным долгом управления бюджетной политики департамента финансов Костромской области</t>
  </si>
  <si>
    <t>8 (4942) 77-80-85</t>
  </si>
  <si>
    <t>dolg@depfin.kostroma.gov.ru</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</si>
  <si>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</si>
  <si>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Дорожная деятельность</t>
  </si>
  <si>
    <t>Постановление Администрации Костромской области от 25.02.2014 N 61-а "Об утверждении государственной программы Костромской области "Развитие транспортной системы Костромской области"</t>
  </si>
  <si>
    <t xml:space="preserve">Постановление Администрации Костромской области от 26.04.2017 N 176-а "О внесении изменения в постановление администрации Костромской области от 25.02.2014 N 61-а" </t>
  </si>
  <si>
    <t>Постановление Администрации Костромской области от 26.04.2017 N 176-а "О внесении изменения в постановление администрации Костромской области от 25.02.2014 N 61-а" (вместе с "Государственной программой Костромской области "Развитие транспортной системы Костромской области") {КонсультантПлюс}</t>
  </si>
  <si>
    <t>Постановление администрации Костромской области от 29.12.2017 г.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</si>
  <si>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Губернатора Костромской области от 29.12.2017 N 275 (ред. от 02.12.2020)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 {КонсультантПлюс}</t>
  </si>
  <si>
    <t>Департамент транспорта и дорожного хозяйства Костромской области</t>
  </si>
  <si>
    <t>Администрации муниципальных образований Костромской области</t>
  </si>
  <si>
    <t>Количество благополучателей устанавливают заявители</t>
  </si>
  <si>
    <t>Формируется протокол опроса граждан</t>
  </si>
  <si>
    <t>Формируется протокол очного голосования</t>
  </si>
  <si>
    <t>18 муниципальными районами и 5 городскими округами Костромской области</t>
  </si>
  <si>
    <t>http://trans.adm44.ru/sfera/deytelnost/obshinic/</t>
  </si>
  <si>
    <t>Репортажи на региональном телевидение и местных газетах</t>
  </si>
  <si>
    <t>Королева Ирина Владимировна,начальник отдела
 финансирования департамента транспорта и дорожного хозяйства Костромской области;</t>
  </si>
  <si>
    <t>(4942) 49-24-07</t>
  </si>
  <si>
    <t>dtdh@adm44.ru</t>
  </si>
  <si>
    <t>(4942) 77-80-85</t>
  </si>
  <si>
    <t>Общественные инициативы</t>
  </si>
  <si>
    <t>01 января 2022г.</t>
  </si>
  <si>
    <t>Постановление администрации Костромской области от 30.01.2014 № 13-а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</si>
  <si>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Постановление администрации Костромской области от 06.08.2015 № 281-а "О внесении изменений в постановление администрации Костромской области от 30.01.2014 № 13-а"</t>
  </si>
  <si>
    <t>Постановление Администрации Костромской области от 06.08.2015 N 281-а "О внесении изменений в постановление администрации Костромской области от 30.01.2014 N 13-а" (вместе с "Порядком предоставления субсидий бюджетам муниципальных образований Костромской области на реализацию муниципальных программ развития административных центров сельских поселений Костромской области", "Порядком предоставления субсидий из областного бюджета бюджетам муниципальных образований Костромской области на софинансирование расходных обязательств муниципальных образований Костромской области, возникших при реализации проектов развития территорий сельских и городских поселений, включая городские округа Костромской области, и сельских населенных пунктов Костромской области, основанных на местных инициативах") {Консультант Плюс}</t>
  </si>
  <si>
    <t>Постановление губернатора Костромской области от 29 декабря 2017 г. №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</si>
  <si>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Губернатора Костромской области от 29.12.2017 N 275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 {Консультант Плюс}</t>
  </si>
  <si>
    <t>Администрация Костромской области</t>
  </si>
  <si>
    <t>Администрации муниципальных образований</t>
  </si>
  <si>
    <t>трудовое участие (сметы)</t>
  </si>
  <si>
    <t xml:space="preserve">Нет </t>
  </si>
  <si>
    <t>Формируется лист регистрации граждан</t>
  </si>
  <si>
    <t>Формируется протокол схода граждан</t>
  </si>
  <si>
    <t>скриншот</t>
  </si>
  <si>
    <t>Протокол собрания/схода граждан и листы регистрации</t>
  </si>
  <si>
    <t>Протокол заседания конкурсной комиссии</t>
  </si>
  <si>
    <t>https://ipr.kostroma.gov.ru/realizatsiya-proektov-razvitiya-osnovannykh-na-obshchestvennykh-initsiativakh/konkursnyy-otbor.php</t>
  </si>
  <si>
    <t>Социальные сети (группы органов местного самоуправления), портал государственных органов Костромской области, местные газеты. https://smi44.ru/news/society/mestnye-initsiativy-poluchat-podderzhku/
https://vk.com/wall-41312887_19720</t>
  </si>
  <si>
    <t>Разъяснительная работа муниципалитетов с жителями</t>
  </si>
  <si>
    <t>Макаров Сергей Александрович,
главный консультант отдела по взаимодействию с муниципальными образованиями управления по вопросам внутренней политики администрации Костромской области</t>
  </si>
  <si>
    <t>(4942) 31-42-25</t>
  </si>
  <si>
    <t>makarov.sa@adm44.ru</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</si>
  <si>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t>
  </si>
  <si>
    <t>Благоустройство дворовых и общественных территорий</t>
  </si>
  <si>
    <t>Постановление администрации Костромской области от 28.08.2017 г. № 316-а "Об утверждении государственной программы Костромской области "Формирование современной городской среды"</t>
  </si>
  <si>
    <t>Постановление Администрации Костромской области от 28.08.2017 N 316-а (ред. от 22.03.2022) "Об утверждении государственной программы Костромской области "Формирование современной городской среды" {КонсультантПлюс}</t>
  </si>
  <si>
    <t>Департамент строительства, ЖКХ и ТЭК Костромской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</si>
  <si>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"Жильё и городская среда", федеральный проект "Формирование комфортной городской среды"</t>
  </si>
  <si>
    <t>Минстрой России</t>
  </si>
  <si>
    <t>трудовое участие</t>
  </si>
  <si>
    <t>информация муниципальных образований</t>
  </si>
  <si>
    <t>http://gkh.adm44.ru/sov_sreda/</t>
  </si>
  <si>
    <t>Кляпов Алексей Николаевич, начальник отдела реализации программ департамента строительства, ЖКХ и ТЭК Костромской области</t>
  </si>
  <si>
    <t>(4942) 47-10-12</t>
  </si>
  <si>
    <t>story@adm44.ru</t>
  </si>
  <si>
    <t xml:space="preserve">Программа поддержки местных инициатив  </t>
  </si>
  <si>
    <t xml:space="preserve">Инициативное бюджетирование  Программа по поддержке местных инициатив  </t>
  </si>
  <si>
    <t>Государственная программа Мурманской области "Формирование современной городской среды Мурманской области" (подпрограмма "Комплексное развитие". Основное мероприятие 7. "Реализация проектов местных инициатив граждан в муниципальных образованиях Мурманской области")</t>
  </si>
  <si>
    <t>Постановление Правительства Мурманской области от 28.08.2017 N 430-ПП</t>
  </si>
  <si>
    <t xml:space="preserve"> https://mingrad.gov-murman.ru/activities/init_bydjet/npa/</t>
  </si>
  <si>
    <t>Министерство градостроительства и благоустройства Мурманской области (с 2020 года по 2022 год); до 2020 года - Министерство по внутренней политике и массовым коммуникациям Мурманской области</t>
  </si>
  <si>
    <t>Министерство градостроительства и благоустройства Мурманской области</t>
  </si>
  <si>
    <t>местные бюджеты муниципальных образований</t>
  </si>
  <si>
    <t>удельный вес населения, получающего выгоду от реализации проекта, рассчитывался как процент благополучателей от общего числа жителей</t>
  </si>
  <si>
    <t>https://mingrad.gov-murman.ru/activities/init_bydjet/npa/</t>
  </si>
  <si>
    <t>Территориальный орган Федеральной службы государственной статистика по Мурманской области
https://murmanskstat.gks.ru/folder/72882;
https://murmanskstat.gks.ru/folder/72764</t>
  </si>
  <si>
    <t>1 сотрудник Министерства градостроительства и благоустройства Мурманской области и не менне 1 сотрудника в каждом муниципальном образовании (29)</t>
  </si>
  <si>
    <t>В муниципальных образованиях на местном уровне проведены опросы граждан путем анкетирования, размещения информации на стендах, в социальных стеях, на официальных сайтах, сбора подписей. При подведении итогов, материалы оформлялись протоколами, актами.</t>
  </si>
  <si>
    <t>В муниципальных образованиях на местном уровне проведены очные встречи и обсуждения граждан (в некоторых ОМСУ, в связи с введением ограничительных мер из-за пандемии, проведены интернет-опросы населения с целью выбора проектов для участия в конкурсном отборе)</t>
  </si>
  <si>
    <t>В некоторых муниципальных образованиях в связи с пандемией проводились интернет-опросы населения с целью выбора проектов для участия в конкурсном отборе. Информация по голосованию размещалась на официальных сайтах органов местного самоуправления</t>
  </si>
  <si>
    <t>В некоторых муниципальных образованиях на местном уровне до ввода ограничительных мер в связи с пандемией были проведены сборы граждан путем собраний, очных встреч с населением с целью выбора проектов для участия в конкурсном отборе</t>
  </si>
  <si>
    <t xml:space="preserve"> https://mingrad.gov-murman.ru/activities/init_bydjet/</t>
  </si>
  <si>
    <t>Протокол заседания конкурсной комиссии. Граждане в подсчете голосов и выборе проектов для предоставления субсидии из областного бюджета бюджетам муниципальных образований на поддержку местных инициатив участие не принимают.</t>
  </si>
  <si>
    <t>В связи со сложной эпидемиологическкой обстановкой, связанной с распространением новой короновирусной инфекции, в 2022 году в некоторых ОМСУ определение приоритетных проектов местных инициатив проведено в формате онлайн-голосования</t>
  </si>
  <si>
    <t xml:space="preserve">В каждом муниципальном образовании информация о проекте ПМИ и его дальнейшей реализации размещалась на официальных сайтах, на страницах органов местного самоуправления в социальных сетях и в муниципальных СМИ. Кроме того, с муцниципалитетами проводилась организационно-методическая работа по популяризации и реализации ПМИ. Особое внимание к реализации проектов ПМИ привлекалось со стороны региональных СМИ. </t>
  </si>
  <si>
    <t xml:space="preserve">Проведение консультаций (разъяснительной работы)  с представителями администраций муниципальных образований Мурманской области по вопросам, связанным с  реализацией проектов. Указанные мероприятия проводились на постоянной основе, в течении времени реализации проекта (с момента оформления и подготовки пакета документов для участия в конкурсном отборе до момента принятия выполненных работ).  
</t>
  </si>
  <si>
    <t>Таширева Светлана Николаевна, консультант управления благоустройства Министерства градостроительства и благоустройства Мурманской области</t>
  </si>
  <si>
    <t>8(8152) 487-870 добавочный 1056</t>
  </si>
  <si>
    <t>tashireva@gov-murman.ru</t>
  </si>
  <si>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</si>
  <si>
    <t>Проект по поддержке местных инициатив</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</si>
  <si>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t>
  </si>
  <si>
    <t>Постановление администрации НАО от 12.09.2017 N 289-п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</si>
  <si>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https://www.consultant.ru/</t>
  </si>
  <si>
    <t>Бюджетное законодательство Ненецкого автономного округа</t>
  </si>
  <si>
    <t>Закон не принимался</t>
  </si>
  <si>
    <t>2015-2026; постановление администрации НАО от 15.10.2014 N 390-п (ред. от 12.04.2023)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</si>
  <si>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http://www.consultant.ru/</t>
  </si>
  <si>
    <t>Отсутствуют</t>
  </si>
  <si>
    <t>Департамент внутренней политики Ненецкого автономного округа</t>
  </si>
  <si>
    <t>Муниципальные образования (победители конкурса), местные бюджеты</t>
  </si>
  <si>
    <t xml:space="preserve">участие граждан - трудовое участие (вклад) граждан в выполнении работ по созданию, ремонту и содержанию объектов общественной инфраструктуры;                                                      участие юридических лиц (индивидуальных предпринимателей) - участие (вклад) юридических лиц (индивидуальных предпринимателей) в реализации проекта в различных формах (трудовое участие, предоставление помещений, технических средств и др.)            </t>
  </si>
  <si>
    <t>Статистика не велась</t>
  </si>
  <si>
    <t>Соискатели на получение субсидии указывают количество благополучателей в заявке</t>
  </si>
  <si>
    <t xml:space="preserve">https://arhangelskstat.gks.ru/population111 </t>
  </si>
  <si>
    <t>Опросные листы, анкеты</t>
  </si>
  <si>
    <t>Протокол собрания граждан, фотофиксация собрания</t>
  </si>
  <si>
    <t>Возможность участия всех муниципалитетов</t>
  </si>
  <si>
    <t>https://smi.adm-nao.ru/iniciativnoe-byudzhetirovanie/</t>
  </si>
  <si>
    <t xml:space="preserve">Рекламная кампания проводилась посредством официального сайта субъекта РФ, через СМИ региона и социальные сети:  https://adm-nao.ru/;   https://smi.adm-nao.ru/; https://nao24.ru/news/v-okruge/; http://nvinder.ru/; http://www.trksever.ru/; https://vk.com/dvpnao; @dvpnewnao </t>
  </si>
  <si>
    <t>https://smi.adm-nao.ru/iniciativnoe-byudzhetirovanie/informaciya-o-pobeditelyah-konkursov/</t>
  </si>
  <si>
    <t>Учебно-консультационный семинар с участием глав муниципальных образований 
Ненецкого автономного округа; 2 раза в год; главы муниципальных образований Ненецкого автономного округа</t>
  </si>
  <si>
    <t>Талеев Сергей Александрович, главный консультант сектора по работе с органами местного самоуправления управления по внутренней политике и развитию гражданского общества Департамента внутренней политики Ненецкого автономного округа</t>
  </si>
  <si>
    <t>8(81853) 2-38-28</t>
  </si>
  <si>
    <t>staleev@adm-nao.ru</t>
  </si>
  <si>
    <t>Реализация на территории Новосибирской области инициативных проектов</t>
  </si>
  <si>
    <t>Конкурсный отбор инициативных проектов, 
Практика инициативного бюджетирования, 
Бренд «Территория идей»</t>
  </si>
  <si>
    <t>11 января 2021</t>
  </si>
  <si>
    <t xml:space="preserve">Государственная программа Новосибирской области «Управление финансами в Новосибирской области».
Содействие развитию инициативного бюджетирования в Новосибирской области:
1. Сопровождение и координация инициативного бюджетирования. 
2. Оказание финансовой поддержки муниципальным образованиям Новосибирской области на реализацию инициативных проектов. 
(постановление Правительства Новосибирской области от 26.12.2018 № 567-п  «О государственной программе Новосибирской области «Управление финансами в Новосибирской области»)
</t>
  </si>
  <si>
    <t>Постановление Правительства Новосибирской области от 06.06.2017  № 201-п «О реализации на территории Новосибирской области инициативных проектов»</t>
  </si>
  <si>
    <t>https://mfnso.nso.ru/page/4446</t>
  </si>
  <si>
    <t>Министерство финансов и налоговой политики Новосибирской области</t>
  </si>
  <si>
    <t>Местная администрация городских и сельских поселений Новосибирской области</t>
  </si>
  <si>
    <t>Добровольное имущественное и (или) трудовое участие жителей поселения, индивидуальных предпринимателей и юридических лиц, осуществляющих свою деятельность на территории поселения (трудовой вклад, учитываемый в человеко-часах, машино-часах и (или) имущественный вклад) в стоимостном выражении по средним рыночным ценам согласно документу, подтверждающему стоимость работ, услуг и (или) товаров, материалов и оборудования</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</si>
  <si>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проектов</t>
  </si>
  <si>
    <t>https://54.rosstat.gov.ru/storage/mediabank/p54_Численность%20населения%20по%20муниципальным%20районам%20и%20городским%20округам%20Новосибирской%20области%20на%201%20января%202022%20г.%20и%20в%20среднем%20за%202021%20г..pdf</t>
  </si>
  <si>
    <t>Государственное казенное учреждение Новосибирской области «Региональный информационный центр»
Отдел развития инициативного бюджетирования</t>
  </si>
  <si>
    <t>https://mfnso.nso.ru/page/4185</t>
  </si>
  <si>
    <t>Областной бюджет Новосибирской области</t>
  </si>
  <si>
    <t>Предоставление информации от муниципальных образований о проведении анкетирования с указанием количества человек, принявших участие в процедуре, результатах анкетирования и утверждения этих результатов на сходах/собраниях граждан</t>
  </si>
  <si>
    <t>Протоколы собраний граждан с приложением материалов фотофиксации и листов регистрации участников</t>
  </si>
  <si>
    <t>Протоколы собраний  граждан с приложением материалов фотофиксации и листов регистрации участников</t>
  </si>
  <si>
    <t>Процедуры  отбора проектных заявок и количество граждан, принявших в них участие, были зафиксированы в протоколах и подтверждены листами регистрации и фотоматериалами</t>
  </si>
  <si>
    <t>Не все муниципальные образования Новосибирской области имеют право участвовать в конкурсном отборе инициативных проектов</t>
  </si>
  <si>
    <t>Участниками конкурсного отбора являются городские и сельские поселения Новосибирской области</t>
  </si>
  <si>
    <t>https://iproject.mfnso.ru/</t>
  </si>
  <si>
    <t>http://mfnso.nso.ru/page/2626, https://vk.com/iproject.mfnso, https://t.me/iprojectmfnso, https://ok.ru/group/62550022947030</t>
  </si>
  <si>
    <t>Выездные информационно-обучающие семинары ежегодно проводятся на территории 30 муниципальных районов Новосибирской области. 
В семинарах принимают участие главы и специалисты местных администраций, депутаты представительных органов поселений области, а также сотрудники территориальных финансовых органов министерства финансов и налоговой политики Новосибирской области, представители ТОС и различных общественных организаций, старосты сельских населенных пунктов и члены инициативных групп</t>
  </si>
  <si>
    <t>Фахреева Альмира Зеферовна - начальник отдела развития инцииатвиного бюджетирования «ГКУ НСО РИЦ»</t>
  </si>
  <si>
    <t>8 (383) 296-55-81</t>
  </si>
  <si>
    <t>fakhreeva_az@mfnso.ru</t>
  </si>
  <si>
    <t>Приоритетный региональный проект "Дорога к дому"</t>
  </si>
  <si>
    <t>"Дорога к дому"</t>
  </si>
  <si>
    <t>10 января 2022 г.</t>
  </si>
  <si>
    <t>1.Государственная программа Новгородской области "Совершенствование и содержание дорожного хозяйства Новгородской области (за исключением автомобильных дорог федерального значения) на 2020-2024 годы"                                              2.Государственная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Обеспечение социальной вовлеченности граждан в принятие управленческих решений и в непосредственное решение вопросов, касающихся ремонта автомобильных дорог общего пользования местного значения на территории Новгородской области в рамках реализации приоритетного регионального проекта "Дорога к дому"</t>
  </si>
  <si>
    <t>постановление Правительства Новгородской области от 09.07.2020 №312;                                            постановление Правительства Новгородской области от 20.06.2019 №229</t>
  </si>
  <si>
    <t xml:space="preserve">https://docs.cntd.ru/document/570845985?marker  https://docs.cntd.ru/document/553386375 </t>
  </si>
  <si>
    <t xml:space="preserve">"О Стратегии социально-экономического развития Новгородской области до 2026 года". Принят Постановлением Новгородской областной Думы от 27.03.2019 N 724-ОД </t>
  </si>
  <si>
    <t>https://docs.cntd.ru/document/553230534</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</si>
  <si>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</si>
  <si>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https://docs.cntd.ru/document/450360732</t>
  </si>
  <si>
    <t xml:space="preserve">Комитет по внутренней политике Новгородской области </t>
  </si>
  <si>
    <t xml:space="preserve">Министерство транспорта и дорожного хозяйства Новгородской области </t>
  </si>
  <si>
    <t>Субсидия из областного бюджета</t>
  </si>
  <si>
    <t>Муниципальные округа, муниципальные районы, городской округ, городские и сельские поселения Новгородской области</t>
  </si>
  <si>
    <t>к прямым благополучателям относятся группы населения, которые регулярно будут пользоваться результатами проекта в разрезе каждой инициативы  - жители этой и прилегающих улиц, которые регулярно пользуются данным отремонтированным участком дороги</t>
  </si>
  <si>
    <t>https://dd.gokucmpi.ru/otchet/?t=2022&amp;f=zakup</t>
  </si>
  <si>
    <t>https://novgorodstat.gks.ru/storage/mediabank/%D0%A7%D0%B8%D1%81%D0%BB%D0%B5%D0%BD%D0%BD%D0%BE%D1%81%D1%82%D1%8C%20%D0%BE%D0%B1%D0%BB%D0%B0%D1%81%D1%82%D1%8C%202022.pdf</t>
  </si>
  <si>
    <t xml:space="preserve">государственное областное казенное учреждение "Центр муниципальной правовой информации" </t>
  </si>
  <si>
    <t xml:space="preserve">https://gokucmpi.ru/upload/iblock/a03/qlnw3ih5yzrzhnub3b0p431n5fkdlhet/Ustav-GOKU-TSMPI-_posl.red..pdf </t>
  </si>
  <si>
    <t>областной бюджет</t>
  </si>
  <si>
    <t>технологический подсчёт, протоколы заседаний рабочих групп                                 https://vk.com/ppmi53?w=wall-187652555_457   https://vk.com/ppmi53?w=wall-187364286_2329   https://vk.com/ppmi53?w=wall-171494852_1024   https://vk.com/ppmi53?w=wall-171465438_869  https://vk.com/ppmi53?w=wall-187624629_714</t>
  </si>
  <si>
    <t>технологический подсчёт участников в листах регистрации к протоколам                                                                                        https://vk.com/ppmi53?w=wall-172332438_527  https://vk.com/ppmi53?w=wall-75934657_20014</t>
  </si>
  <si>
    <t>автоматический подсчет результатов https://vk.com/ppmi53?w=wall-187624629_596      https://vk.com/ppmi53?w=wall-191707357_71    https://vk.com/ppmi53?w=wall-187364286_2243</t>
  </si>
  <si>
    <t>обращение граждан</t>
  </si>
  <si>
    <t>журнал регистрации</t>
  </si>
  <si>
    <t xml:space="preserve">технологический подсчёт участников в листах регистрации к протоколам                                                                                      https://vk.com/public171300820?w=wall-171300820_127 https://vk.com/public183815496?w=wall-183815496_657 https://vk.com/public173619393?w=wall-173619393_408  </t>
  </si>
  <si>
    <t xml:space="preserve">да                                                https://gokucmpi.ru/proekty/doroga-k-domu/ </t>
  </si>
  <si>
    <t xml:space="preserve">Специалисты муниципальных образований в личном кабинете на Сервисе электронной подачи заявки заполняли инициативы, выбранные на Общественных Советах, собраниях,конференциях, с приложением необходимых документов https://dd.gokucmpi.ru/zayavka/?t=2022.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https://dd.gokucmpi.ru/otchet/?t=2022, в котором муниципалитеты – участники, используя уникальный логин и пароль, заполняли отчетность на своей странице (сводный перечень выбранных жителями для ремонта участков дорог https://dd.gokucmpi.ru/otchet/?t=2022&amp;f=list ; вовлеченность жителей в проект "Дорога к дому" https://dd.gokucmpi.ru/otchet/?t=2022&amp;f=total ; мониторинг подрядчиков по проекту https://dd.gokucmpi.ru/otchet/?t=2022&amp;f=zakup )   </t>
  </si>
  <si>
    <t>https://gokucmpi.ru/</t>
  </si>
  <si>
    <t xml:space="preserve">https://vk.com/ppmi53),  t.me/ppmi53, https://dzen.ru/id/6324151a46
2e1c20004a7837/.
</t>
  </si>
  <si>
    <t>В 2022 году ПРП "Дорога к дому"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в тематических группах в социальных сетях ВКонтакте, Телеграмм, ЯндексДзен была опубликована 81 уникальная статья о проекте, количество просмотров которых составил 91462.  https://tvmsta.ru/%d0%ba%d0%be%d0%bd%d1%84%d0%b5%d1%80%d0%b5%d0%bd%d1%86%d0%b8%d1%8f-%d0%bf%d0%be-%d0%b2%d1%8b%d0%b1%d0%be%d1%80%d1%83-%d0%bf%d1%80%d0%be%d0%b5%d0%ba%d1%82%d0%be%d0%b2-%d0%b8%d0%bd%d0%b8%d1%86%d0%b8/                                https://novgorod-tv.ru/news/seminar-shkola-inicziativnogo-byudzhetirovaniya-proshel-dlya-chinovnikov-novgorodskoj-oblasti/                             https://novgorod-tv.ru/news/zhiteli-borovichej-razrabatyvayut-proekty-dlya-programmy-inicziativnoe-byudzhetirovanie/                                          https://novgorod-tv.ru/news/programmu-inicziativnoe-byudzhetirovanie-prezentovali-v-staroj-russe/                      https://novgorod-tv.ru/news/prezentacziya-programmy-inicziativnoe-byudzhetirovanie-sostoyalas-v-velikom-novgorode/                                                         https://novgorod-tv.ru/news/volontery-pomogut-novgorodczam-prinyat-uchastie-v-proekte-inicziativnoe-byudzhetirovanie/ https://novvedomosti.ru/news/region/81079/ https://pressa53.ru/news/81727/ https://pressa53.ru/news/81629/    https://pressa53.ru/news/81758/  https://pressa53.ru/news/81729/  https://vk.com/ppmi53?w=wall-160413159_10463  https://novvedomosti.ru/news/economy/82121/  https://vk.com/wall-160413159_9180     https://vk.com/ppmi53?w=wall-160413159_9283 https://vk.com/ppmi53?w=wall-160413159_9790 https://vk.com/trkmsta?w=wall-131736210_63641  https://vk.com/ppmi53?w=wall-160413159_9624    https://vk.com/ppmi53?w=wall-160413159_9217  https://vk.com/ppmi53?w=wall-160413159_9283    https://vk.com/ppmi53?w=wall-160413159_9212 https://vk.com/ppmi53?w=wall-160413159_9217  https://vk.com/ppmi53?w=wall-160413159_9105    https://vk.com/orehovno_adm?w=wall-183915099_1389  https://vk.com/shimskie_vesti?w=wall-117887019_7484  https://vk.com/public112347667?w=wall-112347667_8169                        https://vk.com/ppmi53?w=wall-160413159_9750    https://vk.com/ppmi53?w=wall-160413159_9489   https://vk.com/ppmi53?w=wall-160413159_9343    https://vk.com/ppmi53?w=wall-160413159_9120  https://vesti53.com/projects/vesti-velikij-novgorod/2401-okolo-chetyrekhsot-uchastnikov-sobral-v-velikom-novgorode-mezhregionalnyj-seminar-vovlechenie-grazhdan-v-proekty-initsiativnogo-byudzhetirovaniya.html  https://vk.com/ppmi53?w=wall-160413159_8848  https://vk.com/wall-160413159_8360  https://vk.com/ppmi53?w=wall-160413159_8775</t>
  </si>
  <si>
    <t>https://gokucmpi.ru/upload/iblock/ae8/ppo26zlmpqny7apv0dx3j2ug8zqhohjs/Anketa_na-sayt-_1_.pdf</t>
  </si>
  <si>
    <t xml:space="preserve">В целях оказания консультативной и методической помощи органам местного самоуправления области проведен обучающий семинар «Школа инициативного бюджетирования». В семинаре приняли участие Главы городских и сельских поселений муниципальных районов, Главы территориальных отделов муниципальных округов, заместители Глав администраций муниципальных районов (округов) и городского округа по внутренней политике, заместители Глав администраций по инфраструктуре, жилищно – коммунальному хозяйству и благоустройству   https://vk.com/ppmi53?w=wall-160413159_10463 https://vk.com/ppmi53?w=wall-160413159_10484   https://vk.com/ppmi53?w=wall-160413159_10604 </t>
  </si>
  <si>
    <t>Никифорова Ольга Владимировна, директор ГОКУ "Центр муниципальной правовой информации", администратор проекта</t>
  </si>
  <si>
    <t>8(8162)502406</t>
  </si>
  <si>
    <t>ppmi-53@mail.ru</t>
  </si>
  <si>
    <t>Тайбарей Светлана Егоровна, заместитель директора департамента по бюджетной политике</t>
  </si>
  <si>
    <t>8(8162) 774-772 (доб. 1541)</t>
  </si>
  <si>
    <t>bud_komfin@novreg.ru</t>
  </si>
  <si>
    <t>Предоставление и распределение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общественно значимых проектов по благоустройству сельских территорий Новгородской области</t>
  </si>
  <si>
    <t>"О государственной программе Новгородской области "Комплексное развитие сельских территорий Новгородской области до 2025 года"</t>
  </si>
  <si>
    <t>постановление Правительства Новгородской области от 16.12.2019 № 490</t>
  </si>
  <si>
    <t>https://apk.novreg.ru/documents/552.html</t>
  </si>
  <si>
    <t>министерство сельского хозяйства Новгородской области</t>
  </si>
  <si>
    <t xml:space="preserve">субсидия </t>
  </si>
  <si>
    <t>муниципальные районы, муниципальные округа, городские и сельские поселения</t>
  </si>
  <si>
    <t xml:space="preserve">Постановление Правительства РФ от 31.05.2019 N 696 "Об утверждении государственной программы Российской Федерации "Комплексное развитие сельских территорий" </t>
  </si>
  <si>
    <t>общее количество благополучателей по благоустройству сельских территорий (Кb) рассчитывается как количество благополучателей в одном населенном пункте (Кi) ссуммированное по всем населенным пунктам, в которых реализованны проекты (n).</t>
  </si>
  <si>
    <t>по данным органов местного самоуправления</t>
  </si>
  <si>
    <t>https://novgorodstat.gks.ru/storage/mediabank/Численность%20населения%20на%201.01.2022%20года.pdf</t>
  </si>
  <si>
    <t>собрание граждан</t>
  </si>
  <si>
    <t>14 656 чел</t>
  </si>
  <si>
    <t>муниципальные районы и округа, городские и сельские поселения</t>
  </si>
  <si>
    <t>город Великий Новгород не получает субсидию, так как не является участником программы "Комплексное развитие сельских территорий Новгородской области до 2025 года"</t>
  </si>
  <si>
    <t>https://vk.com/mcx53</t>
  </si>
  <si>
    <t>Салманова Мария Николаевна</t>
  </si>
  <si>
    <t>8 (816 2) 77-42-27</t>
  </si>
  <si>
    <t>investapk@novreg.ru</t>
  </si>
  <si>
    <t xml:space="preserve">Тайбарей Светлана Егоровна, заместитель директора департамента по бюджетной политике министерства финансов Новгородской области </t>
  </si>
  <si>
    <t>Предоставление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проектов комплексного развития сельских территорий Новгородской области</t>
  </si>
  <si>
    <t>01 января 2021 г.</t>
  </si>
  <si>
    <t>общее количество благополучателей по реализации проектов комплексного развития сельских территорий (Кс) рассчитывается как количество благополучателей в одном населенном пункте (Кi) ссуммированное по всем населенным пунктам, в которых реализованны проекты (n).</t>
  </si>
  <si>
    <t>Приоритетный региональный проект "Народный бюджет"</t>
  </si>
  <si>
    <t>"Народный бюджет"</t>
  </si>
  <si>
    <t>Государственная программа Новгородской области "Управление государственными финансами Новгородской области на 2019 - 2025 годы"                                                                        (Подпрограмма "Финансовая поддержка муниципальных образований Новгородской
области". Направление 1.4. Роль и влияние населения Новгородской области на состояние финансово-бюджетной сферы.                                                             Мероприятие 1.4.3. Участие населения в управлении государственными и муниципальными финансами в Новгородской области)</t>
  </si>
  <si>
    <t>постановление Правительства Новгородской области от 06.06.2019 №205</t>
  </si>
  <si>
    <t>http://docs.cntd.ru/document/553364140</t>
  </si>
  <si>
    <t>Закон Новгородской области от 04.04.2019 №394-ОЗ "О Стратегии социально-экономического развития Новгородской области до 2026 года"</t>
  </si>
  <si>
    <t>http://docs.cntd.ru/document/553230534</t>
  </si>
  <si>
    <t>Министерство финансов Новгородской области</t>
  </si>
  <si>
    <t>субсидия из областного бюджета</t>
  </si>
  <si>
    <t>Муниципальные округа, городские и сельские поселения Новгородской области, отобранные для получения субсидии</t>
  </si>
  <si>
    <t xml:space="preserve">Приложение N 3. Порядок предоставления и методика распределения субсидий бюджетам муниципальных округов, городских и сельских поселений Новгородской области на реализацию приоритетного регионального проекта "Народный бюджет"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 </t>
  </si>
  <si>
    <t>https://vk.com/public197984081?w=wall-197984081_133</t>
  </si>
  <si>
    <t>путем прямого подсчета https://vk.com/public197984081?w=wall-197984081_161 https://vk.com/public197984081?w=wall-197984081_139 https://vk.com/narodbudget_shimsk?w=wall-186718337_148%2Fall</t>
  </si>
  <si>
    <t>на электронную почту муниципалитетов - участников проекта https://vk.com/club182430723?w=wall-182430723_134%2Fall</t>
  </si>
  <si>
    <t>В 2022 году возможность принять участие в проекте имели 102 муниципальных образований, в том числе  81 сельское поселение, 17 городских поселений, 4 муниципальных округа. Исключение составляют муниципальные районы, городской округ</t>
  </si>
  <si>
    <t>Критерием участия является определенный тип муниципальных образований: сельские поселения, городские поселения, муниципальные округа. Критериями отбора муниципальных округов и поселений для предоставления субсидий являлись: наличие муниципального правового акта об утверждении положения о реализации проекта «Народный бюджет», участие в различных проектах инициативного бюджетирования в предыдущие годы, степень бюджетной обеспеченности - наличие в бюджете муниципального округа или поселения бюджетных ассигнований на реализацию проекта «Народный бюджет», не менее 1 млн.рублей</t>
  </si>
  <si>
    <t>да                                                        https://nb.gokucmpi.ru/otchet/</t>
  </si>
  <si>
    <t>Мониторинг реализации инициативы и заполнения отчётности посредством электронного сервиса на официальном сайте ГОКУ "Центр муниципальной правовой информации" https://gokucmpi.ru/proekty/narodnyy-byudzhet/         (свод отобранных инициатив https://nb.gokucmpi.ru/zayavka/ ;                           мониторинг подрядчиков проекта "Народный бюджет" по отобранным в 2021 году инициативам для реализации их в 2022 году https://nb.gokucmpi.ru/otchet/?t=2022&amp;f=f1 ;     стоимость реализации инициатив на этапе отбора и фактическая по их завершению https://nb.gokucmpi.ru/otchet/?t=2022&amp;f=f2 ;      сводный отчет по итогам года, кассовые расходы в разрезе участников, районов, округов и по региону в целом https://nb.gokucmpi.ru/otchet/?t=2022&amp;f=f3 )</t>
  </si>
  <si>
    <t xml:space="preserve">https://vk.com/ppmi53),        t.me/ppmi53,         https://dzen.ru/id/6324151a46
2e1c20004a7837/
</t>
  </si>
  <si>
    <t>В 2022 году ПРП "Народный бюджет"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размещено в тематических группах в социальных сетях ВКонтакте, Телеграмм, ЯндексДзен  91 уникальная публикация о проекте. Общее количество просмотров уникальных публикаций о проекте "Народный бюджет" в 2022 году - 84304.   В 2022 году на региональном ТВ вышло 16 телесюжетов о проекте.                   https://vk.com/wall-160413159_8307
https://vk.com/wall-160413159_8377
https://vk.com/wall-160413159_8716
https://vk.com/ppmi53?w=wall-160413159_8775
https://vk.com/wall-160413159_8848
https://vk.com/wall-160413159_8892
https://vk.com/wall-160413159_8896
https://vk.com/wall-160413159_8921
https://vk.com/wall-160413159_8937
https://vk.com/wall-160413159_8982
https://vk.com/wall-160413159_8999
https://vk.com/wall-160413159_9056
https://vk.com/wall-160413159_9061
https://vk.com/wall-160413159_9092
https://vk.com/wall-160413159_9111
https://www.facebook.com/groups/1825803114105110/posts/4999820026703387/
https://t.me/ppmi53/8
https://t.me/ppmi53/21
https://t.me/ppmi53/59
https://t.me/ppmi53/54
https://t.me/ppmi53/52
https://vk.com/wall-160413159_9180
https://t.me/ppmi53/87
https://t.me/ppmi53/94
https://t.me/ppmi53/101
https://t.me/ppmi53/108
https://vk.com/wall-160413159_9318
https://vk.com/wall-160413159_9370
https://vk.com/wall-160413159_9374
https://vk.com/wall-160413159_9461
https://vk.com/wall-160413159_9462
https://vk.com/wall-160413159_9488
https://vk.com/wall-160413159_9491
https://vk.com/wall-160413159_9527
https://t.me/ppmi53/146
https://t.me/ppmi53/144
https://t.me/ppmi53/139
https://t.me/ppmi53/126
https://t.me/ppmi53/122
https://t.me/ppmi53/118
https://t.me/ppmi53/116
https://t.me/ppmi53/115
https://t.me/ppmi53/112
https://t.me/ppmi53/110
https://t.me/ppmi53/178
https://t.me/ppmi53/173
https://t.me/ppmi53/171
https://vk.com/wall-160413159_9592
https://vk.com/wall-160413159_9609
https://vk.com/wall-160413159_9686
https://vk.com/wall-160413159_9720
https://vk.com/wall-160413159_9731
https://vk.com/wall-160413159_9565
https://vk.com/wall-160413159_9740
https://vk.com/wall-160413159_9827
https://vk.com/wall-160413159_9836
https://vk.com/wall-160413159_9910
https://vk.com/wall-160413159_9919
https://t.me/ppmi53/199
https://vk.com/wall-206708723_40
https://vk.com/wall-195359876_249
https://vk.com/wall-160413159_10206
https://vk.com/wall-196451724_5928
https://vk.com/wall-172041935_906
https://vk.com/wall-160413159_10604
https://vk.com/wall-160413159_10463
https://t.me/ppmi53/327
https://t.me/ppmi53/324
https://vk.com/wall-56390026_10096
https://vk.com/wall-198728265_65
https://vk.com/wall-204961223_23
https://vk.com/wall-204961223_25
https://vk.com/wall-171494852_1423
https://vk.com/wall-144892807_8912
https://vk.com/wall-171494852_1425
https://vk.com/wall-39683010_27862
https://vk.com/wall-39768595_12550
https://vk.com/wall-195359876_275
https://vk.com/wall-186718337_280
https://vk.com/wall-201633751_1133
https://vk.com/wall-204900691_59
https://vk.com/wall-215854867_26
https://vk.com/wall-160413159_10650
https://vk.com/wall594217871_838
https://vk.com/wall-171542554_659
https://vk.com/wall-160413159_11028
https://vk.com/wall-160413159_10998
https://vk.com/wall-160413159_10809
https://vk.com/wall647627120_1463
https://vk.com/wall-197984081_303
https://vk.com/wall-160413159_10845</t>
  </si>
  <si>
    <t xml:space="preserve">Проведены совещания (тренинги) в соответствии с рабочим планом проекта.  Состав участников: представители муниципальных округов, поселений, которые курируют проект (обучение в офлайн-формате 30.08.2022) и жители, которые модерируют заседания бюджетных комиссий (обучение в онлайн- формате 31.08.2022).                                           https://vk.com/wall-160413159?q=%D0%B2%D0%B5%D0%B1%D0%B8%D0%BD%D0%B0%D1%80&amp;w=wall-160413159_9827    https://vk.com/wall-160413159?q=%D0%B2%D0%B5%D0%B1%D0%B8%D0%BD%D0%B0%D1%80&amp;w=wall-160413159_9836         26.10.2022 в целях оказания консультативной и методической помощи органам местного самоуправления области проведен обучающий семинар «Школа инициативного бюджетирования». В семинаре приняли участие Главы городских и сельских поселений муниципальных районов, Главы территориальных отделов муниципальных округов, заместители Глав администраций муниципальных районов (округов) и городского округа по внутренней политике, заместители Глав администраций по инфраструктуре, жилищно – коммунальному хозяйству и благоустройству   https://vk.com/ppmi53?w=wall-160413159_10463 https://vk.com/ppmi53?w=wall-160413159_10484   https://vk.com/ppmi53?w=wall-160413159_10604 </t>
  </si>
  <si>
    <t xml:space="preserve">89021474080
(88162)502-406 </t>
  </si>
  <si>
    <t>ppmi-53@mail,ru</t>
  </si>
  <si>
    <t>Приоритетный региональный проект "Наш выбор"</t>
  </si>
  <si>
    <t>Наш выбор</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</si>
  <si>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"Наш выбор"</t>
  </si>
  <si>
    <t>Постановление Правительства Новгородской области от 20.06.2019 №229</t>
  </si>
  <si>
    <t xml:space="preserve">https://docs.cntd.ru/document/553386375 </t>
  </si>
  <si>
    <t>"О Стратегии социально-экономического развития Новгородской области до 2026 года". Закон Новгородской области от 4 апреля 2019 года N 394-ОЗ</t>
  </si>
  <si>
    <t>Комитет по внутренней политике Новгородской области</t>
  </si>
  <si>
    <t xml:space="preserve">муниципальные округа и муниципальные районы Новгородской области, городской округ Великий Новгород </t>
  </si>
  <si>
    <t>https://docs.cntd.ru/document/553386375  https://vk.com/public194726113?w=wall-194726113_5469 https://vk.com/public194726113?w=wall-194726113_5308 https://vk.com/public194726113?w=wall-194726113_5089</t>
  </si>
  <si>
    <t xml:space="preserve">Приложение N 1 к Порядку предоставления и методике распределения субсидий бюджетам муниципальных районов, муниципальных округов, городского округа Новгородской области на реализацию местных инициатив в рамках приоритетного регионального проекта "Наш выбор".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 </t>
  </si>
  <si>
    <t>https://novgorodstat.gks.ru/storage/mediabank/%D0%A7%D0%B8%D1%81%D0%BB%D0%B5%D0%BD%D0%BD%D0%BE%D1%81%D1%82%D1%8C%20%D0%BD%D0%B0%D1%81%D0%B5%D0%BB%D0%B5%D0%BD%D0%B8%D1%8F%20%D0%BD%D0%B0%201.01.2022%20%D0%B3%D0%BE%D0%B4%D0%B0.pdf</t>
  </si>
  <si>
    <t>технологический подсчёт, протоколы заседаний рабочих групп                                               https://vk.com/wall-160413159?offset=440&amp;q=%D0%9D%D0%B0%D1%88%20%D0%B2%D1%8B%D0%B1%D0%BE%D1%80&amp;w=wall-160413159_7968                                           https://vk.com/wall-160413159?offset=440&amp;q=%D0%9D%D0%B0%D1%88%20%D0%B2%D1%8B%D0%B1%D0%BE%D1%80&amp;w=wall-160413159_7894                                              https://vk.com/wall-160413159?offset=440&amp;q=%D0%9D%D0%B0%D1%88%20%D0%B2%D1%8B%D0%B1%D0%BE%D1%80&amp;w=wall-160413159_7869   https://vk.com/wall-160413159?offset=440&amp;q=%D0%9D%D0%B0%D1%88%20%D0%B2%D1%8B%D0%B1%D0%BE%D1%80&amp;w=wall-160413159_7857 https://vk.com/wall-160413159?offset=440&amp;q=%D0%9D%D0%B0%D1%88%20%D0%B2%D1%8B%D0%B1%D0%BE%D1%80&amp;w=wall-160413159_7843 https://vk.com/wall-160413159?offset=440&amp;q=%D0%9D%D0%B0%D1%88%20%D0%B2%D1%8B%D0%B1%D0%BE%D1%80&amp;w=wall-160413159_7742 https://vk.com/wall-160413159?offset=440&amp;q=%D0%9D%D0%B0%D1%88%20%D0%B2%D1%8B%D0%B1%D0%BE%D1%80&amp;w=wall-160413159_7642</t>
  </si>
  <si>
    <t>технологический подсчёт участников в листах регистрации к протоколам https://vk.com/wall-160413159?offset=440&amp;q=%D0%9D%D0%B0%D1%88%20%D0%B2%D1%8B%D0%B1%D0%BE%D1%80&amp;w=wall-160413159_7909 https://vk.com/wall-160413159?offset=440&amp;q=%D0%9D%D0%B0%D1%88%20%D0%B2%D1%8B%D0%B1%D0%BE%D1%80&amp;w=wall-160413159_7710</t>
  </si>
  <si>
    <t>https://vk.com/wall-160413159?offset=440&amp;q=%D0%9D%D0%B0%D1%88%20%D0%B2%D1%8B%D0%B1%D0%BE%D1%80&amp;w=wall-160413159_7860 https://vk.com/wall-160413159?offset=440&amp;q=%D0%9D%D0%B0%D1%88%20%D0%B2%D1%8B%D0%B1%D0%BE%D1%80&amp;w=wall-160413159_7743 https://vk.com/wall-160413159?offset=440&amp;q=%D0%9D%D0%B0%D1%88%20%D0%B2%D1%8B%D0%B1%D0%BE%D1%80&amp;w=wall-160413159_7636 https://vk.com/wall-160413159?offset=440&amp;q=%D0%9D%D0%B0%D1%88%20%D0%B2%D1%8B%D0%B1%D0%BE%D1%80&amp;w=wall-160413159_7396 https://vk.com/public194726113?w=wall-194726113_3447</t>
  </si>
  <si>
    <t>Протокол заседания конкурсной комиссии по проведению конкурсного
отбора местных инициатив в рамках приоритетного регионального проекта "Наш выбор" в целях предоставления субсидии из областного бюджета и лист согласования к нему размещены на сайте Правительства Новгородской области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https://www.youtube.com/watch?v=KSm2SRx9jZA&amp;ab_channel=NovgorodTVnews</t>
  </si>
  <si>
    <t>В 2022 году возможность участия в проекте согласно НПА имели  муниципальные округа, муниципальные районы, городской округ Великий Новгород (22 муниципальных образования региона).                   Исключение составляют сельские поселения, городские поселения.                                                Городские и сельские поселения Новгородской области имели возможность участвовать в приоритетном региональном проекте "Проект поддержки местных инициатив (ППМИ) на территории Новгородской области"</t>
  </si>
  <si>
    <t>Специалисты администраций муниципалитетов в личном кабинете на Сервисе электронной подачи заявки на участие в конкурсном отборе "Наш выбор" заполняли заявки с приложением необходимых документов  с визуализацией набранных баллов онлайн https://vybor.gokucmpi.ru/zayavka/?t=2022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https://vybor.gokucmpi.ru/otchet/?t=2022,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ПРП "Наш выбор" в разрезе городского округа, муниципальных округов, муниципальных районов и Новгородской области в целом (мониторинг проектов "Наш выбор" https://ppmi.gokucmpi.ru/otchet/?t=2022&amp;f=eval ; типология поданных заявок https://vybor.gokucmpi.ru/otchet/?t=2022&amp;f=f1  ; типология отобранных конкурсной комиссией проектов https://vybor.gokucmpi.ru/otchet/?t=2022&amp;f=f2 вовлеченность жителей в проекты "Наш выбор" https://vybor.gokucmpi.ru/otchet/?t=2022&amp;f=f3  ; стоимость отобранных проектов "Наш выбор" https://vybor.gokucmpi.ru/otchet/?t=2022&amp;f=f4  ; стоимость реализованных проектов "Наш выбор" https://vybor.gokucmpi.ru/otchet/?t=2022&amp;f=f5</t>
  </si>
  <si>
    <t xml:space="preserve">26.10.2022 в целях оказания консультативной и методической помощи органам местного самоуправления области проведен обучающий семинар «Школа инициативного бюджетирования». В семинаре приняли участие Главы городских и сельских поселений муниципальных районов, Главы территориальных отделов муниципальных округов, заместители Глав администраций муниципальных районов (округов) и городского округа по внутренней политике, заместители Глав администраций по инфраструктуре, жилищно – коммунальному хозяйству и благоустройству   https://vk.com/ppmi53?w=wall-160413159_10463 https://vk.com/ppmi53?w=wall-160413159_10484   https://vk.com/ppmi53?w=wall-160413159_10604 </t>
  </si>
  <si>
    <t>Никифорова Ольга Владимировна, директор ГОКУ "Центр муниципальной правовой информации", руководитель проекта</t>
  </si>
  <si>
    <t>Тайбарей Светлана Егоровна, заместитель директора департамента бюджетной политики министерства финансов Новгородской области</t>
  </si>
  <si>
    <t>Приоритетный региональный проект "Проект поддержки местных инициатив (ППМИ) на территории Новгородской области"</t>
  </si>
  <si>
    <t>ППМИ Новгородской области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</si>
  <si>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"Проект поддержки местных инициатив (ППМИ) на территории Новгородской области"</t>
  </si>
  <si>
    <t>субсидия областного бюджета</t>
  </si>
  <si>
    <t>муниципальные округа, городские и сельские поселения Новгородской области</t>
  </si>
  <si>
    <t>Пунктами 1.1.6 и 1.1.7 Методики оценки приоритетных проектов поддержки местных инициатив для предоставления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</si>
  <si>
    <t xml:space="preserve">Приложение N 2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 </t>
  </si>
  <si>
    <t xml:space="preserve">технологический подсчёт участников в листах регистрации к протоколам https://vk.com/wall-160413159?day=31052021&amp;q=%D1%81%D0%BE%D0%B1%D1%80%D0%B0%D0%BD%D0%B8%D0%B5   https://vk.com/wall-172798391_184 </t>
  </si>
  <si>
    <t>https://vk.com/club172332438?w=wall-172332438_410%2Fall  https://vk.com/wall-171495409?q=%D0%B0%D0%BD%D0%BA%D0%B5%D1%82%D0%B8%D1%80%D0%BE%D0%B2%D0%B0%D0%BD%D0%B8%D0%B5&amp;w=wall-171495409_1207 https://vk.com/wall-187364286?q=%D0%B0%D0%BD%D0%BA%D0%B5%D1%82%D0%B8%D1%80%D0%BE%D0%B2%D0%B0%D0%BD%D0%B8%D0%B5&amp;w=wall-187364286_2284</t>
  </si>
  <si>
    <t>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и лист согласования к нему размещены на сайте Правительства Новгородской области https://www.novreg.ru/tenders/konkurs_poderzhki_project/ https://www.novreg.ru/tenders/konkurs_poderzhki_project/Protokol_27022023.pdf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https://www.youtube.com/watch?v=LAeQHhu3x74 https://vk.com/away.php?to=https%3A%2F%2Fnovvedomosti.ru%2Fnews%2Fsociety%2F78837%2F&amp;post=-172332438_598&amp;cc_key=  https://vk.com/club172332438?z=video-160413159_456239143%2Fac217c0f27cd82afcc%2Fpl_wall_-172332438</t>
  </si>
  <si>
    <t>В 2022 году возможность участия в проекте согласно НПА имели 102 муниципальных образования, в том числе 4 муниципальных округа, 17 городских поселений, 81 сельское поселение.                                   При этом муниципальные округа имели возможность подать заявки по количеству территорий бывших поселений, вошедших в состав муниципального округа</t>
  </si>
  <si>
    <t xml:space="preserve">Критерием участия является определенный тип муниципальных образований: сельские поселения, городские поселения, муниципальные округа.  Исключение составляют: городской округ Великий Новгород и муниципальные районы, для них в регионе внедрен приоритетный региональный проект "Наш выбор".                                                                     В рамках ППМИ критерием отбора муниципальных округов, поселений для предоставления субсидий является наличие в муниципальном округе, поселении проекта, отобранного населением населенного пункта муниципального образования Новгородской области на собрании (конференции) граждан.                                                                                 Кроме того, объект инфраструктуры, предлагаемый для реализации в рамках проекта ППМИ, должен находиться в собственности, оперативном управлении или безвозмездном пользовании муниципального округа, поселения </t>
  </si>
  <si>
    <t>Специалисты администраций муниципалитетов в личном кабинете на Сервисе электронной подачи заявки на участие в конкурсном отборе ППМИ заполняли заявки с приложением необходимых документов  с визуализацией набранных баллов онлайн https://ppmi.gokucmpi.ru/zayavka/?t=2022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ППМИ в разрезе поселений, муниципальных округов, муниципальных районов и Новгородской области в целом                       (мониторинг проектов ППМИ https://ppmi.gokucmpi.ru/otchet/?t=2022&amp;f=eval ; типология поданных заявок https://ppmi.gokucmpi.ru/otchet/?t=2022&amp;f=f1  ; типология отобранных конкурсной комиссией проектов https://ppmi.gokucmpi.ru/otchet/?t=2022&amp;f=f2 вовлеченность жителей в проекты ППМИ https://ppmi.gokucmpi.ru/otchet/?t=2022&amp;f=f3  ; стоимость отобранных проектов ППМИ https://ppmi.gokucmpi.ru/otchet/?t=2022&amp;f=f4  ; стоимость реализованных проектов ППМИ https://ppmi.gokucmpi.ru/otchet/?t=2022&amp;f=f5</t>
  </si>
  <si>
    <t>Приоритетный региональный проект "Территориальное общественное самоуправление (ТОС) на территории Новгородской области"</t>
  </si>
  <si>
    <t>ТОС Новгородской области</t>
  </si>
  <si>
    <t>2016 год</t>
  </si>
  <si>
    <t>25 декабря 2022 г.</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</si>
  <si>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Развитие института территориального общественного самоуправления, действующего на территории области. Мероприятие: Реализация приоритетного регионального проекта "Территориальное общественное самоуправление (ТОС) на территории Новгородской области"</t>
  </si>
  <si>
    <t>Субсидия областного бюджета</t>
  </si>
  <si>
    <t>Городской округ, муниципальные округа, городские и сельские поселения Новгородской области</t>
  </si>
  <si>
    <t xml:space="preserve">Пункт 4.6.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 </t>
  </si>
  <si>
    <t>https://docs.cntd.ru/document/553386375</t>
  </si>
  <si>
    <t xml:space="preserve">технологический подсчёт участников в листах регистрации к протоколам  https://vk.com/ppmi53?w=wall-200648120_662  https://vk.com/ppmi53?w=wall-200866880_414  https://vk.com/ppmi53?w=wall-173054335_156 </t>
  </si>
  <si>
    <t xml:space="preserve">Протокол заседания конкурсной комиссии по конкурсному отбору проектов территориальных общественных самоуправлений, включенных в муниципальные программы развития территорий в целях предоставления субсидии из областного бюджета и лист согласования к нему размещены на сайте Правительства Новгородской области https://www.novreg.ru/tenders/folder/ https://www.novreg.ru/tenders/konkurs_proekt_territ%D0%BErial%60ny%60kh_samoupravlenii%60/protokol_01062022.pdf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t>
  </si>
  <si>
    <t>В 2022 году возможность принять участие в проекте была предоставлена 95 муниципальным образованиям, в том числе 16 городским поселениям,  74 сельским поселениям, 4 муниципальным округам, городскому округу Великий Новгород.</t>
  </si>
  <si>
    <t>да                                                 https://gokucmpi.ru/proekty/tos/</t>
  </si>
  <si>
    <t>В Сервисе электронной подачи заявок на официальном сайте ГОКУ «ЦМПИ» разработан раздел ТОС https://gokucmpi.ru/proekty/tos/,в котором   в подразделе «Отчеты»  муниципалитеты – участники, используя уникальный логин и пароль, ежемесячно заполняли отчетность на своей странице https://tos.gokucmpi.ru/otchet/?t=2022.                                                                         Сервис также позволил сформировать сводную отчетность по проектам ТОС в разрезе поселений, городского округа, муниципальных округов, муниципальных районов и Новгородской области в целом (типология проектов https://tos.gokucmpi.ru/otchet/?t=2022&amp;f=f1 мониторинг реализации проектов ТОС https://tos.gokucmpi.ru/otchet/?t=2022&amp;f=f2 исполнение бюджетных средств https://tos.gokucmpi.ru/otchet/?t=2022)</t>
  </si>
  <si>
    <t>В 2022 году ПРП ТОС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в тематических группах в социальных сетях ВКонтакте, Телеграмм, ЯндексДзен размещена 161 уникальная публикация, количество просмотров составило 148972.    https://novvedomosti.ru/news/society/81001/
https://novvedomosti.ru/news/society/80869/
https://novvedomosti.ru/news/region/81079/
https://novvedomosti.ru/news/society/77520/
https://pressa53.ru/news/81629/
https://pressa53.ru/news/81629/
https://pressa53.ru/news/81636/
https://pressa53.ru/news/81672/
https://pressa53.ru/news/81678/
https://pressa53.ru/news/81769/
https://pressa53.ru/news/81832/
https://pressa53.ru/news/81824/
https://vesti53.com/projects/vesti-velikij-novgorod/2401-okolo-chetyrekhsot-uchastnikov-sobral-v-velikom-novgorode-mezhregionalnyj-seminar-vovlechenie-grazhdan-v-proekty-initsiativnogo-byudzhetirovaniya.html
https://novgorod-tv.ru/news/edinaya-programma-inicziativnogo-byudzhetirovaniya-startovala-v-novgorodskoj-oblasti/
https://novgorod-tv.ru/news/prezentacziya-programmy-inicziativnoe-byudzhetirovanie-sostoyalas-v-velikom-novgorode/
https://novgorod-tv.ru/news/seminar-shkola-inicziativnogo-byudzhetirovaniya-proshel-dlya-chinovnikov-novgorodskoj-oblasti/
https://novgorod-tv.ru/news/volontery-pomogut-novgorodczam-prinyat-uchastie-v-proekte-inicziativnoe-byudzhetirovanie/
https://novgorod-tv.ru/news/programmu-inicziativnoe-byudzhetirovanie-prezentovali-v-staroj-russe/
https://novgorod-tv.ru/news/zhiteli-borovichej-razrabatyvayut-proekty-dlya-programmy-inicziativnoe-byudzhetirovanie/
https://novgorod-tv.ru/news/prezentacziya-programmy-inicziativnoe-byudzhetirovanie-sostoyalas-v-velikom-novgorode/                                               https://vk.com/wall-160413159_9072  https://vk.com/wall-160413159_9066 https://vk.com/ppmi53?w=wall-160413159_8927  https://vk.com/wall-160413159_8903 https://vk.com/ppmi53?w=wall-160413159_8848  https://vk.com/wall-160413159_8360  https://vk.com/ppmi53?w=wall-160413159_8775  https://vk.com/wall-160413159_9103   https://vk.com/wall-160413159_9143  https://vk.com/wall-160413159_9147 https://vk.com/wall-160413159_9148    https://vk.com/wall-160413159_9149  https://vk.com/wall-160413159_9150   https://vk.com/wall-160413159_9171   https://vk.com/wall-160413159_9180</t>
  </si>
  <si>
    <t xml:space="preserve">ГОКУ «ЦМПИ» на платформе Zoom проведен вебинар для Глав сельских и городских поселений, специалистов Администраций муниципальных образований на тему: «Заявочная кампания ТОС-2022. Оформление и подача электронной заявки».  https://vk.com/ppmi53?w=wall-160413159_8927              В целях оказания консультативной и методической помощи органам местного самоуправления области проведен обучающий семинар «Школа инициативного бюджетирования». В семинаре приняли участие Главы городских и сельских поселений муниципальных районов, Главы территориальных отделов муниципальных округов, заместители Глав администраций муниципальных районов (округов) и городского округа по внутренней политике, заместители Глав администраций по инфраструктуре, жилищно – коммунальному хозяйству и благоустройству   https://vk.com/ppmi53?w=wall-160413159_10463 https://vk.com/ppmi53?w=wall-160413159_10484   https://vk.com/ppmi53?w=wall-160413159_10604 </t>
  </si>
  <si>
    <t>2017 год</t>
  </si>
  <si>
    <t>01 апреля 2021 г.</t>
  </si>
  <si>
    <t>Государственная программа Новгородской области "Формирование современной городской среды на территории муниципальных образований Новгородской области на 2018 - 2030 годы"</t>
  </si>
  <si>
    <t>Постановление Правительства Новгородской области от 01.09.2017 №305</t>
  </si>
  <si>
    <t xml:space="preserve">https://docs.cntd.ru/document/450333035 </t>
  </si>
  <si>
    <t>Министерство жилищно-коммунального хозяйства и топливно-энергетического комплекса Новгородской области</t>
  </si>
  <si>
    <t>Городской округ, муниципальные районы, муниципальные округа, городские и сельские поселения Новгородской области</t>
  </si>
  <si>
    <t xml:space="preserve">Федеральный проект "Формирование комфортной городской среды",  государственная программа Российской Федерации «Обеспечение доступным и
комфортным жильем и коммунальными услугами граждан Российской Федерации», утвержденная постановлением Правительства Российской Федерации от 30 декабря 2017 г. № 1710.
</t>
  </si>
  <si>
    <t>VI. Порядок расчета значений целевых показателей
или источники получения информации государственной программы
Новгородской области "Формирование современной городской среды на территории муниципальных образований Новгородской области на 2018 - 2030 годы":
доля граждан, принявших участие в решении вопросов развития городской среды (в том числе с использованием цифровых технологий), от общего количества граждан в возрасте от 14 лет, проживающих в муниципальных образованиях, на территории которых реализуются проекты по созданию комфортной городской среды, %</t>
  </si>
  <si>
    <t>анкетирование</t>
  </si>
  <si>
    <t>https://53.gorodsreda.ru/result-voting</t>
  </si>
  <si>
    <t>В 2022 году - 25 муниципальных образований</t>
  </si>
  <si>
    <t xml:space="preserve">Критерием отбора муниципальных образований области является:
наличие в муниципальных программах мероприятий по благоустройству дворовых территорий многоквартирных домов, общественных территорий в городском округе Великий Новгород, монопрофильных муниципальных образованиях области, муниципальных образованиях - исторических поселениях федерального значения, административных центрах муниципальных районов и муниципальных округов Новгородской области, рабочих поселках Новгородского района Новгородской области;
наличие средств собственников помещений многоквартирных домов в размере не более 10 % от общей стоимости работ по благоустройству дворовых территорий многоквартирных домов исходя из минимального перечня работ по благоустройству и (или) в размере не более 30 % от общей стоимости работ по благоустройству дворовых территорий многоквартирных домов исходя из дополнительного перечня работ по благоустройству;
наличие средств бюджетов муниципальных образований области в размере не менее 20 % от общего объема средств, указанных в соглашениях между администрациями муниципальных образований области и министерством о предоставлении субсидии на текущий год.
</t>
  </si>
  <si>
    <t>https://53.gorodsreda.ru/?ysclid=lgw6et35g147221306</t>
  </si>
  <si>
    <t>https://vk.com/club191090021</t>
  </si>
  <si>
    <t>https://53.gorodsreda.ru/</t>
  </si>
  <si>
    <t>Сюжеты на Новгородском областном телевидении (https://novgorod-tv.ru/news/58260-otobrany-volontery-dlya-golosovaniya-za-territorii-dlya-blagoustrojstva-v-programme-fkgs/; https://novgorod-tv.ru/news/57713-zhiteli-ivushek-aktivno-obsuzhdayut-proekt-blagoustrojstva-skvera-v-mikrorajone/; https://novgorod-tv.ru/news/58498-chto-sluchilos-20-marta-2022-goda-novosti-dnya/); рекламные аудиоролики на радио; наружная реклама; социальные сети (https://vk.com/club191090021)</t>
  </si>
  <si>
    <t>волонтеры, помогающие жителям области принять участие в голосовании за проекты благоустройства общественных пространств</t>
  </si>
  <si>
    <t>Юдин Виталий Валерьевич, заместитель министра ЖКХ и ТЭК Новгородской области - начальник отдела цифровизации, организационного и правового обеспечения деятельности министерства</t>
  </si>
  <si>
    <t>8 (8162) 676-656</t>
  </si>
  <si>
    <t>jkh-tek@novreg.ru</t>
  </si>
  <si>
    <t>ПОДДЕРЖКА ПРОЕКТОВ РАЗВИТИЯ ТЕРРИТОРИЙ МУНИЦИПАЛЬНЫХ ОБРАЗОВАНИЙ ИВАНОВСКОЙ ОБЛАСТИ,ОСНОВАННЫХ НА МЕСТНЫХ ИНИЦИАТИВАХ (ИНИЦИАТИВНЫХ ПРОЕКТОВ)</t>
  </si>
  <si>
    <t>местные инициативы</t>
  </si>
  <si>
    <t>11 февраля 2022 года</t>
  </si>
  <si>
    <t>Государственная программа Ивановской области "Формирование современной городской среды",  подпрограмма "Благоустройство дворовых
и общественных территорий"</t>
  </si>
  <si>
    <t xml:space="preserve">Постановление Правительства Ивановской области от 1 сентября 2017 года № 337-п "Об утверждении государственной программы Ивановской области "Формирование современной городской среды" (в редакции пост. от 05.08.2019 № 304-п) </t>
  </si>
  <si>
    <t>https://docs.cntd.ru/document/561493132?marker</t>
  </si>
  <si>
    <t>Постановление Правительсва Ивановской области от 13.03.2020 № 113-п "О поддержке проектов развития территорий муниципальных образований Ивановской области, основанных на местных инициативах (инициативных проектов), и о признании утратившим силу Постановления Правительства Ивановской области от 05.06.2019 № 201-п "О реализации мероприятий по организации благоустройства территорий муниципальных образований Ивановской области в рамках поддержки местных инициатив"</t>
  </si>
  <si>
    <t>https://docs.cntd.ru/document/570709755</t>
  </si>
  <si>
    <t>Департамент внутренней политики Ивановской области</t>
  </si>
  <si>
    <t xml:space="preserve">Субсидии местному бюджету из областного бюджета на реализацию проектов развития территорий муниципальных образований Ивановской области, основанных на местных инициативах (инициативных проектов) </t>
  </si>
  <si>
    <t xml:space="preserve">бюджеты муниципальных образований Ивановской области </t>
  </si>
  <si>
    <t>использование имущества, имущественных прав, безвозмездно выполняемые работы и оказываемые услуги, труд заинтересованных лиц, их количество (указывается в заявке к проекту + прописывается гарантийным письмом или в протоколе схода граждан)</t>
  </si>
  <si>
    <t>200,000</t>
  </si>
  <si>
    <t>такая статистика не велась</t>
  </si>
  <si>
    <t xml:space="preserve">критериями предусмотена оценка социального эффекта от реализации проекта (п. 19 порядка) </t>
  </si>
  <si>
    <t>37.rosstat.gov.ru›storage/mediabank/NAS22.pdf</t>
  </si>
  <si>
    <t>подпись в подписных листах</t>
  </si>
  <si>
    <t>протокол схода граждан</t>
  </si>
  <si>
    <t>протокол собрания членов ТОС</t>
  </si>
  <si>
    <t>https://dvp.ivanovoobl.ru/?type=news&amp;id=44014</t>
  </si>
  <si>
    <t>https://i3vestno.ru/news/2021/06/28/proekt_obshchestvenyh_iniciativ_reshaem_vmeste</t>
  </si>
  <si>
    <t>ИГТРК
https://ivteleradio.ru/video/2022/12/27/vmesto_zabroshennogo_kotlovana_territoriya_dlya_otdyha_v_ivanove_blagoustroili_skver
https://ivteleradio.ru/video/2022/10/13/komfortnaya_zona_otdyha_poyavilas_ryadom_s_ulicey_myakisheva_v_ivanove
https://ivteleradio.ru/video/2022/12/19/v_sleduyushchem_godu_v_ivanovskoy_oblasti_uvelichitsya_finansirovanie_programmy_mestnye_iniciativy_
Барс
https://www.ivanovonews.ru/reports/1310477/
Барс ВКонтакте
https://vk.com/wall-49746905_612150</t>
  </si>
  <si>
    <t>Ежегодный семинар для ОМСУ по организации и проведению конкурсного отбора проектов местных инициатив</t>
  </si>
  <si>
    <t>более 100</t>
  </si>
  <si>
    <t>Лушкина Анна Вадимовна, заместитель начальника Департамента внутренней политики Ивановской области</t>
  </si>
  <si>
    <t>8 (4932) 90-15-29</t>
  </si>
  <si>
    <t>lushkina@ivdvp.ru</t>
  </si>
  <si>
    <t>Желобанова Наталья Владимировна, главный советник отдела межбюджетных отношений бюджетного управления Департамента финансов Ивановской области</t>
  </si>
  <si>
    <t>8 (4932) 30-19-22</t>
  </si>
  <si>
    <t>budget_mbo@df.ivanovoobl.ru</t>
  </si>
  <si>
    <t>Реализация на территории Оренбургской области инициативных проектов</t>
  </si>
  <si>
    <t>Инициативное бюджетирование Оренбургской области</t>
  </si>
  <si>
    <t>15 августа 2021</t>
  </si>
  <si>
    <t>Постановление Правительства Оренбургской области от 14.11.2016 № 851-пп «О реализации на территории Оренбургской области инициативных проектов»</t>
  </si>
  <si>
    <t>http://budget.orb.ru/images/gritsenko/post3.doc</t>
  </si>
  <si>
    <t>Закон Оренбургской области от 29.06.2021 № 2922/793-VI-ОЗ «Об отдельных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(принят Законодательным Собранием Оренбургской области 17.06.2021 г.)</t>
  </si>
  <si>
    <t>http://budget.orb.ru/images/gritsenko/zakon56ib.docx</t>
  </si>
  <si>
    <t>Паспорт приоритетного проекта «Вовлечение жителей муниципальных образований Оренбургской области в процесс выбора и реализации инициативных проектов » от 21.12.2017. Срок действия программы 01.01.2018–01.03.2026.</t>
  </si>
  <si>
    <t>https://gov-office.orb.ru/upload/uf/c28/Vovlechenie-zhiteley-MO-v-protsess-vybora-i-realizatsii-initsiativnykh-proektov.pdf</t>
  </si>
  <si>
    <t>Приказ министерства финансов Оренбургской области от 30.08.2017 № 129 «Об отдельных вопросах организации и проведения конкурсного отбора инициативных проектов »</t>
  </si>
  <si>
    <t>http://budget.orb.ru/images/gritsenko/prik2023.doc</t>
  </si>
  <si>
    <t>Министерство финансов Оренбургской области</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</si>
  <si>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
Министерство региональной и информационной политики Оренбургской области</t>
  </si>
  <si>
    <t>муниципальное образование</t>
  </si>
  <si>
    <t>неоплачиваемый труд, материалы и другие формы</t>
  </si>
  <si>
    <t>нет статистики</t>
  </si>
  <si>
    <t>По данным конкурсных заявок: жители населенных пунктов, непосредственно пользующиеся объектами общественной инфраструктуры</t>
  </si>
  <si>
    <t>https://orenstat.gks.ru/
(раздел "Оперативные показатели")</t>
  </si>
  <si>
    <t>Протоколы собраний (опросов) граждан по определению проекта</t>
  </si>
  <si>
    <t>Протоколы собраний граждан по определению параметров проекта на основании опроса/анкетирования утверждались инициативной группой, поскольку проведение массовых мероприятий было запрещено Указом Губернатора Оренбургской области от 17.03.2020 г. № 112-ук (в связи с распространением новой коронавирусной инфекции COVID-19)</t>
  </si>
  <si>
    <t>Проводится заседание Правительственной комиссии по рассмотрению и утверждению результатов конкурсного отбора инициативных проектов, в состав которой входят представители власти, а также обественные деятели (председатель общественного совета при минфине области, заместитель председателя Оренбургской областной организации Общероссийской общественной организации "Всероссийское общество инвалидов"). По проектам, реализованным в 2022 году было проведено 3 комиссии. По итогу победителями конкурсного отбора на 2022 год были признаны 225 проектов. (http://budget.orb.ru/new/init-budg; 
https://disk.yandex.ru/d/0IUZfhCrykv6vw)</t>
  </si>
  <si>
    <t>Право на участие в конкурсном отборе имеют сельские поселения и городские округа, в состав которых входят сельские поселения. Таким образом осуществлен стопроцентный охват сельского населения региона.</t>
  </si>
  <si>
    <t>Имеется автоматизированная система сбора и обработки заявок http://otbor.orb.ru/</t>
  </si>
  <si>
    <t>http://budget.orb.ru/new/init-budg</t>
  </si>
  <si>
    <t>Для распространения информации об инициативном бюджетировании используются аккаунты министерства финансов области в социальных сетях (https://vk.com/minfin56; https://ok.ru/minfinoren)</t>
  </si>
  <si>
    <t>http://budget.orb.ru/new/init-budg 
https://yadi.sk/d/DfafUC5IEyTGOw</t>
  </si>
  <si>
    <t>1. Размещение информации на официальном сайте министерства финансов Оренбургской области (http://mf.orb.ru);
2. Размещение информации на портале "Бюджет для граждан" (http://budget.orb.ru/new/init-budg);
3. Размещение информации на портале Правительства Оренбургской области (http://www.orenburg-gov.ru/);
4.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5. Проведение областных и зональных семинаров с представителями администраций, финансовых органов и населением.
6. Размещение информации в телевизионных региональных СМИ (например: «ВЕСТИ Оренбуржья» от 2 сентября 2022 года. "Инициативное бюджетирование в муниципалитетах региона стало эффективным и достаточно привычным методом решения местных проблем"
https://vestirama.ru/vesti-orenburzhya/syuzhetyi/20220902-16.18.19.html)</t>
  </si>
  <si>
    <t>http://budget.orb.ru/new/init-budg
вкладка "Дополнительные материалы"</t>
  </si>
  <si>
    <t>В 2022 году в режиме видеоконференции с главами городских округов (муниципальных районов) и руководителями финансовых органов проведены: расширенное заседание коллегии министерства финансов области, зональные круглые столы для представителей муниципальных образований (по секциям), обучающие семинары по инциативному бюджетированию, семинар-совещание с главами муниципальных образований и руководителями финансовых органов области
(https://mf.orb.ru/presscenter/news/30339/;
https://mf.orb.ru/presscenter/news/34654/;
https://mf.orb.ru/presscenter/news/37383/;
https://mf.orb.ru/presscenter/news/42445/;
https://mf.orb.ru/presscenter/news/60990/;
https://mf.orb.ru/presscenter/news/66755/;
https://mf.orb.ru/presscenter/news/95476/;
https://mf.orb.ru/presscenter/news/95477/;
https://mf.orb.ru/presscenter/news/95478/)</t>
  </si>
  <si>
    <t>Шермецинский Талгат Сергеевич, главный специалист отдела анализа финансового менеджмента министерства финансов Оренбургской области</t>
  </si>
  <si>
    <t>(3532) 78-64-16</t>
  </si>
  <si>
    <t>tssh@mail.orb.ru</t>
  </si>
  <si>
    <t>Величко Антонина Владимировна, начальник отдела анализа финансового менеджмента</t>
  </si>
  <si>
    <t>(3532) 78-62-53</t>
  </si>
  <si>
    <t>velav@mail.orb.ru</t>
  </si>
  <si>
    <t>Реализация инициативных проектов</t>
  </si>
  <si>
    <t>Инициативное бюджетирование</t>
  </si>
  <si>
    <t xml:space="preserve">Государственная программа Чувашской Республики "Комплексное развитие сельских территорий" (подпрограмма "Создание и развитие инфраструктуры на сельских территориях");
Государственная программа Чувашской Республики "Формирование современной городской среды на территории Чувашской Республики"
(подпрограмма  "Благоустройство дворовых и общественных территорий муниципальных образований Чувашской Республики").
</t>
  </si>
  <si>
    <t>Постановление Кабинета Министров Чувашской Республики от 22 февраля 2017 г. № 71 
"О реализации на территории Чувашской Республики инициативных проектов";
Постановление Кабинета Министров Чувашской Республики от 26 декабря 2019 № 606;
Постановление Кабинета Министров Чувашской Республики от 31.08.2017 N 343.</t>
  </si>
  <si>
    <t>http://agro.cap.ru/action/activity/iniciativnoe-byudzhetirovanie/pravila-predostavleniya-subsidij-iz-respublikansko
http://minstroy.cap.ru/action/activity/zhilischno-kommunaljnoe-hozyajstvo/iniciativnoe-byudzhetirovanie</t>
  </si>
  <si>
    <t>Постановление Кабинета Министров Чувашской Республики от 1 февраля 2022 г. № 28 «О распределении в 2022 году субсидий из республиканского бюджета Чувашской Республики бюджетам муниципальных районов, бюджетам муниципальных округов на реализацию инициативных проектов"; Распоряжение Кабинета Министров Чувашской Республики от 24 ноября 2022 г. № 1139-р; Распоряжение Кабинета Министров Чувашской Республики от 23 декабря 2022 г. 
№ 1291-р;
Постановление Кабинета Министров Чувашской Республики от 28 февраля 2022 г. № 73 
«О распределении в 2022 году субсидий из республиканского бюджета Чувашской Республики бюджетам городских округов на реализацию инициативных проектов".</t>
  </si>
  <si>
    <t xml:space="preserve">https://www.cap.ru/doc/laws/2022/02/28/ruling-73
https://www.cap.ru/doc/laws/2022/08/24/ruling-406                                                                                                                  https://www.cap.ru/doc/laws/2022/11/24/disposal-1139-r                                                                                          https://www.cap.ru/doc/laws?type=disposal&amp;num=1291-%D1%80
</t>
  </si>
  <si>
    <t xml:space="preserve">Закон Чувашской Республики от 18.10.2004 № 19 "Об организации местного самоуправления в Чувашской Республике"
</t>
  </si>
  <si>
    <t>https://base.garant.ru/22755289/</t>
  </si>
  <si>
    <t>Постановление Кабинета Министров Чувашской Республики от 22 февраля 2017 г. №71 "О реализации на территории Чувашской Республики инициативных проектов"</t>
  </si>
  <si>
    <t>http://www.cap.ru/doc/laws/2021/10/27/ruling-540</t>
  </si>
  <si>
    <t xml:space="preserve">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
</t>
  </si>
  <si>
    <t>Министерство сельского хозяйства Чувашской Республики/ распорядитель бюджетных средств на проекты ИБ, инициативные проекты на территории сельских территорий Чувашской Республики;
Министерство строительства, архитектуры и жилищно-коммунального хозяйства Чувашской Республики/ распорядитель бюджетных средств на проекты ИБ, инициативные проекты на территории городских округов Чувашской Республики</t>
  </si>
  <si>
    <t>Субсидии местным бюджетам</t>
  </si>
  <si>
    <t xml:space="preserve">Администрации муниципальных районов, муниципальных округов Чувашской Республики, администрации городских округов Чувашской Республики
</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</si>
  <si>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</si>
  <si>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https://chuvash.gks.ru/demog</t>
  </si>
  <si>
    <t>Проводился сбор подписей населения, протокол проведения опроса</t>
  </si>
  <si>
    <t>Протоколы собраний участников очных встреч, листы регистрации</t>
  </si>
  <si>
    <t>1 этап. В целях реализации  инициативных проектов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</si>
  <si>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 xml:space="preserve">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инициативных проектов, на территории городских и муниципальных округов (далее - конкурсная комиссия), состав которой утверждается распоряжением Кабинета Министров Чувашской Республики.
4 этап. В состав конкурсной комиссии включаются представители исполнительных органов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 Члены конкурсной комиссии рассматривают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(исполнительный орган Чувашской Республики) на Портале исполнительных органов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
</t>
  </si>
  <si>
    <t>Протокол конкурсной комиссии</t>
  </si>
  <si>
    <t>да (pib.cap.ru)</t>
  </si>
  <si>
    <t>Портал  инициативного бюджетирования Чувашской Республики применяется при реализации инициативных проектов с 2022 года и обеспечивает взаимодействие между их участниками, позволяет участвовать гражданам в определении и выборе объектов инициативного бюджетирования, а также осуществлять последующий контроль за реализацией отобранных проектов.</t>
  </si>
  <si>
    <t xml:space="preserve">http://www.agro.cap.ru/action/activity/iniciativnoe-byudzhetirovanie </t>
  </si>
  <si>
    <t>http://minstroy.cap.ru/action/activity/zhilischno-kommunaljnoe-hozyajstvo/iniciativnoe-byudzhetirovanie</t>
  </si>
  <si>
    <t xml:space="preserve">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телерадиокомпанией Чувашии и  средствами массовой информации. Информация о проектах инициативного бюджетирования публикуется на официальном сайте Минсельхоза Чувашии и социальных сетях. 
https://agro.cap.ru/news/2022/12/22/za-2022-god-v-krasnochetajskom-rajone-chuvashii-re                       https://agro.cap.ru/news/2022/12/14/protivopozharnij-vodoem-v-yadrinskom-rajone-ochist                                                    https://agro.cap.ru/news/2022/12/09/v-chuvashii-utverdili-k-realizacii-v-2023-godu-107                                              https://agro.cap.ru/news/2022/11/03/iniciativnoe-byudzhetirovanie-v-chuvarlejskom-selj                        https://agro.cap.ru/news/2022/10/28/protivopozharnij-vodoem-v-d-brenyashi-postroyat-po                                                         https://agro.cap.ru/news/2022/10/17/po-programme-iniciativnogo-byudzhetirovaniya-v-chu                                        https://agro.cap.ru/news/2022/10/12/maksimaljnij-srok-realizacii-proektov-iniciativnog                                                       https://agro.cap.ru/news/2022/10/10/blagodarya-iniciativnomu-byudzhetirovaniyu-v-porec                              https://agro.cap.ru/news/2022/09/15/iniciativnie-proekti-v-civiljske-novaya-doroga                                                         https://agro.cap.ru/news/2022/09/09/minseljhoz-chuvashii-v-alatirskom-rajone-zavershil                                            https://agro.cap.ru/news/2022/09/01/iniciativnie-proekti-sportploschadka-v-d-atnashevo                                                            https://agro.cap.ru/news/2022/08/24/v-tekuschem-godu-v-chuvashii-dopolniteljno-profina                    https://agro.cap.ru/news/2022/08/24/otremontirovali-pamyatnik-pochinili-asfaljt-na-sel                                                              https://agro.cap.ru/news/2022/08/19/iniciativnoe-byudzhetirovanie-reshit-esche-odnu-pr                                               https://agro.cap.ru/news/2022/08/16/iniciativnoe-byudzhetirovanie-v-derevnyah-i-selah                                                                  https://agro.cap.ru/news/2022/08/12/v-alatirskom-rajone-realizuetsya-5-proektov-po-pro                                                          https://agro.cap.ru/news/2022/08/08/v-alatirskom-rajone-idet-rabota-nad-realizaciej-pr                                                         https://agro.cap.ru/news/2022/07/28/19-iniciativnih-proektov-poluchili-svoe-voploschen                                                                https://agro.cap.ru/news/2022/07/12/v-poreckom-rajone-realizuyutsya-proekti-iniciativn                                                           https://agro.cap.ru/news/2022/06/09/v-minseljhoze-chuvashii-zavershilsya-priem-dokumen                                                   https://agro.cap.ru/news/2022/05/12/v-chuvashii-idet-rabota-nad-realizaciej-862-proekt                                                    https://agro.cap.ru/news/2022/04/19/glava-chuvashii-vse-proekti-iniciativnogo-byudzhet                                                           https://agro.cap.ru/news/2022/04/13/v-nineshnem-godu-v-chuvashii-planiruetsya-realizov                                                       https://agro.cap.ru/news/2022/01/18/v-nineshnem-godu-v-civiljskom-rajone-budut-voplosc                                         </t>
  </si>
  <si>
    <t>Иштеков Илнар Минсагитович, консультант</t>
  </si>
  <si>
    <t>8(8352) 56-52-00 (доб.2221)</t>
  </si>
  <si>
    <t>finance4606@cap.ru</t>
  </si>
  <si>
    <t>Кузьмин Андрей Владимирович, 
заместитель начальника отдела
Журавлев Евгений Владиславович, 
главный специалист - эксперт</t>
  </si>
  <si>
    <t>8 (8352) 62-17-24 (доб.1242)
8 (8352) 56-52-44 (доб.1456)</t>
  </si>
  <si>
    <t>construc77@cap.ru
mcx_invest@cap.ru</t>
  </si>
  <si>
    <t xml:space="preserve">Конкурсный отбор инициативных проектов, выдвигаемых для получения финансовой поддержки за счет межбюджетных трансфертов из областного бюджета
(финансирование с 2022 года)
</t>
  </si>
  <si>
    <t>х</t>
  </si>
  <si>
    <t xml:space="preserve"> Подпрограмма "Вовлечение населения в осуществление местного самоуправления, поддержка гражданских инициатив" Государственной программы Псковской области "Поддержка развития местного самоуправления в Псковской области"</t>
  </si>
  <si>
    <t>Постановление Администрации Псковской области от 30.12.2020 N 477  "Об утверждении Государственной программы Псковской области "Поддержка развития местного самоуправления в Псковской области"</t>
  </si>
  <si>
    <t>https://pskov.ru/vlast/ispolnitelnaya/administratsiya-oblasti/apparat/upravlenie-po-mestnomu-samoupr/gosudarstvennye-programmy-i-po</t>
  </si>
  <si>
    <t xml:space="preserve">Постановление Администрации Псковской области от 08.06.2021 N 179 "Об инициативных проектах, выдвигаемых для получения финансовой поддержки за счет межбюджетных трансфертов из областного бюджета" </t>
  </si>
  <si>
    <t>https://pskov.ru/vlast/ispolnitelnaya/administratsiya-oblasti/apparat/upravlenie-po-mestnomu-samoupr/initsiativnye-proekty</t>
  </si>
  <si>
    <t>Правительство Псковской области</t>
  </si>
  <si>
    <t>Степень планируемого (возможного) имущественного и (или) трудового участия заинтересованных лиц в реализации инициативного проекта. Выражается в  денежном эквиваленте и оценивается  по балльной системе как  процентное отношение к стоимости проекта.</t>
  </si>
  <si>
    <t>нет. Количество благополучателей  представляется в паспортах проектов инициатором</t>
  </si>
  <si>
    <t>https://pskovstat.gks.ru/storage/mediabank/NAS220418_2.htm</t>
  </si>
  <si>
    <t>опросные листы, сбор подписей</t>
  </si>
  <si>
    <t>https://pskov.ru/vlast/ispolnitelnaya/administratsiya/apparat/samoupr</t>
  </si>
  <si>
    <t>брошюры, буклеты, информация  на официальном портале государственных органов Псковской области</t>
  </si>
  <si>
    <t>Михайлова Надежда Анатольевна</t>
  </si>
  <si>
    <t>8112 29-97-99</t>
  </si>
  <si>
    <t>namihaylova@obladmin.pskov.ru</t>
  </si>
  <si>
    <t>Бернацкий Влалислав Любомирович, заместитель председателя Комитета по финанасам Псковской области</t>
  </si>
  <si>
    <t>8112 29-99-27</t>
  </si>
  <si>
    <t>bvl@obladmin.pskov.ru</t>
  </si>
  <si>
    <t>1. Развитие институтов территориального общественного самоуправления и поддержка проектов местных инициатив
(финансирование с 2022 года)
2. Повышение   эффективности деятельности территориальных общественных самоуправлений в Псковской области (с 2022 года)</t>
  </si>
  <si>
    <t xml:space="preserve"> Подпрограмма "Вовлечение населения в осуществление местного самоуправления, поддержка гражданских инициатив" Государственной программы Псковской области "Поддержка развития местного самоуправления в Псковской области"(справочно: до 2021 года - Подпрограмма "Эффективная система межбюджетных отношений в Псковской
области"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t>
  </si>
  <si>
    <t>Реализация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</si>
  <si>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Реальные дела</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</si>
  <si>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30 декабря 2021 года № 736 (подпрограмма «Поддержание устойчивости местных бюджетов», Основное мероприятие «Создание условий для повышения эффективности деятельности органов местного самоуправления Республики Башкортостан», мероприятие «Поддержка мер по обеспечению исполнения расходных обязательств местных бюджетов по решению вопросов местного значения»).</t>
  </si>
  <si>
    <t>1. Постановление Правительства Республики Башкортостан от 4 мая 2010 года № 160 «Об утверждении Порядка предоставления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(документ утратил силу с 17 апреля 2019 года).
2. 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отдельным вопросам местного значения»</t>
  </si>
  <si>
    <t xml:space="preserve"> http://docs.cntd.ru/document/935120175
https://npa.bashkortostan.ru/13838/
https://npa.bashkortostan.ru/23770/</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</si>
  <si>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</si>
  <si>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http://gsrb.ru/ru/nakazy-izbirateley/</t>
  </si>
  <si>
    <t>1. 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2.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28 мая 2015 года № 49-р.
3.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25 мая 2017 года № 69-р</t>
  </si>
  <si>
    <t>Секретариат Государственного Собрания - Курултая Республики Башкортостан / Администрации муниципальных районов и городских округов РБ.
Реализуется по предложению Регионального отделения Партии «Единая Россия»</t>
  </si>
  <si>
    <t>Министерство финансов Республики Башкортостан</t>
  </si>
  <si>
    <t>Бюджеты муниципальных образований Республики Башкортостан</t>
  </si>
  <si>
    <t>Безвозмездное предоставление материалов, транспортных средств и других механизмов, безвозмездный труд населения</t>
  </si>
  <si>
    <t>Нет данных (ввиду большого количества заявок с незначительной стоимостью, адресованных депутатам, общее количество поданных заявок не оценивалось)</t>
  </si>
  <si>
    <t>Подсчет не производился.</t>
  </si>
  <si>
    <t xml:space="preserve"> -</t>
  </si>
  <si>
    <t>https://bashstat.gks.ru/storage/mediabank/CHislennost-naseleniya-po-municipalnym-rajonam-i-gorodskim-okrugam-Respubliki-%20Bashkortostan-na-1-yanvarya-2022-g-s-uchetom-VPN-2020.pdf</t>
  </si>
  <si>
    <t>Протоколы проведения собраний, сходов</t>
  </si>
  <si>
    <t>Протоколы проведения собраний, сходов граждан</t>
  </si>
  <si>
    <t>Нет данных</t>
  </si>
  <si>
    <t>Был проведен опрос населения, результаты которого были направлены депутатам Государственного Собрания - Курултая Республики Башкортостан, в администрации муниципальных районов, городских округов Республики Башкортостан</t>
  </si>
  <si>
    <t>http://реальные-дела.рф/</t>
  </si>
  <si>
    <t>https://cloud.mail.ru/public/4d5m/2pz11yaGj</t>
  </si>
  <si>
    <t xml:space="preserve">Регулярное освещение новостных событий по проекту на сайте Башкортостанского регионального отделения Партии "ЕДИНАЯ РОССИЯ", в социальных сетях местных отделений Партии "ЕДИНАЯ РОССИЯ". 
Примеры новостей:
https://bashkortostan.er.ru/activity/news/v-tatyshlinskom-rajone-poyavilsya-memorialnyj-kompleks-soldatam-vojn
https://bashkortostan.er.ru/activity/news/v-ilishevskom-rajone-nachalis-raboty-po-ustanovke-stely-v-pamyat-o-uchastnikah-vov
</t>
  </si>
  <si>
    <t>Расширенное заседание общественного совета проекта "Реальные дела" в формате видеоконференцсвязи, 1 раз в квартал, состав участников: члены общественного совета, исполнительные секретари местных отделений партии «Единая Россия», председатели и секретари советов муниципальных образований Республики Башкортостан, руководители и специалисты администраций районов, городов, сельских поселений;
Выступление на заседаниях фракций политических партий, 2 раза в год, состав участников: депутаты Государственного Собрания - Курултая Республики Башкортостан</t>
  </si>
  <si>
    <t xml:space="preserve">Лукманова Анастасия Викторовна, ведущий специалист 1 разряда сектора нормативных правовых актов и архива отдела документационного обеспечения и по работе с обращениями граждан, Секретариат Государственного Собрания - Курултая Республики Башкортостан </t>
  </si>
  <si>
    <t>8 (347) 218-31-54</t>
  </si>
  <si>
    <t>lukmanova.av@bashkortostan.ru</t>
  </si>
  <si>
    <t>Кочеткова Екатерина Сергеевна, главный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</si>
  <si>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8(347)280-95-30</t>
  </si>
  <si>
    <t xml:space="preserve">kochetkova.e@bashkortostan.ru </t>
  </si>
  <si>
    <t>Реализация проектов по комплексному благоустройству дворовых территорий муниципальных образований Республики Башкортостан "Башкирские дворики"</t>
  </si>
  <si>
    <t>Башкирские дворики</t>
  </si>
  <si>
    <t>Государственная программа «Формирование современной городской среды в Республике Башкортостан», утвержденная постановлением Правительства Республики Башкортостан от 30 августа 2017 года № 401 (подпрограмма «Благоустройство территорий муниципальных образований Республики Башкортостан» / основное мероприятие «Осуществление мероприятий по благоустройству общественных и дворовых территорий многоквартирных домов» /мероприятие «Реализация проектов по комплексному благоустройству дворовых территорий муниципальных образований Республики Башкортостан "Башкирские дворики"»)</t>
  </si>
  <si>
    <t>1. Постановление Правительства Республики Башкортостан от 12 февраля 2018 года № 61 «О реализации на территории Республики Башкортостан проектов по благоустройству дворовых территорий, основанных на местных инициативах» (утратил силу с 13 февраля 2019 года).
2. 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
3. Постановление Правительства Республики Башкортостан от 13 февраля 2019 года № 69 «О реализации проектов по комплексному благоустройству дворовых территорий муниципальных образований Республики Башкортостан "Башкирские дворики"».</t>
  </si>
  <si>
    <t>https://npa.bashkortostan.ru/19429/
https://npa.bashkortostan.ru/19984/
https://npa.bashkortostan.ru/23134/</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</si>
  <si>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</si>
  <si>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http://docs.cntd.ru/document/553216517</t>
  </si>
  <si>
    <t>Министерство жилищно-коммунально хозяйства 
Республики Башкортостан</t>
  </si>
  <si>
    <t>Экспертная оценка</t>
  </si>
  <si>
    <t>https://bashstat.gks.ru/folder/25491</t>
  </si>
  <si>
    <t>Анкетирование</t>
  </si>
  <si>
    <t>Протоколы общих собраний собственников помещений многоквартирных домов</t>
  </si>
  <si>
    <t>Обсуждение</t>
  </si>
  <si>
    <t>Не предусмотрено</t>
  </si>
  <si>
    <t xml:space="preserve">Рекламная кампания проводилась с использованием средств массовой информации: телевидения (БСТ, местные городские каналы), социальные сети (вконтакте), официальный сайт МинЖКХ РБ, официальные сайты городских округов и муниципальных районов РБ:     https://vk.com/search?c%5Bper_page%5D=40&amp;c%5Bq%5D=%D0%B1%D0%B0%D1%88%D0%BA%D0%B8%D1%80%D1%81%D0%BA%D0%B8%D0%B5%20%D0%B4%D0%B2%D0%BE%D1%80%D0%B8%D0%BA%D0%B8%202022&amp;c%5Bsection%5D=video&amp;c%5Bsort%5D=2&amp;z=video-27097047_456257908         https://vk.com/video-207375594_456240023                https://vk.com/video-27097047_456260461     https://vk.com/search?c%5Bper_page%5D=40&amp;c%5Bq%5D=%D0%B1%D0%B0%D1%88%D0%BA%D0%B8%D1%80%D1%81%D0%BA%D0%B8%D0%B5%20%D0%B4%D0%B2%D0%BE%D1%80%D0%B8%D0%BA%D0%B8%202022&amp;c%5Bsection%5D=video&amp;c%5Bsort%5D=2&amp;z=video-207375594_456239347                                                https://vk.com/wall-175137873_1596                                         https://vk.com/wall-93153683_16381                                        https://vk.com/wall-93153683_15029                                     https://vk.com/video-27097047_456263665             https://vk.com/video12801966_456242876    https://www.bashinform.ru/news/social/2022-11-26/v-salavate-postroili-bashkirskiy-dvorik-dlya-pyati-mnogokvartirnyh-domov-3046652        http://www.salavatsovet.ru/2022/09/14/bashkirskij-dvorik/        https://vk.com/wall555515713_40662              https://gtrk.tv/novosti/306781-parkovka-detskaya-ploshchadka-videonablyudenie-kak-bashkirskie-dvoriki-preobrazuyut       
https://vk.com/radiyhabirov?w=wall413272232_1005028 https://house.bashkortostan.ru/presscenter/news/532709/ https://house.bashkortostan.ru/documents/active/422158/
https://bash.news/news/91967-bashkirskie-dvoriki-8-voprosov-o-programme-blagoustroystva-dvorov-v-bashkirii
https://ufacity.info/dvori  https://vk.com/wall-90558652_1571825
https://ufacitynews.ru/news/2023/02/02/opublikovan-spisok-ufimskih-dvorov-uchastnikov-programmy-bashkirskie-dvoriki-2023/   https://kzgazeta.ru/news/novosti/2023-04-04/v-neftekamske-startuyut-bashkirskie-dvoriki-2023-3203834    https://house.bashkortostan.ru/presscenter/news/515854/   https://rodnikplus.ru/news/blagoustroystvo/2022-09-24/v-chishminskom-rayone-prodolzhaetsya-blagoustroystvo-dvora-po-programme-bashkirskie-dvoriki-2964386     https://house.bashkortostan.ru/presscenter/news/532372/   </t>
  </si>
  <si>
    <t>Методические рекомендации по проведению мероприятий "Башкирские дворики"
https://drive.google.com/open?id=1EmUKUAkFpKnbEeybKuzcc-yyzGGm9BFk</t>
  </si>
  <si>
    <t>Формат "Открытый диалог", мастер-класс по содержанию объектов благоустройства. Состав участников: представители администраций МО, управляющие компании, проектные организации, инициативная группа собственников помещений МКД</t>
  </si>
  <si>
    <t>Салахутдинова Алина Римовна, советник отдела по благоустройству дворовых территорий Министерства жилищно-коммунально хозяйства 
Республики Башкортостан</t>
  </si>
  <si>
    <t>8(347)2180027</t>
  </si>
  <si>
    <t xml:space="preserve">salakhutdinova.ar@bashkortostan.ru </t>
  </si>
  <si>
    <t>Кочеткова Екатерина Сергеевна</t>
  </si>
  <si>
    <t>8(347)2809530</t>
  </si>
  <si>
    <t>Реализация проектов развития общественной инфраструктуры, основанных на местных инициативах, на территории Республики Башкортостан</t>
  </si>
  <si>
    <t>Программа поддержки местных инициатив (ППМИ)</t>
  </si>
  <si>
    <t>26 октября 2021 года</t>
  </si>
  <si>
    <t>01 июня 2022 года</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</si>
  <si>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30 декабря 2021 года № 736 (подпрограмма «Поддержание устойчивости местных бюджетов», основное мероприятие «Создание условий для повышения эффективности деятельности органов местного самоуправления Республики Башкортостан», мероприятие «Поддержка проектов развития общественной инфраструктуры, основанных на местных инициативах»).</t>
  </si>
  <si>
    <t>1. Постановление Правительства Республики Башкортостан от 8 июня 2016 года № 230 «О реализации на территории Республики Башкортостан проектов развития общественной инфраструктуры, основанных на местных инициативах» 
(документ утратил силу с 19 апреля 2017 года). 
2. 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19 апреля 2017 года № 168 «О реализации на территории Республики Башкортостан проектов развития общественной инфраструктуры, основанных на местных инициативах»).</t>
  </si>
  <si>
    <t>https://npa.bashkortostan.ru/13899/
https://npa.bashkortostan.ru/16184/
https://npa.bashkortostan.ru/16583/</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</si>
  <si>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</si>
  <si>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 xml:space="preserve">Министерство финансов Республики Башкортостан
</t>
  </si>
  <si>
    <t>Неоплачиваемые работы, вклад материалами или оборудованием, вклад в форме техники и транспортных средств</t>
  </si>
  <si>
    <t xml:space="preserve">Подсчет благополучателей осуществлен по данным конкурсных заявок </t>
  </si>
  <si>
    <t>АНО "Управляющая компания научно-образовательного центра Республики Башкортостан"</t>
  </si>
  <si>
    <t>https://minfin.bashkortostan.ru/documents/active/461972/</t>
  </si>
  <si>
    <t>Субсидия из бюджета Республики Башкортостан</t>
  </si>
  <si>
    <t>Анкеты, опросные листы</t>
  </si>
  <si>
    <t>протоколы собраний, листы регистрации</t>
  </si>
  <si>
    <t>Протоколы собраний, листы регистрации</t>
  </si>
  <si>
    <t>Протоколы собраний</t>
  </si>
  <si>
    <t>Да (https://ppmi.bashkortostan.ru/)</t>
  </si>
  <si>
    <t>Заполнение электронных заявок для предварительного просмотра консультантами проектного центра</t>
  </si>
  <si>
    <t xml:space="preserve">https://ppmi.bashkortostan.ru/ </t>
  </si>
  <si>
    <t>https://vk.com/cigi_noc_rb</t>
  </si>
  <si>
    <t>https://ppmi.bashkortostan.ru/document#gallery-11%20</t>
  </si>
  <si>
    <t xml:space="preserve">Информация о реализации ППМИ была размещена на официальном сайте ППМИ, в социальных сетях, телевидении. Муниципальные образования Республики Башкортостан принимали участие в радиоэфирах, телевидении, размещали информацию в газетах, в социальных сетях :     https://vk.com/wall-135547201_7343 </t>
  </si>
  <si>
    <t>Онлайн посредством Zoom, перед запуском конкурсного отбора ППМИ-2022, обучающие мероприятия были проведены для представителей муниципальных образований (кураторов ППМИ в муниципальных образованиях, глав и специалистов поселений)</t>
  </si>
  <si>
    <t>Иваха Валерия Венеровна, руководитель Центра изучения гражданских инициатив АНО "Управляющая компания научно-образовательного центра Республики Башкортостан"</t>
  </si>
  <si>
    <t>ivaha.vv@nocrb.ru</t>
  </si>
  <si>
    <t>Субсидий бюджетам муниципальных образований Хабаровского края на софинансирование расходных обязательств муниципальных образований Хабаровского края на реализацию
мероприятий по благоустройству сельских территорий (далее - субсидии)</t>
  </si>
  <si>
    <t>2014 год</t>
  </si>
  <si>
    <t>Государственная программа Хабаровского края "Развитие сельского хозяйства и регулирование рынков сельскохозяйственной продукции, сырья и продовольствия в Хабаровском крае", утвержденная постановлением Правительства Хабаровского края  от 17 августа 2012 г. № 277-пр (далее - государственная программа края)</t>
  </si>
  <si>
    <t>Постановление Правительства Хабаровского края
от 20 мая 2016 г. № 152-пр "О внесении изменений в отдельные постановления Правительства Хабаровского края"</t>
  </si>
  <si>
    <t>https://laws.khv.gov.ru</t>
  </si>
  <si>
    <t>Министерство сельского хозяйства и продовольствия Хабаровского края</t>
  </si>
  <si>
    <t>Субсидии из краевого бюджета</t>
  </si>
  <si>
    <t>Муниципальные образования Хабаровского края</t>
  </si>
  <si>
    <t xml:space="preserve">Ведомственный проект "Благоустройство сельских территорий" направления (подпрограммы) "Создание и развитие инфраструктуры на сельских территориях"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 мая 2019 г. N 696
</t>
  </si>
  <si>
    <t>Участие граждан и (или) юридических лиц (индивидуальных предпринимателей), общественных, включая волонтерские, организаций в неденежной форме в том числе в форме трудового участия, волонтерской деятельности, предоставления помещений и технических средств</t>
  </si>
  <si>
    <t>Нефинансовый вклад предусмотрен порядком предоставления субсидий, являющимся приложением № 10 к государственной программе края</t>
  </si>
  <si>
    <t>Пунктом 3.4 заявки на предоставление субсидии предусмотрено указание численности благополучателей. Расчет числа благополучателей производится поселениями самостоятельно в зависимости от направления проекта</t>
  </si>
  <si>
    <t>Форма заявки утверждена порядком предоставления субсидий, являющимся приложением № 10 к государственной программе края</t>
  </si>
  <si>
    <t>https://habstat.gks.ru/folder/25028</t>
  </si>
  <si>
    <t>Пунктом 5.1 заявки на предоставление субсидий учитывается степень участия населения в определении приоритетности проекта согласно протоколам собраний граждан и (или) итогов анкетирования. Отражается общее число человек принявших участие в собраниях и в анкетировании. К заявке прикладываются оформленные итоги анкетирования и образцы анкет</t>
  </si>
  <si>
    <t>В практике возможно участие всехмуниципальных образований края, за исключением городских округов и городов</t>
  </si>
  <si>
    <t>Реализация проектов предусмотрена только на территориях, предусмотреных порядком предоставления субсидий, являющимся приложением № 10 к государственной программе края</t>
  </si>
  <si>
    <t xml:space="preserve">https://minsh.khabkrai.ru/Gospodderzhka/Programmy-/Kraevye/Podprogramma-quot-Kompleksnoe-razvitie-selskih-territorij-quot-/Meropriyatiya-podprogrammy-quot-Kompleksnoe-razvitie-selskih-territorij-quot-/574
</t>
  </si>
  <si>
    <t xml:space="preserve"> https://minsh.khabkrai.ru/events/Novosti</t>
  </si>
  <si>
    <t>Проведенние информационных встреч с населением и сотрудниками администраций муниципальных образований, размещение статей в печатных СМИ, официальные сайты администраций муниципальных образований Хабаровского края, официальный сайт Правительства Хабаровского края</t>
  </si>
  <si>
    <t>Министерством сельского хозяйства и продовольствия Хабаровского края разработана брошюра о ППМИ (напечатано 200 экз.) и буклеты (напечатано 300 экз.) https://minsh.khabkrai.ru/Gospodderzhka/Programmy-/Kraevye/Podprogramma-quot-Kompleksnoe-razvitie-selskih-territorij-quot-/Meropriyatiya-podprogrammy-quot-Kompleksnoe-razvitie-selskih-territorij-quot-/574</t>
  </si>
  <si>
    <t>Ежеквартально в муниципальных образованиях края проводились обучающие мероприятия о реализации ППМИ в форме семинаров и информационных встреч. Участие принимали главы муниципальных образований края и инициативные жители</t>
  </si>
  <si>
    <t>Лавриненко Елена Евгеньевна  консультант отдела социальных проектов министерства сельского хозяйства и продовольствия Хабаровского края</t>
  </si>
  <si>
    <t>8 (4212) 32 77 52</t>
  </si>
  <si>
    <t>e.e.lavrinenko@adm.khv.ru</t>
  </si>
  <si>
    <t>Райшутис Виталий Иозасович, заместитель начальника управления финансового мониторинга - начальник отдела финансового менеджмента министерства финансов Хабаровского края</t>
  </si>
  <si>
    <t>8 (4212) 40 23 15</t>
  </si>
  <si>
    <t>v.i.rayshutis@adm.khv.ru</t>
  </si>
  <si>
    <t>Инициативные проекты,
выдвигаемые для получения финансовой поддержки
за счет межбюджетных трансфертов из областного бюджета</t>
  </si>
  <si>
    <t>2021 г.</t>
  </si>
  <si>
    <t>01.01.2022 г.</t>
  </si>
  <si>
    <t>31.12.2022 г.</t>
  </si>
  <si>
    <t>Закон Челябинской области от 23.12.2021 г. № 493-ЗО «Об областном бюджете на 2022 год и на плановый период 2023-2024 годов»</t>
  </si>
  <si>
    <t>http://publication.pravo.gov.ru/Document/View/7400202112240014</t>
  </si>
  <si>
    <t xml:space="preserve">Закон Челябинской области от 22.12.2022 г. №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t>
  </si>
  <si>
    <t>http://publication.pravo.gov.ru/Document/View/7400202012230002</t>
  </si>
  <si>
    <t xml:space="preserve">Постановление Правительства Челябинской области от 12.01.2022 г. № 2-П «О порядке предоставления и распределения в 2022-2024 годах субсидий местным бюджетам на реализацию инициативных проектов» </t>
  </si>
  <si>
    <t>http://publication.pravo.gov.ru/Document/View/7400202201130002</t>
  </si>
  <si>
    <t>Правительство Челябинской области</t>
  </si>
  <si>
    <t>Муниципальные образования Челябинской области</t>
  </si>
  <si>
    <t xml:space="preserve">Порядок оформления трудового и имущественного участия в инициативном проекте определяется нормативными правовыми актами муниципальных образований либо утверждается муниципальной конкурсной комиссией.
Оценку расчета степени планируемого имущественного и трудового участия заинтересованных лиц в реализации инициативного проекта производит непосредственно инициатор проекта в представляемом инициативном проекте. 
Одним из подоходов к финансовой оценке трудового участия является оценка с учетом уровня минимального размера оплаты труда, устанавливаемого законодательством, в пересчете на планируемую продолжительность работ предполагаемого трудового участия в реализации инициативного проекта. </t>
  </si>
  <si>
    <t>При оценке показателя использовались данные статистики по численности постоянного населения муниципальных образований Челябинской области, в которых в отчетном году были реализованы инициативные проекты.</t>
  </si>
  <si>
    <t>https://chelstat.gks.ru/population</t>
  </si>
  <si>
    <t xml:space="preserve">Протокол  </t>
  </si>
  <si>
    <t>Протокол конференции ТОС</t>
  </si>
  <si>
    <t>Регистрационная процедура</t>
  </si>
  <si>
    <t>Подача проектных идей через приемную администрации муниципального оюразования</t>
  </si>
  <si>
    <t>https://pos.gosuslugi.ru/lkp</t>
  </si>
  <si>
    <t>Протокол на бумажном носителе с приложением подписей</t>
  </si>
  <si>
    <t>Очные встречи подразумевает проведение собраний/конференций, на которых расматривался вопрос внесения ИП в администрацию города. Количество участников рассчитывалось исходя из сведений протоколов о проголосовавших  в очной форме в рамках ТОС.</t>
  </si>
  <si>
    <t>Протокол заседания комиссии</t>
  </si>
  <si>
    <t>Онлайн-голосование на Платформе обратной связи (ПОС) через форму на портале Госуслуг или мобильное приложение «Госуслуги»</t>
  </si>
  <si>
    <t>Официальные сайты органов местного самоуправления муниципальных образований Челябинской оласти</t>
  </si>
  <si>
    <t xml:space="preserve">https://vk.com/wall-44990514_141401?ysclid=lg4nv6xkcc17316773
https://газетауфалей.рф/lenta/ufalejcam-predlagayut-progolosovat-za-iniciativnye-proekty-po-blagoustrojstvu-v-2022-godu.html?ysclid=lg4nww48gl290209412 https://vk.com/kopeysk_official?w=wall-171013929_12441                                                                                        https://vk.com/kyshtymgov, 
https://t.me/kyshtymgov                                                                                                         https://www.magnitogorsk.ru/news/dlya-komfortnyh-zanyatij-sportom-na-ulice 
https://www.magnitogorsk.ru/news/pervyj-etap-projden            
https://www.magnitogorsk.ru/news/vybirali-zhiteli       https://vk.com/miasskiyokrug?z=photo-158455274_457265452%2Falbum-158455274_0%2Frev                                                                                                                                                           https://vk.com/officialtrg?w=wall-102392770_6737
https://vk.com/trktvs_info?w=wall-71774019_118680
https://vk.com/trktvs_info?w=wall-71774019_114901
https://vk.com/trktvs_info?w=wall-71774019_109906
ТВ,СМИ (газета "Спектр" от 28.02.22, 03.03.22, 16.11.22, 14.11.22, 08.11.22  и т.д.)                                                                               https://ok.ru/group56269059326124/topic/154812242680748 , https://ujuralsk.bezformata.com/listnews/yuzhnouralska-mogut-opredelit-idei/103173287/ ,                                                https://news.myseldon.com/ru/news/index/274664538 , https://vk.com/wall-188413518_3740                                                                                                                                                                                https://vk.com/wall-34822270_25294,https://vk.com/wall-172621074_2116                                                                                                                     https://vk.com/public188207611?ysclid=lg3e9l3qv4220552601;                                                                                          https://bredynews.ru/news/ekonomika/01001                                                               https://sovselo.ru/13328-v-varnenskom-rayone-prodolzhaet-deystvovat-programma-iniciativnogo-byudzhetirovaniya                                                                 http://ng-74.ru/novosti/obschestvo/12859-zavtra-poslednij-den-elektronnogo-golosovaniya-za-proekty-blagoustrojstva-v-ramkakh-programmy-initsiativnogo-byudzhetirovaniya.html                                                        http://dolgoderevenskoe.eps74.ru/Publications/News/Show?id=438, http://kremenkulskoe.eps74.ru/Publications/News/Show?id=500,http://mirnenskoe.eps74.ru/htmlpages/Show/Sovetdeputatov/ResheniyaSovetadeputatovza2021, http://roshinskoe.eps74.ru/Publications/News/Show?id=1819                                                 http://satadmin.ru/news/bolee-38-tysyach-soobshcheniy-postupilo-ot-yuzhnouralcev-cherez-platformu-obratnoy-svyazi-s  </t>
  </si>
  <si>
    <t>Пресс-релизы, статьи, информационные материалы, видеорепортажи в СМИ и социальных сетях на уровне муниципальных образований</t>
  </si>
  <si>
    <t xml:space="preserve">Вебинары для руководства муниципальных образований.
Выездные консультации для руководства муниципальных образований.
Совещания по вопросу применения практики инициативного бюджетирования с руководством муниципальных обарзований.
Индивидуальные консультации и занятия с инициаторами и представителями инициативных групп в муниципальных образованиях области.                                                                                                           Лекция на тему реализации практики инициативного бюджетирования в Челябинской области в Челябинском филиале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Подготовка материалов на тему реализации практики инициативного бюджетирования в Челябинской области в адрес Контрольно-счетной палаты Челябинской области. </t>
  </si>
  <si>
    <t>293 (включая мероприятия муниципальных образований)</t>
  </si>
  <si>
    <t>813 (включая мероприятия муниципальных образований)</t>
  </si>
  <si>
    <t>Ермаков Игорь Анатольевич, главный специалист отдела по взаимодействию с политическими партиями и избирательными комиссиями Управления по внутренней политике Правительства Челябинской области</t>
  </si>
  <si>
    <t>+7 (351) 737 02 87</t>
  </si>
  <si>
    <t>i.ermakov@gov74.ru</t>
  </si>
  <si>
    <t>Петров Антон Николаевич, начальник управления межбюджетных отношений Министерства финансов Челябинской области</t>
  </si>
  <si>
    <t>(351) 263-38-44</t>
  </si>
  <si>
    <t>petrov.a.n@minfin74.ru</t>
  </si>
  <si>
    <t>Губернаторский проект "Решаем вместе!"</t>
  </si>
  <si>
    <t>"Решаем вместе!"</t>
  </si>
  <si>
    <t xml:space="preserve">- региональная целевая программа "Создание комфортной городской среды на территории Ярославской области" на 2020 - 2024 годы;
- государственная программа Ярославской области "Местное самоуправление в Ярославской области" на 2021 - 2025 годы, подпрограмма "Развитие инициативного бюджетирования на территории Ярославской области"
</t>
  </si>
  <si>
    <t>Указ Губернатора Ярославской области от 20.02.2017 № 50 "О губернаторском проекте "Решаем вместе!"</t>
  </si>
  <si>
    <t>https://docs.cntd.ru/document/446168877</t>
  </si>
  <si>
    <t>Департамент региональной политики и взаимодействия с органами местного самоуправления Ярославской области</t>
  </si>
  <si>
    <t>- департамент региональной политики и взаимодействия с органами местного самоуправления Ярославской области;
- департамент жилищно-коммунального хозяйства Ярославской области</t>
  </si>
  <si>
    <t>субсидии, иной межбюджетный трансферт, дотации</t>
  </si>
  <si>
    <t>бюджеты городских округов, муниципальных районов, городских и сельских поселений Ярославской области</t>
  </si>
  <si>
    <t>Федеральный проект "Формирование комфортной городской среды"</t>
  </si>
  <si>
    <t>департамент жилищно-коммунального хозяйства Ярославской области</t>
  </si>
  <si>
    <t>Трудовое участие предусмотрено в форме субботника, доставки оборудования, выполнения работ, не требующих специальных навыков или квалификации. Методика не предусмотрена для финансовой оценки нефинансового вклада.</t>
  </si>
  <si>
    <t>Данные взяты из паспортов проектов инициативного бюджетирования. Сумма всех благополучателей за вычетом повторяющихся.</t>
  </si>
  <si>
    <t>https://76.rosstat.gov.ru/storage/mediabank/chislennost_naseleniya_yaroslavskoy_oblasti.pdf</t>
  </si>
  <si>
    <t>Государственное казенное учреждение Ярославской области "Центр сопровождения проектов инициативного бюджетирования"</t>
  </si>
  <si>
    <t>средства бюджета Ярославской области</t>
  </si>
  <si>
    <t>114. Волонтеры помогали жителям области зарегистрироваться для участия в голосовании по выбору общественных территорий для благоустройства. Регистрация осуществлялась по qr-коду или номеру телефона.</t>
  </si>
  <si>
    <t>Фиксация участия граждан в голосовании волонтерами не осуществлялась</t>
  </si>
  <si>
    <t>Участие граждан в собраниях фиксировалось в протоколах собраний</t>
  </si>
  <si>
    <t>Голосование по выбору общественных территорий проходило на сайте, регистрация осуществлялась по номеру телефона или qr-коду</t>
  </si>
  <si>
    <t xml:space="preserve">Протоколы заседаний межведомственной комиссии по реализации губернаторского проекта "Решаем вместе!"  </t>
  </si>
  <si>
    <t>Определение проектов-победителей в рамках реализации практики школьного инициативного бюджетирования происходило путем очного открытого голосования учащихся старших классов общеобразовательных организаций.</t>
  </si>
  <si>
    <t>По итогам голосования составлены протоколы</t>
  </si>
  <si>
    <t>в 2022 году действовал сайт http://reshaem.vmeste76.ru/ (в настоящее время не функционирует в связи с проведением организационно-штатных мероприятий)</t>
  </si>
  <si>
    <t xml:space="preserve">https://vk.com/reshaemvmeste76 </t>
  </si>
  <si>
    <t>https://wampi.ru/image/RvQUm1a</t>
  </si>
  <si>
    <t>ТВ, социальные сети</t>
  </si>
  <si>
    <t>Ежегодные обучающие семинары с представителями муниципальных образований, сотрудниками общеобразовательных организаций</t>
  </si>
  <si>
    <t>Зинякова Анна Игоревна, консультант отдела межбюджетных отношений комитета бюджетной политики департамента финансов Ярославской области</t>
  </si>
  <si>
    <t>8 (4852) 401-715</t>
  </si>
  <si>
    <t>zinyakova@yarregion.ru</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</si>
  <si>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 в рамках государственной программы Хабаровского края "Содействие развитию институтов и инициатив гражданского общества в Хабаровском крае" (утверждена постановлением Правительства края от 29 декабря 2012 г. № 482-пр)</t>
  </si>
  <si>
    <t>Конкурс проектов ТОС</t>
  </si>
  <si>
    <t>государственная программа Хабаровского края "Содействие развитию институтов и инициатив гражданского общества в Хабаровском крае"  (содействие развитию территориального общественного самоуправления)</t>
  </si>
  <si>
    <t>постановление Правительства края от 29 декабря 2012 г. № 482-пр</t>
  </si>
  <si>
    <t xml:space="preserve"> consultantplus://offline/ref=9178811C41C6440B691B8C54AA866C6418F67439DE68880EFBD21DE6FB18A91D0CB000D8C0540295F1519CFCD257104C20506ED3078BDC3AB6EBF2B360DC44FDl1TDF </t>
  </si>
  <si>
    <t>Постановление Правительства края от 24.06.2016 № 199-пр "Об утверждении Положения о предоставлении грантов в форме иных межбюджетных трансфертов из краевого бюджета бюджетам муниципальных образований Хабаровского края в целях поддержки проектов, инициируемых муниципальными образованиями края по развитию территориального общественного самоуправления"</t>
  </si>
  <si>
    <t xml:space="preserve">https://guvp.khabkrai.ru/Deyatelnost/TOS/Obschaya-informaciya-i-normativnye-pravovye-akty </t>
  </si>
  <si>
    <t>комитет по внутренней политике Правительства Хабаровского края</t>
  </si>
  <si>
    <t>межбюджетные трансферты (гранты)</t>
  </si>
  <si>
    <t>муниципальные образования Хабаровского края</t>
  </si>
  <si>
    <t>личное участие граждан в реализации проекта (трудоучастие), использование строительных материалов,  предоставление техники, оборудования и инструментов, имеющихся у населения и юридических лиц; выполнение вспомогательных/иных работ – подготовка территории, уборка мусора, использование неквалифицированного труда</t>
  </si>
  <si>
    <t>250 млн. рублей</t>
  </si>
  <si>
    <t>количество граждан,  проживающих в границах ТОС (на основании данных, указанных бюджетополучателями в проектах ТОС)</t>
  </si>
  <si>
    <t xml:space="preserve">https://habstat.gks.ru/folder/25028 </t>
  </si>
  <si>
    <t>Фонд "Краевой центр развития гражданских инициатив и социально ориентированных некоммерческих организаций"</t>
  </si>
  <si>
    <t>информационные встречи, гражданские форумы, обучающие семинары, личные приемы</t>
  </si>
  <si>
    <t>участие в краевом конкурсе ТОС</t>
  </si>
  <si>
    <t>851 проект ТОС</t>
  </si>
  <si>
    <t>протокол заседания конкурсной комиссии, оценка проектов ТОС</t>
  </si>
  <si>
    <t>14 человек</t>
  </si>
  <si>
    <t xml:space="preserve">https://guvp.khabkrai.ru </t>
  </si>
  <si>
    <t>https://t.me/guvp_khabkrai, https://ok.ru/mvpkhv, https://vk.com/guvp_khabkrai</t>
  </si>
  <si>
    <t>https://guvp.khabkrai.ru/Deyatelnost/TOS/Obschaya-informaciya-i-normativnye-pravovye-akty</t>
  </si>
  <si>
    <t xml:space="preserve">краевые СМИ: в печатных СМИ, в сети "Интернет", телевидение, радио </t>
  </si>
  <si>
    <t>методические материалы https://guvp.khabkrai.ru/Deyatelnost/TOS/Obschaya-informaciya-i-normativnye-pravovye-akty/Metodicheskie-materialy-tipovye-akty</t>
  </si>
  <si>
    <t xml:space="preserve">с января по декабрь 2022 г. проведено 32 обучающих семинаров, информационных встреч для специалистов органов местного самоуправления и лидеров территориального общественного самоуправления, жителей края </t>
  </si>
  <si>
    <t>Барабанова Елена Анатольевна консультант отдела развития территориального общественного самоуправления комитета по  внутренней политике Правительства Хабаровского края</t>
  </si>
  <si>
    <t>(4212) 30 16 28</t>
  </si>
  <si>
    <t xml:space="preserve">e.a.barabanova@adm.khv.ru </t>
  </si>
  <si>
    <t>Народный бюджет, НБ</t>
  </si>
  <si>
    <t>24 января 2021 года (проведение собраний, мероприятия по отбору проектов)</t>
  </si>
  <si>
    <t>1 декабря 2022 года (финансирование и реализация проектов)</t>
  </si>
  <si>
    <t xml:space="preserve">Реализация проекта «Народный бюджет« осуществляется на основании Указа Главы Республики Коми от 13.05.2016г. № 66 «О проекте «Народный бюджет» в Республике Коми» и Постановления Правительства Республики Коми от 20.05.2016г. № 252 «О мерах по реализации Указа Главы Республики Коми от 13 мая 2016 г. N 66 «О проекте «Народный бюджет« в Республике Коми« (вместе с «Порядком организации работы по определению соответствия народных проектов критериям, предъявляемым к проекту «Народный бюджет«, «Положением о пилотном проекте «Бюджет и МЫ!»
Реализация проекта осуществляется путем субсидирования за счет средств республиканского бюджета Республики Коми бюджетов муниципальных образований на реализацию народных проектов в рамках реализации 10 государственных программ Республики Коми: 
1. Государственная программа Республики Коми «Развитие культуры и туризма в Республике Коми» - народные проекты в сфере культуры, в сфере этнокультурного развития народов (утверждена постановлением Правительства РК от 31.10.2019 № 524);
2. Государственная программа Республики Коми «Развитие образования» - народные проекты в сфере образования, школьные проекты (утверждена постановлением Правительства РК от 31.10.2019 № 522);
3 Государственная программа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в Республике Коми» - народные проекты в сфере агропромышленного комплекса (утверждена постановлением Правительства РК от 31.10.2019 № 525);
4. Государственная программа Республики Коми «Развитие транспортной системы» - народные проекты в сфере дорожной деятельности (утверждена постановлением Правительства РК от 31.10.2019 № 523);
5. Государственная программа Республики Коми «Содействие занятости населения» - народные проекты в сфере занятости населения (утверждена постановлением Правительства РК от 30.10.2019 № 512);
6. Государственная программа Республики Коми «Развитие физической культуры и спорта» - народные проекты в сфере физической культуры и спорта (утверждена постановлением Правительства РК от 30.10.2019 № 513);
7. Государственная программа Республики Коми «Развитие экономики и промышленности» - народные проекты в сфере малого и среднего предпринимательства в Республике Коми (утверждена постановлением Правительства РК от 31.10.2019 № 521);
8. Государственная программа Республики Коми «Развитие строительства, обеспечение доступным и комфортным жильем и коммунальными услугами граждан» - народные проекты в сфере благоустройства, в сфере обустройства источников холодного водоснабжения (утверждена постановлением Правительства РК от 31.10.2019 № 520);
9. Государственная программа Республики Коми «Социальная защита населения» - народные проекты в сфере доступной среды (утверждена постановлением Правительства РК от 31.10.2019 № 517);
10. Государственная программа Республики Коми «Воспроизводство и использование природных ресурсов и охрана окружающей среды» - народные проекты в сфере охраны окружающей среды (утверждена постановлением Правительства РК от 29.10.2019 № 506)
</t>
  </si>
  <si>
    <t>Указ Главы Республики Коми от 13 мая 2016 г. № 66 «О проекте «Народный бюджет» в Республике Коми»; Постановление Правительства Республики Коми от 20.05.2016 № 252 «О мерах по реализации Указа Главы Республики Коми от 13 мая 2016 г. № 66 «О проекте «Народный бюджет» в Республике Коми»</t>
  </si>
  <si>
    <t>consultantplus://offline/ref=F3FD474FE43C8EC95D7B4DDBCB514ED61AF16D3B12623CAAF9786FC3AF7BD3C171DF931FBB110D6D2A94C597E1A128655EA274C50C56697F1CFE7072hBY0K;  consultantplus://offline/ref=0C962094987B953B6020FE53F4EE58E3668F2A5BD9FB2DEE3546A8527240520416F663021A4DBB0522607E42A2A2A6A53236D831D4A3CB1C1F2C401E44Y3K</t>
  </si>
  <si>
    <t>Постановление Правительства РК от 30.10.2019 N 511 "О Государственной программе Республики Коми "Управление государственными финансами и государственным долгом"  (Основное мероприятие 1.2.6. Создание условий для реализации и развития практик инициативного бюджетирования на территории муниципальных образований, в том числе в рамках проекта "Народный бюджет" )</t>
  </si>
  <si>
    <t>consultantplus://offline/ref=CF30A2E828A63FD980653B0F8323C3A2E8E7C9255DE84406367F847D391FD5325FED619D0D21D0C6580CA25B0611E2B9A64BAC8D90B03FB168367517DA07Q3XEK</t>
  </si>
  <si>
    <t>Администрация Главы Республики Коми</t>
  </si>
  <si>
    <t>Министерство сельского хозяйства и потребительского рынка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культуры, туризма и архивного дела Республики Коми;
Министерство образования и науки Республики Коми;
Министерство экономического развития и промышленности Республики Коми;
Министерство физической культуры и спорта Республики Коми;
Министерство национальной политики Республики Коми;
Министерство природных ресурсов и охраны окружающей среды Республики Коми</t>
  </si>
  <si>
    <t>Органы местного самоуправления муниципальных районов и городских округов, а также органы местного самоуправления поселений в случае, если в соответствии с правилами предоставления из республиканского бюджета Республики Коми субсидий на реализацию народных проектов, прошедших отбор в рамках проекта "Народный бюджет", утвержденными соответствующими государственными программами Республики Коми, предусмотрено участие органов местного самоуправления поселений</t>
  </si>
  <si>
    <t xml:space="preserve">Материально-техническое участие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
</t>
  </si>
  <si>
    <t>Количество  человек,  которые получат пользу от народного проекта: непосредственно (прямые благополучатели), косвенно    (косвенные благополучатели)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</si>
  <si>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https://11.rosstat.gov.ru/official__statistics</t>
  </si>
  <si>
    <t>Проектный центр инициативного бюджетирования Республики Коми при Государственном образовательном учреждении высшего образования «Коми республиканская академия государственной службы и управления» (ГОУ ВО КРАГСиУ)  (без образования отдельного юридического лица), созданный в соответствии с Приказом Министерства образования, науки и молодежной политики Республики Коми № 744 от 16 августа 2017 г.</t>
  </si>
  <si>
    <t>Сбор дополнительных реестров подписей в поддержку народного проекта (помимо реестра, заполненного на собрании граждан по обсуждению народных проектов)</t>
  </si>
  <si>
    <t>Органы местного самоуправления Республики Коми в течение 3-х дней после проведения собраний граждан направляют в Администрацию Главы Республики Коми протоколы собраний граждан, реестры подписей в поддрежку народных проектов с фотофиксацией собраний. Фотографии в рамках новостных сообщений размещаются на портале "Инициативное бюджетирование Республики Коми" https://ib.rkomi.ru/ , в группе в социальной сети ВКонтакте https://vk.com/nb_rk .Также использовался способ фиксации участия граждан посредством физического присутствия консультанта по вопросам инициативного бюджетирования на собраниях.</t>
  </si>
  <si>
    <t>В Протоколе собрания граждан по обсуждению народных проектов фиксируется, кем предложен народный проект (в том числе, он может быть предложен ТОС)</t>
  </si>
  <si>
    <t>В Протоколе собрания граждан по обсуждению народных проектов фиксируется, кем предложен народный проект (в том числе, он может быть предложен сельским старостой)</t>
  </si>
  <si>
    <t>Физическое присутствие представителей Проектного центра, составление протоколов, фотофиксация собраний граждан по обсуждению народных проектов, размещение информации об итогах проведенных собраний на официальных сайтах администраций муниципальных образований, на страницах муниципальных образований в социальной сети ВКонтакте,</t>
  </si>
  <si>
    <t>Составление протоколов заседания Бюджетной комиссии из граждан (проект "Бюджет и МЫ!")</t>
  </si>
  <si>
    <t xml:space="preserve">Перечень заявок-победителей утверждается Межведомственной комиссией по отбору народных проектов. Председателем МВК является Руководитель Администрации Главы Республики Коми. В состав Межведомстсвенной комиссии по отбору народных проектов входят руководители (заместители) отраслевых министерств, участвующих в реализации проекта "Народный бюджет", представители Ассоциации «Совет муниципальных образований Республики Коми» ; Председатель Комитета Государственного Совета Республики Коми по бюджету, налогам и экономической политики и руководитель Проектного центра инициативного бюджетирования </t>
  </si>
  <si>
    <t xml:space="preserve">Поступили проектные заявки от 136 МО . Победители -  104 -МО </t>
  </si>
  <si>
    <t>https://adm.rkomi.ru/</t>
  </si>
  <si>
    <t>https://ib.rkomi.ru/ ; https://vk.com/nb_rk</t>
  </si>
  <si>
    <t>https://disk.yandex.ru/client/disk/Мониторинг%20ИБ-2022_Республика%20Коми_Народный%20бюджет/Информационное%20сопровождение/Логотип%20НБ</t>
  </si>
  <si>
    <t xml:space="preserve">Распространение информации о проекте «Народный бюджет» происходит через республиканские и муниципальные СМИ (электронная и печатная версии), официальные сайты и группы в социальных сетях органов местного самоуправления Республики Коми, сайт и социальные сети «Ассоциации органов территориального общественноо самоуправления РК», Ассоциации «Совет муниципальных образований РК». Содействие в публикации информации о ходе реализации проекта «Народный бюджет» также осуществляется органами исполнительной власти Республики Коми на постоянной основе на официальных сайтах органов исполнительной власти Республики Коми и в социальных сетях, на официальном портале Республики Коми. Самый большой охват населения обеспечивают посты в социальных сетях и видеоролики, снятые инициаторами и активистами народных проектов. 
</t>
  </si>
  <si>
    <t>https://disk.yandex.ru/d/OwcSZ80vkCYzZw</t>
  </si>
  <si>
    <t>Консультации: личные, телефонные, онлайн. Мероприятия: семинары, круглые столы, участие в собраниях граждан. Во всех 20 муниципальных образованиях городских округов и муниципальных районах Республики Коми были проведено более 40 семинаров по теме «Проектный центр. Программы инициативного бюджетирования - актуальные инструменты реализации гражданских инициатив», в которых приняли участие более 100 человек. Проведено 40 выездных сессий в муниципальных образованиях Республики Коми и организованы расширенные встречи с населением, муниципальными служащими, социально ориентированными некоммерческими организациями, в том числе органами территориального общественного самоуправления в целях проведения образовательных и консультативных занятий по вопросам внедрения практик инициативного бюджетирования и реализации программ инициативного бюджетирования в муниципалитетах Республики Коми.  Проведены обучающие семинары для членов бюджетныйх комиссий районов.</t>
  </si>
  <si>
    <t>Консультаций: от 1000. Мероприятий: от 45</t>
  </si>
  <si>
    <t>Более 2000 человек</t>
  </si>
  <si>
    <t>Морозова Анастасия Сергеевна, консультант отдела мониторинга и анализа ГКУ РК "Центр обеспечения деятельности Администрации Главы Республики Коми"</t>
  </si>
  <si>
    <t>8 (8212) 285-397</t>
  </si>
  <si>
    <t>a.s.morozova@opg.rkomi.ru</t>
  </si>
  <si>
    <t>Краевой конкурс по отбору проектов местных инициатив муниципальных образований Краснодарского края</t>
  </si>
  <si>
    <t>Государственная программа Краснодарского края "Региональная политика и развитие гражданского общества  (подпрограмма "Развитие инициативного бюджетирования в Краснодарском крае")</t>
  </si>
  <si>
    <t>Постановление главы администрации (губернатора) Краснодарского края от 19 октября 2015 г. № 975 "Об утверждении государственной программы Краснодарского края "Региональная политика и развитие гражданского общества"</t>
  </si>
  <si>
    <t>https://admkrai.krasnodar.ru/upload/iblock/e8e/e8e257bec446558e08358609328794af.pdf</t>
  </si>
  <si>
    <t>Постановление главы администрации (губернатора) Краснодарского края от 19 октября 2015 г. № 975 (срок действия подпрограммы: с 2020 по 2024 годы)</t>
  </si>
  <si>
    <t>Постановление главы администрации (губернатора) Краснодарского края от 6 февраля 2020 г. № 70 "О краевом конкурсе проектов местных инициатив"
Постановление главы администрации (губернатора) Краснодарского края от 30 марта 2021 г. № 173 "О внесении изменений в постановление главы администрации (губернатора) Краснодарского края от 6 февраля 2020 г. № 70 "О краевом конкурсе проектов местных инициатив"</t>
  </si>
  <si>
    <t>https://admkrai.krasnodar.ru/upload/iblock/251/251f2002b49b081bf499fd5a4bbab744.pdf
http://admkrai.krasnodar.ru/content/1291/show/578088/</t>
  </si>
  <si>
    <t>Департамент внутренней политики администрации Краснодарского края (координатор подпрограммы, организатор краевого конкурса)</t>
  </si>
  <si>
    <t>Управление делами администрации Краснодарского края</t>
  </si>
  <si>
    <t>дотации</t>
  </si>
  <si>
    <t>бюджеты муниципальных районов Краснодарского края</t>
  </si>
  <si>
    <t xml:space="preserve">Форма: участие населения (неоплачиваемый труд, материалы и другое) в реализации местной инициативы.
Методика фин. оценки: финансовая оценка отсутствует. При рассмотрении и оценке проектов учитывается документальное подтверждение нефинансового участия граждан (гарантийное письмо или голосование по данному вопросу в протоколе собрания граждан). </t>
  </si>
  <si>
    <t>При рассмотрении проектов оценивается удельный вес населения, получающего выгоду от реализации местной инициативы (прямых благополучателей), в процентах. Общее число благополучателей считается путём суммирования количества благополучателей, указанных в конкурсных заявках по каждому проекту. Если у муниципального образования несколько проектов с одинаковым количеством благополучателей, это число учитывается единожды.</t>
  </si>
  <si>
    <t>https://krsdstat.gks.ru/storage/mediabank/Ocenka_01.01.2022.htm</t>
  </si>
  <si>
    <t>https://admkrai.krasnodar.ru/upload/iblock/251/251f2002b49b081bf499fd5a4bbab744.pdf</t>
  </si>
  <si>
    <t>Оригиналы или заверенные копии анкет, опросных и подписных листов</t>
  </si>
  <si>
    <t>Протоколы собраний, фото-, аудио- и видеофиксация</t>
  </si>
  <si>
    <t>Указание причастности членов инициативной группы к ТОС в конкурсных заявках и(или) протоколах собрания</t>
  </si>
  <si>
    <t>Часть МО</t>
  </si>
  <si>
    <t>Участие принимают городские и сельские поселения с численностью до 10 тыс. чел., входящие в состав всех 37 муниципальных районов Краснодарского края.</t>
  </si>
  <si>
    <t>https://open.krasnodar.ru/initiative/</t>
  </si>
  <si>
    <t>https://t.me/igorchagaev</t>
  </si>
  <si>
    <t>Формат: ВКС (вебинары), очные встречи.
Периодичность: по необходимости, но не реже 1 раза в месяц.
Состав участников: выступающие - представители организатора и оператора краевого конкурса; слушатели - представители ОМСУ МО Краснодарского края,ТОС, общественных организаций, в том числе молодежных.</t>
  </si>
  <si>
    <t>Конкурсный отбор проектов для предоставления субсидий по поддержку местных инициатив граждан, проживающих в муниципальных образованиях в Республике Карелия</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</si>
  <si>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</si>
  <si>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Карелия от 2 апреля 2015 г. № 101-П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</si>
  <si>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1000201504020009, дата опубликования: 02.04.2015</t>
  </si>
  <si>
    <t>Официальный интернет-портал правовой информации (pravo.gov.ru): Номер опубликования: 1000202203250001
Дата опубликования: 25.03.2022</t>
  </si>
  <si>
    <t>Статья 2.2-1 Закона Республики Карелия от 01.11.2005 № 915-ЗРК</t>
  </si>
  <si>
    <t>http://karelia-zs.ru/zakonodatelstvo_rk/prav_akty/915-zrk/</t>
  </si>
  <si>
    <t xml:space="preserve">Содействие органам местного самоуправления муниципальных образований в Республике Карелия в развитии  территориального общественного самоуправления и иных форм осуществления местного самоуправления осуществляется в рамках 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 </t>
  </si>
  <si>
    <t>http://publication.pravo.gov.ru/Document/View/1000202202250006</t>
  </si>
  <si>
    <t>1) Постановление Правительства Республики Карелия от 04.04.2014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2) Приказ Администрации Главы Республики Карелия от 28.09.2016 года № 124 «О реализации постановления Правительства Республики Карелия от 04.04.2014г.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t>
  </si>
  <si>
    <t>https://nac.gov.karelia.ru/about/3837/</t>
  </si>
  <si>
    <t>Министерство национальной и региональной политики Республики Карелия</t>
  </si>
  <si>
    <t>муниципальные образования в Республике Карелия</t>
  </si>
  <si>
    <t>учтено в строке 7.Е.1. (Данное значение содержит вклад со стороны граждан и юридических лиц, так как при отборе проектов учитывается их совокупная доля. Отдельно учет по этим источникам не ведется)</t>
  </si>
  <si>
    <t>Суммарное значение на основании данных, представленных в конкурсных заявках</t>
  </si>
  <si>
    <t>Информация Министерства экономического развития и промышленности Республики Карелия</t>
  </si>
  <si>
    <t>Регистрация участников собраний в листах регистрации</t>
  </si>
  <si>
    <t>листы регистрации участников собрания</t>
  </si>
  <si>
    <t>1) http://old.gov.karelia.ru/Projects/Initiatives/
2) http://budget.karelia.ru/prioritety/programma-podderzhki-mestnykh-initsiativ/stranitsa-s-obshchej-informatsiej-po-ppmi</t>
  </si>
  <si>
    <t>1) инициативы-карелия.рф  
2) группа в социальной сети "Вконтакте" "ППМИ Карелия" https://vk.com/ppmi_rk</t>
  </si>
  <si>
    <t>1) Информационная кампания по ППМИ проводилась на портале инициативного бюджетирования Республики Карелия (https://v2.lk.init-rk.ru/dashboard)
2) ТВ: ГТРК Карелия: 
- репортажи о реализованных проектах (https://tv-karelia.ru/v-czentre-vnimaniya-inicziativnoe-byudzhetirovanie/; https://tv-karelia.ru/v-tsentre-vnimaniya-initsiativnoe-byudzhetirovanie-2/).</t>
  </si>
  <si>
    <t>не использовалось</t>
  </si>
  <si>
    <t>не проводились</t>
  </si>
  <si>
    <t>Багдасарян Артем Гегамович, ведущий специалист отдела по взаимодействию с муниципальными образованиями и организации ведения регистра муниципальных нормативных правовых актов Министерства национальной и региональной политики Республики Карелия</t>
  </si>
  <si>
    <t>8(8142) 78-43-55 (доб. 604)</t>
  </si>
  <si>
    <t>bagdasarian@nac.gov10.ru</t>
  </si>
  <si>
    <t>Каталевская Жанна Анатольевна, главный специалист отдела межбюджетных отношений Министерства финансов Республики Карелия</t>
  </si>
  <si>
    <t>8(8142) 71-70-08</t>
  </si>
  <si>
    <t>mbud@fin.gov10.ru</t>
  </si>
  <si>
    <t>Порядок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t>
  </si>
  <si>
    <t>Поддержка территориального общественного самоупарвления (ТОС), 
конкурс социально значимых проектов ТОС</t>
  </si>
  <si>
    <t>Официальный интернет-портал правовой информации (pravo.gov.ru): Номер опубликования: 1000202206290005
Дата опубликования: 29.06.2022</t>
  </si>
  <si>
    <t xml:space="preserve">Статья 2.2-1 Закона Республики Карелия от 01.11.2005 N 915-ЗРК
«О межбюджетных отношениях в Республике Карелия»
</t>
  </si>
  <si>
    <t>1) Постановление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
2) Приказ Министерства национальной и региональной политики Республики Карелия от 05.08.2019 года № 30 «О реализации постановления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t>
  </si>
  <si>
    <t>https://nac.gov.karelia.ru/about/3833/</t>
  </si>
  <si>
    <t>иные межбюджетные трансферты</t>
  </si>
  <si>
    <t>в ряде муниципальных образований в социальных сетях проводились голосования и обсуждения проектов</t>
  </si>
  <si>
    <t>проекты на конкурс направляют территориальные общественные самоуправления, зарегистрированные на территории городских округов, городских и сельских поселений</t>
  </si>
  <si>
    <t>В связи с тем, что ТОС может быть зарегистрирован только на территории городских и муниципальных округов, городских и сельских поселений, то в конкурсе могут участвовать только эти 109 муниципальных образования. 16 муниципальных районов в конкурсе не участвуют.</t>
  </si>
  <si>
    <t>1) http://nac.gov.karelia.ru/about/3832/</t>
  </si>
  <si>
    <t>1) инициативы-карелия.рф
2) асмо-карелия.рф/tos/
3) группа в социальной сети "Вконтакте" "Ассоциация ТОС в Республике Карелия" https://vk.com/tosrk
4) аккаунт в Инстаграмм (@tosrk)</t>
  </si>
  <si>
    <t>https://m.vk.com/album-169034427_0?rev=1&amp;from=profile&amp;z=photo-169034427_457239153%2Falbum-169034427_0%2Frev</t>
  </si>
  <si>
    <t xml:space="preserve">Для развития территориального общественного самоуправления в Республике Карелия организовываются и проводятся семинары, круглые столы, конференции, собрания. 
В 2022 году проводились встречи и собрания с гражданами и представителями муниципальной власти  для разъяснения вопросов создания территориального общественного самоуправления и участия в конкурсах программы поддержки ТОС в Республике Карелия.
В 2022 году продолжила свою деятельность  Ассоциация «Развитие территориального общественного самоуправления в Республике Карелия» (АР ТОС в Республике Карелия). 
23 ноября 2022 года в очном формате состоялся Четвертый Республиканский Форум ТОС. Организаторами мероприятия выступили Министерство национальной и региональной политики Республики Карелия, Ассоциация «Развитие ТОС в Республике Карелия», Ассоциация «Совет муниципальных образований Республики Карелия», Карельский филиал Российской академии народного хозяйства и государственной службы. Участниками Форума ТОС стали ТОС Республики Карелия, инициативные группы граждан, общественные организации, представители органов исполнительной и законодательной власти и органов местного самоуправления Республики Карелия, Общенациональная ассоциация ТОС и все граждане, кому интересна тема развития инициативного бюджетирования. Форум ТОС существенно расширил географию участников. 
На Форуме были показаны яркие практики территориальных общественных самоуправлений Республики Карелия и других субъектов
</t>
  </si>
  <si>
    <t>Поддержка развития практик инициативного бюджетирования в муниципальных образованиях</t>
  </si>
  <si>
    <t>Проект "Народный бюджет"</t>
  </si>
  <si>
    <t>Постановление Правительства РК от 29.04.2020 N 180-П "О внесении изменения в постановление Правительства Республики Карелия от 19 декабря 2013 года N 365-П"</t>
  </si>
  <si>
    <t>Официальный интернет-портал правовой информации (pravo.gov.ru): номер опубликования: 1000202005060010, дата опубликования: 06.05.2020</t>
  </si>
  <si>
    <t>1) Закон Республики Карелия от 15 декабря 2021 года № 2656-ЗРК «О бюджете Республики Карелия на 2022 год и на плановый период 2023 и 2024 годов»
2) Постановление Правительства Республики Карелия от 12.05.2022 № 280-П "О распределении на 2022 год иных межбюджетных трансфертов на поддержку развития практик инициативного бюджетирования в муниципальных образованиях"</t>
  </si>
  <si>
    <t>Официальный интернет-портал правовой информации (pravo.gov.ru):                                          номер опубликования: 1000202205130005
дата опубликования: 13.05.2022</t>
  </si>
  <si>
    <t xml:space="preserve">регистрация участников не осуществлялась </t>
  </si>
  <si>
    <t>Интернет голосование за отбор инициативных предложений проходило в 10 муниципальных образованиях на платформе электронного голосования "Инициативы Карелии" (https://init-rk.ru/). Статистика голосования подводилась по итогу каждого дня. Данные о количестве проголосовавших расчитывались системой автоматически на основании данных о зарегистрированых и принявших участие в отборе пользователях платформы.</t>
  </si>
  <si>
    <t xml:space="preserve">Листы регистрации участников </t>
  </si>
  <si>
    <t>В практике участвуют муниципальные образования с численностью жителей от 300 человек до 50 тысяч человек</t>
  </si>
  <si>
    <t>На платформе электронного голосования "Инициативы Карелии" (https://init-rk.ru/) проводилось голосование за инициативные предложения</t>
  </si>
  <si>
    <t>https://nac.gov.karelia.ru/about/3841/</t>
  </si>
  <si>
    <t>инициативы-карелия.рф</t>
  </si>
  <si>
    <t>https://drive.google.com/drive/folders/1LxbrbXxW3kNxOKHJ_ukT-5EbFhIor-OZ?usp=sharing
https://nac.gov.karelia.ru/about/3841/150390/</t>
  </si>
  <si>
    <t xml:space="preserve">Конкурс проектов местных инициатив в рамках организации кампуса "Школа детского инициативного бюджетирования
</t>
  </si>
  <si>
    <t>Кампус Школа десткого инициативного бюджетирования</t>
  </si>
  <si>
    <t>Государственная программа Волгоградской области "Управление государственными финансами Волгоградской области"</t>
  </si>
  <si>
    <t>Постановление Администрации Волгоградской обл. от 23.01.2017 N 10-п</t>
  </si>
  <si>
    <t>Приказ комитета финансов Волгоградской обл. от 15.08.2022 N 222 "О проведении конкурса проектов местных инициатив в рамках организации кампуса "Школа детского инициативного бюджетирования"</t>
  </si>
  <si>
    <t>http://publication.pravo.gov.ru/Document/View/3401202208170002</t>
  </si>
  <si>
    <t>Комитет финансов Волгоградской области</t>
  </si>
  <si>
    <t>Субсидии бюджетам муниципальных образований на реализацию проектов местных инициатив населения Волгоградской области</t>
  </si>
  <si>
    <t>Бюджеты муниципальных образований Волгоградской области</t>
  </si>
  <si>
    <t xml:space="preserve">да. </t>
  </si>
  <si>
    <t>При подаче документов на конкурс обязательным условием является наличие протокола собрания граждан старше 16 лет в количестве не менее 10 человек
Указанный протокол составляется на основании протокола голосвания учащихся школ, участвующих в конкурсе. Дети самостоятельно определяют проекты, которые выдвигаются на конкурс. Первый "взрослый" протокол носит формальнгый характер для удовлетворения требований 131-ФЗ</t>
  </si>
  <si>
    <t>235 детей</t>
  </si>
  <si>
    <t xml:space="preserve">
https://volgafin.volgograd.ru/norms/acts/18051/</t>
  </si>
  <si>
    <t>Прилагаются в текстовом комментарии</t>
  </si>
  <si>
    <t>Однодневный курс лекций для школьников-участников Кампуса Школа детского инициативного бюджетирования, направленный на обучение подготовке проектов детского инициативного бюджетирования.Состоялся 09.09.2022</t>
  </si>
  <si>
    <t>Рассохань Ангелина Владимировна
начальник отдела межбюджетных отношений управления бюджетной политики в отраслях экономики и межбюджетных отношений комитета финансов Волгоградской области</t>
  </si>
  <si>
    <t>8 (8442)30-91-29</t>
  </si>
  <si>
    <t>avb@volgafin.ru</t>
  </si>
  <si>
    <t>Проект инициативного бюджетирования "Народный бюджет"</t>
  </si>
  <si>
    <t xml:space="preserve">Государственная программа Кировской области "Управление государственными финансами и регулирование межбюджетных отношений"  Отдельное мероприятие "Повышение финансовой грамотности населения"
</t>
  </si>
  <si>
    <t>Постановление Правительства Кировской области от 25.12.2019 N 695-П "Об утверждении государственной программы Кировской области "Управление государственными финансами и регулирование межбюджетных отношений"</t>
  </si>
  <si>
    <t>https://kirovreg.ru/publ/AkOUP.nsf/de017b98ac867075c32571440061b25c/2bf5eb0d1b2998b1432584dc003b2a74?OpenDocument http://www.minfin.kirov.ru/upload/iblock/896/8962de802becf9df37a68f5719052ce7.pdf</t>
  </si>
  <si>
    <t>отбор инициативных проектов осуществлялся по: Постановление Правительства Кировской области от 15.03.2018 № 122-П "О реализации проекта "Народный бюджет"; финансирование осуществлялось по новому принятому постановлению: Постановление Правительства Кировской области от 23.06.2022 № 312-П
"О реализации проекта инициативного бюджетирования «Народный бюджет» в муниципальных образованиях Кировской области"</t>
  </si>
  <si>
    <t>http://www.kirovreg.ru/publ/AkOUP.nsf/de017b98ac867075c32571440061b25c/a477b32730cd333b43258256004958f1?OpenDocument; https://doc.kirovreg.ru/upload/sed/2022/06/24/0.81713700%201656067005/312-%D0%9F%20%D0%BE%D1%82%2023.06.2022.pdf</t>
  </si>
  <si>
    <t>Министерство финансов Кировской области</t>
  </si>
  <si>
    <t>Гранты в форме иных межбюджетных трансфертов</t>
  </si>
  <si>
    <t>администрация муниципального образования-участника проекта "Народный бюджет"</t>
  </si>
  <si>
    <t>финансирование со стороны граждан не предусматривается</t>
  </si>
  <si>
    <t>финансирование со стороны юридических лиц и индивидуальных предпринимателей не предусматривается</t>
  </si>
  <si>
    <t>Учет благополучателей не ведется</t>
  </si>
  <si>
    <t>1 сотрудник министерства финансов Кировской области</t>
  </si>
  <si>
    <t>195 человек в 13 муниципальных образованиях</t>
  </si>
  <si>
    <t>Участие в отборе муниципальных образований на право получения гранта на реализацию проекта "Народный бюджет" принимают все городские поселения и городские и муниципальные округа Кировской области. По итогам отбора выбирается 13 муниципальных образований.</t>
  </si>
  <si>
    <t>До 2020 года в проекте принимали участия только городские поселения Кировской области. В 2019 году в качестве пилотной версии проект был реализован в муниципальном образовании "Город Киров". Реализация прошла успешно и вызвала интерес жителей, потому было принято решение с 2020 года осуществлять реализацию в городских поселениях, муниципальных округах и городских округах Кировской области</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</si>
  <si>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социальной сети Вконтакте. Список групп всех муниципальных образований - участников проекта в 2021-2022 годах по ссылке на сайте министерства финансов Кировской области: https://www.minfin.kirov.ru/otkrytyy-byudzhet/dlya-spetsialistov/narodniy-byudzhet/nb/%d0%9f%d1%80%d0%be%d0%b5%d0%ba%d1%82%202021%20%d0%b3%d0%be%d0%b4%d0%b0/</t>
  </si>
  <si>
    <t>https://www.minfin.kirov.ru/otkrytyy-byudzhet/dlya-spetsialistov/narodniy-byudzhet/nb/</t>
  </si>
  <si>
    <t>Официальная группа министерства финансов в социальной сети "Вконтакте" https://vk.com/minfinkirov;      Официальная группа Правительства Кировской области в социальной сети "Вконтакте" https://vk.com/kirovreg43?w=wall-163630299_154870;    Официальный сайт Правительства Кировской области https://kirovreg.ru/news/detail.php?ID=106309&amp;sphrase_id=660539</t>
  </si>
  <si>
    <t>https://www.minfin.kirov.ru/upload/medialibrary/documents/1kv_2022/%D0%BD%D0%B0%D1%80%D0%BE%D0%B4%D0%BD%D1%8B%D0%B9%D0%B1%D1%8E%D0%B4%D0%B6%D0%B5%D1%82.png</t>
  </si>
  <si>
    <t>Рекламная кампания проекта "Народный бюджет" проводилась: на региональном уровне на официальном сайте министерства финансов (https://www.minfin.kirov.ru/novosti-i-anonsy/other/11720/?sphrase_id=75898; https://www.minfin.kirov.ru/novosti-i-anonsy/other/11936/?sphrase_id=75898; https://www.minfin.kirov.ru/novosti-i-anonsy/other/12046/?sphrase_id=75898), официальном сайте Правительства области (https://www.kirovreg.ru/news/detail.php?ID=112236&amp;sphrase_id=8696), на местном уровне в социальных сетях, в местных печатных СМИ (https://vk.com/club94435950?z=photo-94435950_457240579%2Falbum-94435950_00%2Frev), объявления (https://vk.com/club94435950?z=photo-94435950_457239661%2Fwall-94435950_397)</t>
  </si>
  <si>
    <t>Для муниципальных образований готовится раздаточный материал с руководством по реализации проекта, включающий рекомендации и примеры проведения рекламной кампании, рекрутинга жителей в бюджетную комиссию и организацию непосредственной работы бюджетной комиссии. Ссылка на руководство для реализации практики в 2021-2022 годах: https://www.minfin.kirov.ru/upload/iblock/751/vettdu8125kmo0khvfiruzgdxonfxo4g.pdf</t>
  </si>
  <si>
    <t xml:space="preserve">1. Организационное собрание проводится 1 раз в год.
2. Презентация проекта проводится от 1 раза. </t>
  </si>
  <si>
    <t>1. Организационное собрание - 41 человек                        2. Учет участников не ведется</t>
  </si>
  <si>
    <t>Романова Ольга Александровна</t>
  </si>
  <si>
    <t>7(8332)208439</t>
  </si>
  <si>
    <t>romanova_o@depfin.kirov.ru</t>
  </si>
  <si>
    <t>ППМИ</t>
  </si>
  <si>
    <t xml:space="preserve">Государственая программа Кировской области "Содействие развитию гражданского общества и реализация государственной национальной политики", отдельное мероприятие "Обеспечение реализации проекта по поддержке местных инициатив"
</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</si>
  <si>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t>
  </si>
  <si>
    <t>http://www.kirovreg.ru/publ/AkOUP.nsf/de017b98ac867075c32571440061b25c/c5cfc3177e78934f43257dcf00397b26?OpenDocument</t>
  </si>
  <si>
    <t xml:space="preserve">министерство социального развития Кировской области </t>
  </si>
  <si>
    <t xml:space="preserve">субсидия местным бюджетам из областного бюджета на софинансирование инициативных проектов по развитию общественной инфраструктуры муниципальных образований Кировской области (муниципальных районов, муниципальных и городских округов, городских и сельских поселений Кировской области)
</t>
  </si>
  <si>
    <t>администрации муниципальных образований Кировской области</t>
  </si>
  <si>
    <t>трудовое участие, не требующее высокой квалификации - уборка территории, посадка растений и т.д.</t>
  </si>
  <si>
    <t>383,464</t>
  </si>
  <si>
    <t>На основании сведений муниципальных образований, указанных в конкурсных заявках и подтвержденных документально - справки о численности жителей населенных пунктов, ТОСов, общестенных организаций и другое. Подписные листы, подтверждающие желание жителей определенной территории участвовать в реализации конкретного проекта и поддержать его деньгами. Схемы движения благополучателей (с указанием групп благополучателей и их численности) относительно запланированного объекта</t>
  </si>
  <si>
    <t>https://kirovstat.gks.ru/storage/mediabank/Оценка%20численности%20постоянного%20населения%20на%20начало%202022%20года.htm</t>
  </si>
  <si>
    <t>3 сотрудника министерства социального развития Кировской области</t>
  </si>
  <si>
    <t>Для фиксации использовались регистрационные списки участников собраний и конференций граждан, опросные листы, фото и видеоматериалы собраний</t>
  </si>
  <si>
    <t>Для опосредованного вовлечения граждан в процедуру ППМИ были использованы опросы и голосования в соцсетях, инициированные активными жителями. 
Учет количества вовлеченных граждан не велся.</t>
  </si>
  <si>
    <t>Конкурсная комиссия из представителей органов исполнительной власти Кировской области, а также по согласованию из представителей Законодательного Собрания Кировской области, общественных объединений.</t>
  </si>
  <si>
    <t>Информационная система управления заявками ППМИ Кировской области позволяет: подавать заявки от муниципальных образований и загружать необходимые документы, формировать отчетную документацию (отчеты консультантов о проведенных собраниях граждан, отчетность в рамках заключенных соглашений), производить оценку конкурсных заявок в автоматическом режиме, заполнять соглашения и приложения к нему по упрощенной форме с дальнейшим выводом на печать, загружать фотографии реализованных проектов.</t>
  </si>
  <si>
    <t>https://www.socialkirov.ru/social/root/ppmi/Info.htm</t>
  </si>
  <si>
    <t>https://vk.com/ppmi43</t>
  </si>
  <si>
    <t>http://socialkirov.ru/images/PPMIImages/ППМИ_лого.png</t>
  </si>
  <si>
    <t>В качестве раздаточных материалов использовались: операционное руководство Проекта по поддержке местных инициатив в Кировской области, инструкции по работе с информационной системой управления заявками, инструкции по заполнению отчетных форм в информационной системе управления заявками, памятки по проведению собраний, памятки по критериям конкурсного отбора, памятки по содержанию и порядку формирования конкурсных заявок. Презентации, инструкции и памятки размещаются в соответсвующем разделе портала социальных услуг -  / Проект по поддержке местных инициатив  / Реализация Проекта  / ППМИ - 2024. https://www.socialkirov.ru/social/root/ppmi/Realisation/2024.htm</t>
  </si>
  <si>
    <t>Обучающие семинары проводятся ежегодно. В 2022 году проведено 2 обучающих мероприятия по вопросам реализации Проекта по поддержке местных инициатив, в том числе 21.04.2022 на курсах повышения квалификации управленческих кадров органов местного самоуправления, в котором приняли участие 24 представителя  муниципальных районов, городских и муниципальных округов и 31.05.2022 проведен вебинар для муниципальных образований, в котором приняли участие 67 представителей  муниципальных районов, городских и муниципальных округов.</t>
  </si>
  <si>
    <t>Глухова Оксана Владимировна, ведущий консультант отдела управления проектами и программами министерства социального развития Кировской области</t>
  </si>
  <si>
    <t>8 (8332) 27-27-26 (доб. 2672)</t>
  </si>
  <si>
    <t>gluhovaov@dsr.kirov.ru</t>
  </si>
  <si>
    <t xml:space="preserve">Подпрограмма "Поддержка местных инициатив населения Волгоградской области" государственной программы Волгоградской области "Управление государственными финансами Волгоградской области"
</t>
  </si>
  <si>
    <t>Программа поддержки местных инициатив Волгоградской области</t>
  </si>
  <si>
    <t>Приказ комитета финансов Волгоградской обл. от 22.03.2022 N 80 "О проведении Волгоградского областного конкурса проектов местных инициатив в 2022 году"</t>
  </si>
  <si>
    <t>http://publication.pravo.gov.ru/Document/View/3401202203240002</t>
  </si>
  <si>
    <t>При подаче документов на конкурс обязательным условием является наличие протокола собрания граждан старше 16 лет в количестве не менее 10 человек</t>
  </si>
  <si>
    <t>Регистрация по номеру телефона на портале голосования https://budget4me34.ru/. Возможность голосования по одному номеру телефона только 1 раз за 1 из проектов каждого муниципального района (городского округа) и 1 раз за 1 из проектов каждого из 8 районов городского округа город-герой Волгоград</t>
  </si>
  <si>
    <t>Интернет технологии применялись при осуществлении рейтингового онлайн-голосования, которое продлилось , для этого использовалась система голосований  на платформе блокчейн, которая делает невозможным технически повлиять на результаты. Процедура продемонстрировала высокую активность жителей региона и их заинтересованность в развитии собственных территори. Каждый мог проголосовать за один проект от каждого района или города — не только за тот, в котором он проживает. https://budget4me34.ru 
Начиная с 2021 года интернет-решения применяются и для сбора проектов. Подача заявок на конкурс осуществляется через портал по адресу https://budget4me-34.ru 
На указанном портале можно отследить весь цикл проекта от подачи заявки - голосование - итоги реализации проекта</t>
  </si>
  <si>
    <t>https://budget4me-34.ru</t>
  </si>
  <si>
    <t>http://mfc.volganet.ru/konkurs_iniciativ.php</t>
  </si>
  <si>
    <t>31 декабря 2023 г.</t>
  </si>
  <si>
    <t xml:space="preserve">На территории Астраханской области реализация инициативного бюджетирования осуществляется в рамках Ведомственной целевой программы «Обеспечение эффективного управления системой общественных финансов Астраханской области»
</t>
  </si>
  <si>
    <t>Распоряжение министерства финансов Астраханской области от 19.10.2018 № 442-р  «Об утверждении ведомственной целевой программы «Обеспечение эффективного управления системой общественных финансов Астраханской области»</t>
  </si>
  <si>
    <t>Постановление Правительства Астраханской области от 28.12.2021 № 673-П «О реализации инициативного бюджетирования на территории Астраханской области»</t>
  </si>
  <si>
    <t>http://pravo-astrobl.ru/documents/document-0002202112310011/</t>
  </si>
  <si>
    <t>Министерство финансов Астраханской области</t>
  </si>
  <si>
    <t>Министерство строительства и жилищно-коммунального хозяйства Астраханской области; министерство культуры Астраханской области; министерство транспорта и дорожной инфраструктуры
Астраханской области; министерство промышленности, торговли и энергетики Астраханской области; министерство физической культуры и спорта Астраханской области</t>
  </si>
  <si>
    <t>Межбюджетные трансферты из бюджета Астраханской области, предоставляемые в форме субсидии</t>
  </si>
  <si>
    <t>Муниципальные образования Астраханской области: «Городской округ город Астрахань», «Ахтубинский муниципальный район», «Городской округ ЗАТО Знаменск», «Лиманский муниципальный район», «Харабалинский муниципальный район», «Енотаевский муниципальный район», «Красноярский муниципальный район», «Икрянинский муниципальный район», «Наримановский муниципальный район»</t>
  </si>
  <si>
    <t>В соответствии с п. 1.6 постановления Правительства Астраханской области от 28.12.2021 № 673-П «О реализации инициативного бюджетирования на территории Астраханской области» в состав инициативного проекта входит информация в произвольной письменной форме о планируемом финансовом, имущественном и (или) трудовом участии заинтересованных лиц в реализации инициативного проекта.</t>
  </si>
  <si>
    <t>Количество благополучателей указать не возможно, т.к. в НПА отсутствует методика подсчета благополучателей.</t>
  </si>
  <si>
    <t>https://30.rosstat.gov.ru/storage/mediabank/1.8.1.%20Оценка%20численности%20постоянного%20населения.xls</t>
  </si>
  <si>
    <t>Протокол схода граждан</t>
  </si>
  <si>
    <t>сбор подписей</t>
  </si>
  <si>
    <t>подписные листы</t>
  </si>
  <si>
    <t>https://minfin.astrobl.ru/napravleniya-deyatelnosti/iniciativnoe-biudzetirovanie</t>
  </si>
  <si>
    <t>https://ahtuba-adm.ru/index.php?mode=view_spisok&amp;own_menu_id=297226; https://narimanov.astrobl.ru/section/iniciativnoe-byudzhetirovanie; https://enotaevka.astrobl.ru/section/iniciativnoe-byudzhetirovanie</t>
  </si>
  <si>
    <t>Для проведения работы по повышению заинтересованности и вовлечению населения в разработку инициативных проектов на территории Астраханской области министерством финансов Астраханской области (далее - министерство) направлены письма главам муниципальных образований Астраханской области с информацией об инициативном бюджетировании, а также с предложением принять участие в конкурсном отборе инициативных проектов. Сотрудники министерства принимали участие в совещании глав муниципальных образований Астраханской области, мероприятие носило разъяснительный характер.</t>
  </si>
  <si>
    <t>Круглый стол, 1 раз в год, главы муниципальных образований Астраханской области,участники инициативных групп муниципальных образований Астраханской области.</t>
  </si>
  <si>
    <t>Никишина Елена Олеговна, начальник отдела отдела развития и поддержки практик местных инициатив</t>
  </si>
  <si>
    <t>8(8512) 48-63-27</t>
  </si>
  <si>
    <t>iniciativa.ao@mail.ru</t>
  </si>
  <si>
    <t xml:space="preserve">1. Реализация проекта "Решаем вместе" в рамках инициативного бюджетирования;
2. Реализация инициативных проектов и наказов;
3. Реализация наказов.
</t>
  </si>
  <si>
    <t>Решаем Вместе</t>
  </si>
  <si>
    <t>2021 год</t>
  </si>
  <si>
    <t>01.09.2021 г.</t>
  </si>
  <si>
    <t>11.11.2022 г.</t>
  </si>
  <si>
    <t>Непрограммная часть расходов бюджета</t>
  </si>
  <si>
    <t>Закон Белгородской области от 16 декабря 2021 года № 130 "Об областном бюджете на 2022 год и на плановый период 2023 и 2024 годов"</t>
  </si>
  <si>
    <t>http://beldepfin.ru/dokumenty/vse-dokumenty/zakon-belgorodskoj-oblasti-ot-16-dekabrya-2021-god/</t>
  </si>
  <si>
    <t>Закон Белгородской области от 26 декабря 2020 года № 20  «Об инициативных проектах»</t>
  </si>
  <si>
    <t>Информационно - правовая система "Консультант Плюс";http://zakon.belregion.ru/</t>
  </si>
  <si>
    <t xml:space="preserve">1. Постановление Правительства Белгородской области  от 28 декабря 2020 года № 598-пп «О реализации инициативных проектов на территории Белгородской области»;
2. Постановление Правительства Белгородской области от 7 декабря 2020 года № 509-пп «Об утверждении Порядка предоставления и распределения субсидий из областного бюджета бюджетам муниципальных районов (городских округов) на реализацию инициативных проектов»;
3. Распоряжение Правительства Белгородской области от 18 января 2021 года № 16-рп «О порядке выдвижения, внесения, обсуждения, рассмотрения инициативных проектов, а также проведения их конкурсного отбора на территории муниципальных образований Белгородской области»;
4. Приказ министерства жилищно-коммунального хозяйства Белгородской области от 04.02.2022 г. № 82/1 "О форме конкурсной заявки, перечне документов, форме журнала учета заявок для участия в конкурсном отборе инициативных проектов, выдвигаемых для получения финансовой поддержки за счет межбюджетных трансфертов из областного бюджета на территории муниципальных образований области";
5. Постановление Правительства Белгородской области от 27.12.2021 г. № 687-пп "О распределении субсидий бюджетам муниципальных районов и городских округов Белгородской области на реализацию инициативных проектов и наказов на 2022 год";
6. Постановление Правительства Белгородской области от 30.12.2021 года № 697-пп "О распределении субсидий бюджетам муниципальных районов и городских округов Белгородской области на реализацию проекта "Решаем вместе" в рамках инициативного бюджетирования на 2022 год";
7. Постановление Правительства Белгородской области от 03.03.2022 г. № 116-пп " О распределении субсидий бюджетам муниципальных районов и городских округов на реализацию наказов на 2022 год";
8. Постановление Правительства Белгородской области от 07.02.2022 г. № 51-пп "Об утверждении Порядка предоставления и распределения субсидий бюджетам муниципальных районов и городских округов области на реализацию наказов";
9. Постановление Правительства Белгородской области от 27.12.2021 г. № 684-пп "Об утверждении Порядка предоставления и распределения субсидий бюджетам муниципальных районов и городских округов области на реализацию проекта "Решаем вместе" в рамках инициативного бюджетирования".
</t>
  </si>
  <si>
    <t>Информационно - правовая система "Консультант Плюс"</t>
  </si>
  <si>
    <t>Министерство жилищно-коммунального хозяйства Белгородской области</t>
  </si>
  <si>
    <t>Администрации муниципальных образований Белгородской области</t>
  </si>
  <si>
    <t>Отсутствует</t>
  </si>
  <si>
    <t>Методика подсчета благополучателей указана в сопроводительном письме</t>
  </si>
  <si>
    <t>http://www.zakon.belregion.ru</t>
  </si>
  <si>
    <t>https://rosstat.gov.ru/compendium/document/13282</t>
  </si>
  <si>
    <t>В соответствие с требованиями п. 3.2 пп. 3 распоряжения Правительства Белгородской области от 18.01.2021 г. № 16-рп внесение инициативного проекта осуществляется инициатором проекта путем направления в администрацию муниципального района (городского округа) путем предоставления пакета документов, включающего в себя результаты опроса граждан и подписные листы, подтверждающие поддержку инициативного проекта жителями</t>
  </si>
  <si>
    <t>В соответствие с требованиями п. 3.2 пап. 3 распоряжения Правительства Белгородской области от 18.01.2021 г. № 16-рп внесение инициативного проекта осуществляется инициатором проекта путем направления в администрацию муниципального района (городского округа) путем предоставления пакета документов, включающего в себя результаты опроса граждан и подписные листы, подтверждающие поддержку инициативного проекта жителями</t>
  </si>
  <si>
    <t>Подписные  листы</t>
  </si>
  <si>
    <t>Составы комиссий по проведению конкурсного отбора инициативных проектов в муниципальных образованиях Белгородской области утверждены нормативно-правовыми актами.</t>
  </si>
  <si>
    <t>Протокол заседания межведомственной комиссии по проведению конкурсного отбора инициативных проектов</t>
  </si>
  <si>
    <t>https://решаемвместе31.рф/</t>
  </si>
  <si>
    <t>Рекламная кампания об инициативном бюджетировании проводилась несколькими способами: на официальном интерент-ресурсе https://решаемвместе31.рф/ , на сайтах администраций муниципальных образований, размещена информация об инициативном бюджетировании, в социальных сетях, ТВ и наружная реклама</t>
  </si>
  <si>
    <t>Обучающие мероприятия для представителей органов местного самоуправления проводились сотрудниками органов исполнительной власти путем проведения совещаний, общих собраний жителей, конференций</t>
  </si>
  <si>
    <t>Мишустин Сергей Игоревич - заместитель начальника отдела по реализации проектов инициативного бюджетирования департамента по развитию городской среды и организационно-финансовой деятельности минстерства жилищно-коммунального хозяйства Белгородской области</t>
  </si>
  <si>
    <t>(4722) 23-58-54 доб. 110</t>
  </si>
  <si>
    <t>ib_mgkh@mgkh.belregion.ru</t>
  </si>
  <si>
    <t>Сидоренко Марина Александровна - начальник отдела мониторинга и взаимодействия с бюджетами муниципальных образований департамента бюджетной политики министерства финансов и бюджетной политики Белгородской области</t>
  </si>
  <si>
    <t>(4722) 33 -63 -77</t>
  </si>
  <si>
    <t>svod2@beldepfin.ru</t>
  </si>
  <si>
    <t xml:space="preserve">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t>
  </si>
  <si>
    <t>Областной ежегодный конкурс проектов, реализуемых старостами сельских населенных пунктов в муниципальных образованиях Белгородской области</t>
  </si>
  <si>
    <t>февраль 2022 года</t>
  </si>
  <si>
    <t xml:space="preserve">декабрь 2022 года </t>
  </si>
  <si>
    <t xml:space="preserve">Государственная программа Белгородской области «Обеспечение населения Белгородской области информацией о приоритетных направлениях региональной политики»,  утвержденная постановлением Правительства Белгородской области от 16 декабря 2013 года № 511-пп,   подпрограмма 5 «Развитие общественного самоуправления в Белгородской области» </t>
  </si>
  <si>
    <t xml:space="preserve"> Постановление Правительства Белгородской области от 18 марта 2019 года № 111-пп "О внесении изменений в постановление Правительства Белгородской области от 16 декабря 2013 года № 511-пп"                  </t>
  </si>
  <si>
    <t>https://belregion.ru/upload/iblock/31c/111-пп.pdf</t>
  </si>
  <si>
    <t>отсутствует</t>
  </si>
  <si>
    <t>Закон Белгородской области от 26 декабря 2020 года № 20 "Об инициативных проектах"</t>
  </si>
  <si>
    <t>Справочная правовая система "Консультант Плюс"</t>
  </si>
  <si>
    <t>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утвержденной постановлением Правительства Белгородской области от 16 декабря 2013 года № 511-пп  до 2025 года Постановление Правительства Белгородской области от 14 марта 2022 года № 139-пп "О внесении изменений в постановление Правительства Белгородской области от 16 декабря 2013 года № 511-пп"</t>
  </si>
  <si>
    <t>https://belregion.ru/upload/iblock/7e6/139-пп.pdf</t>
  </si>
  <si>
    <t>отсутствуют</t>
  </si>
  <si>
    <t xml:space="preserve">отсутствует </t>
  </si>
  <si>
    <t>Министерство общественных коммуникаций Белгородской области</t>
  </si>
  <si>
    <t xml:space="preserve">отсутствуют </t>
  </si>
  <si>
    <t>Участие населения в реализации проекта путем посильной помощи (вырубка сухостоя, высадка деревьев, кустарников, цветов, покраска, контроль за реализацией проекта  и.т.д)</t>
  </si>
  <si>
    <t>0</t>
  </si>
  <si>
    <t>Сведения по данным конкурсных заявок, предусматривающих численность населения на территории реализуемого проекта, с учетом прямых благополучателей и косвенных (жителей соседних улиц, общественных территорий)</t>
  </si>
  <si>
    <t>0.15%</t>
  </si>
  <si>
    <t>https://belg.gks.ru/population</t>
  </si>
  <si>
    <t>Журнал регистрации, оценочные ведомости членов конкурсной комиссии, протокол заседания конкурсной комиссии</t>
  </si>
  <si>
    <t>http://dkp31.ru/</t>
  </si>
  <si>
    <t>https://vk.com/omsu31</t>
  </si>
  <si>
    <t>Публикация информации на сайтах администраций муниципальных районов городских округов, а также социальные сети ВК и Одноклассники</t>
  </si>
  <si>
    <t xml:space="preserve">семинары </t>
  </si>
  <si>
    <t xml:space="preserve">53 семинара
</t>
  </si>
  <si>
    <t>Гайбель Анастасия Александровна, консультант отдела взаимодействия с органами власти области и муниципальными образованиями департамента внутренней политики Министерства общественных коммуникаций</t>
  </si>
  <si>
    <t>(4722)33-67-97</t>
  </si>
  <si>
    <t>gaybel_aa@belregion.ru</t>
  </si>
  <si>
    <t>(4722)33-63-77</t>
  </si>
  <si>
    <t xml:space="preserve">Областной ежегодный конкурс проектов, реализуемых территориальным общественным самоуправлением в муниципальных образованиях Белгородской области;                     </t>
  </si>
  <si>
    <t>декабрь 2022 года</t>
  </si>
  <si>
    <t xml:space="preserve">Государственная программа Белгородской области «Обеспечение населения Белгородской области информацией о приоритетных направлениях региональной политики», утвержденная постановлением Правительства Белгородской области от 16 декабря 2013 года № 511-пп,   подпрограмма 5 «Развитие общественного самоуправления в Белгородской области» </t>
  </si>
  <si>
    <t xml:space="preserve">Постановление Правительства Белгородской области от 2 июля 2018 года №253-пп ""О внесении изменений в постановление Правительства Белгородской области от 16 декабря 2013 года № 511-пп"                     </t>
  </si>
  <si>
    <t>https://belregion.ru/upload/iblock/600/253-пп.pdf</t>
  </si>
  <si>
    <t>Подпрограмма 5 «Развитие общественного самоуправления в Белгородской области» Государственной программы Белгородской области «Обеспечение населения Белгородской области информацией о приоритетных направлениях региональной политики», утвержденная постановлением Правительства Белгородской области от 16 декабря 2013 года № 511-пп  до 2025 года Постановление Правительства Белгородской области от 14 марта 2022 года № 139-пп "О внесении изменений в постановление Правительства Белгородской области от 16 декабря 2013 года № 511-пп"</t>
  </si>
  <si>
    <t>Размещение информации о проводимых конкурсах на сайтах администраций муниципальных районов городских округов, а также социальные сети ВК и Одноклассники</t>
  </si>
  <si>
    <t>Проведение семинаров</t>
  </si>
  <si>
    <t>Субсидии на обеспечение комплексного развития сельских территорий (реализация мероприятия по благоустройству сельских территорий)</t>
  </si>
  <si>
    <t>Государственная программа Калининградской области «Сельское хозяйство и рыболовство» подпрограмма «Комплексное развитие сельских территорий»</t>
  </si>
  <si>
    <t>Постановление Правительства Калининградской области от 19 декабря 2019 года N 844 "Об утверждении государственной программы Калининградской области «Комплексное развитие сельских территорий»</t>
  </si>
  <si>
    <t>http://publication.pravo.gov.ru/Document/View/3900201912270018?rangeSize=50</t>
  </si>
  <si>
    <t xml:space="preserve">Закон Калининградской области от 30.06.2021 № 580 "О правовом регулировании отдельных вопросов, связанных с реализацией инициативных проектов на территории Калининградской области"
</t>
  </si>
  <si>
    <t>http://publication.pravo.gov.ru/Document/View/3900202107010021</t>
  </si>
  <si>
    <t>Министерство сельского хозяйства Калининградской области</t>
  </si>
  <si>
    <t>Администрации муниципальных образований Калининградской области</t>
  </si>
  <si>
    <t>Постановление Правительства Российской Федерации от 31 мая 2019 года N 696 "Об утверждении государственной программы Российской Федерации "Комплексное развитие сельских территорий"</t>
  </si>
  <si>
    <t>Министерство сельского хозяйства РФ</t>
  </si>
  <si>
    <t>Министерством сельского хозяйства Калининградской области статистика не ведется</t>
  </si>
  <si>
    <t>Расчет произведен администрациями муниципальных образований Калининградской области</t>
  </si>
  <si>
    <t>https://kaliningrad.gks.ru/population</t>
  </si>
  <si>
    <t>Протоколы общественных обсуждений</t>
  </si>
  <si>
    <t>Проекты могут быть реализлваны в 19 муниципальных образованиях Калининградской области, т.к. в 3 городских округах отсутствуют сельские населенные пункты</t>
  </si>
  <si>
    <t>В реализации мероприятий могут принять участие только сельские населенные пункты</t>
  </si>
  <si>
    <t>12 поселков в 5 муниципальных образованиях</t>
  </si>
  <si>
    <t>Пожуева Светлана Викторовна, заместитель начальника отдела компелексного развития сельских территорий</t>
  </si>
  <si>
    <t>8(4012)599-274</t>
  </si>
  <si>
    <t>s.pozhueva@gov39.ru</t>
  </si>
  <si>
    <t>Зыкина Елена Викторовна</t>
  </si>
  <si>
    <t>8(4012)576-922</t>
  </si>
  <si>
    <t>e.zykina@gov39.ru</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</si>
  <si>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</si>
  <si>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Государственная программа Калининградской области «Формирование современной городской среды»</t>
  </si>
  <si>
    <t>http://publication.pravo.gov.ru/Document/View/3900202202210001</t>
  </si>
  <si>
    <t>Министерство строительства и жилищно-коммунального хозяйства Калининградской области</t>
  </si>
  <si>
    <t>субсидии, иной межбюджетный трансферт</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</si>
  <si>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от 30.12.2017 № 1710</t>
  </si>
  <si>
    <t>Министерство финансов Калининградской области</t>
  </si>
  <si>
    <t>не рассчитывалось</t>
  </si>
  <si>
    <t>https://kaliningrad.gks.ru/infogr_kdstat/document/159879</t>
  </si>
  <si>
    <t>протоколы собственников</t>
  </si>
  <si>
    <t xml:space="preserve">протоколы встреч и собраний </t>
  </si>
  <si>
    <t>Подача заявления через приемную Комитета городского хозяйства</t>
  </si>
  <si>
    <t>zagorodsrda.ru (единая федеральная плотформа), протоколы</t>
  </si>
  <si>
    <t>протоколы</t>
  </si>
  <si>
    <t xml:space="preserve">заседание общественной комиссии по рассмотрению предложений о благоустройстве дворовы территорий многоквартирны домов и общественны территорий  </t>
  </si>
  <si>
    <t xml:space="preserve">протокол общественной комиссии </t>
  </si>
  <si>
    <t xml:space="preserve">предусматривает </t>
  </si>
  <si>
    <t xml:space="preserve">Кротова Наталья Александровна, заместитель начальника департамента - начальник отдела координации проектов в сфере жилищно-коммунального хозяйства </t>
  </si>
  <si>
    <t>8(4012)599-021</t>
  </si>
  <si>
    <t>n.krotova@gov39.ru</t>
  </si>
  <si>
    <t>Муниципальные программы «конкретных дел» (ПКД)</t>
  </si>
  <si>
    <t>Государственная программа «Жилье и городская среда», утвержденная постановлением Правительства Калининградской области от 14.02.2022 № 76</t>
  </si>
  <si>
    <t>Постановление Правительства Калининградской области от 14.02.2022 № 76</t>
  </si>
  <si>
    <t xml:space="preserve">http://docs.cntd.ru/document/460267690
</t>
  </si>
  <si>
    <t>Министерство стоительства и и жилищно-коммунального хозяйства Калининградской области</t>
  </si>
  <si>
    <t>субсидия из областного бюджета местному бюджету муниципального образования Калининградской области на софинансирование расходных обязательств местного бюджета, направленных на решение вопросов местного значения в сфере жилищно-коммунального хозяйства</t>
  </si>
  <si>
    <t>21 муниципальное образование (кроме города Калининграда)</t>
  </si>
  <si>
    <t>бюллетени с подписями</t>
  </si>
  <si>
    <t>граждане обращались с заявлением на официальную электронную почту администраций</t>
  </si>
  <si>
    <t>через сайты мун образований</t>
  </si>
  <si>
    <t>Запросы и обращение граждан, письма, сеть интернет</t>
  </si>
  <si>
    <t>численность населения муниципального образования – до 80 тысяч человек;</t>
  </si>
  <si>
    <t>Войцеховская Мария Валентиновна, заместитель начальника отдела сопровождения объектов муниципального заказа Министерства строительства и ЖКХ КО</t>
  </si>
  <si>
    <t>m.voitsekhovskaya@gov39.ru</t>
  </si>
  <si>
    <t>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</si>
  <si>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Публичное название: Проект поддержки местных инициатив в Алтайском крае
Лозунги: предлагай - поддержим; не нужно ждать - давайте делать</t>
  </si>
  <si>
    <t>Государственная программа Алтайского края "Создание условий для эффективного и ответственного управления региональными и муниципальными финансами", утвержденная постановлением Правительства Алтайского края от 29.10.2019 № 423, подпрограмма 2 "Поддержание и стимулирование устойчивого исполнения бюджетов муниципальных образований Алтайского края", задача 2.3. Развитие инициативного бюджетирования,
мероприятие 2.3.1. 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</si>
  <si>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Постановление Администрации Алтайского края от 19.11.2016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t>
  </si>
  <si>
    <t>https://docs.cntd.ru/document/444790925</t>
  </si>
  <si>
    <t xml:space="preserve">Закон Алтайского края от 30.11.2021 № 105-ЗС "О краевом бюджете на 2022 год и на плановый период 2023 и 2024 годов" </t>
  </si>
  <si>
    <t>https://minfin.alregn.ru/bud/z2022/</t>
  </si>
  <si>
    <t>Приказ Министерства финансов Алтайского края от 28.01.2020 № 2-н "Об утверждении требований к конкурсному отбору проектов развития (создания) общественной инфраструктуры, основанных на местных инициативах";
Приказ Министерства финансов Алтайского края от 30.08.2018 №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инициативных проектов развития (создания) общественной инфраструктуры муниципальных образований"</t>
  </si>
  <si>
    <t>https://minfin.alregn.ru/files/prikaz2n-2020.pdf ;
http://publication.pravo.gov.ru/Document/View/2201202001290001 ;
http://алтайпредлагай.рф/documents/normativnye-pravovye-akty/</t>
  </si>
  <si>
    <t>Министерство финансов Алтайского края</t>
  </si>
  <si>
    <t>Администрация муниципального района / городского округа / муниципального округа / городского поселение / сельского поселения</t>
  </si>
  <si>
    <t>Предусмотрено трудовое участие населения, индивидуальных предпринимателей и юридических лиц в реализации проектов: участие в уборке территории, помощь в установке оборудования, предоставление техники, оборудования, материалов, специалистов</t>
  </si>
  <si>
    <t>Указываются группы населения, которые регулярно будут пользоваться результатами выполненного проекта и принимают участие в его реализации (например, в случае ремонта улицы прямыми благополучателями будут являться жители этой и прилегающих улиц, которые регулярно ходят или ездят по отремонтированной улице)</t>
  </si>
  <si>
    <t>https://22.rosstat.gov.ru/folder/33247</t>
  </si>
  <si>
    <t>Краевое автономное учреждение "Алтайский центр финансовых исследований" (центр инициативного бюджетирования)</t>
  </si>
  <si>
    <t>http://алтайпредлагай.рф/documents/normativnye-pravovye-akty/</t>
  </si>
  <si>
    <t>Субсидия из краевого бюджета на выполнение государственного задания</t>
  </si>
  <si>
    <t>Опросные листы, регистрационные листы участников предварительных обсуждений</t>
  </si>
  <si>
    <t>Протокол итогового собрания</t>
  </si>
  <si>
    <t>Раздел "Голосование" на сайте алтайпредлагай.рф
https://алтайпредлагай.рф/vote/pre/</t>
  </si>
  <si>
    <t>Все сельские населенные пункты, а также входящие в состав муниципальных районов поселки городского типа (рабочие поселки), города с численностью населения до 50 тыс. человек, муниципальные районы и муниципальные округа с проектами общерайонного (общеокружного) значения, результатами которых будут пользоваться жители двух и более населенных пунктов</t>
  </si>
  <si>
    <t>Малые города с численностью населения до 50 тыс. человек</t>
  </si>
  <si>
    <t>51 муниципальный район, 1 муниципальный округ, 6 городских округов, 5 городских поселений, 207 сельских поселений
524 населенных пунктов</t>
  </si>
  <si>
    <t>Подача заявок, работа с заявками (их проверка, оценка в соответствии с утвержденными критериями), сбор и проверка документов, необходимых для заключения соглашений, промежуточный контроль за проведением конкурентных процедур и реализацией объектов, сбор и проверка отчетов о реализации проектов, вывод информации о всех реализованных и реализуемых проектах, сервис по отправке SMS-сообщений, форма Обратной связи, система предварительного голосования, система голосования за лучшие реализованные проекты, мобильная версия портала, мобильное приложение алтайпредлагай</t>
  </si>
  <si>
    <t>алтайпредлагай.рф</t>
  </si>
  <si>
    <t>https://ok.ru/ppmiak
https://t.me/s/ppmiak</t>
  </si>
  <si>
    <t>https://cloud.mail.ru/public/SXrU/kfEuqp5TH</t>
  </si>
  <si>
    <t>Регулярно проводится информационная кампания, транслируются новостные сюжеты в средствах массовой информации, публикуются информационные статьи, посты в социальных сетях, проводятся выездные семинары в муниципальных образованиях Алтайского края, информационные вебинары, раздаются методические, презентационные и агитационные материалы</t>
  </si>
  <si>
    <t>https://cloud.mail.ru/public/EDhs/FsnBhny8N</t>
  </si>
  <si>
    <t>Семинары, вебинары, онлайн встречи</t>
  </si>
  <si>
    <t>Бирюков Олег Николаевич, руководитель центра инициативного бюджетирования краевого автономного учреждения "Алтайский центр финансовых исследований"</t>
  </si>
  <si>
    <t>8-3852-29-83-50</t>
  </si>
  <si>
    <t>init@fin22.ru</t>
  </si>
  <si>
    <t>Демин Михаил Викторович, заместитель министра финансов Алтайского края</t>
  </si>
  <si>
    <t>8-3852-29-14-04</t>
  </si>
  <si>
    <t>mvdemin@mail.ru</t>
  </si>
  <si>
    <t>Программа поддержки местных инициатив Калужской области</t>
  </si>
  <si>
    <t xml:space="preserve">Ведомственная целевая программа  "Совершенствование
системы управления общественными финансами Калужской
области" - Предоставление субсидий на мероприятие
"Реализация инициативных проектов" (Раздел II, задача 1, пункт ф)                                                                 
</t>
  </si>
  <si>
    <t xml:space="preserve">
Постановление Правительства Калужской области от 21.01.2020 № 30 (ред. от 23.12.2020 № 988, от 30.12.2021 № 960, от 30.12.2022 № 1044)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t>
  </si>
  <si>
    <t>Постановление Правительства Калужской области от 21.01.2020 № 30 (ред. от 30.12.2022)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{КонсультантПлюс}</t>
  </si>
  <si>
    <t>Закон Калужской области от 30.12.2020 N 55-ОЗ "О мерах поддержки реализации на территории Калужской области инициативных проектов" (принят постановлением Законодательного Собрания Калужской области от 24.12.2020 N 118) {КонсультантПлюс}</t>
  </si>
  <si>
    <t xml:space="preserve">Приказ Министерства финансов Калужской обл. от 05.02.2021 № 32 (ред. от 26.01.2022 № 20)
"О реализации постановления Правительства Калужской области от 21.01.2020 №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(ред. от 23.12.2020 № 988, от 30.12.2021 № 960)
(вместе с "Положением о порядке проведения конкурсного отбора инициативных проектов") 
</t>
  </si>
  <si>
    <t>Приказ Министерства финансов Калужской обл. от 05.02.2021 N 32 (ред. от 26.01.2022) "О реализации постановления Правительства Калужской области от 21.01.2020 N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(в ред. постановлений Правительства Калужской области от 23.12.2020 N 988, от 30.12.2021 N 960)" (вместе с "Положением о порядке проведения конкурсного отбора инициативных проектов" (Зарегистрировано в Администрации Губернатора Калужской обл. 16.02.2021 N 10491) {КонсультантПлюс}</t>
  </si>
  <si>
    <t>Министерство финансов Калужской области</t>
  </si>
  <si>
    <t>Городские и сельские поселения,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</si>
  <si>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 xml:space="preserve">1. В форме безвозмездного выполнения работ (оказания услуг);
2. В форме продукции, товаров, материалов и т.д.;
3. В форме предоставления техники и оборудования.
</t>
  </si>
  <si>
    <t>Подсчет благополучателей осуществляется непосредственно местными администрациями поселений, получателями субсидии. В зависимости от направления проекта в число благополучателей могут быть включены как отдельные группы населения одного населенного пункта, входящего в состав поселения, так и жители всего поселения или даже муниципального района.</t>
  </si>
  <si>
    <t>https://40.rosstat.gov.ru/storage/mediabank/Численность%20постоянного%20населения%20Калужской%20области%20по%20муниципальным%20образованиям.pdf</t>
  </si>
  <si>
    <t>Сопровождением мероприятий практики инициативного бюджетирования занимаются сотрудники отдела межбюджетных отношений министерства финансов Калужкой области</t>
  </si>
  <si>
    <t>Разработка анкет, распространение анкет, подведение итогов</t>
  </si>
  <si>
    <t>фотофиксация, в отдельных случаях</t>
  </si>
  <si>
    <t>не подсчитано</t>
  </si>
  <si>
    <t xml:space="preserve">нет.  На реализацию проектов, выдвинутых органами ТОС, в регионе выделяются иные межбюджетные трансферты в рамках конкурса «Лучшая муниципальная практика развития территорий территориального общественного самоуправления» </t>
  </si>
  <si>
    <t>фиксация не осуществлялась</t>
  </si>
  <si>
    <t>Лист регистрации</t>
  </si>
  <si>
    <t>В программе поддержки местных инициатив на территории Калужской области  участвуют  городские и сельские поселения</t>
  </si>
  <si>
    <t xml:space="preserve">Основные критерии выбора участников:  более низкий уровень социально-экономического развития поселений в сравнении с городскими округами (налоговые и неналоговые доходы округов позволяют выполнять принятые бюджетные обязательства), большая часть населения области проживает в поселениях. </t>
  </si>
  <si>
    <t>https://minfin.admoblkaluga.ru/page/programma-podderzhki-mestnykh-initsiativ/</t>
  </si>
  <si>
    <t>Социальные сети, проведение обучающих семинаров с органами местного самоуправления, консультативная помощь</t>
  </si>
  <si>
    <t>Н.А. Коровина - начальник отдела межбюджетных отношений управления прогнозирования и составления бюджета министерства финансов Калужской области</t>
  </si>
  <si>
    <t>(4842)56-38-52</t>
  </si>
  <si>
    <t xml:space="preserve"> mbo_mfko@adm.kaluga.ru</t>
  </si>
  <si>
    <t>Инициативное бюджетирование на территории Чукотского автономного округа</t>
  </si>
  <si>
    <t>Государственная программа "Управление региональными финансами и имуществом Чукотского автономного округа", подпрограмма "Организация межбюджетных отношений и повышение уровня бюджетной обеспеченности местных бюджетов", основное мероприятие "Развитие инициативного бюджетирования на территории Чукотского автономного округа"</t>
  </si>
  <si>
    <t>Постановление Правительства Чукотского автономного округа от 15 марта 2019 года № 131 "О внесении изменений в Постановление Правительства Чукотского автономного округа от 28 марта 2014 года № 142"</t>
  </si>
  <si>
    <t xml:space="preserve">http://чукотка.рф/documents/gosudarstvennye-programmy-chukotskogo-ao/
</t>
  </si>
  <si>
    <t>Постановление Правительства Чукотского автономного округа от 28 марта 2014 г. № 142 "Об утверждении Государственной программы "Управление региональными финансами и имуществом Чукотского автономного округа", основное мероприятие: "Развитие инициативного бюджетирования на территории Чукотского автономного округа"  2019-2024 год</t>
  </si>
  <si>
    <t>Департамент финансов, экономики и имущественных отношений Чукотского автономного округа</t>
  </si>
  <si>
    <t>Население муниципального образования, индивидуальные предприниматели, юридические лица имеют право на участие в проекте в неденежной форме (использование строительных материалов, оборудования, инструмента, транспорта, уборка мусора и иное участие)</t>
  </si>
  <si>
    <t>Все проекты, финансирование которых осуществлялось в 2022 году имеет социальную направленность, поэтому благополучателями являются все жители населенных пунктов, на территории которых эти проекты были реализованы</t>
  </si>
  <si>
    <t>https://habstat.gks.ru/folder/27977#</t>
  </si>
  <si>
    <t xml:space="preserve">Протокол, лист регистрации участников </t>
  </si>
  <si>
    <t>Протокол собрания инициативной группы граждан</t>
  </si>
  <si>
    <t>Протокол регистрации участников интернет-голосования</t>
  </si>
  <si>
    <t>Пртокол заседания конкурсной комиссии муниципальных образований</t>
  </si>
  <si>
    <t>https://xn--80atapud1a.xn--p1ai/depfin/about/struktura-i-sostav/upravlenie-finansov/napravleniya-raboty/mezhbyudzhetnye-otnosheniya/initsiativnoe-byudzhetirovanie.php</t>
  </si>
  <si>
    <t>Новости на официальном сайте Чукотского автономного округа чукотка.рф, по радио "Пурга", в газете "Крайний Север", социальные сети
http://чукотка.рф/press-tsentr/novosti-chao/</t>
  </si>
  <si>
    <t>Обучающие меропрития по инициативному бюджетированию не проводились</t>
  </si>
  <si>
    <t>Болаева Герела Валерьевна</t>
  </si>
  <si>
    <t>8(42722) 6-93-37</t>
  </si>
  <si>
    <t>G.Bolaeva@depfin.chukotka-gov.ru</t>
  </si>
  <si>
    <t>Поддержка местных инициатив</t>
  </si>
  <si>
    <t>Государственная программа Красноярского края "Содействие развитию местного самоуправления" подпрограмма "Поддержка местных инициатив"</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</si>
  <si>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t>
  </si>
  <si>
    <t>http://zakon.krskstate.ru/0/doc/15433</t>
  </si>
  <si>
    <t>Закон Красноярского края от 07.07.2016 №10-4831 "О государственной поддержке развития местного самоуправления Красноярского края"</t>
  </si>
  <si>
    <t>http://zakon.krskstate.ru/0/doc/34007</t>
  </si>
  <si>
    <t>Постановление Правительства Красноярского края от 31.12.2019 № 793-п "Об утверждении Порядка предоставления и распределения иных межбюджетных трансфертов бюджетам муниципальных образований Красноярского края на осуществление расходов, направленных на реализацию мероприятий по поддержке местных инициатив" (далее - Порядок)</t>
  </si>
  <si>
    <t xml:space="preserve">http://zakon.krskstate.ru/0/doc/83206 </t>
  </si>
  <si>
    <t>министерство финансов Красноярского края</t>
  </si>
  <si>
    <t>бюджеты муниципальных районов, муниципальных округов</t>
  </si>
  <si>
    <t>Неоплачиваемый вклад населения, юридических лиц и индивидуальных предпринимателей в реализацию проекта, включает использование строительных материалов, оборудования, инструмента, уборку мусора, благоустройство и пр. с указанием объемов и формы предоставления неоплачиваемого вклада, а также лиц и организаций, которые планируют внести такой вклад (описание и методика оценки установлены Порядком)</t>
  </si>
  <si>
    <t>Способ (-ы) расчета количества благополучателей: Оценивается охват проекта (все население населенного пункта, либо население разделяется на отдельные категории).
Отдельные категории граждан оцениваются исходя из статистических данных, либо показателей мощности учреждений. Заявка на участие в конкурсном отборе содержит пояснения по подсчету благополучателей, в зависимости от типологии проекта.</t>
  </si>
  <si>
    <t>https://24.rosstat.gov.ru/news/document/158376?ysclid=lgunszgqrp590652391</t>
  </si>
  <si>
    <t>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(ИГМУ)</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</si>
  <si>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 Порядок</t>
  </si>
  <si>
    <t>чаще всего фиксация участия не производится, в отдельных случаях осуществляется фотографирование, заполнение ведомостей, указание сведений об участнике анкетирования в самой анкете (опросном листе); при подомовом (поквартирном) обходе (сборе подписей) способ фиксации - ведомость  с указанием населенного пункта, где проводится обход, даты проведения обхода, ФИО, места проживания участника подомового, поквартирного обхода. Также ведомость содержит графы/строки, в которых участник обхода может отметить свое предложение.</t>
  </si>
  <si>
    <t>протокол собрания (встречи), лист регистрации участников собрания (встречи), фотографии собрания (встречи)</t>
  </si>
  <si>
    <t>протокол собрания ТОС, лист регистрации участников собрания ТОС, фотографии собрания ТОС</t>
  </si>
  <si>
    <t>дальнейший отбор инициативных проектов происходит на итоговых собраниях граждан:  на них выбираются проектные заявки, которые в дальнейшем будут представлены местной администрацией для конкурсного отбора.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</si>
  <si>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прямое голосование участников очных собраний,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</si>
  <si>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Решение о победителях конкурса, на основании сформированного министерством финансов Красноярского края рейтинга,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16 членов Совета. Председателем Совета является первый заместитель Губернатора края - председатель Правительства края.</t>
  </si>
  <si>
    <t>возможность участия предусмотрена для 3 муниципальных округов и 41 муниципального района, в состав которых входит 483 городских и сельских поселений (89 % от общего количества муниципальных образований Красноярского края)</t>
  </si>
  <si>
    <t>муниципальные образования – участники конкурсного отбора определяются членами комиссии по вопросам социально-экономического развития Красноярского края и по бюджетным проектировкам на очередной финансовый год и плановый период, с учетом предложений от муниципальных образований</t>
  </si>
  <si>
    <t>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вопросам подготовки и реализации проектов, интересные факты, относящиеся к реализации ППМИ</t>
  </si>
  <si>
    <t>http://ppmi24.ru/</t>
  </si>
  <si>
    <t xml:space="preserve">https://vk.com/ppmi24 https://ok.ru/vkrasnoya </t>
  </si>
  <si>
    <t>информация размещена по ссылке
https: //disk.yandex.ru/d/SsbVuUugi9mHGg</t>
  </si>
  <si>
    <t>Полная информация по данному пункту по ссылке
https://disk.yandex.ru/d/mo3LfhYOR04Vlw</t>
  </si>
  <si>
    <t>Примеры информационных материалов размещены по ссылке https://disk.yandex.ru/d/bNtKkI7tYHzdAg</t>
  </si>
  <si>
    <t>Полная информация по данному пункту в приложении по ссылке: https://disk.yandex.ru/d/1ib_rBXBXZkexA</t>
  </si>
  <si>
    <t>Фаррахова Светлана Владимировна, 
консультант отдела территориальных бюджетов</t>
  </si>
  <si>
    <t>8 (391) 222-13-95</t>
  </si>
  <si>
    <t>k312@krasfin.ru</t>
  </si>
  <si>
    <t xml:space="preserve">Содействие участию населения в осуществлении местного самоуправления на частях территорий муниципальных образований Ленинградской области, где назначен  староста, избран общественный совет; государственная поддержка проектов местных инициатив граждан </t>
  </si>
  <si>
    <t>Тысяча добрых дел</t>
  </si>
  <si>
    <t>Государственная программа Ленинградской области "Устойчивое общественное развитие в Ленинградской области", подпрограмма "Создание условий для развития местного самоуправления", комплекс процессных мероприятий "Содействие развитию участия населения в осуществлении местного самоуправления в Ленинградской области", мероприятие - предоставление субсидии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</si>
  <si>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</si>
  <si>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https://lenobl.ru/ru/dokumenty/opublikovanie-pravovyh-aktov/oficialno-opublikovanie-npa-s-10-iyunya-2013-goda/oficialnoe-opublikovanie-pravovyh-aktov-leningradskoj-oblasti-s-10-iyu/</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</si>
  <si>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ред.от 18.11.2019 N 86-оз);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 Постановления Правительства Ленинградской области от 30.12.2021 № 945)</t>
  </si>
  <si>
    <t>https://msu.lenobl.ru/programmy-i-plany/celevye-programmy/</t>
  </si>
  <si>
    <t>Комитет по местному самоуправлению, межнациональным и межконфессиональным отношениям Ленинградской области</t>
  </si>
  <si>
    <t>Муниципальные образования Ленинградской области (городские и сельские поселения)</t>
  </si>
  <si>
    <t>В Ленинградской области в рамках реализации мероприятий по инициативным предложениям граждан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t>
  </si>
  <si>
    <t xml:space="preserve">Число благополучателей оценивается по численности населения в сельских населенных пунктах, где реализованы проекты </t>
  </si>
  <si>
    <t>https://petrostat.gks.ru/folder/29437</t>
  </si>
  <si>
    <t>Проектный центр инициативного бюджетирования Ленинградской области в составе государственного казенного учреждения Ленинградской области «Дом дружбы Ленинградской области» при Комитете по местному самоуправлению, межнациональным и межконфессиональным отношениям Ленинградской области</t>
  </si>
  <si>
    <t>https://msu.lenobl.ru/ru/news/proektnyj-centr-iniciativnogo-byudzhetirovaniya</t>
  </si>
  <si>
    <t>областной бюджет Ленинградской области</t>
  </si>
  <si>
    <t>При выборе проектов на муниципальном уровне проходит сбор подписей в поддержку инициативных предложений</t>
  </si>
  <si>
    <t>Граждане выдвигают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</si>
  <si>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Граждане выдвигают инициативные предложения на собраниях (конференциях) граждан сельского населенного пункта с участием старосты.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</si>
  <si>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</si>
  <si>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да (на муниципальном уровне на этапе отбора проектов для включения в муниципальную программу проводятся заседания рабочих групп, на региональном уровне комиссия при комитете по местному самоуправлению, межнациональным и межконфессиональным отношениям Ленинградской области проводит окончательный отбор муниципальных образований для предоставления субсидий)</t>
  </si>
  <si>
    <t>В реализации мероприятий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t>
  </si>
  <si>
    <t>В реализации меропряитий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 Отбор муниципальных образований для предоставления субсидии осуществляется в соответствии с критериями, установленными пунктом 3.6. Порядка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государственной программы "Устойчивое общественное развитие в Ленинградской области", утвержденной постановлением Правительства Ленинградской области от 14 ноября 2013 года № 399</t>
  </si>
  <si>
    <t>В социальных сетях Контакт группа Совет старост Ленинградской области https://vk.com/starosta47, информация на странице Комитета https://msu.lenobl.ru/ru/news/proektnyj-centr-iniciativnogo-byudzhetirovaniya/, https://msu.lenobl.ru/ru/programmy-i-plany/formy-uchastiya-zhitelej-leningradskoj-oblasti-v-osushestvlenii-mestno/</t>
  </si>
  <si>
    <t>http://msu.lenobl.ru/news/mediaproekty/</t>
  </si>
  <si>
    <t>Комитетом в 2022 году проводилось 3 образовательных онлайн - семинара, посвященных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</si>
  <si>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t>более 170</t>
  </si>
  <si>
    <t xml:space="preserve">Никифоров Владимир Владимирович - начальник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 </t>
  </si>
  <si>
    <t>(812) 539-44-18</t>
  </si>
  <si>
    <t>vv_nikiforov@lenreg.ru</t>
  </si>
  <si>
    <t>Кравченко Ирина Викторовна - начальник департамента бюджетной политики в отраслях социальной сферы Комитета финансов Ленинградской области</t>
  </si>
  <si>
    <t>(812) 539-49-64</t>
  </si>
  <si>
    <t>iv_kravchenko@lenreg.ru</t>
  </si>
  <si>
    <t xml:space="preserve">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 </t>
  </si>
  <si>
    <t>10 января 2022 года</t>
  </si>
  <si>
    <t>Государственная программа Ленинградской области "Устойчивое общественное развитие в Ленинградской области", подпрограмма "Создание условий для развития местного самоуправления", комплекс процессных мероприятий "Содействие развитию участия населения в осуществлении местного самоуправления в Ленинградской области", мероприятие - предоставление субсидии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t>
  </si>
  <si>
    <t>Областной закон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18.06.2018 № 48-оз, от 18.03.2019 № 10-оз, от 22.04.2019 № 25-оз, от 27.12.2019 № 114-оз);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послед. ред. Постановления Правительства Ленинградской области от 20.03.2022 № 178)</t>
  </si>
  <si>
    <t>https://msu.lenobl.ru/programmy-i-plany/celevye-programmy/ https://lenobl.ru/ru/dokumenty/opublikovanie-pravovyh-aktov/oficialno-opublikovanie-npa-s-10-iyunya-2013-goda/oficialnoe-opublikovanie-pravovyh-aktov-leningradskoj-oblasti-s-10-iyu/</t>
  </si>
  <si>
    <t>Муниципальные образования Ленинградской области (городские и сельские поселения, городской округ)</t>
  </si>
  <si>
    <t xml:space="preserve">В Ленинградской области в рамках реализации мероприятий по инициативным предложениям граждан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 стоимостная оценка материально-технического участия складывается из прейскуранта цен на работы)
</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</si>
  <si>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26 марта 2020 года № 26)</t>
  </si>
  <si>
    <t>https://msu.lenobl.ru/ru/programmy-i-plany/iniciativnye-komissii-v-administrativnyh-centrah/2020-god/</t>
  </si>
  <si>
    <t>http://region-stat.plo.lan/People/Forms/ByType.aspx</t>
  </si>
  <si>
    <t>Граждане выдвигают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</si>
  <si>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</si>
  <si>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100% (городские и сельские поселения, городской округ)</t>
  </si>
  <si>
    <t>https://msu.lenobl.ru/ru/news/proektnyj-centr-iniciativnogo-byudzhetirovaniya/, https://msu.lenobl.ru/ru/programmy-i-plany/formy-uchastiya-zhitelej-leningradskoj-oblasti-v-osushestvlenii-mestno/
https://vk.com/public210059686
https://t.me/inbud_lo</t>
  </si>
  <si>
    <t>В 2022 году издан 1 номер альманаха о местном самоуправлении в Ленинградской области "Муниципальный меридиан". Тираж номера - 999 экз. Данное издание распространялось  в администрациях муниципальных образований Ленинградской области, на конференциях и совещаниях старост, общественных советов, инициативных комиссий. Снято 8 видеороликов о реализованных проектах в рамках областного закона 3-оз, ролики размещены в социальных сетях Комитета и Проектного центра инициативного бюджетирования Ленинградской области</t>
  </si>
  <si>
    <t>https://vk.com/public210059686?w=wall-210059686_331
https://vk.com/public210059686?w=wall-210059686_317
https://vk.com/public210059686?w=wall-210059686_303
https://vk.com/public210059686?w=wall-210059686_288
https://vk.com/public210059686?w=wall-210059686_279
https://vk.com/public210059686?w=wall-210059686_255
https://vk.com/public210059686?w=wall-210059686_232
https://vk.com/public210059686?w=wall-210059686_216</t>
  </si>
  <si>
    <t xml:space="preserve">более 170 </t>
  </si>
  <si>
    <t>Проект инициативного бюджетирования "ВАМ РЕШАТЬ!"</t>
  </si>
  <si>
    <t>"ВАМ РЕШАТЬ"</t>
  </si>
  <si>
    <t>2013*</t>
  </si>
  <si>
    <t>Закон Нижегородской области от 23.12.2021 № 151-З "Об областном бюджете на 2022 год и на плановый период 2023 и 2024 годов"</t>
  </si>
  <si>
    <t>http://publication.pravo.gov.ru/Document/View/5200202112300001</t>
  </si>
  <si>
    <t>Закон Нижегородской области от 17.12.2020 № 173-З "Об инициативном бюджетировании в Нижегородской области"</t>
  </si>
  <si>
    <t>http://publication.pravo.gov.ru/Document/View/5200202012300004</t>
  </si>
  <si>
    <t>Постановление Правительства Нижегородской области от 22.12.2017 г. № 945 "О реализации на территории Нижегородской области проекта инициативного бюджетирования "Вам решать!"</t>
  </si>
  <si>
    <t>http://publication.pravo.gov.ru/Document/View/5200202110110009?index=0&amp;rangeSize=1</t>
  </si>
  <si>
    <t>Министерство внутренней региональной и муниципальной политики Нижегородской области</t>
  </si>
  <si>
    <t>Муниципальные образования Нижегородской области</t>
  </si>
  <si>
    <t>Данные представлены в инициативных проектах участников конкурсного отбора</t>
  </si>
  <si>
    <t>https://nizhstat.gks.ru/</t>
  </si>
  <si>
    <t>В протоколе схода, собрания и конференции граждан, опросных и подписных листах</t>
  </si>
  <si>
    <t xml:space="preserve"> Участие в голосовании осуществлялось на сайте "вамрешать.рф". На данном сайте было предусмотрено два варианта авторизации: через Единую систему идентификации и аутентификации (ЕСИА) и по номеру телефона. В целях предоставления возможности проголосовать гражданам, не имеющим доступа к сети «Интернет», была организована работа многоканального колл-центра, который принимал звонки от граждан, желающих проголосовать в поддержку инициативных проектов https://вамрешать.рф/?area_id=24</t>
  </si>
  <si>
    <t>В протоколе схода, собрания или конференции граждан, опросных или подписных листах</t>
  </si>
  <si>
    <t>Состав конкурсной комиссии утвержден постановлением Правительства Нижегородской области от 27.12.2017 № 945. Участие членов конкурсной комиссии фиксируется в протоколе заседания конкурсной комиссии</t>
  </si>
  <si>
    <t>Участвуют все городские и сельские поселения, городские и муниципальные округа</t>
  </si>
  <si>
    <t xml:space="preserve">Муниципальные районы не участвуют, так как районы представляют интересы сельских и городских поселений, входящих в их состав  </t>
  </si>
  <si>
    <t>Голосование за проекты осуществлялось на сайте «вамрешать.рф»</t>
  </si>
  <si>
    <t>https://mvp.government-nnov.ru/?id=48287</t>
  </si>
  <si>
    <t>Освещение этапов реализации проектов инициативного бюджетирования "ВАМ РЕШАТЬ!" проводилось на постоянной основе пресс-службой Губернатора и Правительства Нижегородской области на сайте Правительства Нижегородской области в ленте новостей. Кроме того информация о проектах инициативного бюджетирования активно освещалась в СМИ и обсуждалась на публичных страницах в социальных сетях. В местах массового пребываниях граждан размещались плакаты. Информация о проекте "ВАМ РЕШАТЬ!" размещалась на электронных экранах и на мониторах "умных остановок", а также на мониторах общественного транспорта. Кроме того, материалы размещались на мониторах в бизнес-центрах и на стендах в лифтах нижегородских МКД.</t>
  </si>
  <si>
    <t>Крюковская Ольга Сергеевна, консультант отдела поддержки местных инициатив и проектной работы управления политического анализа министерства внутренней региональной и муниципальной политики Нижегородской области</t>
  </si>
  <si>
    <t>8 (831) 439 17 51</t>
  </si>
  <si>
    <t>mag@mvp.kreml.nnov.ru</t>
  </si>
  <si>
    <t>Парамонова Ирина Валерьевна, главный специалист отдела межбюджетных отношений и методологии бюджетного процесса министерства финансов Нижегородской области</t>
  </si>
  <si>
    <t>8 (831) 437-32-32</t>
  </si>
  <si>
    <t>paramonova_iv@fin.kreml.nnov.ru</t>
  </si>
  <si>
    <t xml:space="preserve">http://publication.pravo.gov.ru/Document/View/5200201712270003 http://publication.pravo.gov.ru/Document/View/5200201804260005 http://publication.pravo.gov.ru/Document/View/5200201903130012 http://publication.pravo.gov.ru/Document/View/5200201905290004 http://publication.pravo.gov.ru/Document/View/5200201908300009 http://publication.pravo.gov.ru/Document/View/5200201911290004 http://publication.pravo.gov.ru/Document/View/5200202002250006 http://publication.pravo.gov.ru/Document/View/5200202102090001 http://publication.pravo.gov.ru/Document/View/5200202110110009?index=0&amp;rangeSize=1 </t>
  </si>
  <si>
    <t xml:space="preserve">Государственная программа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Ульяновской области», утверждённая постановлением Правительства Ульяновской области от 14 ноября 2019 года N 26/578-П </t>
  </si>
  <si>
    <t>от 14 ноября 2019 года N 26/578-П</t>
  </si>
  <si>
    <t>https://docs.cntd.ru/document/463732395?marker</t>
  </si>
  <si>
    <t>Министерство агропромышленного комплекса и развития сельских территорий Ульяновской области</t>
  </si>
  <si>
    <t>сельские и городские поселения Ульяновской области</t>
  </si>
  <si>
    <t>Государственная программа Российской Федерации «Комплексное развитие сельских территорий», утверждённая Постановлением Правительства Российской Федерации от 31.05.2019 № 696</t>
  </si>
  <si>
    <t>в форме трудового участия, волонтерской деятельности, предоставления помещений и технических средств</t>
  </si>
  <si>
    <t>https://docs.cntd.ru/document/554801411?marker=8Q60M3&amp;section=text</t>
  </si>
  <si>
    <t>Количество благополучателей рассчитывается на основании подсчёта данных, предоставленных в заявках муниципальных образований Ульяновской области</t>
  </si>
  <si>
    <t>https://uln.gks.ru/folder/40275</t>
  </si>
  <si>
    <t>ОГБУ «Агентство по развитию сельских территорий Ульяновской области» (отдел аналитики и развития сельских территорий), ул. Радищева, д. 5</t>
  </si>
  <si>
    <t>https://cloud.mail.ru/public/rYUK/o5nFb21TV</t>
  </si>
  <si>
    <t>подведомственная организация Министерства агропромышленного комплекса и развития сельских территорий Ульяновской области</t>
  </si>
  <si>
    <t>частично</t>
  </si>
  <si>
    <t xml:space="preserve">выбор участников осуществляется на основании положений Государственной программы Российской Федерации «Комплексное развитие сельских территорий», утверждённой Постановлением Правительства Российской Федерации от 31.05.2019 № 696 </t>
  </si>
  <si>
    <t>143 городского и сельского поселения</t>
  </si>
  <si>
    <t>https://mcx.gov.ru/ministry/departments/departament-razvitiya-selskikh-territoriy/industry-information/info-atlas-realizovannykh-proektov-gosudarstvennoy-programmy-kompleksnoe-razvitie-selskikh-territoriy-za-/</t>
  </si>
  <si>
    <t>Формат ВКС, онлайн обучение в формате вебинаров</t>
  </si>
  <si>
    <t>2 раза в месяц</t>
  </si>
  <si>
    <t>Шигапова Линара Ринатовна, главный специалист отдела аналитики и развития сельских территорий, ОГБУ «Агентство по развитию сельских территорий Ульяновской области»</t>
  </si>
  <si>
    <t>8(8422) 73-56-69</t>
  </si>
  <si>
    <t>osr@mcx73.ru</t>
  </si>
  <si>
    <t>Постановление Правительства Ульяновской области от 14.11.2019 N 26/574-П "Об утверждении государственной программы Ульяновской области "Формирование комфортной городской среды в Ульяновской области"</t>
  </si>
  <si>
    <t>национальный проект "Жильё и городская среда", федеральный проект "Формирование комфортной городской среды"</t>
  </si>
  <si>
    <t>01.01.2022 г</t>
  </si>
  <si>
    <t>31.12.2022 г</t>
  </si>
  <si>
    <t>государственная программа Ульяновской области "Формирование комфортной городской среды в Ульяновской области"</t>
  </si>
  <si>
    <t xml:space="preserve">ПОСТАНОВЛЕНИЕ ПРАВИТЕЛЬСТВА УЛЬЯНОВСКОЙ ОБЛАСТИ  от 14 ноября 2019 г. N 26/574-П ОБ УТВЕРЖДЕНИИ ГОСУДАРСТВЕННОЙ ПРОГРАММЫ
УЛЬЯНОВСКОЙ ОБЛАСТИ "ФОРМИРОВАНИЕ КОМФОРТНОЙ ГОРОДСКОЙ СРЕДЫ В УЛЬЯНОВСКОЙ ОБЛАСТИ"
</t>
  </si>
  <si>
    <t>https://ovmf2.consultant.ru/cgi/online.cgi?req=doc&amp;ts=x8KembT20K2eeo8C&amp;cacheid=A4696BD7C534F986DF289622DACEC64D&amp;mode=splus&amp;rnd=daif0w&amp;base=RLAW076&amp;n=68897&amp;dst=100008#qLLembTsHcIRJe3m</t>
  </si>
  <si>
    <t>_</t>
  </si>
  <si>
    <t>Департамент городской среды Министерства жилищно-коммунального хозяйства и строительства Ульяновской области</t>
  </si>
  <si>
    <t>Министерство жилищно-коммунального хозяйства и строительства Ульяновской области</t>
  </si>
  <si>
    <t>субсидии, иной межбюджетного
трансферта</t>
  </si>
  <si>
    <t>бюджеты поселений и городских округов Ульяновской области</t>
  </si>
  <si>
    <t xml:space="preserve">1. Федеральный проект «Формирование комфортной городской среды» национального проекта «Жилье и городская среда»
2. Федеральная целевая программа "Увековечение памяти погибших при
защите Отечества на 2019 - 2024 годы"
</t>
  </si>
  <si>
    <t xml:space="preserve">1. Министерство строительства и жилищно-коммунального хозяйства Российской Федерации
2. Министерство обороны Российской Федерации
</t>
  </si>
  <si>
    <t>На основании данных, представленных муниципальными образованиями Ульяновской области</t>
  </si>
  <si>
    <t>оперативные данные</t>
  </si>
  <si>
    <t>https://docs.yandex.ru/docs/view?url=ya-browser%3A%2F%2F4DT1uXEPRrJRXlUFoewruIn9QUAwX4xINrNKvUDGNWv5_q21vz1IJFVzAtcjQ-hOdKcxXrCdT0JRnS46xP6g8f1hQUSswyr5iblUSnSz7dFXjz9lSaUnkCq2CKzfot_pP0vbvH4MZn6TYhWQ0bLqNA%3D%3D%3Fsign%3DT_OMcnDuCtCAfG7n5b45I5JQ_QUY9PgWzFwtU3dzGSw%3D&amp;name=73-nas-22.xlsx&amp;nosw=1</t>
  </si>
  <si>
    <t>https://za-gorodsreda.ru/</t>
  </si>
  <si>
    <t>Да,в соответствии с постановлением Правительства Ульяновской области  от 14 ноября 2019 г. N 26/574-П ОБ УТВЕРЖДЕНИИ ГОСУДАРСТВЕННОЙ ПРОГРАММЫ
УЛЬЯНОВСКОЙ ОБЛАСТИ "ФОРМИРОВАНИЕ КОМФОРТНОЙ ГОРОДСКОЙ СРЕДЫ В УЛЬЯНОВСКОЙ ОБЛАСТИ"</t>
  </si>
  <si>
    <t>http://energy.ulregion.ru/</t>
  </si>
  <si>
    <t>https://pdminstroy.ru/fkgs-old/tpost/29030bc9z1-v-ulyanovskoi-oblasti-polnostyu-zavershe           https://media73.ru/2022/za-etot-god-v-regione-blagoustroili-17-obshchestvennykh-prostranstv-i-90-dvorov        https://нацпроекты73.рф/news/16357/          https://ulpravda.ru/rubrics/uznai-svoi-gorod/komfortnoe-buduschee-nachinaetsia-segodnia-chto-blagoustroili-v-regione-v-2022-godu                    https://mosaica.ru/ru/ul/news/2022/11/02/v-2022-godu-v-shesti-munitsipalnykh-obrazovaniyakh-ulyanovskoi-oblasti-blagoustroili-90-dvorovykh-territorii</t>
  </si>
  <si>
    <t>https://minstroyrf.gov.ru/upload/iblock/7b3/Gorsreda_brandbook_new.pdf</t>
  </si>
  <si>
    <t>Размещение в СМИ, ТВ, радио, наружная реклама, социальные сети и др.</t>
  </si>
  <si>
    <t>Чупахина Елена Юрьевна - директор департамента городской среды Министерства энергетики, жилищно-коммунального комплекса и городской среды Ульяновской области</t>
  </si>
  <si>
    <t>(8422) 41-47-48</t>
  </si>
  <si>
    <t>gorod_sreda73@mail.ru</t>
  </si>
  <si>
    <t>1) Региональный приоритетный проект "Поддержка местных инициатив на территории Ульяновской области" в соответствии с  постановлением Правительства Ульяновской области №26/584-П от 14.11.2019 "Об утверждении государственной программы Ульяновской области "Управление государственными финансами Ульяновской области"; 2) "Проект поддержки местных инициатив" в соответствии с паспортом регионального приоритетного проекта "Поддержка местных инициатив на территории Ульяновской области", утверждённого Губернатором Ульяновской области 20.08.2021 №5-П/П</t>
  </si>
  <si>
    <t>Проект поддержки местных инициатив (ППМИ)</t>
  </si>
  <si>
    <t>Основное мероприятие "Региональный приоритетный проект "Поддержка местных инициатив на территории Ульяновской области" Государственной программы Ульяновской области "Управление государственными  финансами Ульяновской области" (постановление Правительства Ульяновской области №26/584-П  от 14.11.2019)</t>
  </si>
  <si>
    <t>Постановление Правительства Ульяновской области от 08.09.2014 №22/412-П "Об утверждении государственной программы  Ульяновской области "Управление государственными  финансами Ульяновской области" на 2015-2021 годы</t>
  </si>
  <si>
    <t>https://docs.cntd.ru/document/463707762</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</si>
  <si>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20.08.2021 №5-П/П</t>
  </si>
  <si>
    <t xml:space="preserve">Региональный приоритетный проект - 2022 год - 5-п от 20.08.2021 http://10.40.40.2/ppmi/npa </t>
  </si>
  <si>
    <t>Постановление Правительства Ульяновской области от 14.11.2019 №26/584-П (ред. от 28.12.2022) "Об утверждении государственной программы  Ульяновской области "Управление государственными  финансами Ульяновской области" (на период 2020-2025 годы)</t>
  </si>
  <si>
    <t>https://www.consultant.ru/regbase/cgi/online.cgi?req=doc&amp;base=RLAW076&amp;n=50606#Q2Wj3cT61oBIzWtl</t>
  </si>
  <si>
    <t>1) 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(ред.от 16.01.2023 №10-П): мероприятие «Развитие практик инициативного бюджетирования на территории Ульяновской области» в рамках задачи «Долгосрочные приоритеты бюджетной политики в Ульяновской области».                                                        2) В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направление «Реализация регионального приоритетного проекта «Поддержка местных инициатив» в рамках задачи «Повышение прозрачности и открытости бюджетного процесса Ульяновской области»                                                                                  3) В Стратегии развития местного самоуправления в Ульяновской области, утверждённой Распоряжением Губернатора Ульяновской области от 26.02.2021 № 130-р: мероприятие: "Вовлечение граждан в решение вопосов местного значения, в том числе посредством реализации инициативных проектов" в рамках задачи "Создание эффективной системы взаимодействия органов местного самоуправления с населением" 4) В Плане мероприятий по реализации Стратегии развития местного самоуправления в Ульяновской области, утверждённой Губернатором Ульяновской области от 21.10.2021 №73-Г-01/19000вн: мероприятие "Развитие механизмов инициативного бюджетирования"</t>
  </si>
  <si>
    <t>1) http://www.consultant.ru/regbase/cgi/online.cgi?req=doc;base=RLAW076;n=67814#zZTs3cT4Uk4ipoYj3 ; 2) https://disk.yandex.ru/d/y6_1SwnReOx8eQ ; 3) https://acmoul.ru/wp-content/uploads/2021/03/130p.pdf ; 4) https://disk.yandex.ru/d/K8TXdLmrVHtilQ</t>
  </si>
  <si>
    <t>Министерство финансов Ульяновской области</t>
  </si>
  <si>
    <t>Субсидии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муниципальных образований, подготовленных  на основе местных инициатив граждан</t>
  </si>
  <si>
    <t>Бюджеты муниципальных образований</t>
  </si>
  <si>
    <t>Население и хозяйствующие субъекты, осуществляющие свою деятельность на территории муниципальных образований Ульяновской области, принимали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</si>
  <si>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 xml:space="preserve">Количество благополучателей рассчитывается на основании подсчёта данных, 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 В методике оценки проектов развития муниципальных образований Ульяновской области, подготовленных на основе местных инициатив граждан, указаны критерии оценки, в том числе по подсчету баллов по благополучателям. Кроме этого в Перечне показателей, характеризующих ожидаемые результаты реализации государственной программы Ульяновской области "Управление государственными финансами Ульяновской обалсти" (Приложение 6.1. к государственной программе) указана формула подсчета увеличения доли благополучателей инициативных проектов: Днб = Нб / Н x 100%, где
Нб - численность населения Ульяновской области, которое получит пользу в результате реализации проектов развития, подготовленных на основе местных инициатив граждан;
Н - общая численность населения Ульяновской области
</t>
  </si>
  <si>
    <t>https://docs.cntd.ru/document/463707762 ; https://disk.yandex.ru/d/OsdmtFYj0zQBTQ</t>
  </si>
  <si>
    <t>https://73.rosstat.gov.ru/folder/40275</t>
  </si>
  <si>
    <t>Отдел налоговой культуры и финансовой грамотности - Центр развития налоговой культуры и финансовой грамотности Министерства финансов Ульяновской области; структурное подразделение Министерства финансов Ульяновской области</t>
  </si>
  <si>
    <t>https://disk.yandex.ru/d/bZbeBWBWm2hOGw</t>
  </si>
  <si>
    <t>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</si>
  <si>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Результаты онлайн-голосования за тот или иной инициативный проект фиксируются в протоколе общего собрания жителей муниципального образования по вопросу участия в ежегодном конкурсном отборе проектов развития муниципальных образований Ульяновской области, подготовленных на основе местных инициатив граждан. Онлайн-голосование на примере муниципального образования "город Ульяновск" в социальной сети ВКонтакте: https://vk.com/nozhechkin_ul?w=wall539326967_2565%2Fall</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</si>
  <si>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 Протоколы содержат информацию о количестве граждан, присутствующих на собраниях. Форма Протокола установлена Приложением №3 к Правилам предоставления и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 Ссылка: https://disk.yandex.ru/d/OsdmtFYj0zQBTQ</t>
  </si>
  <si>
    <t>На портале "Открытый бюджет Ульявской области" созданы открытая и закрытая  части. Открытая часть в разделе ППМИ предусматривает размещение всей актуальной информации о Проекте поддержки местных инициатив, в т.ч. предусмотрены разделы: о проекте, новости, реестр реализованных проектов, проекты-победители 2023 года, голосование за проекты 2023, интерактивная карта, НПА, рейтинг муниципальных образований по итогам реализации ППМИ, контакты.  Закрытая часть Портала предусматривает: 1) подачу заявок и материалов к ней на участие в конкурсном отборе в электронном виде через личные кабинеты для муниципальных образований, возможность просмотра стадии прохождения заявки; 2) автоматический подсчёт баллов каждого проекта развития в соответствии с утверждённой Методикой, формирование рейтинга проектов-победителей; 3) формирование аналитической информации (количество сходов граждан, количество участников, типология проектов, стоимость проектов, в т.ч. в разрезе источников финансирования, количество благополучателей и т.п.)</t>
  </si>
  <si>
    <t>ob.ulminfin.ru:8080/ppmi/o-proekte</t>
  </si>
  <si>
    <t>https://цфг73.рф/ ;  https://vk.com/fingram73 ; https://m.ok.ru/dk?st.cmd=friendMain&amp;st.friendId=580072928622&amp;_prevCmd=friendInfo&amp;tkn=9345</t>
  </si>
  <si>
    <t>ob.ulminfin.ru:8080/ppmi/o-proekte  (раздел "НПА", подраздел "Шаблоны", ППМИ Логотип)</t>
  </si>
  <si>
    <t xml:space="preserve">Информация об инициативном бюджетировании размещается в одноименном разделе на портале «Открытый бюджет Ульяновской области» (http://ufo.ulntc.ru:8080/ppmi), 
а также на информационной платформе финансовой грамотности и инициативного бюджетирования в Ульяновской области (цфг73.рф) и социальных сетях Центра развития налоговой культуры и финансовой грамотности. Ссылки: https://vk.com/fingram73 ; https://m.ok.ru/dk?st.cmd=friendMain&amp;st.friendId=580072928622&amp;_prevCmd=friendInfo&amp;tkn=9345. Кроме этого, информирование населения проводится через СМИ: участие в эфирах на радио "2×2", ТВ репортажах "Вести УЛЬЯНОВСК".
</t>
  </si>
  <si>
    <t>ob.ulminfin.ru:8080/ppmi/o-proekte ; (раздел "НПА", подраздел "Методические рекоменадции", документы: "Новации в рамках ППМИ с 2022года (семинар для МР)", "Новации в рамках ППМИ с 2022года (семинар для ГО)", "Практическое применение основ федерального законодательства в части инициативного бюджетирования на муниципальном уровне", "Эффективно закупаем товары, работы и услуги")</t>
  </si>
  <si>
    <t>Зибунина Наталья Анатольевна – главный специалист отдела налоговой культуры и финансовой грамотности – Центра развития налоговой культуры 
и финансовой грамотности Министерства финансов Ульяновской области; Шабакаева Рузиля Рафаэлевна – главный консультант отдела налоговой культуры и финансовой грамотности – Центра развития налоговой культуры 
и финансовой грамотности Министерства финансов Ульяновской области.</t>
  </si>
  <si>
    <t>8 (8422) 73-69-10</t>
  </si>
  <si>
    <t>ppmi@ulminfin.ru</t>
  </si>
  <si>
    <t xml:space="preserve">Алексеева Рената Ринатовна  –  начальник отдела налоговой культуры и финансовой грамотности – Центра развития налоговой культуры 
и финансовой грамотности Министерства финансов Ульяновской области </t>
  </si>
  <si>
    <t>8 (8422) 73-58-68</t>
  </si>
  <si>
    <t>alekseeva.rr@ulminfin.ru</t>
  </si>
  <si>
    <t>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</si>
  <si>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"Наша инициатива" 
Слоган "Родниковый край - расцветай!"</t>
  </si>
  <si>
    <t>31 июля 2021</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</si>
  <si>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"Развитие инициативного бюджетирования в Удмуртской Республике"</t>
  </si>
  <si>
    <t>Постановление Правительства УР от 06.03.2019 N 79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</si>
  <si>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http://www.udmurt.ru/regulatory/index.php?typeid=All&amp;regnum=79&amp;sdate=06.03.2019&amp;edate=&amp;sdatepub=&amp;edatepub=&amp;q=&amp;doccnt=&amp;page=2&amp;doccnt=</t>
  </si>
  <si>
    <t>Постановление Правительства Удмуртской Республики от 21 декабря 2021 года № 689 "О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</si>
  <si>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https://www.udmurt.ru/regulatory/index.php?typeid=31183294&amp;regnum=689&amp;sdate=21.12.2021&amp;edate=&amp;sdatepub=&amp;edatepub=&amp;q=&amp;doccnt=</t>
  </si>
  <si>
    <t>Министерство финансов Удмуртской Республики</t>
  </si>
  <si>
    <t>Иной межбюджетный трасферт</t>
  </si>
  <si>
    <t>Администрации муниципальных образований Удмуртской Республики, чьи проекты стали победителями конкурсного отбора</t>
  </si>
  <si>
    <t>да, но учитывается только в балльно-рейтинговой оценке</t>
  </si>
  <si>
    <t>Безвозмездное предоставление материалов/товаров населением и спонсорами; трудовое участие населения (субботники по очистки территории и работы, не требующие специальной квалификации) и безвозмездное проведение работ спонсорами</t>
  </si>
  <si>
    <t>в рамках отдельной региональной практики молодежного инициативного бюджетирования "Атмосфера"</t>
  </si>
  <si>
    <t>https://udmstat.gks.ru/folder/51924</t>
  </si>
  <si>
    <t>Автономное учреждение дополнительного образования Удмуртской Республики "Центр финансового просвещения"</t>
  </si>
  <si>
    <t>https://www.udmurt.ru/documents/download.php?id=79249830</t>
  </si>
  <si>
    <t>средства бюджета Удмуртской Республики</t>
  </si>
  <si>
    <t xml:space="preserve">
</t>
  </si>
  <si>
    <t>Протоколы мероприятий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информационной системе управления. Ссылка на информационную систему управления - http://isu.mfur.ru/</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</si>
  <si>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</si>
  <si>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Протокол заседания конкурсной комиссии по проведению ежегодного конкурсного отбора инициативных проектов, выдвигаемых для получения финансовой поддержки за счет межбюджетных трансфертов  из бюджета Удмуртской Республики</t>
  </si>
  <si>
    <t>Да, Информационный портал -  (https://ib.mfur.ru/), Информационная система управления - (http://isu.mfur.ru/)</t>
  </si>
  <si>
    <t xml:space="preserve">Образовательная кампания с использованием информационного портала, проверка документов и подсчет рейтинга с использованием информационной системы управления. </t>
  </si>
  <si>
    <t>https://ib.mfur.ru/</t>
  </si>
  <si>
    <t>https://vk.com/ibmfur</t>
  </si>
  <si>
    <t>https://disk.yandex.ru/i/1v1IuZeb0n8c-A</t>
  </si>
  <si>
    <t>Телевизионные сюжеты, радиоэфиры, массовые рассылки через Центр управление регионом. https://vk.com/wall-43073775_97043, https://ib.mfur.ru/tpost/dc0k6zmah1-v-udmurtii-startoval-konkurs-po-initsiat</t>
  </si>
  <si>
    <t>Брошюры для жителей размещены в разделе "В помощь участникам" - https://ib.mfur.ru/documents</t>
  </si>
  <si>
    <t xml:space="preserve">Управленческая школа инициативного бюджетирования, 3 раза в квартал стабильно, образовательные интенсивы после объявления старта конкурса кустовыми методами, активисты в МО, старшие по домам, объединения жителей в районах, специалисты АМО, местные депутаты, депутаты Государственного совета. </t>
  </si>
  <si>
    <t>Головкова Марина Атласовна, заместитель нчальника Управления правового обеспечения и проектной деятельности - начальник отдела проектной деятельности Министерства финансов Удмуртской Республики</t>
  </si>
  <si>
    <t xml:space="preserve"> 571-118</t>
  </si>
  <si>
    <t>golovkova_ma@mf.udmr.ru</t>
  </si>
  <si>
    <t>Реализация проектов молодежное инициативное бюджетирование</t>
  </si>
  <si>
    <t>"Атмосфера"</t>
  </si>
  <si>
    <t>6 февраля 2022 г.</t>
  </si>
  <si>
    <t>Постановление Правительства УР от 31.03.2020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</si>
  <si>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http://www.udmurt.ru/regulatory/index.php?typeid=31183294&amp;regnum=84&amp;sdate=&amp;edate=&amp;sdatepub=&amp;edatepub=&amp;q=&amp;doccnt=</t>
  </si>
  <si>
    <t>Постановление Правительства Удмуртской Республики от 31 марта 2020 года № 94 "О реализации в Удмуртской Республике проектов молодежного инициативного бюджетирования"</t>
  </si>
  <si>
    <t>http://www.udmurt.ru/regulatory/index.php?typeid=31183294&amp;regnum=94&amp;sdate=&amp;edate=&amp;sdatepub=&amp;edatepub=&amp;q=&amp;doccnt=</t>
  </si>
  <si>
    <t>Иные межбюджетные трансферты</t>
  </si>
  <si>
    <t>74 млн.руб</t>
  </si>
  <si>
    <t>https://www.udmurt.ru/regulatory/?typeid=31183294&amp;regnum=94&amp;sdate=&amp;edate=&amp;sdatepub=&amp;edatepub=&amp;q=&amp;doccnt=</t>
  </si>
  <si>
    <t>1 вариант (29 МО). Участники регистрируются командами (инициативными группами) через официальный сайт практики подтверждая своё участие переходом в чат участников своего муниципального образования. В чат участникам направляется ссылка на образовательную платформу, на которой ои получают доступ к образовательным материалам и шаблонам для написания проекта. Первым этапом участники снимают видеовизитку об идее своего проекта и загружают его на платформу. Если кого-то из других участников заинтересовал проект, они могут добавиться в его команду перед стартом написания проекта, с согласия уже сформированной команды. В процессе написания проектов участники получают консультации в чатах и на видеовстречах по прохождению каждого шага написания проекта. Написанные проекты первый раз презентуются (проходит процесс предзащиты) в очном или онлайн формате перед специалистами администрации - Муниципальной экспертной комиссии(МЭК), задача которой дать команде ценные рекомендации по доработке проекта, в случае необходимости. Затем проекты дорабатываются командами и презентуются перед остальными участниками уже на этапе отбора (окончательной защиты) проектов. Общая продолжительность - 30 дней.  2 вариант (1 МО). Этапы регистрации и выдвижения идеи схожи с 1 вариантом, но процесс проектирования проходит очно в формате 2ух дневной проектной сессии. Участники взаимодействуют между командами, а также работают с консультантами и экспертной комиссией очно в течение двух дней обсуждая и проектируя свои инициативы. Процесс предзащиты и отбора аналогичен 1 варианту.</t>
  </si>
  <si>
    <t>Регистрация на официальном сайте и переход в чат МО</t>
  </si>
  <si>
    <t xml:space="preserve">Отбор проектов осуществляется тайным независимым друг от дурга голосованием участников от 14 до 25 лет и членов МЭК. После защиты проектов, каждый участник и член МЭК получал на руки бюллетень. Каждый член МЭК высказывал мнение по каждому из проектов (поддерживаю/не поддерживаю), а каждый участник команды имел два голоса (оба голоса необходимо было отдать за разные проектные предложение, голосование за свое проектное предложение не запрещено). Консультант проектного центра, как независимое лицо, собирал бюллетени и при участии представителей проектных команд и МЭК осуществлял подсчет голосов. Результаты подсчета фиксируются в рейтинге проектных предложений, результаты рейтинга подписывают участники и члены МЭК.        Формирование сводного перечня проектов осуществляет АУДО УР "Центр финансового просвещения". Рассмотрение и утверждение сводного перечня проектов осуществляются региональной экспертной комиссией по рассмотрению и утверждению сводного перечня проектов молодежного инициативного бюджетирования
</t>
  </si>
  <si>
    <t xml:space="preserve">Открытый подсчет бюллетеней при участниках, фиксация информации в рейтинге проектных предложений </t>
  </si>
  <si>
    <t>Регистрация участников через официальный портал практики с автоматическим попаданием в чат участников своего муниципалитета Вконтакте для взаимодействия с кураторами и консультантами по вопросам выдвижения идей и написания проектов; образовательный кампания с помощью видеороликов и текстовых инстуркций через платформу "Google-Класс", представление видеовизиток и пошаговая процедура написания проектов с сопровождением через сервисы "Google"</t>
  </si>
  <si>
    <t>https://atmosphere-udm.ru/</t>
  </si>
  <si>
    <t>https://vk.com/atmosfera_ur</t>
  </si>
  <si>
    <t>https://disk.yandex.ru/i/XVQzgInXC8I50Q</t>
  </si>
  <si>
    <t>Реклама в собственной социальной сети, телевизионные сюжеты, радиоэфиры, массовые рассылки через Центр управление регионом, реклама в социальных сетях МО, реклама в группах молодежных объединений в МО. Ссылки - https://vk.com/wall-192810396_414, https://vk.com/wall-192810396_420, https://vk.com/wall-192810396_426</t>
  </si>
  <si>
    <t>Общая информация - https://classroom.google.com/w/NDY3MzY1ODQ4MzI3/t/all, брошюры для участников - https://disk.yandex.ru/i/rygEuiC5vDA19g, журнал реализованных проектов  -  https://vk.com/doc90007786_629304315?hash=iG3XMnQoZkJ1fSC66aHoFtniJ0DJlMzijQgQRNLGRmD&amp;dl=bTZ3DNBpaNbnDLjCxM3BOBdfS6FzF1bFo1xnjZQx7N0</t>
  </si>
  <si>
    <t xml:space="preserve">Онлайн формат + очные интенсивы управленческой школы молодежного инициативного бюджетирования, не менее 3 раз в квартал на постоянной основе + 37 образовательных мероприятий в рамках самого конкурсного отбора (30 персональных в МО, 7 - общих по всей УР), молодежь от 14 до 25 лет(в т.ч. молодежные объединения), ОМСУ, местные депутаты, депутаты Государственного Совета. </t>
  </si>
  <si>
    <t>Государственная поддержка на реализацию общественно значимых проектов по благоустройству сельских территорий</t>
  </si>
  <si>
    <t>Государственная программа Тюменской области "Развитие агропромышленного комплекса" на 2013 — 2025 годы
Подпрограмма "Комплексное развитие сельских территорий"  на 2020–2025"
Мероприятие "Государственная поддержка на реализацию общественно значимых проектов по благоустройству сельских территорий"</t>
  </si>
  <si>
    <t>Постановление Правительства Тюменской области от 30.12.2014 № 699-п "Об утверждении государственной программы Тюменской области "Развитие агропромышленного комплекса" на 2013 - 2025 годы"</t>
  </si>
  <si>
    <t>https://admtyumen.ru/ogv_ru/finance/more_program.htm?id=1190@egTargetGrant</t>
  </si>
  <si>
    <t>Департамент агропромышленного комплекса Тюменской области</t>
  </si>
  <si>
    <t>Орган местного самоуправления или орган территориального общественного самоуправления, расположенный на сельской территории в Тюменской области</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</si>
  <si>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</si>
  <si>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 xml:space="preserve">Трудовое участие граждан, безвозмездное предоставление помещений, технических средств, строительных материалов, оборудования, малых архитектурных форм, безвозмездное выполнение работ (оказание услуг). </t>
  </si>
  <si>
    <t>Информация о количестве граждан, получивших пользу от реализации проектов представлена органами местного самоуправления, реализовавшими проекты</t>
  </si>
  <si>
    <t>https://showdata.gks.ru/report/278928/?&amp;filter_1_0=2022-01-01+00%3A00%3A00%7C-56&amp;filter_2_0=127937&amp;filter_3_0=109350&amp;filter_4_0=170792%2C173935%2C155852%2C173936%2C155854%2C155855%2C155857%2C204599%2C155858%2C155859%2C155860%2C155861%2C155863%2C155864%2C155865%2C204601%2C204602%2C155866%2C155867%2C155868%2C155869%2C204603%2C155870%2C204604%2C155871%2C155872%2C155873%2C155874%2C155875%2C155876%2C155877%2C155878%2C155879%2C155880%2C155881%2C155882%2C155883%2C204607%2C155884%2C204609%2C204610%2C211936%2C204611%2C204612%2C155886%2C155887%2C155888%2C155889%2C155890%2C155891%2C155892%2C155893%2C155894%2C155895%2C155896%2C155897%2C155898%2C155899%2C155900%2C155901%2C155902%2C155903%2C211937%2C209086%2C173937%2C155904%2C170794%2C155905%2C155906%2C155907%2C155908%2C204616%2C155909%2C204617%2C155910%2C155911%2C155912%2C155913%2C155914%2C155915%2C155916%2C155917%2C155918%2C155919%2C155920%2C155921%2C155922%2C155923%2C155924%2C155925%2C155926%2C204620%2C155927%2C155928%2C204621%2C155929%2C155930%2C155931%2C155932%2C155933%2C155934%2C155935%2C204623%2C155936%2C155937%2C204624%2C155938%2C155939%2C155940%2C155941%2C155942%2C155943%2C155944%2C155945%2C155946%2C155947%2C155948%2C155949%2C155950%2C155951%2C155952%2C155953%2C155954%2C155955%2C155956%2C155957%2C204628%2C204629%2C155958%2C204630%2C155959%2C204631%2C204632%2C204633%2C204634%2C204635%2C155960%2C155961%2C155962%2C155963%2C204637%2C155964%2C155965%2C155966%2C155967%2C155968%2C155969%2C155970%2C155971%2C155972%2C155973%2C155974%2C204639%2C155975&amp;rp_submit=t</t>
  </si>
  <si>
    <t>Списки граждан, подтвердивших своё участие в реализации общественно значимых проектов.</t>
  </si>
  <si>
    <t>Протокол собрания граждан, публичных слушаний, общественных обсуждений</t>
  </si>
  <si>
    <t>Протокол № 1 заседания комиссии по отбору получателей для оказания государственной поддержки на предоставление субсидий на реализацию мероприятий по благоустройству сельских территорий от 16.07.2021</t>
  </si>
  <si>
    <t>Получателями субсидии являются органы местного самоуправления или органы территориального общественного самоуправления, расположенные на сельской территории в Тюменской области.
Под сельскими территориями понимаются сельские поселения или сельские поселения и межселенные территории, объединенные общей территорией в границах муниципального района, сельские населенные пункты, рабочие поселки, входящие в состав Голышмановского и Заводоуковского городских округов.
Муниципальные образования Тюменской области — городские округа Ишим, Тобольск, Тюмень, Ялуторовск и муниципальные районы участие в реализации мероприятия не принимают.</t>
  </si>
  <si>
    <t>https://admtyumen.ru/ogv_ru/finance/apk/more.htm?id=11962253@cmsArticle</t>
  </si>
  <si>
    <t>Медникова Юлия Николаевна, специалист 1 категории отдела развития сельских территорий Департамента агропромышленного комплекса Тюменской области</t>
  </si>
  <si>
    <t>(3452) 46-65-05</t>
  </si>
  <si>
    <t xml:space="preserve"> MednikovaYuN@72to.ru</t>
  </si>
  <si>
    <t>Мазур Павел Владимирович, главный специалист, Департамент финансов Тюменской области</t>
  </si>
  <si>
    <t>(3452) 42-68-28</t>
  </si>
  <si>
    <t>mazurpv@72to.ru</t>
  </si>
  <si>
    <t>2019 год</t>
  </si>
  <si>
    <t>1 января 2022 г.</t>
  </si>
  <si>
    <t>Государственная программа Тюменской области "Развитие жилищно-коммунального хозяйства" / подпрограмма "Формирование современной городской среды" / Региональный проект.
"Формирование комфортной городской среды" в рамках реализации национального проекта "Жилье и городская среда" / Мероприятие проекта.
Реализация программ формирования современной городской среды</t>
  </si>
  <si>
    <t xml:space="preserve">Постановление Правительства Тюменской области от 21.12.2018 № 527-п "Об утверждении государственной программы Тюменской области "Развитие жилищно-коммунального хозяйства" и признании утратившими силу некоторых нормативных правовых актов"
</t>
  </si>
  <si>
    <t>https://gkh.admtyumen.ru/OIGV/gkh/actions/programs/program.htm?id=1138@egTargetGrant</t>
  </si>
  <si>
    <t>Департамент жилищно-коммунального хозяйства Тюменской области</t>
  </si>
  <si>
    <t>Органы местного самоуправления городских округов Тюменской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</si>
  <si>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</si>
  <si>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К благополучателям отнесено количество жителей, проживающих в населенных пунктах, в которых проходила реализация проектов, либо проживающие в непосредственной близости от мест реализации проектов</t>
  </si>
  <si>
    <t>357 (сбор голосов за дизайн проекты по благоустройству территорий)</t>
  </si>
  <si>
    <t>подсчет участников обсуждения</t>
  </si>
  <si>
    <t>Протокол заседания общественной комиссии</t>
  </si>
  <si>
    <t>Онлайн-подсчет</t>
  </si>
  <si>
    <t>Протокол территориальной счетной комиссии</t>
  </si>
  <si>
    <t>Практика предусматривает участие только части муниципальных образований - городских округов</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</si>
  <si>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жилищно-коммунального хозяйства" предоставляются муниципальным образованиям имеющим статус города.</t>
  </si>
  <si>
    <t>федеральная платформа для онлайн-голосований https://za-gorodsreda.ru/</t>
  </si>
  <si>
    <t>http://gorodsreda.ru/</t>
  </si>
  <si>
    <t>https://vk.com/tmncomfort</t>
  </si>
  <si>
    <t xml:space="preserve">https://minstroy.49gov.ru/common/upload/25/editor/file/Gorsreda_brandbook_new.pdf </t>
  </si>
  <si>
    <t xml:space="preserve">https://t-l.ru/340424.html                                                                      https://vsluh.ru/novosti/nedvizhimost/stalo-izvestno-kakie-territorii-tyumeni-budut-blagoustroeny-v-2023-godu-v-ramkakh-natsproekta_376089/  </t>
  </si>
  <si>
    <t>Шиллер Мария Владимировна, главный специалист отдела программ и благоустройства Департамента жилищно-коммунального хозяйства Тюменской области</t>
  </si>
  <si>
    <t>8 (3452) 42-77-88</t>
  </si>
  <si>
    <t>ShillerMV@72to.ru</t>
  </si>
  <si>
    <t xml:space="preserve">Субсидии из областного бюджета местным бюджетам на реализацию инициативных проектов
</t>
  </si>
  <si>
    <t>Таблица 33 "Распределение субсидий местным бюджетам на мероприятия, направленные на реализацию инициативных проектов" Приложения 25 к Закону Тюменской области от 02.12.2021 № 94 "Об областном бюджете на 2022 год и на плановый период 2023 и 2024 годов"</t>
  </si>
  <si>
    <t>consultantplus://offline/ref=B082A54577C801051DBB1E59255008648595B982756A31581CA203532BF927376E135ECB3F42EA925BE136848C717128FD9A1885419488B42AC258ACi4fAN</t>
  </si>
  <si>
    <t>Постановление Правительства Тюменской области от 03.12.2021 № 781-п "О некоторых вопросах регулирования отношений, связанных с инициативными проектами, выдвигаемыми для получения финансовой поддержки за счет межбюджетных трансфертов в форме субсидий из областного бюджета"</t>
  </si>
  <si>
    <t>consultantplus://offline/ref=279DF6A4FEF0383180BD99F6DED617130BC2E8B3556FB4AF2A4ED5AFA9CAD23631232986A9EC863C61A5540E86DA2734AF4A9416D1338C3BB4BA23F6M9x4K</t>
  </si>
  <si>
    <t>Департамент финансов Тюменской области</t>
  </si>
  <si>
    <t>Органы местного самоуправления Тюменской области</t>
  </si>
  <si>
    <t>Финансовая оценка вклада граждан, индивидуальных предпринимателей и юридических лиц, определена на основании локально-сметных расчетов</t>
  </si>
  <si>
    <t>К благополучателям отнесено количество жителей, проживающих в населенных пунктах, в которых проходила реализация инициативных проектов, либо имеющим возможность пользоваться услугами после реализации инициативных проектов, либо проживающие в непосредственной близости от мест реализации инициативных проектов</t>
  </si>
  <si>
    <t>Списки граждан, подтвердивших своё участие</t>
  </si>
  <si>
    <t>Собрание органов территориального общественного самоуправления</t>
  </si>
  <si>
    <t>Электронное голосование</t>
  </si>
  <si>
    <t>Муниципальное образование в отношении инициативного проекта, допущенного к конкурсному отбору, может инициировать проведение электронного голосования граждан в информационно-телекоммуникационной сети "Интернет" с целью выявления их мнения по вопросу дополнительной поддержки инициативного проекта</t>
  </si>
  <si>
    <t>Рекламная кампания проводилась муниципальными образованиями в местных газетах, официальных сайтах и на страницах социальных сетей:
https://vk.com/wall-186238089_907
https://vk.com/public172168608?w=wall-172168608_3245
https://yalutorovsk-mr.admtyumen.ru/mo/Yalutorovsk_mr/economics/more.htm?id=11970289@cmsArticle
https://vk.com/zgo72?w=wall-109618918_9301</t>
  </si>
  <si>
    <t>«Народная инициатива»</t>
  </si>
  <si>
    <t>Народная инициатива</t>
  </si>
  <si>
    <t>Государственная программа Тамбовской области «Формирование
современной городской среды в Тамбовской области». Мероприятие: Субсидия на поддержку местных инициатив граждан и реализацию проектов «Народная инициатива»</t>
  </si>
  <si>
    <t xml:space="preserve">Постановление администрации Тамбовской области от 29.08.2017 № 864 </t>
  </si>
  <si>
    <t>http://publication.pravo.gov.ru/Document/View/6800201709010001?rangeSize=20</t>
  </si>
  <si>
    <t xml:space="preserve">Статья 15³ Закона Тамбовской области от 25.02.2017 № 86-З "Об отдельных вопросах организации местного самоуправления в Тамбовской области"
</t>
  </si>
  <si>
    <t>https://docs.cntd.ru/document/444997742</t>
  </si>
  <si>
    <t xml:space="preserve">Постановление администрации Тамбовской области от 17.11.2021 № 843 "О мерах по реализации статьи 15³ Закона Тамбовской области от 25.02.2017 " 86-З "Об отдельных вопросах организации местного самоуправления в Тамбовской области"
</t>
  </si>
  <si>
    <t>https://docs.cntd.ru/document/577949370</t>
  </si>
  <si>
    <t>Департамент внутренней политики Правительства Тамбовской области</t>
  </si>
  <si>
    <t>Правительство Тамбовской области</t>
  </si>
  <si>
    <t>Администрации городских округов, городских и сельских поселений Тамбовской области</t>
  </si>
  <si>
    <t>Показателем результативности использования субсидий администрациями городских округов, городских и сельских поселений области является доля граждан в общем количестве жителей Тамбовской области, непосредственно пользующихся результатами реализованных проектов «Народная инициатива».
Значение показателя результативности устанавливается в соглашении о предоставлении субсидии из бюджета области бюджету муниципального образования  на поддержку местных инициатив граждан и реализацию проектов «Народная инициатива». Численность граждан, непосредственно пользующихся результатами реализованных проектов, представленная муниципальными образованиями суммируется и определяется их доля от численности населения области.</t>
  </si>
  <si>
    <t>https://68.rosstat.gov.ru/storage/mediabank/chis23-22s.pdf</t>
  </si>
  <si>
    <t>Опросные листы</t>
  </si>
  <si>
    <t>Проведение заседаний общественных Советов, опрос граждан членами общественных Советов</t>
  </si>
  <si>
    <t>Протоколы заседаний общественных Советов</t>
  </si>
  <si>
    <t>В Тамбовской области предусмотрена возможность участия городских округов, городских и сельских поселений. Практика не предусматривает участие в ней муниципальных районов Тамбовской области</t>
  </si>
  <si>
    <t>Поскольку в практике участвуют все городские округа, сельские и городские поселения (что составляет 100% охват населения), муниципальные районы не участвуют в практике, так как в состав их территорий входят сельские и городские поселения</t>
  </si>
  <si>
    <t>https://www.tambov.gov.ru/departament-vnutrennej-politiki/urt/narodnaya-iniciativa.html</t>
  </si>
  <si>
    <t>https://www.tambov.gov.ru/news/view/proekt-narodnaya-iniciativa-novye-usloviya-novye-idei.html</t>
  </si>
  <si>
    <t>Проект «Народная инициатива» освещался в средствах массовой информации регионального и муниципального уровней.</t>
  </si>
  <si>
    <t>Осуществляется на постоянной основе посредством направления органам местного самоуправления Тамбовской области методических материалов, разъяснений, нормативных правовых актов</t>
  </si>
  <si>
    <t>Серегин Роман Степанович - заместитель начальника отдела по взаимодействию с органами местного самоуправления управления по развитию местного самоуправления департамента внутренней политики Правительства Тамбовской области</t>
  </si>
  <si>
    <t>8 (4752) 79-22-65</t>
  </si>
  <si>
    <t>srs@omsu.tambov.gov.ru</t>
  </si>
  <si>
    <t xml:space="preserve"> Региональный проект "Поддержка инициативных проектов"</t>
  </si>
  <si>
    <t>Государственная программа Тамбовской области «Формирование современной городской среды Тамбовской области». Региональный проект "Поддержка инициативных проектов". Мероприятие:  Реализация инициативных проектов</t>
  </si>
  <si>
    <t>Постановление администрации Тамбовской области от 17.11.2021 № 843 (ред. от 27.04.2022) "О мерах по реализации статьи 15.3 Закона Тамбовской области от 25.02.2017 № 86-З "Об отдельных вопросах организации местного самоуправления в Тамбовской области"</t>
  </si>
  <si>
    <t>http://publication.pravo.gov.ru/Document/View/6800202111190001</t>
  </si>
  <si>
    <t>Администрации городских округов, муниципальных районов, городских и сельских поселений Тамбовской области</t>
  </si>
  <si>
    <t>Показателем результативности использования субсидий администрациями городских округов, городских и сельских поселений Тамбовской области является доля граждан в общем количестве жителей Тамбовской области, непосредственно пользующихся результатами реализованных проектов.
Значение показателя результативности устанавливается в соглашении о предоставлении субсидии из бюджета области бюджету муниципального образования  на поддержку местных инициатив граждан и реализацию инициативных проектов. Численность граждан, непосредственно пользующихся результатами реализованных проектов, представленная муниципальными образованиями суммируется и определяется их доля от численности населения области.</t>
  </si>
  <si>
    <t>Опросные листы, протоколы, сбор подписей</t>
  </si>
  <si>
    <t xml:space="preserve">Протоколы </t>
  </si>
  <si>
    <t>ИБ освещается в сети «Интернет» на сайтах органов местного самоуправления, в местных СМИ</t>
  </si>
  <si>
    <t xml:space="preserve">Осуществляется постоянно посредством направления в органы местного самоуправления методических материалов, разъяснений, нормативно-правовых актов и устной консультации </t>
  </si>
  <si>
    <t>Пономарева Ангелина Эдуардовна — заместитель начальника отдела по взаимодействию с органами местного самоуправления управления по развитию местного самоуправления департамента внутренней политики и развития местного самоуправления администрации области</t>
  </si>
  <si>
    <t>(4 752) 79 22 52</t>
  </si>
  <si>
    <t>pae@omsu.tambov.gov.ru</t>
  </si>
  <si>
    <t>Региональный проект "Благоустройство сельских территорий"</t>
  </si>
  <si>
    <t>Государственная программа Тамбовской области комлексного развития сельских территорий, направление (подпрограмма) "Создание и развитие инфраструктуры на сельских территориях", региональный проект "Благоустройство сельских территорий"</t>
  </si>
  <si>
    <t>Постановление администрации Тамбовской области от 31.12.2019 № 1506</t>
  </si>
  <si>
    <t>http://publication.pravo.gov.ru/Document/View/6800202001040003</t>
  </si>
  <si>
    <t>Министерство сельского хозяйства Тамбовской области</t>
  </si>
  <si>
    <t>Администрации муниципальных районов, городских и сельских поселений Тамбовской области</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</si>
  <si>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 федеральный проект "Благоустройство сельских территорий"</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</si>
  <si>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</si>
  <si>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Приказ управления сельского хозяйства Тамбовской области от 10.01.2022 № 1</t>
  </si>
  <si>
    <t>https://agro.tmbreg.ru/inv.html</t>
  </si>
  <si>
    <t>Освещение в СМИ, официальные сайты, РОИВ, ГРБС, ОМС.</t>
  </si>
  <si>
    <t>Не проводились</t>
  </si>
  <si>
    <t xml:space="preserve">Родионова Ю.А., главный специалист-эксперт отдела развития сельских территорий управления развития сельских территорий и земельных отношений министерства сельского хозяйства Тамбовской области
</t>
  </si>
  <si>
    <t>8(4752) 782656</t>
  </si>
  <si>
    <t>rnn@agro.tambov.gov.ru</t>
  </si>
  <si>
    <t>Комплексное развитие сельских территорий (реализация проектов комлексного развития сельских территорий (сельских агломераций)</t>
  </si>
  <si>
    <t>Государственная программа Тамбовской области комлексного развития сельских территорий, подпрограмма "Создание и развитие инфраструктуры на сельских территориях", Региональный проект "Современный облик сельских территорий"</t>
  </si>
  <si>
    <t>Администрации муниципальных районов и сельских поселений Тамбовской области</t>
  </si>
  <si>
    <t>Государственная программа Российской Федерации "Комплексное развитие сельских территорий"</t>
  </si>
  <si>
    <t>Протокол собрания представителей граждан</t>
  </si>
  <si>
    <t>Протокол заседания Комиссии по предварительному отбору  проектов комплексного развития сельских территорий или сельских агломераций Тамбовской области для направления в Министерство сельского хозяйства Российской Федерации от 18.02.2021 № 1</t>
  </si>
  <si>
    <t>Тяпкина Полина Ивановна, главный специалист-эксперт отдела развития сельских территорий управления развития сельских территорий министерства сельского хозяйства Тамбовской области</t>
  </si>
  <si>
    <t>8(4752) 78-26-71</t>
  </si>
  <si>
    <t>kav@agro.tambov.gov.ru</t>
  </si>
  <si>
    <t xml:space="preserve">Государственная программа Тамбовской области  "Формирование современной городской среды в Тамбовской области" </t>
  </si>
  <si>
    <t>Постановление администрации Тамбовской области от 29.08.2017 № 864</t>
  </si>
  <si>
    <t xml:space="preserve">Министерство  топливно-энергетического комплекса и жилищно-коммунального хозяйства Тамбовской области </t>
  </si>
  <si>
    <t xml:space="preserve">Министерство топливно-энергетического комплекса и жилищно-коммунального хозяйства Тамбовской области </t>
  </si>
  <si>
    <t>Национальный проект "Жилье и городская среда", федеральный проект "Формирование комфортной городской среды"</t>
  </si>
  <si>
    <t xml:space="preserve">Министерство строительства и жилищно-коммунального хозяйства Российской Федерации </t>
  </si>
  <si>
    <t>Общее количество жителей населенных пунктов области - получателей субсидии на проведение благоустройства (92 МО)</t>
  </si>
  <si>
    <t>Прием заявок на официальных сайтах муниципальных образований области</t>
  </si>
  <si>
    <t>92 муниципальных образования области</t>
  </si>
  <si>
    <t>Участвуют муниципальные образования с численностью населения свыше 1 тыс. человек</t>
  </si>
  <si>
    <t>https://gkh.tmbreg.ru/form/Dostup_Sreda/Dostup_sreda_ogl.htm</t>
  </si>
  <si>
    <t>Эфиры на радио, проведение интернет-голосования за выбор  общественных территорий для проведения благоустройства в городах области, общественные сходы в сельских населеных пунктах</t>
  </si>
  <si>
    <t>Хворова Елена Александровна - заместитель начальника отдела реформирования ЖКК министерства топливно-энергетического комплекса и жилищно-коммунального хозяйства Тамбовской области</t>
  </si>
  <si>
    <t>8(4752)791535</t>
  </si>
  <si>
    <t>xea@gkh.tambov.gov.ru</t>
  </si>
  <si>
    <t>Губернаторская программа поддержки местных инициатив Ставропольского края</t>
  </si>
  <si>
    <t>Государственная программа Ставропольского края «Управление финансами» (подпрограмма «Повышение сбалансированности и устойчивости бюджетной системы Ставропольского края», основное мероприятие «Поддержка местных инициатив», приложение к подпрограмме «Правила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t>
  </si>
  <si>
    <t>Постановление Правительства Ставропольского края от 26 декабря 2018 г. № 598-п</t>
  </si>
  <si>
    <t>pmisk.ru/materials</t>
  </si>
  <si>
    <t>Закон Ставропольского края от 29.01.2021 № 1-кз "О развитии инициативного бюджетирования в Ставропольском крае"</t>
  </si>
  <si>
    <t xml:space="preserve">Приказ министерства финансов Ставропольского края от 03 августа 2020 года № 201 «Об утверждении Методики формирования рейтинга проектов развития территорий муниципальных образований Ставропольского края, основанных на местных инициативах»;
приказ министерства финансов Ставропольского края от 16 июля 2021 года № 174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являющимися приложением 2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постановление Правительства Ставропольского края от 24 марта 2009 года № 
постановление Правительства Ставропольского края от 12 августа 2021 года № 401-п «О конкурсной комиссии по проведению в Ставропольском крае конкурсного отбора инициативных проектов» </t>
  </si>
  <si>
    <t>Министерство финансов Ставропольского края</t>
  </si>
  <si>
    <t>Администрации муниципальных образований Ставропольского края</t>
  </si>
  <si>
    <t>Финансовая оценка осуществляется  индивидуальными предпринимателями и организациями самостоятельно и указывается в документах, прилагаемсых к заявке на участие в конкурсе; финансовая оценка  безвозмездного труд, выполненного населением населенных пунктов муниципальных образований Ставропольского края не осуществляется</t>
  </si>
  <si>
    <t>Количество благополучателей указывается в заявке муниципального образования Ставропольского края на участие в конкурсном отборе</t>
  </si>
  <si>
    <t>https://rosstat.gov.ru/storage/mediabank/chisl_RF_01-01-2022_VPN-2020.xls</t>
  </si>
  <si>
    <t>Отдел инициативного бюджетирования ГКУ ДПО "Учебный центр министерства финансов Ставропольского края"</t>
  </si>
  <si>
    <t>http://lc.mfsk.ru/upload/iblock/6b2/Устав%20ГКУ%20ДПО%20Учебный%20центр%20министерства%20финансов%20Ставропольского%20края.pdf</t>
  </si>
  <si>
    <t>Бюджет Ставропольского края</t>
  </si>
  <si>
    <t>Авторизация на сайте производится с использованием единой системы идентификации и аутентификации (ЕСИА)</t>
  </si>
  <si>
    <t>К заявке муниципального образования Ставропольского края на участие в конкурсном отборе прикладываются протоколы проведения собраний, фото и видеоматериалы</t>
  </si>
  <si>
    <t>Предусмотрено применение портала в информационно-телекоммуникационной сети «Интернет» pmisk.ru в целях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</si>
  <si>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pmisk.ru</t>
  </si>
  <si>
    <t>mfsk.ru, vk.com/pmisk, ok.ru/group/55167178309872</t>
  </si>
  <si>
    <t>https://disk.yandex.ru/d/hdWGoGUW-Q9P5A</t>
  </si>
  <si>
    <t>Рекламные аудио и видеоролики (более 2 тыс. минут), новостные видеосюжеты на краевом  телевидении (5 сюжетов), 21,5 тыс. единиц печатной и полиграфической продукции, предусмотренной для муниципальных образований Ставропольского края</t>
  </si>
  <si>
    <t>https://disk.yandex.ru/d/GcDENoewog4hxg</t>
  </si>
  <si>
    <t>Проектным центром проводится «школа местных инициатив»: обучающие семинары для представителей администраций муниципальных образований края и активных жителей края. В рамках «школы» проводятся вебинары и семинары, в том числе "кустовые". Особое внимание уделяется работе органов местного самоуправления с населением в части выбора проектов для дальнейшего участия в конкурсном отборе проектов.  В работе семинаров принимают участие кураторы реализации проектов в городских округах и муниципальных района, руководители территориальных отделов и иные представители органов местного самоуправления муниципальных образований края. Также "школа" проводится для инициативных групп в целях информирования о процедурах реализации муниципальных практик, применяемых в городских и муниципальных округах Ставропольского края, а также о процедурах реализации краевой практики по поддержке местных инициатив.</t>
  </si>
  <si>
    <t>Литвинов Олег Сергеевич, начальник отдела инициативного бюджетирования ГКУ ДПО "Учебный центр министерства финансов Ставропольского края"</t>
  </si>
  <si>
    <t>+7(8652)99-26-80</t>
  </si>
  <si>
    <t>litvinov@mfsk.ru</t>
  </si>
  <si>
    <t>Климова Елена Александровна, начальник отдела мониторинга и реформирования бюджетного процесса министерства финансов Ставропольского края</t>
  </si>
  <si>
    <t>8(8652)74-84-60</t>
  </si>
  <si>
    <t>klimova@mfsk.ru</t>
  </si>
  <si>
    <t>Внедрение механизмов инициативного бюджетирования на территории Свердловской области</t>
  </si>
  <si>
    <t>публичного названия нет, часто используется выражение "инициативное бюджетирование"</t>
  </si>
  <si>
    <t>13.01.2022 (принят приказ Минэкономики и терразвития Свердловской области № 2 о проведении регионального конкурсного отбора)</t>
  </si>
  <si>
    <t>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2027 года», утвержденной постановлением Правительства Свердловской области от 25.12.2014 № 1209-ПП в последующих редакциях</t>
  </si>
  <si>
    <t>постановление Правительства Свердловской области от 31.08.2017 № 639-ПП</t>
  </si>
  <si>
    <t>http://economy.midural.ru/content/postanovlenie-pravitelstva-sverdlovskoy-oblasti-ot-31082017-no-639-ppo-vnesenii-izmeneniy-v</t>
  </si>
  <si>
    <t>Закон Свердловской области от 8 декабря 2021 года № 111-ОЗ «Об областном бюджете на 2022 год и плановый период 2023 и 2024 годов»</t>
  </si>
  <si>
    <t>https://minfin.midural.ru/document/category/20#document_list</t>
  </si>
  <si>
    <t>постановление Правительства Свердловской области от 14.07.2022 № 440-ПП «О распределении субсидий из областного бюджета бюджетам муниципальных образований, расположенных на территории Свердловской области, на внедрение механизмов инициативного бюджетирования на территории Свердловской области в 2022 году»;
приказы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последующих редакциях; 
НПА муниципального уровня размещены на сайтах муниципальных образований</t>
  </si>
  <si>
    <t>http://economy.midural.ru/content/perechen-npa-aktualnye-redakcii</t>
  </si>
  <si>
    <t>Министерство экономики и территориального развития Свердловской области</t>
  </si>
  <si>
    <t>муниципальные образования, расположенные на территории Свердловской области</t>
  </si>
  <si>
    <t>–</t>
  </si>
  <si>
    <t>Методику подсчета определяют администрации муниципальных образований. Использовались метод прямого счета и определение благополучателей на основании статистических данных, данных о зарегистрированных гражданах на территории сельской администрации на основании Паспорта сельской территории; по количеству обучающихся в образовательных учреждениях и их родителей; по числу посетителей культурно-массовых учреждений и мероприятий; по числу жителей территории населенного пункта, где реализован проект, являющихся благополучателями (масштабные проекты или "передвижные" считаются с учетом жителей близрасположенных населенных пунктов, которые также пользуются их результатами), например, данных управляющей компании о количестве зарегистрированных жителей МКД, расположенных в непосредственной близости от установленного объекта инициативного бюджетирования</t>
  </si>
  <si>
    <t>https://66.rosstat.gov.ru/folder/29698</t>
  </si>
  <si>
    <t>да, в 18 муниципальных образованиях</t>
  </si>
  <si>
    <t>да, в 27 муниципальных образованиях</t>
  </si>
  <si>
    <t>протокол заседания инициативной группы</t>
  </si>
  <si>
    <t>да, в 2 муниципальных образованиях</t>
  </si>
  <si>
    <t>журнал регистрации заявок, электронная форма заявок или письменная</t>
  </si>
  <si>
    <t>да, в Тавдинском городском округе (прием инициатив от населения на личных приемах граждан главой и председателем комитета экономической и социальной политики, стратегического развития администрации городского округа)</t>
  </si>
  <si>
    <t>карточка личного приема гражданина, письменное заявление граждан</t>
  </si>
  <si>
    <t>да, в 3 муниципальных образованиях</t>
  </si>
  <si>
    <t>скриншоты страниц в интернете, протоколы опросов, например, на официальной странице Администрации Полевского городского округа в социальной сети ВКонтакте проведен опрос граждан (участие приняли 1254 человека) https://vk.com/polevskoygo?w=wall-204442864_442</t>
  </si>
  <si>
    <t>да, в 19 муниципальных образованиях</t>
  </si>
  <si>
    <t>протокол собрания</t>
  </si>
  <si>
    <t>да, в 6 муниципальных образованиях</t>
  </si>
  <si>
    <t>протокол заседания комиссии</t>
  </si>
  <si>
    <t>состав комиссий от 7 до 13 человек</t>
  </si>
  <si>
    <t>протоколы заседаний муниципальных конкурсных комиссий и региональной конкурсной комиссии по отбору проектов инициативного бюджетирования</t>
  </si>
  <si>
    <t>число членов муниципальных конкурсных комиссий от 8 до 13 человек, региональной конкурсной комиссии - 19 человек</t>
  </si>
  <si>
    <t>Размещение на сайтах муниципальных образований и Минэкономики и терразвития Свердловской области извещений о начале приема заявок на муниципальные и региональный конкурсы,  результатов отбора, этапов реализации и итогов выполнения проектов. Голосование за проекты в онлайн формате, в том числе  через официальные сайты учреждений</t>
  </si>
  <si>
    <t>http://economy.midural.ru/content/iniciativnoe-byudzhetirovanie
сайты муниципальных образований: http://инициатива.екатеринбург.рф/
https://alapaevskoe.ru/article/show/id/10217 
https://artemovsky66.ru/economy/initsiativnoe-byudzhetirovanie/ 
https://arti.midural.ru/article/show/id/10031
https://v-salda.ru/ekonomika/initsiativnoe-byudzhetirovanie/ 
https://movp.ru/site/section?id=1330
http://adm-verhotury.ru/msu/administratsiya-gorodskogo-okruga-verhoturskij/komitet-ekonomiki-i-planirovaniya/initsiativnoe-byudzhetirovanie/
http://gorod-kamyshlov.ru/initsiativnoe-byudzhetirovanie/media/2023/1/16/realizovano-2-proekta-initsiativnogo-byudzhetirovaniya/
https://kgo66.ru/str-eco/str-eco-inbud/str-eco-inbud-inbud
https://rkruf.midural.ru/article/show/id/1124
http://www.gorodlesnoy.ru/city/economica/initsiativnoe-byudzhetirovanie/2022/
https://rezhevskoy.midural.ru/article/show/id/10426
http://www.adm-serov.ru/index.php?page_link=adm_news_obyavl
http://www.adm-serov.ru/index.php?page_link=okrug_invest_budj_0
http://www.adm-tavda.ru/node/15374
https://vk.com/gorodtavda
https://ok.ru/gorodtavda</t>
  </si>
  <si>
    <t xml:space="preserve">https://vk.com/economy_so; сайты органов местного самоуправления муниципальных образований и социальные сети, в том числе: http://инициатива.екатеринбург.рф/ https://polevsk.midural.ru/article/show/id/10528
https://vk.com/public205438920?w=wall-205438920_197
https://vk.com/club211961988
https://asbestadm.ru/economy/initsiativnoe-byudzhetirovanie/                                                               
https://vk.com/zaasbest              
vSalde.ru; https://vk.com/gorodsalda
Социальные сети "ВК" администрации городского округа Верхняя Пышма
https://www.grgo.ru/ekonomika/in-byudzhet/?SECTION_ID=1493&amp;ELEMENT_ID=35695
https://kam16.caduk.ru/magicpage.html?page=22126        
https://skazka14.edusite.ru/
https://vk.com/wall-89375734_9311 
https://vk.com/polevskoygo?w=wall-204442864_442
https://vk.com/wall-204442864_4056
https://polevsk.midural.ru/news/show/id/8939/news_category/main
https://propolevskoy.ru/education/item/5649-v-polevskom-tsrt-imeni-n-e-bobrovoj-posle-modernizatsii-otkryt-aktovyj-zal
https://polevskoy24.ru/news/society/iz-dvux-iniciativnyx-proektov-nuzhno-vybrat-odin/85189/
https://vk.com/wall-144428598_20863
http://goreftinsky.ru/page/bottom_menu/econom/init_budjet/index.php   
http://goreftinsky.ru/page/news/index.php?id_news=4795
http://goreftinsky.ru/page/news/index.php?id_news=4797
http://goreftinsky.ru/files/bottom_menu/econom/init_budjet/result.pdf 
http://goreftinsky.ru/page/news/index.php?id_news=4825 
https://vk.com/goreftinsky?w=wall-178684390_4745
https://vk.com/goreftinsky?w=wall-178684390_4925
https://vk.com/goreftinsky?w=wall-178684390_5165
https://vk.com/goreftinsky?w=wall-178684390_5220
https://vk.com/economy_so?w=wall-204681318_527 
https://vk.com/goreftinsky?w=wall-178684390_5152
https://rutube.ru/video/54adec1a09e343e815f87b4a5fd3ab53/
https://www.youtube.com/watch?v=zWnzdOVLIYY
https://www.youtube.com/watch?v=zsiZS_Dj0O8
http://serov-stal.ru/obschestvo/8017-iniciativy-zhitelej-podderzhany.html
https://serov-rb.ru/tolko-vpered/
https://serov-rb.ru/initsiativy-sverdlovchan-budut-podderzhany/
</t>
  </si>
  <si>
    <t xml:space="preserve">Размещение информации о проведении конкурсов, о ходе выполнения и результатах реализации проектов на сайтах Минэкономики и терразвития Свердловской области и администраций муниципальных образований, в средствах массовой информации (муниципальные и областные издания), в социальных сетях (на страницах Инстаграм, Одноклассники, ВКонтакте) и чате предпринимателей (WApp), новостные сюжеты и программные передачи на телевидении,  информационная работа с администрациями муниципальных образований в рамках выездных дней Министерства, информационная работа администраций муниципальных образования с жителями сельских населенных пунктов (выезды, прием граждан) </t>
  </si>
  <si>
    <t>участие, в том числе представителей муниципальных образований, в вебинарах, проводимых НИФИ Минфина России</t>
  </si>
  <si>
    <t xml:space="preserve">Сметанкина Елена Борисовна, заместитель начальника отдела методического обеспечения и координации стратегического планирования департамента экономического анализа и территориального развития Министерства экономики и территориального развития Свердловской области </t>
  </si>
  <si>
    <t>8-343-312-10-00 (доб. 109)</t>
  </si>
  <si>
    <t>e.smetankina@egov66.ru</t>
  </si>
  <si>
    <t>Формирование современной городской среды</t>
  </si>
  <si>
    <t>государственная программа Свердловской области «Формирование современной городской среды на территории Свердловской области на 2018-2027 годы» (мероприятие «Формирование современной городской среды в целях реализации национального проекта «Жилье и городская среда»)</t>
  </si>
  <si>
    <t>постановление Правительства Свердловской области от 31.10.2017 № 805-ПП</t>
  </si>
  <si>
    <t>http://energy.midural.ru/gosudarstvennaya-programma/</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</si>
  <si>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</si>
  <si>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https://energy.midural.ru/napravleniya-deyatelnosti/formirovanie-komfortnoj-gorodskoj-sredy/prioritetnyj-proekt/hod-prior/pasport-regionalnogo-proekta-formirovanie-komfortnoj-gorodskoj-sredy-na-territorii-sverdlovskoj-oblasti-versija-40-ot-14-03-2023/</t>
  </si>
  <si>
    <t>Министерство энергетики и жилищно-коммунального хозяйства Свердловской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</si>
  <si>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</si>
  <si>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t>
  </si>
  <si>
    <t>https://energy.midural.ru/gosudarstvennaya-programma/</t>
  </si>
  <si>
    <t>данные отсутствуют</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</si>
  <si>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</si>
  <si>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https://sverdl.gks.ru/folder/29698</t>
  </si>
  <si>
    <t>ведомственный проектный офис Министерства энергетики и жилищно-коммунального хозяйства Свердловской области,  Центр компетенций формирования комфортной городской среды -  структурное подразделение государственного бюджетного учреждения Свердловской области «Институт развития жилищно-коммунального хозяйства и энергосбережения им. Н.И. Данилова»</t>
  </si>
  <si>
    <t>источник финансирования деятельности Центра компетенций формирования комфортной городской среды - структурного подразделения ГБУ Свердловской области «Институт развития жилищно-коммунального хозяйства и энергосбережения им. Н.И. Данилова» - бюджет Свердловской области</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</si>
  <si>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t>
  </si>
  <si>
    <t xml:space="preserve"> -*</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</si>
  <si>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t>
  </si>
  <si>
    <t>-*</t>
  </si>
  <si>
    <t>в рамках очных встреч и обсуждений граждан, указанных в п. 13.2</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</si>
  <si>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проводятся мероприятия: школьные проекты, проведение фокус-групп, проектные мастерские, оценка эксплуатации территории, консультирование, дизайн-игры, картирование</t>
  </si>
  <si>
    <t xml:space="preserve">рейтинговое голосование, za.gorodsreda.ru </t>
  </si>
  <si>
    <t>Протокол заседания комиссии Министерства энергетики и жилищно-коммунального хозяйства Свердловской области по проведению отбора заявок муниципальных образований на предоставление субсидий из областного бюджета местным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«Формирование современной городской среды на территории Свердловской области на 2018–2027 годы»</t>
  </si>
  <si>
    <t>межведомственная комиссия по обеспечению реализации регионального проекта «Формирование комфортной городской среды на территории Свердловской области»</t>
  </si>
  <si>
    <t>Протокол заседания межведомственной комиссии Свердловской области по обеспечению реализации регионального проекта «Формирование комфортной городской среды на территории
Свердловской области»</t>
  </si>
  <si>
    <t>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формирование современной городской среды являются приложением № 4 к порядку предоставления субсидий из областного бюджета местным бюджетам муниципальных образований, расположенных на территории Свердловской области, на формирование современной городской среды, содержащемся в государственной программе Свердловской области «Формирование современной городской среды на территории Свердловской области на 2018-2027 годы»</t>
  </si>
  <si>
    <t>да, za.gorodsreda.ru</t>
  </si>
  <si>
    <t>В рамках мероприятий по вовлечению жителей в реализацию федерального проекта «Формирование комфортной городской среды» предусмотрено вовлечение населения посредством сети интернет. В 2022 году организовано и проведено Всероссийское онлайн-голосование граждан на общероссийской платформе za.gorodsreda.ru по выбору общественных территорий (дизайн-проектов)</t>
  </si>
  <si>
    <t>http://energy.midural.ru/napravleniya-deyatelnosti/formirovanie-komfortnoj-gorodskoj-sredy/</t>
  </si>
  <si>
    <t>на официальных сайтах муниципальных образований, расположенных на территории Свердловской области, созданы разделы «Формирование комфортной городской среды»</t>
  </si>
  <si>
    <t>https://gorodsreda.ru/documents/metodiki-i-rekomendatsi</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</si>
  <si>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2022 год размещено более 1000 материалов по реализации на территории Свердловской области национального проекта «Жилье и городская среда».  Информация доводилась посредством телевизионных и печатных СМИ, социальных сетей и тд.</t>
  </si>
  <si>
    <t>в рамках проведения рейтингового голосования  использованы информационные материалы</t>
  </si>
  <si>
    <t>на базе  ГБУ Свердловской области «Институт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</si>
  <si>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Кислицын Андрей Николаевич (Заместитель Министра энергетики и жилищно-коммунального хозяйства Свердловской области), Денисова Оксана Александровна (начальник отдела стратегического развития и аналитического обеспечения Министерства энергетики и жилищно-коммунального хозяйства Свердловской области) 
Абзалова Юлия Марселевна (главный специалист отдела стратегического развития и аналитического обеспечения Министерства энергетики и жилищно-коммунального хозяйства Свердловской области)</t>
  </si>
  <si>
    <t>343 312-00-12 (доб. 301)
343 312-00-12 (доб. 307)</t>
  </si>
  <si>
    <t>o.denisova@egov66.ru 
yu.abzalova@egov66.ru</t>
  </si>
  <si>
    <t>Государственная программа Свердловской области "Комплексное развитие сельских территорий Свердловской области до 2027 года", утвержденная постановлением Правительства Свердловской области от 08.09.2021 № 582-ПП , Благоустройство сельских территорий</t>
  </si>
  <si>
    <t>постановление Правительства Свердловской области от 08.09.2021 № 582-ПП</t>
  </si>
  <si>
    <t>http://www.pravo.gov66.ru/31596/</t>
  </si>
  <si>
    <t>Министерство агропромышленного комплекса и потребительского рынка Свердловской области</t>
  </si>
  <si>
    <t>Администрация городского округа Богданович</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</si>
  <si>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</si>
  <si>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Методика подсчета благополучателей осуществляется муниципальными образованиями Свердловской области</t>
  </si>
  <si>
    <t>протокол собрания уполономоченных десятидворок и активных жителей села Гарашкинское ГО Богданович</t>
  </si>
  <si>
    <t>протокол заседания комиссии по отбору муниципальных образований, расположенных на территории Свердловской области, для предоставления субсидии из областного бюджета местным бюджетам на реализацию мероприятий по благоустройству сельских территорий</t>
  </si>
  <si>
    <t>Субсидии  на реализацию мероприятия по благоустройству сельских территорий предоставляются органам местного самоуправления,  расположенным на территории Свердловской области.
Перечень сельских населенных пунктов на территории Свердловской области, относящихся к сельским территориям, определен приказом Министерства агропромышленного комплекса и потребительского рынка Свердловской области от 16.12.2020 № 641 "Об определении Перечней сельских территорий и сельских агломераций Свердловской области для целей предоставления субсидий на мероприятия, предусмотренные государственными программами Свердловской области "Реализация основных направлений государственной политики в сферах агропромышленного комплекса и потребительского рынка Свердловской области до 2027 года", утвержденной Постановлением Правительства Свердловской области от 26.08.2021 N 536-ПП "Об утверждении государственной программы Свердловской области "Реализация основных направлений государственной политики в сферах агропромышленного комплекса и потребительского рынка Свердловской области до 2027 года", и "Комплексное развитие сельских территорий Свердловской области до 2027 года", утвержденной Постановлением Правительства Свердловской области от 08.09.2021 N 582-ПП "Об утверждении государственной программы Свердловской области "Комплексное развитие сельских территорий Свердловской области до 2027 года"</t>
  </si>
  <si>
    <t>Порядок предоставления и распределения субсидий из областного бюджета бюджетам муниципальных образований, расположенных на территории Свердловской области, на реализацию мероприятий по благоустройству сельских территорий, являющийся приложением № 9 к государственной программе Свердловской области "Комплексное развитие сельских территорий Свердловской области до 2027 года", утвержденной постановлением Правительства Свердловской области от 08.09.2021 № 582-ПП</t>
  </si>
  <si>
    <t>https://mcxso.midural.ru/article/show/id/10014</t>
  </si>
  <si>
    <t xml:space="preserve">Публикация в средствах массовой информации для презентационного издания выпуска журнала «Нивы Урала», приуроченного ко Дню работника сельского хозяйства и перерабатывающей промышленности
</t>
  </si>
  <si>
    <t>Мамаева Наталья Васильевна, ведущий специалист отдела по программам развития Министерства агропромышленного комплекса и потребительского рынка Свердловской области</t>
  </si>
  <si>
    <t>(343)312-00-07 (доб. 202)</t>
  </si>
  <si>
    <t>n.mamaeva@66egov.ru</t>
  </si>
  <si>
    <t>Поддержка инициатив населения муниципальных образований в Самарской области" на 2017 - 2025 годы</t>
  </si>
  <si>
    <t>Губернаторский проект "СОдействие"</t>
  </si>
  <si>
    <t>Государственная программа Самарской области "Поддержка инициатив населения муниципальных образований в Самарской области" на 2017 - 2025 годы"</t>
  </si>
  <si>
    <t>Постановление Правительства Самарской области от 17.05.2017 N 323</t>
  </si>
  <si>
    <t>https://disk.yandex.ru/i/ggzNJQrgVKGMQA</t>
  </si>
  <si>
    <t>Постановление Правительства Самарской области от 21.02.2022 N 105 (ред. от 23.05.2022) "Об утверждении Распределения в 2022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Постановление Правительства Самарской области от 04.02.2022 N 56 (ред. от 13.04.2022) "Об утверждении Распределения в 2022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</si>
  <si>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https://disk.yandex.ru/d/yXkDdxbdpS9O0w</t>
  </si>
  <si>
    <t>Закон Самарской области от 29.12.2020 N 148-ГД "Об основах инициативного бюджетирования в Самарской области" (принят Самарской Губернской Думой 22.12.2020)</t>
  </si>
  <si>
    <t>https://disk.yandex.ru/i/N6JLRwJUO7ZOBw</t>
  </si>
  <si>
    <t>Постановление Правительства Самарской области от 12.07.2017 N 441 (ред. от 28.06.2022) "О Стратегии социально-экономического развития Самарской области на период до 2030 года"</t>
  </si>
  <si>
    <t>https://disk.yandex.ru/d/8ZRt7RWr6nTDgQ</t>
  </si>
  <si>
    <t>Приказ департамента внутренней политики Самарской области от 30.10.2020 N 12 (ред. от 12.12.2022)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 на 2017 - 2025 годы"
Постановление Правительства Самарской области от 04.08.2017 N 514 (ред. от 30.01.2023) "Об образовании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 (вместе с "Положением о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
Распоряжение Правительства Самарской области от 14.04.2023 N 172-р "О ходе реализации в 2022 году государственной программы Самарской области "Поддержка инициатив населения муниципальных образований в Самарской области" на 2017 - 2025 годы, утвержденной постановлением Правительства Самарской области от 17.05.2017 N 323" (вместе с "Информацией и сведениями, предусмотренными пунктом 8.10 Порядка принятия решений о разработке, формирования и реализации государственных программ Самарской области, утвержденного постановлением Правительства Самарской области от 20.09.2013 N 498")</t>
  </si>
  <si>
    <t>https://disk.yandex.ru/d/ge4JTVRrPkhqvQ</t>
  </si>
  <si>
    <t>Департамент внутренней политики Самарской области</t>
  </si>
  <si>
    <t>Департамент управления делами Губернатора Самарской области и Правительства Самарской области</t>
  </si>
  <si>
    <t>Муниципальные образования Самарской области (городские округа, внутригородские районы г.о. Самара, сельские и городские поселения мниципальных районов Самарской области)</t>
  </si>
  <si>
    <t>Финансовая оценка вклада отсутствует. Вместе с тем в Заявке на участие в конкурсном отборе предусмотрено табличное внесение сведений по нефинансовому вкладу. По итогам заполнения данных нефинансового участия проекту присваивается определенное количество баллов. А именно: 
При наличии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предусмотренному подпунктом 7 пункта 2.14 настоящего Порядка (критерий К7), составляет 3 балла.
При наличии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без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предусмотренному подпунктом 7 пункта 2.14 настоящего Порядка (критерий К7), составляет 2 балла.
При отсутствии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наличии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предусмотренному подпунктом 7 пункта 2.14 настоящего Порядка (критерий К7), составляет 1 балл.
При отсутствии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предусмотренному подпунктом 7 пункта 2.14 настоящего Порядка (критерий К7), составляет 0 баллов.</t>
  </si>
  <si>
    <t>https://disk.yandex.ru/i/VOTSPVSv47s_ug</t>
  </si>
  <si>
    <t>Расчет благополучателей основан на направлениях реализации общественных проектов и исходит из специфики их реализации, в связи с чем каждый муниципалитет самостоятельно осуществляет расчет благополучателей. При этом к расчету предъявляется определенное требование. Обязательно долно быть несколько переменных и использование математических формул и операций. Так, в расчете значений благополучателей по направлению - содержание мест захороненний - как правило учитывается общее количество захоронений - количество щаброшенных захороений * количество людей, в среднем посещающих каждое захоронение в год. По детским плоадкам учитывается количество детей, использующих детскую площадку, количество взрослых в среднем на каждого ребенка, опционально учитывается проходящее население, в случае, если площадка расположена в местах высокой проходимости людей. Подробная инфорамция в разрезе каждого общественного проекта с указанием методики расчета представлена по ссылке</t>
  </si>
  <si>
    <t>https://disk.yandex.ru/d/55vFS7oACnI9WQ</t>
  </si>
  <si>
    <t>Росстат по Самарской области https://disk.yandex.ru/i/bq7qUf1TYy2hzA</t>
  </si>
  <si>
    <t>Управление по взаимодействию с муниципальными образованиями департамента внутренней политики Самарской области</t>
  </si>
  <si>
    <t>Постановление Правительства Самарской области от 25.05.2020 N 350 (ред. от 29.12.2021) "О департаменте внутренней политики Самарской области" https://disk.yandex.ru/i/UYEwTkza3UYuRQ</t>
  </si>
  <si>
    <t>В 5 муниципалитетах применялись анкетные опросы с целью выявления приоритетных проектов и вобора креативного названия. При предоставлении заявок на участие в конкурсном отборе предоставлялись анкетные листы и фотографии, подтверждающие проведение анкетного опроса.</t>
  </si>
  <si>
    <t>Участие в предварительном обсуждении обозначается в итоговом протоколе собрания граждан</t>
  </si>
  <si>
    <t>При подаче заявок на конкурс указывается инициатор общественного проекта, в 2022 году ТОС выступил инициатором общественных проектов по 11 территориям. Это 31 проект, 23 ТОС</t>
  </si>
  <si>
    <t>Использовался ящик для сбора проектных идей в 1 сельском поселении по 3 проектам с целью определения креативного названия проекта</t>
  </si>
  <si>
    <t>В формате голосований в социальных сетях, через специально созданные группы, через комментарии к постам с объявлениями о начале приема заявок</t>
  </si>
  <si>
    <t>Фиксация обращений проектных идей через общественные приемные и депутатов осуществляется в заявках на участие в конкурсном отборе в разделе "описание проблемы". Количество заявок, содержаних информацию об бращении к депутатам не фиксируется</t>
  </si>
  <si>
    <t>не фиксировалось</t>
  </si>
  <si>
    <t>конкурс рисунков</t>
  </si>
  <si>
    <t>Видение проекта глазами детей. Конкурс применялся в 7 муниципальных образованиях по 16 проектам.</t>
  </si>
  <si>
    <t>Протокол схода/собрания/конференции граждан с указанием количества жителей, имеющих право участвовать в схода/собрании/конференции граждан и количеством жителей, принявших участие в сходе/собрании/конференции граждан.</t>
  </si>
  <si>
    <t>Заседание конкурсной комиссии проводится на основе рейтинга, сформированнного механизированным способом подсчета баллов. В процессе составления рейтинга общественных проектов, часть проектов, заявивших комплексный подход к реализации общественных проектов, направляются на оценку по соответствующему критерию в профильные ОИВ</t>
  </si>
  <si>
    <t>Муниципальный район как самостоятельное муниципальное образование не участвует в конкурсном отборе. Принимают участие поселения, входящие в состав муниципальных районов.</t>
  </si>
  <si>
    <t>Прием заявок осуществляется нарочно, вместе с тем предварительная проверка заявочной документации осуществляется через эл. Почту Губернаторского проекта "СОдействие" gpso63@yandex.ru
Заключение Соглашений ГРБС и МО осуществляется в электронной системе "Учет Соглашений". После прохождения конкурсного отбора территории направляют финансовый пакет документов на проверку в ГРБС перед заключением Соглашений. По резльтатам проверки в эл. системе заключается Соглашение на предоставление субсидий из областного бюджета.</t>
  </si>
  <si>
    <t>https://www.samregion.ru/open_government/institutions-gubernatorskij-proekt-sodejstvie/</t>
  </si>
  <si>
    <t>https://vk.com/sodeistvie63</t>
  </si>
  <si>
    <t>https://disk.yandex.ru/d/rDnDFhXbNfg89g</t>
  </si>
  <si>
    <t>Сборник проектов, реализованных в 2021, 2022 гг. https://disk.yandex.ru/d/92XONlq7ht0tVA</t>
  </si>
  <si>
    <t>1. В 2022 году при взаимодействии с органами местного самоуправления муниципальных образований Самарской области исполнительной дирекцией Ассоциации «Совет муниципальных образований Самарской области» (далее  Ассоциация) подготовлен и издан небольшим тиражом «Сборник общественных проектов, реализованных в 2021 году по государственной программе Самарской области «Поддержка инициатив населения муниципальных образований в Самарской области» на 2017-2025 годы».
Электронный вариант сборника был 12 мая 2022 года представлен на очередном (семнадцатом) съезде Ассоциации Губернатору Самарской области 
Д.И. Азарову, главам муниципальных образований Самарской области и приглашенным на мероприятие. Впоследствии сборник был направлен во Всероссийскую ассоциацию развития местного самоуправления, Общероссийский Конгресс муниципальных образований, во все муниципальные образования Самарской области, а также размещен на сайте Ассоциации (http://smosamara.ru/) в подразделе «Победители конкурсов и реализованные проекты» раздела «СОдействие».
2. 19 октября 2022 года Ассоциацией совместно с департаментом внутренней политики Самарской области (далее  Департамент) проведен обучающий семинар для муниципальных образований Самарской области по отдельным вопросам реализации государственной программы Самарской области «Поддержка инициатив населения муниципальных образований в Самарской области» на 2017 – 2025 годы (далее  Программа). 
Мероприятие было организовано в формате сеанса видеоконференцсвязи (далее  ВКС).
В рамках обучающего семинара выступающими был подробно рассмотрен порядок подготовки заявочной документации для участия в Программе, а также проведен подробный анализ основных ошибок, допускаемых при этом.   
В ВКС приняли участие 1157 человек, в числе которых были специалисты органов местного самоуправления муниципальных образований Самарской области, курирующие реализацию Программы, должностные лица органов местного самоуправления, отвечающие за вопросы взаимодействия со СМИ, общественностью, специалисты, осуществляющие подготовку сметной документации для общественных проектов, представители общественности 
(в том числе представители общественных советов, созданных при органах местного самоуправления, территориального общественного самоуправления).
Осуществлялась видеозапись ВКС, которая после завершения обучающего семинара была разослана во все муниципальные образования Самарской области для учета в работе. Кроме того, видеозапись и презентационные материалы мероприятия были размещены на сайте Ассоциации в разделе «Мероприятия, обучение» за 2022 год.
Информация о проведенном семинаре также была размещена в Информационном вестнике Ассоциации № 174 (декабрь 2022 года), который был направлен во все муниципальные образования Самарской области и размещен на сайте Ассоциации в разделе «Информационный вестник».</t>
  </si>
  <si>
    <t>Гробер Ева Михайловна, консультант управления по взаимодействию с муниципальными образованиями департамента внутренней политики Самарской области</t>
  </si>
  <si>
    <t>8(927)733-68-43, 8(846)214-48-33</t>
  </si>
  <si>
    <t>gpso63@yandex.ru
evagrober@yandex.ru</t>
  </si>
  <si>
    <t>Общественно значимые проекты в рамках проекта «Молодежный бюджет»</t>
  </si>
  <si>
    <t>«Молодежный бюджет»</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</si>
  <si>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</si>
  <si>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в рамках проекта «Молодежный бюджет»</t>
  </si>
  <si>
    <t>https://pib.sakhminfin.ru/show/mb
https://login.consultant.ru/link/?req=doc&amp;base=RLAW210&amp;n=106173&amp;dst=100001,1</t>
  </si>
  <si>
    <t>Распоряжение Правительства Сахалинской области от 02.07.2018 № 365-р «Об утверждении программы развития инициативного бюджетирования Сахалинской области на 2017-2025 годы»</t>
  </si>
  <si>
    <t>https://pib.sakhminfin.ru/show/ppi</t>
  </si>
  <si>
    <t>Министерство финансов Сахалинской области</t>
  </si>
  <si>
    <t>Субсидии муниципальным образованиям</t>
  </si>
  <si>
    <t>Бюджет муниципального образования</t>
  </si>
  <si>
    <t>не предусмотрен</t>
  </si>
  <si>
    <t xml:space="preserve">https://rosstat.gov.ru/compendium/document/13282
</t>
  </si>
  <si>
    <t>протоколы собраний старшеклассников</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</si>
  <si>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утверждается рейтинг проектных предложений.
Победителями голосования объявляются проектные предложения, набравшие наибольшее количество голосов.</t>
  </si>
  <si>
    <t>Протоколы общешкольного голосования, рейтинги проектных предложений</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</si>
  <si>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https://pib.sakhminfin.ru/projects?MembersCategoryId=1</t>
  </si>
  <si>
    <t>https://pib.sakhminfin.ru/
https://pib.sakhminfin.ru/show/mb</t>
  </si>
  <si>
    <t>http://sakhminfin.ru/ 
https://vk.com/budget65
https://ok.ru/group/55304463122682
https://t.me/sakhminfin
https://www.youtube.com/channel/UCLnSucUVz43wAq-6y9PwHzg</t>
  </si>
  <si>
    <t>В рамках проекта в каждой школе (с численностью старшеклассников от 5 человек) во всех муниципальных образованиях проведены школьные собрания - от предварительных обсуждений и собраний в классах до общешкольных собраний. По результатам этих собраний подготовлены протоколы и рейтинги проектных предложений.
https://sakhminfin.ru/index.php/oministerstve/meropriyatiya/ofmerop/3931-v-sakhalinskoj-oblasti-startuet-novyj-tsikl-molodezhnogo-byudzheta 
https://vk.com/public168948565?w=wall-168948565_227 
https://ok.ru/minfin65/topic/154993075782650
https://t.me/sakhminfin/253</t>
  </si>
  <si>
    <t>Операционное руководство, рабочая тетрадь, брошюра, лифлет
https://disk.yandex.ru/d/HJSWEZqo5gRLhQ</t>
  </si>
  <si>
    <t xml:space="preserve">Обучающие мероприятия не проводились 
</t>
  </si>
  <si>
    <t>Сидорова Юлия Николаевна, ведущий аналитик департамента бюджетной политики в сфере открытости бюджета министерства финансов Сахалинской области</t>
  </si>
  <si>
    <t>8(4242)670499</t>
  </si>
  <si>
    <t>y.sidorova@sakhminfin.ru</t>
  </si>
  <si>
    <t>Реализация инициативных проектов в Сахалинской области</t>
  </si>
  <si>
    <t>Поддержка местных инициатив (ППМИ)</t>
  </si>
  <si>
    <t>Постановление Правительства Сахалинской области от 03.03.2021 № 69 «Об отдельных вопросах реализации инициативных проектов в Сахалинской области»</t>
  </si>
  <si>
    <t>https://pib.sakhminfin.ru/show/ppi
https://login.consultant.ru/link/?req=doc&amp;base=RLAW210&amp;n=116327&amp;dst=100003,1</t>
  </si>
  <si>
    <t>Закон Сахалинской области от 28.12.2021 N 116-ЗО «О разграничении полномочий органов государственной власти Сахалинской области по вопросам реализации инициативных проектов, выдвигаемых для получения финансовой поддержки из областного бюджета Сахалинской области»</t>
  </si>
  <si>
    <t>https://login.consultant.ru/link/?req=doc&amp;base=RLAW210&amp;n=116092&amp;dst=100004</t>
  </si>
  <si>
    <t>Неоплачиваемый  вклад  включает в себя: приобретение цветов и саженцев, подготовку посадочных мест, посадку цветов, полив зеленых насаждений, посев газонов, уборку и перевозку мусора и пр. (размер нефинансового вклада рассчитывается в денежном выражении из расчета минимального размера оплаты труда и стоимости материалов согласно заверенным сметам, представленным в составе документов на участие в конкурсном отборе от муниципальных образований)</t>
  </si>
  <si>
    <t>Заполненные опросные листы (анкеты), которые были представлены муниципальными образованиями на конкурсный отбор</t>
  </si>
  <si>
    <t>Видеозаписи собраний, протоколы собраний</t>
  </si>
  <si>
    <t>https://sakhminfin.ru/index.php/oministerstve/meropriyatiya/ofmerop/3805-42-initsiativnykh-proekta-budut-realizovany-v-sakhalinskoj-oblasti-v-2022-godu</t>
  </si>
  <si>
    <t>Оценка и ранжирование на основе формальных критериев</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</si>
  <si>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https://pib.sakhminfin.ru/projects?MembersCategoryId=0/, автоматическая обработка итогов конкурсного отбора и их публикация</t>
  </si>
  <si>
    <t>https://pib.sakhminfin.ru
https://pib.sakhminfin.ru/show/ppi</t>
  </si>
  <si>
    <t>В рамках проекта проведены информационные и итоговые собрания с жителями населенных пунктов в 15 муниципальных образованиях Сахалинской области. Муниципальные образования самостоятельно распространяли информацию в СМИ.</t>
  </si>
  <si>
    <t>Лифлет, брошюра
https://disk.yandex.ru/d/ctvkZFCzLGaQ_g</t>
  </si>
  <si>
    <t xml:space="preserve">Обучающие мероприятия не проводились </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</si>
  <si>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</si>
  <si>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"Твой бюджет"</t>
  </si>
  <si>
    <t>2016 г. - год начала практики (год первого отбора проектов), 
2017-2018 гг. - первый год (года) финансового обеспечения отобранных в 2016 году проектов</t>
  </si>
  <si>
    <t>15 января 2021 г.</t>
  </si>
  <si>
    <t>Государственная программа Санкт-Петербурга "Создание условий для обеспечения общественного согласия в Санкт-Петербурге" (подпрограмма 4, мероприятие 1.10 "Реализация мероприятий по вовлечению граждан в бюджетный процесс Санкт-Петербурга")</t>
  </si>
  <si>
    <t>Постановление Правительства Санкт-Петербурга от 04.06.2014 № 452</t>
  </si>
  <si>
    <t>http://gov.spb.ru/law?d&amp;nd=822403529&amp;nh=0</t>
  </si>
  <si>
    <t>Комитет финансов Санкт-Петербурга</t>
  </si>
  <si>
    <t>Администрация Василеостровского района Санкт-Петербурга,
Администрация Выборгского района Санкт-Петербурга,
Администрация Калининского района Санкт-Петербурга,
Администрация Кировского района Санкт-Петербурга,
Администрация Колпинского района Санкт-Петербурга,
Администрация Красногвардейского района Санкт-Петербурга,
Администрация Невского района Санкт-Петербурга,
Администрация Петроградского района Санкт-Петербурга,
Администрация Приморского района Санкт-Петербурга,
Администрация Пушкинского района Санкт-Петербурга,
Администрация Фрунзенского района Санкт-Петербурга,
ГКУ «Дирекция особо охраняемых природных территорий Санкт-Петербурга»
Комитет по благоустройству Санкт-Петербурга,
Комитет по образованию,
Комитет по природопользованию, охране окружающей среды и обеспечению экологической безопасности,
Комитет по транспорту</t>
  </si>
  <si>
    <t>За счет бюджетных ассигнований, выделенных на реализацию инициатив, предусмотренных главному распорядителю бюджетных средств в ведомственной структуре расходов бюджета Санкт-Петербурга: 
(а) за счет субсидий бюджетным учреждениям (субсидии ГБУ, подведомственным ИОГВ СПб, на выполнение госзадания или на иные цели); 
(б) за счет бюджетных средств, предоставляемых на финансовое обеспечение для осуществления оказания государственных услуг (муниципальных) услуг, выполнения работ и (или) исполнения государственных (муниципальных) функций казенным учреждениям, находящимся в ведении ГРБС (включая самого ГРБС).</t>
  </si>
  <si>
    <t>1. ИОГВ: 
Администрация Василеостровского района Санкт-Петербурга,
Администрация Кировского района Санкт-Петербурга,
Администрация Колпинского района Санкт-Петербурга,
Администрация Красногвардейского района Санкт-Петербурга,
Администрация Пушкинского района Санкт-Петербурга,
Комитет по благоустройству Санкт-Петербурга,
Комитет по образованию,
Комитет по природопользованию, охране окружающей среды и обеспечению экологической безопасности,
Комитет по транспорту
2. Государственные бюджетные учреждения: 
ГБДОУ детский сад № 115 Невского района Санкт-Петербурга, 
ГБОУ СОШ № 51 Петроградского района Санкт-Петербурга, 
ГБОУ СОШ № 143 (2 корпуса), № 188 (2 корпуса), № 405, № 490, № 515, № 562 Красногвардейского района Санкт-Петербурга, 
ГБОУ школа № 25 Петроградского района Санкт-Петербурга  
3. Государственные казенные учреждения: 
ГКУ «Дирекция особо охраняемых природных территорий Санкт-Петербурга»</t>
  </si>
  <si>
    <t>"Методические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t>
  </si>
  <si>
    <t>Материалы размещены на портале проекта: https://tvoybudget.spb.ru/materials/material/80</t>
  </si>
  <si>
    <t>https://78.rosstat.gov.ru/storage/mediabank/Числ.СПб%20на%2001.01.2022%20.pdf</t>
  </si>
  <si>
    <t>Ведомственный проектный офис на базе Отдела по обеспечению открытости бюджета Комитета финансов Санкт-Петербурга</t>
  </si>
  <si>
    <t>Смета на содержание ИОГВ (финансирование проектного офиса на базе  Отдела по обеспечению открытости бюджета Комитета финансов Санкт-Петербурга)</t>
  </si>
  <si>
    <t>Проект реализуется на региональном уровне – в городе федерального значения Санкт-Петербурге, на территории которого образовано  18 административных районов, не являющихся муниципальными образованиями. По правилам проекта "Твой бюджет" из 18 районов отбираются 6 районов Санкт-Петербурга, которые набрали наибольшее количество заявок от жителей. На текущий момент среди 111 внутригородских муниципальных образований Санкт-Петербурга разработан один нормативный правовой акт, определяющий порядок реализации инициативных проектов на местном уровне.</t>
  </si>
  <si>
    <t xml:space="preserve">В связи с решением о переформатировании проекта "Твой бюджет" цикл отбора в 2022 году не проводился. Однако на официальном сайте проекта "Твой бюджет" https://tvoybudget.spb.ru/ выкладывались материалы о ходе реализации  инициатив - победителей циклов 2016 - 2021 годов. </t>
  </si>
  <si>
    <t xml:space="preserve">https://tvoybudget.spb.ru/ </t>
  </si>
  <si>
    <t>https://vk.com/tvbspb</t>
  </si>
  <si>
    <t>https://tvoybudget.spb.ru/press</t>
  </si>
  <si>
    <t xml:space="preserve">В связи с тем, что в 2022 году проект "Твой бюджет" был приостановлен, информирование граждан велось о ходе реализации инициатив - победителей циклов 2016 - 2021 годов. 
Информация распространялась в новостной ленте официального сайта и в группе Проекта в соцсети ВКонтакте. На открытие объектов приглашались журналисты, представители организаторов и авторы проекта, принимали участие в телепередачах, посвященных Проекту. 
Публикации были размещены в следующих изданиях: Город+, MR7, "Петербургский дневник", "Санкт-Петербургские ведомости", "Московский Комсомолец", "Деловой Петербург" и др.; сюжеты о ходе реализации Проекта были подготовлены для новостных и информационных программ телеканала "Санкт-Петербург", телеканала 78. Представители Комитета финансов принимали участие в информационной программе "Петербург - город решений" (телеканал "Санкт-Петербург"). 
Информация о ходе реализации проектов - победителей циклов 2016 - 2021 годов также активно размещалась на официальных сайтах и в группах в соцсети ВКонтакте администраций районов Санкт-Петербурга, на территории которых были созданы соответствующие объекты. </t>
  </si>
  <si>
    <t>Шинкарева Лолита Александровна, ведущий специалист Отдела по обеспечению открытости бюджета Комитета финансов Санкт-Петербурга</t>
  </si>
  <si>
    <t>(812) 246-14-34</t>
  </si>
  <si>
    <t>shinkareva@kfin.gov.spb.ru</t>
  </si>
  <si>
    <t>Лукьянова Наталия Германовна, начальник Отдела по обеспечению открытости бюджета Комитета финансов Санкт-Петербурга</t>
  </si>
  <si>
    <t>(812) 576-36-71</t>
  </si>
  <si>
    <t>lukyanova@kfin.gov.spb.ru</t>
  </si>
  <si>
    <t>Реализация мероприятий по вовлечению учащихся государственных общеобразовательных учреждений Санкт-Петербурга в развитие школьной инфраструктуры.</t>
  </si>
  <si>
    <t>Твой бюджет в школах</t>
  </si>
  <si>
    <t>2019 г. - год начала практики (год первого отбора проектов), 
2020-2021 гг. - первый год (года) финансового обеспечения отобранных в 2019 году проектов</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</si>
  <si>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1.10 "Реализация мероприятий по вовлечению граждан в бюджетный процесс Санкт-Петербурга")</t>
  </si>
  <si>
    <t>https://www.gov.spb.ru/law/?d&amp;nd=822403529&amp;nh=0</t>
  </si>
  <si>
    <t>Государственная программа Санкт-Петербурга "Развитие образования в Санкт-Петербурге" (подпрограмма 2 "Развитие общего образования" , процессная часть, мероприятие 20 "Реализация мероприятий проекта по вовлечению учащихся в развитие школьной инфраструктуры"). Постановление Правительства Санкт-Петербурга от 04.06.2014 N 453</t>
  </si>
  <si>
    <t>https://docs.cntd.ru/document/822403530?marker=7DC0K7</t>
  </si>
  <si>
    <t xml:space="preserve">Комитет по образованию/Администрации районов Санкт-Петербурга </t>
  </si>
  <si>
    <t>Субсидии бюджетным учреждениям - общеобразовательным школам на реализацию мероприятий проекта по вовлечению учащихся в развитие школьной инфраструктуры</t>
  </si>
  <si>
    <t>Государственные бюджетные образовательные учреждения Санкт-Петербурга</t>
  </si>
  <si>
    <t xml:space="preserve">Расчет основывается на определении целевой аудитории каждой школы-участника проекта в разрезе установленных в пункте 1.7. Формы сведений об инициативном проекте (Приложение 7 к Положению  о проекте "Твой бюджет в школах - 2021") категорий благополучателей: 
(а) весь класс; 
(б) все учащиеся 9-11 классов; 
(в) все учащиеся школы; 
(г) все учащиеся школы, сотрудники и преподаватели; 
(д) все учащиеся школы, сотрудники, преподаватели и местное сообщество). Данные имеют заявительный (прогнозный) характер и основываются на опросах целевой аудитории проведенных командой инициативного проекта в процессе подготовки проектной документации. Опросы проводятся очно/заочно. 
Положение о проекте размещено на сайте "Твой бюджет в школах", вкладка "Материалы".   </t>
  </si>
  <si>
    <t>https://school.tvoybudget.spb.ru/materials</t>
  </si>
  <si>
    <t>https://78.rosstat.gov.ru/folder/27595</t>
  </si>
  <si>
    <t>1. Ведомственный проектный офис на базе Отдела по обеспечению открытости бюджета Комитета финансов Санкт-Петербурга. 
2. Государственное бюджетное учреждение дополнительного профессионального образования Санкт-Петербургская академия постдипломного педагогического образования (контракт 01/2022 от 13.09.2022).</t>
  </si>
  <si>
    <t>https://zakupki.gov.ru/epz/contract/contractCard/document-info.html?reestrNumber=2783000243022000010&amp;contractInfoId=75520769</t>
  </si>
  <si>
    <t>1. Смета на содержание ИОГВ (финансирование проектного офиса на базе Отдела по обеспечению открытости бюджета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в школах -2022").</t>
  </si>
  <si>
    <t xml:space="preserve">Проект предусматривает механизм выдвижения проектных идей посредством участия представителей от каждого класса в форсайт-сессии. Результатом форсайт-сессии является сформированная идея инициативного проекта, которую учащиеся могут предложить для выдвижения на внутриклассное голосование. При этом на внутриклассном голосовании у других учащихся (не принимавших непосредственного участи в форсайт-сессии) имеется возможность выдвинуть другую идею на голосование в классе.
Детский Форсайт - это технология, позволяющая вовлекать школьников в развитие своих городов через формирование желаемого образа будущего, а также через самостоятельную разработку и реализацию социальных проектов,  это будущее приближающих. 
По условиям проекта "Твой бюджет в школах - 2022" от каждого класса в форсайт-сессии могли принять участие не менее 5 человек, во главе с капитаном каманды. Форcайт-сессии проходили в очном формате во всех 90 школах-участниках проекта в 2022 году. Всего в форсайт-сессиях приняли участие старшеклассники из 467 классов. Общее количество участников форсайт-сессий по итогам 2022 года составило более 3500 человек. Каждая группа представителей от класса в ходе форсайт-сессии могла инициировать 1 или 2 проекта, в итоге было сформировано 806 проектных идей. </t>
  </si>
  <si>
    <t>Второй этап конкурсного отбора - общешкольное онлайн голосование по выбору 1 проекта от школы на официальном сайте проекта "Твой бюджет в школах".  
Онлайн голосования проводились:
17 ноября 2022 г. в период с 09.00 до 18.00;
18 ноября 2022 г. в период с 09.00 до 18.00. 
Всего школ, вынесших проекты на общешкольные голосования: 90 школ. 
Всего проектов, вынесенных на общешкольные голосования: 374 шт.
Всего учащихся 9-11 классов, получивших доступ к процедуре голосования: 
12 290 человек;
- из них авторизовано на сайте: 12 290 человек.
Всего приняло участие в голосовании: 9 328 человек.
По результатам проведения общешкольного голосования формируется итоговый протокол о результатах общешкольных голосований по отбору проектов от образовательных учреждений для выдвижения на городской конкурсный отбор в рамках проекта «Твой бюджет в школах - 2022». Сканированная копия протокола размещается на сайте проекта во вкладке "Материалы".</t>
  </si>
  <si>
    <t xml:space="preserve">Первый этап конкурсного отбора - очное голосование в классах по выбору 1 проекта от класса. В 2022 году по итогам классных голосований 446 инициатив были направлены на экспертизу, проведенную силами школьных администраций. Успешно прошли экспертизу и выдвинуты на второй этап (общешкольных голосований) 374 проекта.  </t>
  </si>
  <si>
    <t>Третий финальный этап конкурсного отбора - заседание городской экспертной комиссии. В 2022 году на уровень городской экспертной комиссии было представлено 90 инициативных проектов, ставших финалистами школьных онлайн голосований. На финальном этапе проекты оценивали члены городской экспертной комиссии, в состав которой вошли представители Комитета финансов Санкт-Петербурга, Комитета по образованию, администраций районов Санкт-Петербурга, СЗ ГУ Банка России, НИУ ВШЭ - Санкт-Петербург, СПБГЭУ, ведущих некоммерческих организаций Санкт-Петербурга и Москвы. Каждый эксперт оценивал проекты по 5 критериям: актуальность, креативность, вовлеченность школьников, проработанность проекта и качество презентации. Победителями стали 30 проектных команд, набравших наибольшее число баллов по всем критериям.</t>
  </si>
  <si>
    <t xml:space="preserve">Процедура конкурсного отбора проектов состоит из трех этапов. 
Первый этап - очное голосование в классах по выбору одного инициативного проекта от класса, выдвигаемого на общешкольное голосование. 
Второй этап - проведение общешкольных голосований, которые проходили на официальном сайте проекта с использованием технологии интернет-голосования. 
Третий финальный этап - заседания городской экспертной комиссии, по итогам которых выбирается 30 инициатив-победителей. 
</t>
  </si>
  <si>
    <t>Проект реализуется на региональном уровне – в городе федерального значения Санкт-Петербурге, на территории которого образованы 18 районов, не являющихся муниципальными образованиями. На текущий момент 111 внутригородских муниципальных образований Санкт-Петербурга в практиках школьного инициативного бюджетирования не участвуют ( в т.ч. по причине отсутствия полномочий в области образования).</t>
  </si>
  <si>
    <t xml:space="preserve">Начиная с 2021 года реализована возможность проведения общешкольных онлайн голосований на официальном сайте проекта "Твой бюджет в школах"  https://school.tvoybudget.spb.ru/ 
Общешкольное голосование в каждой школе-участнике проекта проводится по единому сценарию и состоит из двух этапов:
1. Очная презентация инициативных проектов, выдвинутых на общешкольное голосование, перед учащимися 9-11 классов. 
2. Онлайн голосование учащихся 9-11 классов на сайте проекта.
Каждый учащийся, желающий принять участие в общешкольном голосовании, авторизуется на сайте проекта.  
Голосование осуществляется в разделе «Голосование» на сайте проекта, доступном только для авторизованных пользователей. 
Каждый зарегистрированный участник может проголосовать только за одну инициативу. Для этого заблаговременно представители школы – капитаны команды или наставники формируют карточки инициатив с подробным описанием инициативы. 
Победителем голосования объявляется инициативный проект, набравший наибольшее количество голосов «за». 
</t>
  </si>
  <si>
    <t>https://school.tvoybudget.spb.ru/</t>
  </si>
  <si>
    <t>https://vk.com/tbvschool</t>
  </si>
  <si>
    <t>https://disk.yandex.ru/d/B5YKNqMCrCvOBg</t>
  </si>
  <si>
    <t>Итоговый видеоролик о проекте в 2022 году: https://vk.com/video-206732808_456239101                                                                    Рабочая тетрадь: https://vk.com/doc-206732808_645585265?hash=AfYuaW6kV0oQSbYD6eBGdEcICsP9QLLgKLhOEH0m0xP&amp;dl=YXOXLQIbEV3bbMlsqj5jMnzmZSHd6lXYwmqTwZAVjlX
Дорожная карта: https://vk.com/doc-206732808_644826209?hash=NgxqWUzkZxHQXgmH7ZuFUzN7RwTsJHJNWI6P4IFc4Xs&amp;dl=l5sRZ4Bi2SQpF8yRxn2Pct1dw62HKjyDAmZyWiDCayP
Обучающие видеоролики на темы: 1. Ролик о проекте "Твой бюджет в школах - 2022";Современная школа (как подростки меняют свои школы); Бюджет школы (откуда формируется и как расходуется); Эффективная презентация инициативного проекта. Ознакомится можно по ссылке: https://vk.com/docs-206732808</t>
  </si>
  <si>
    <t xml:space="preserve">Обучающие мероприятия в проекте "Твой бюджет - 2022" предусматривают два этапа: первый этап - обучение наставников, второй этап - обучение учащихся 9-11 классов. 
В тренинге для учителей и наставников «Технологии инициативного проектирования в школе» приняли участие 220 человек. Общая продолжительность тренинга составила 12 академических часов, 2 дня. 
Второй этап обучения – форсайт-сессии для школьников. Основная цель – познакомить ребят с Проектом и сформировать идеи будущих проектов.
Программа форсайт-сессий включает в себя лекции, презентации и групповую работу.
Общая продолжительность форсайт-сессий в проекте "Твой бюджет в школах - 2022" составила 6 академических часов.  Для проведения форсайт-сессии разработана программа с почасовым расписанием работы участников по следующим тематикам: описание проекта «Твой бюджет в школе-2022», инициативное бюджетирование и школьное направление в нем, современная школа и т.д. Отдельное внимание уделено основам инициативного проектирования и эффективной презентации инициативного проекта. Для сопровождения форсайт-сессий разработан комплект сопроводительных материалов, включающий презентации, рабочую тетрадь, буклеты, видео материалы. 
</t>
  </si>
  <si>
    <t>Кухарева Елена Александровна, главный специалист Отдела по обеспечению открытости бюджета
Комитета финансов Санкт-Петербурга</t>
  </si>
  <si>
    <t>(812)246-23-81</t>
  </si>
  <si>
    <t>Kuhareva@kfin.gov.spb.ru</t>
  </si>
  <si>
    <t>Лукьянова Наталия Германовна, начальник отдела по обеспечению открытости бюджета Комитета финансов Санкт-Петербурга</t>
  </si>
  <si>
    <t xml:space="preserve">Реализация мероприятий по вовлечению учащихся государственных общеобразовательных учреждений Санкт-Петербурга в развитие школьной инфраструктуры.  
</t>
  </si>
  <si>
    <t>Районный конкурс детских проектов по улучшению школьной среды "Твой школьный бюджет" среди общеобразовательных учреждений Невского района Санкт-Петербурга</t>
  </si>
  <si>
    <t>Реестр районных конкурсов, соревнований и других мероприятий, запланированных к проведению на базе ОУ Невского района Санкт-Петербурга в 2021/2022 учебном году, в соответствии с Программой развития системы образования Невского района Санкт-Петербурга на 2020-2024 годы «От инновационных решений к опережающему развитию».</t>
  </si>
  <si>
    <t>http://www.nevarono.spb.ru/otdel-obrazovaniya/modernizatsiya-obrazovaniya/275-programma-razvitiya-obrazovaniya-nevskogo-rajona-na-2020-2024.html
http://nevarono.spb.ru/otdel-obrazovaniya/ekonomika-obrazovatelnoj-deyatelnosti/281-adresnye-programmy-2021.html</t>
  </si>
  <si>
    <t>Положение о районном конкурсе детских проектов по улучшению школьной среды "Твой школьный бюджет" среди общеобразовательных учреждений Невского района Санкт-Петербурга</t>
  </si>
  <si>
    <t>Положение</t>
  </si>
  <si>
    <t>Администрация Невского района Санкт-Петербурга</t>
  </si>
  <si>
    <t>Субсидии бюджетным учреждениям - общеобразовательным школам на реализацию мероприятий проекта по вовлечению учащихся в развитие школьной инфраструктуры (в форме субсидий на иные цели)</t>
  </si>
  <si>
    <t>Государственные бюджетные общеобразовательные учреждения, находящиеся в ведении администрации Невского района Санкт-Петербурга. В проекте "Твой школьный бюджет - 2021" приняли участие 32 школы.</t>
  </si>
  <si>
    <t>Обучающиеся 6-х государственных бюджетных  общеобразовательных организаций</t>
  </si>
  <si>
    <t>Государственное бюджетное образовательное учреждение дополнительного образования "Дом детского творчества "Левобережный" Невского района Санкт-Петербурга</t>
  </si>
  <si>
    <t>Текущее содержание ГБУ ДО</t>
  </si>
  <si>
    <t>На районном этапе конкурса "Твой школьный бюджет" проекты от школ-участниц оценивались жюри конкурса и экспертной комиссией, общее количество - 22 человека, из числа представителей администрации Невского района Санкт-Петербурга, в т.ч. с участием представителей Молодежного совета при главе администрации, СПб ГКУ "Централизованная бухгалтерия администрации Невского района СПб". По итогам районного этапа определены 6 проектов, реализация которых поддержана, выделены гранты в размере: гранпри - 1,5 млн рублей,  1 место - 1,3 млн рублей, 2 место - 1 млн рублей, 3 место по 500 тыс рублей. Реализация проектов состоялась в 2022 году. Презентация результатов реализации проекта проходила с августа по декабрь 2022 года в рамках районных коференций, форумов, совещаний, работы Совета старшеклассников при администрации Невского района, работы Общественного Совета по малому предпринимательству при главе администрации Невского района Санкт-Петербурга. В 2022 году реализация проекта инициативного бюджетирования "Твой школьный бюджет" продолжена. Для рассмотрения на районном этапе конкурса поступили 43 заявки от ГБОУ. Запланированы расходы в размере 1 млн руб. на грантовую поддержку детских инициатив в рамках конкурса.</t>
  </si>
  <si>
    <t>https://spbddtl.ru/page-417.html</t>
  </si>
  <si>
    <t>Проект предусматривает механизм выдвижения проектных идей посредством участия представителей совета старшеклассников от каждого класса (8-11 классы) в конкурсном отборе. В школах-участниках конкурса "Твой школьный бюджет" проведен отборочный этап, на котором рассматривались заявки от каждого класса. Голосование было организовано в ходе защиты проектов, общее количество участников голосования на школьном этапе - 6500 человек. По итогам школьного этапа на районный этап выдвинуты 32 проектов от 32 школ-участников.</t>
  </si>
  <si>
    <t>http://spbddtl.ru/page-595.html</t>
  </si>
  <si>
    <t>При проведении заочного этапа все проекты были загружены на Яндекс-диск, ссылка направлена членам жюри, там же был размещен экспертный лист, в который вносились результаты оценки, выставленные членами жюри. Защита проектов проходила с использованием платформы ZOOM.</t>
  </si>
  <si>
    <t xml:space="preserve">Экспертные листы
</t>
  </si>
  <si>
    <t>https://spbddtl.ru/sovet-starsheklassnikov-konkursy.html</t>
  </si>
  <si>
    <t>Система оповещения через Портал "Система образования Невского района", персональная адресная рассылка через эл.адреса подведомственных учреждений. Непосредственная адресная аудитория - руководители ГБОУ Невского района и дальнейшее веерное информирование педагогических коллективов и коллективов обучающихся</t>
  </si>
  <si>
    <t>Вводное мероприятие в виде видеоролика, обучение в очном формате в каждой школе. В рамках подготовки к заключительному этапу конкурса проведены мероприятия с участием лидеров проекта АНО "Россия - страна возможностей" (предзащита проектов), хакатон "Дизайн мышления" (Росмолодеж).</t>
  </si>
  <si>
    <t>Васильева Вера Николаевна, директор ГБУ ДО ДДТ "Левобережный" Невского района СПб</t>
  </si>
  <si>
    <t>(812) 362-11-38</t>
  </si>
  <si>
    <t>ldtu@mail.ru</t>
  </si>
  <si>
    <t>Спиридонова Надия Габдуловна, первый заместитель главы администрации Невского района СПб</t>
  </si>
  <si>
    <t>(812)576-98-23</t>
  </si>
  <si>
    <t>spiridonova@tunev.gov.spb.ru</t>
  </si>
  <si>
    <t>Реализация инициативных проектов с использованием средств областного бюджета</t>
  </si>
  <si>
    <t>Проект по поддержке местных инициатив (ППМИ), #ИнициативеБыть</t>
  </si>
  <si>
    <t>29 декабря 2021</t>
  </si>
  <si>
    <t>17 декабря 2022</t>
  </si>
  <si>
    <t xml:space="preserve">Государственная программа Саратовской области «Развитие государственного и муниципального управления»  утверждена постановлением Правительства Саратовской области от 20 ноября 2013 года № 647-П «О государственной программе Саратовской области «Развитие государственного и муниципального управления» (подпрограмма 5 «Управление региональными финансами Саратовской области», основное мероприятие 5.5. «Развитие инициативного бюджетирования в Саратовской области») </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</si>
  <si>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t>
  </si>
  <si>
    <t>https://minfin.saratov.gov.ru/index.php?option=com_acrfilestorage&amp;task=download&amp;on=2065</t>
  </si>
  <si>
    <t xml:space="preserve">Постановление Правительства Саратовской области от 17 июля 2017 года № 362-П "О реализации на территории Саратовской области инициативных проектов с использованием средств областного бюджета" </t>
  </si>
  <si>
    <t>https://minfin.saratov.gov.ru/index.php?option=com_acrfilestorage&amp;task=download&amp;on=2060</t>
  </si>
  <si>
    <t>Министерство финансов Саратовской области, министерство по делам территориальных образований Саратовской области</t>
  </si>
  <si>
    <t>Министерство финансов Саратовской области</t>
  </si>
  <si>
    <t>городские округа, городские и сельские поселения области</t>
  </si>
  <si>
    <t xml:space="preserve">Данный показатель используется как критерий при проведении балльной оценки заявок, поданных для участия в конкурсе. В целях оценки учитывается имущественное и (или) трудовое участие заинтересованных лиц в реализации проекта. Включает в себя неоплачиваемые работы, материалы, предоставление техники и оборудования. Подтверждается на этапе подачи заявок представлением локальных сметных расчетов, комерческих предложений, прайслистов и т.п. После завершения реализации проекта представляются акты выполненных работ, акты премки материалов подписанные главой муниципального образования и инициативной группой жителей. </t>
  </si>
  <si>
    <t>подпункт "г" пункта 7 и приложение 1 к положению о порядке предоставления и распределения субсидии из областного бюджета бюджетам городских округов, городских и сельских поселений области на реализацию инициативных проектов утвержденном постановлением Правительства Саратовской области от 17.07.2017 N 362-П
https://minfin.saratov.gov.ru/index.php?option=com_acrfilestorage&amp;task=download&amp;on=2060</t>
  </si>
  <si>
    <t xml:space="preserve">оценка органов местного самоуправления муниципальных образований, на территории которых реализовывались проекты </t>
  </si>
  <si>
    <t>в 25 муниципальных образованиях проходило анкетирование для предварительного отбора проектных идей, в качестве фиксации участия представлены протоколы работы счетных комиссий, фотографии и скан копии анкет</t>
  </si>
  <si>
    <t>протоколы собраний граждан (с приложением списка граждан, присутствовавших на собрании, подписи граждан), фотографии собраний</t>
  </si>
  <si>
    <t>в 6 муниципальных образованиях первоначальное обсуждение и формирование проектных идей проходило на собраниях ТОС, в качестве фиксации участия представлены копии протоколов заседаний с подписями присутсвовавших и фотографии</t>
  </si>
  <si>
    <t>протоколы собрания граждан (с приложением списка граждан, присутствовавших на собрании, с личными подписями), фотографии собрания</t>
  </si>
  <si>
    <t>протокол заседания конкурсной комиссии по проведению конкурсного отбора инициативных проектов для предоставления из областного бюджета субсидии на их реализацию</t>
  </si>
  <si>
    <t>https://minfin.saratov.gov.ru/budget/proekty/proekt-po-podderzhke-mestnykh-initsiativ-v-saratovskoj-oblasti/o-proekte</t>
  </si>
  <si>
    <t>https://minfin.saratov.gov.ru/images/article_images/20210201/20210201-informatsionnoe-soobshchenie-o-provedenii-konkursnogo-otbora-munitsipalnykh-obrazovanij-saratovskoj-oblasti.jpg</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</si>
  <si>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области. В декабре 2022 года на базе Саратовского социально-экономического института прошел  форум лучших проектов инициативного бюджетирования муниципальных образований Саратовской области.</t>
  </si>
  <si>
    <t>Буклет, освещающий основные аспекты инициативного бюджетировния в Саратовской области
https://minfin.saratov.gov.ru/index.php?option=com_acrfilestorage&amp;task=download&amp;on=4574
аудиоролик 
https://minfin.saratov.gov.ru/press-tsentr/mediamaterialy/2082-initsiativnoe-byudzhetirovanie</t>
  </si>
  <si>
    <t>обучающие семинары по вопросам инициативного бюджетирования; однократно; представители администраций городских и сельских поселений, городских округов, участвующих в разработке и реализации проектов; представители инициативных групп</t>
  </si>
  <si>
    <t>Зайцев Дмитрий Сергеевич, референт отдела методологии и организации бюджетного процесса аналитического управления министерства финансов Саратовской области</t>
  </si>
  <si>
    <t>+7 (8452) 274044</t>
  </si>
  <si>
    <t>zaytsevds@saratov.gov.ru</t>
  </si>
  <si>
    <t>Жилье и городская среда, Формирование комфортной городской среды</t>
  </si>
  <si>
    <t xml:space="preserve">Государственная программа Саратовской области «Формирование комфортной городской среды» утверждена постановление Правительства Саратовской области от 30 августа 2017 года № 449-П  «О государственной программе Саратовской области «Формирование комфортной городской среды» </t>
  </si>
  <si>
    <t>Постановление Правительства Саратовской области от 30 августа 2017 года № 449-П "О государственной программе Саратовской области "Формирование комфортной городской среды"</t>
  </si>
  <si>
    <t>https://minfin.saratov.gov.ru/index.php?option=com_acrfilestorage&amp;task=download&amp;on=2297</t>
  </si>
  <si>
    <t>Министерство строительства и жилищно-коммунального хозяйства Саратовской области</t>
  </si>
  <si>
    <t>субсидия, иной межбюджетный трансферт, имеющего целевое назначение</t>
  </si>
  <si>
    <t>городские округа и поселения области</t>
  </si>
  <si>
    <t>приоритетный проект "Формирование комфортной городской среды"</t>
  </si>
  <si>
    <t>Приказ Министерства строительства и жилищно-коммунального хозяйства Российской Федерации от 30 декабря 2020 года N 913/пр «Об утверждении методических рекомендаций по вовлечению граждан, их объединений и иных лиц в решение вопросов развития городской среды»</t>
  </si>
  <si>
    <t>https://gorodsreda.ru/documents</t>
  </si>
  <si>
    <t>сбор предложений по отбору общественных территорий в электронной форме в информационно-телекоммуникационной сети Интернет. Федеральный портал "РЕШАЕМ ВМЕСТЕ ГОЛОСОВАНИЯ"</t>
  </si>
  <si>
    <t>протоколы подсчета голосов, протоколы счетных комиссий</t>
  </si>
  <si>
    <t>https://64.gorodsreda.ru/</t>
  </si>
  <si>
    <t>да https://64.gorodsreda.ru/</t>
  </si>
  <si>
    <t>https://gorodsreda.ru/</t>
  </si>
  <si>
    <t>Нейфельд Михаил Вольдемарович, заместитель начальника отдела реализации программных мероприятий управления ЖКХ министерства строительства и ЖКХ Саратовской области</t>
  </si>
  <si>
    <t>8 (845-2 ) 74-44-16, доб. 250</t>
  </si>
  <si>
    <t>NejfeldMV@saratov.gov.ru</t>
  </si>
  <si>
    <t>26 января 2022 года</t>
  </si>
  <si>
    <t>7 сентября 2022 года</t>
  </si>
  <si>
    <t xml:space="preserve"> Государственная программа Саратовской области «Комплексное развитие сельских территорий» утверждена постановление Правительства Саратовской области от 23 декабря 2019 года № 908-П «О государственной программе Саратовской области «Комплексное развитие сельских территорий» (подпрограмма 3 «Создание и развитие инфраструктуры на сельских территориях» ведомственный проект 3.2 «Благоустройство сельских территорий»)  </t>
  </si>
  <si>
    <t>Постановление Правительства Саратовской области от 23 декабря 2019 № 908-П «О государственной программе Саратовской области "Комплексное развитие сельских территорий»</t>
  </si>
  <si>
    <t>https://g-64.ru/docs/postanovleniya-pravitelstva/postanovlenie-pravitelstva-saratovskoy-oblasti-ot-23-dekabrya-2019-goda-908-p-/</t>
  </si>
  <si>
    <t>министерство сельского хозяйства Саратовской области</t>
  </si>
  <si>
    <t>Государственная программа «Комплексное развитие сельских территорий»</t>
  </si>
  <si>
    <t>Министерство сельского хозяйства Саратовской области</t>
  </si>
  <si>
    <t>количество благополучателей считается равным числу жителей населенных пунктов в которых прошла реализация проектов</t>
  </si>
  <si>
    <t xml:space="preserve">Протокол собрания граждан </t>
  </si>
  <si>
    <t xml:space="preserve">протокол собрания граждан </t>
  </si>
  <si>
    <t xml:space="preserve">участие принимают сельские территории, перечень которых установлен высшим исполнительным органом государственной власти субъекта РФ </t>
  </si>
  <si>
    <t>Распоряжение Правительства Саратовской области от 17.02.2021 N 37-Пр "Об утверждении перечня населенных пунктов Саратовской области для реализации государственной программы Российской Федерации "Комплексное развитие сельских территорий"</t>
  </si>
  <si>
    <t>110 городских и сельских поселений области</t>
  </si>
  <si>
    <t>Голушков Александр Сергеевич, консультант отдела мелиорации и развития сельских территорий министерства сельского хозяйства области</t>
  </si>
  <si>
    <t>+7 (845) 506970</t>
  </si>
  <si>
    <t>GolushkovAS@Saratov.gov.ru</t>
  </si>
  <si>
    <t>Поддержка местных (муниципальных) инициатив и участия населения в осуществлении местного самоуправления на территории Рязанской области</t>
  </si>
  <si>
    <t>23 декабря 2022 г.</t>
  </si>
  <si>
    <t>Подпрограмма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(Задача: «Вовлечение населения в осуществление местного самоуправления и совершенствование навыков органов местного самоуправления по подготовке и внедрению проектов местного значения с участием населения», в том числе: «Предоставление субсидий бюджетам муниципальных образований на выполнение мероприятий муниципальных программ (подпрограмм), направленных на реализацию инициативных проектов (проектов местных инициатив)»</t>
  </si>
  <si>
    <t>Постановление Правительства Рязанской области от 22.02.2017 N 35 «О внесении изменений в Постановление Правительства Рязанской области от 11 ноября 2015 г. N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N 84, от 20.10.2016 N 242)»</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</si>
  <si>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2030 года (включительно)</t>
  </si>
  <si>
    <t>Постановление Министерства по делам территорий и информационной политике Рязанской области от 25.11.2021 № 4  «Об утверждении Порядка проведения конкурсных отборов инициативных проектов (проектов местных инициатив) и муниципальных образований Рязанской области для предоставления субсидий на реализацию мероприятия, предусмотренного подпунктом 3.1.1 таблицы пункта 5 «Перечень мероприятий подпрограммы» подпрограммы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и проверки условий предоставления субсидий»</t>
  </si>
  <si>
    <t>https://disk.yandex.ru/i/MLUxWJ1kyoU48g</t>
  </si>
  <si>
    <t xml:space="preserve">министерство по делам территорий и информационной политике Рязанской области </t>
  </si>
  <si>
    <t xml:space="preserve">муниципальные образования Рязанской области </t>
  </si>
  <si>
    <t>Оценка органов местного самоуправления</t>
  </si>
  <si>
    <t>https://ryazan.gks.ru/storage/mediabank/Численность%20на%201%20января%202022%20года(1).pdf</t>
  </si>
  <si>
    <t>протоколы собрания ТОС</t>
  </si>
  <si>
    <t>протоколы собрания граждан</t>
  </si>
  <si>
    <t>Протокол заседания комиссии по проведению конкурсного отбора</t>
  </si>
  <si>
    <t>https://minter.ryazangov.ru/activities/direction/podderzhka-mestnykh-initsiativ/</t>
  </si>
  <si>
    <t>https://minfin-rzn.ru/participation</t>
  </si>
  <si>
    <t>Информация о предоставлении субсидий бюджетам мунципальных образований Рязанской области на выполнение мероприятий мунципальных программ (подпрограмм), направленных на реализацию проектов местных инцииатив, размещается во всех информационных ресурсах: в СМИ (ТВ, радио, сетевые, печатные издания), на сайтах Правительства Рязанской области, министерства по делам территорий и информационной политике Рязанской области, муниципальных образований Рязанской области 
https://disk.yandex.ru/d/EMdW7wiIXLaYuA</t>
  </si>
  <si>
    <t>настенный календарь https://disk.yandex.ru/i/HThgczPor6hX_g</t>
  </si>
  <si>
    <t xml:space="preserve">Проведены 5 кустовых семинаров (продолжительностью 2 часа каждый) , а также периодичностью 1 раз в месяц совещания по реализации проектов местных инциатив  с представителями органов местного самоуправления муниципальных образований Рязанской области в формате ВКС </t>
  </si>
  <si>
    <t>Римская Елена Владимировна - консультант по правовым вопросам отдела методической поддержки органов местного самоуправления управления по вопросам организации местного самоуправления министерства по делам территорий и информационной политике Рязанской области</t>
  </si>
  <si>
    <t>(4912) 29-05-81</t>
  </si>
  <si>
    <t>rev-mp@adm1.ruazan.su</t>
  </si>
  <si>
    <t>Реализация общественно значимых проектов по благоустройству сельских территорий</t>
  </si>
  <si>
    <t xml:space="preserve">Государственная программа Рязанской области "Развитие агропромышленного комплекса" подпрограмма № 6 "Комплексное развитие сельских территорий" утверждена постановлением Правительства Рязанской области от 30.10.2013 № 357 . </t>
  </si>
  <si>
    <t xml:space="preserve">Государственная программа Рязанской области "Развитие агропромышленного комплекса" подпрограмма №12 "Комплексное развитие сельских территорий" утверждена постановлением Правительства Рязанской области от 30.10.2013 № 357 . </t>
  </si>
  <si>
    <t>Постановление Правительства Рязанской области от 30.10.2013 N 357 (ред. от 28.02.2023) "Об утверждении государственной программы Рязанской области "Развитие агропромышленного комплекса" (вместе с "Порядком предоставления и распределения субсидий из областного бюджета местным бюджетам на реализацию проектов...") {КонсультантПлюс}</t>
  </si>
  <si>
    <t>Закон Рязанской области от 24.02.2022 N 4-ОЗ "О внесении изменений в Закон Рязанской области "Об областном бюджете на 2022 год и на плановый период 2023 и 2024 годов" (принят Постановлением Рязанской областной Думы от 22.02.2022 N 48-VII РОД)</t>
  </si>
  <si>
    <t>Закон Рязанской области от 24.02.2022 N 4-ОЗ "О внесении изменений в Закон Рязанской области "Об областном бюджете на 2022 год и на плановый период 2023 и 2024 годов" (принят Постановлением Рязанской областной Думы от 22.02.2022 N 48-VII РОД) {КонсультантПлюс}</t>
  </si>
  <si>
    <t>Постановление Минсельхозпрода Рязанской области от 23.04.2021 N 8 "О внесении изменений в Постановление министерства сельского хозяйства и продовольствия Рязанской области от 28 октября 2020 г. N 09 "О некоторых вопросах реализации на территории Рязанской области Постановления Правительства Российской Федерации от 31.05.2019 N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 в части реализации мероприятий по благоустройству сельских территорий и утверждении порядка проведения конкурсного отбора (отбора) муниципальных образований Рязанской области для предоставления субсидий на реализацию мероприятия, указанного в подпункте 3.1 раздела 5 "Система программных мероприятий" подпрограммы 12 "Комплексное развитие сельских территорий" государственной программы Рязанской области "Развитие агропромышленного комплекса"</t>
  </si>
  <si>
    <t>Постановление Минсельхозпрода Рязанской области от 23.04.2021 N 8 "О внесении изменений в Постановление министерства сельского хозяйства и продовольствия Рязанской области от 28 октября 2020 г. N 09 "О некоторых вопросах реализации на территории Рязанской области Постановления Правительства Российской Федерации от 31.05.2019 N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 в части реализации мероприятий по благоустройству сельских территорий и утверждении порядка проведения конкурсного отбора (отбора) муниципальных образований Рязанской области для предоставления субсидий на реализацию мероприятия, указанного в подпункте 3.1 раздела 5 "Система программных мероприятий" подпрограммы 12 "Комплексное развитие сельских территорий" государственной программы Рязанской области "Развитие агропромышленного комплекса" {КонсультантПлюс}</t>
  </si>
  <si>
    <t>Министерство сельского хозяйства и продовольствия Рязанской области</t>
  </si>
  <si>
    <t xml:space="preserve">Бюджеты органов местного самоуправления </t>
  </si>
  <si>
    <t xml:space="preserve">Государственная программа Российской Федерации "Комплексное развитие сельских территорий" утверждена постановлением Правительства Российской федерации от 31.05.2019 №696 . </t>
  </si>
  <si>
    <t>Предусмотрен обязательный вклад граждан, юридических лиц (индивидуальных предпринимателей), общественных, включая волонтерские, организации  в различных формах, в том числе в форме  трудового участия, волотерской деятельности, предоставление помещений и технических средств. Оценка нефинансового вклада граждан и юридических лиц осуществляется на основании действующих цен на производство работ, аренду техники, предоставление помещений.</t>
  </si>
  <si>
    <t>Справочник федеральной службы государственной статистики  " Отдельные социально-экономические показатели по муниципальным образованиям Рязанской области" Рязань 2022</t>
  </si>
  <si>
    <t>Протокол собрания жителей, проживающих на селькой территории.</t>
  </si>
  <si>
    <t>Прямой подсчет голов "за " и "против"</t>
  </si>
  <si>
    <t>Протокол заседания комиссии по второму этапу отбора муниципальных образований Рязанской области для предоставления субсидий буд на реализацию общественно значимых проектов по благоустройству сельских территорий</t>
  </si>
  <si>
    <t>Участниками отбора  являются органы местного самоуправления, расположенные на сельских территориях Рязанской области</t>
  </si>
  <si>
    <t>Органы местного самоуправления, расположенные на сельских территориях</t>
  </si>
  <si>
    <t>www.ryazagro.ru.</t>
  </si>
  <si>
    <t>Начальник отдела программных мероприятий устойчивого развития сельских территорий Фомина Галина Ивановна</t>
  </si>
  <si>
    <t>8 (4912) 21-10-23</t>
  </si>
  <si>
    <t>rakitina@ryazagro.ru</t>
  </si>
  <si>
    <t>инициативные проекты, выдвигаемые для получения финансовой поддержки за счет субсидий из областного бюджета</t>
  </si>
  <si>
    <t>"Сделаем вместе!"</t>
  </si>
  <si>
    <t>27.07.2021</t>
  </si>
  <si>
    <t>01.10.2022</t>
  </si>
  <si>
    <t>Областной закон от 21.12.2020 № 418-ЗС "Об областном бюджете на 2021 год и на плановый период 2022 и 2023 годов"                                                                                                                                                                                                         Областной закон от 16.12.2021 № 635-ЗС "Об областном бюджете на 2022 год и на плановый период 2023 и 2024 годов"</t>
  </si>
  <si>
    <t xml:space="preserve">https://pravo.donland.ru/doc/view/id/%D0%9E%D0%B1%D0%BB%D0%B0%D1%81%D1%82%D0%BD%D0%BE%D0%B9+%D0%B7%D0%B0%D0%BA%D0%BE%D0%BD_418-%D0%97%D0%A1_21122020_24303/  https://pravo.donland.ru/doc/view/id/%D0%9E%D0%B1%D0%BB%D0%B0%D1%81%D1%82%D0%BD%D0%BE%D0%B9+%D0%B7%D0%B0%D0%BA%D0%BE%D0%BD_635-%D0%97%D0%A1_17122021_29801/       </t>
  </si>
  <si>
    <t>Областной закон  от 01.08.2019 N 178-ЗС "Об инициативных проектах"</t>
  </si>
  <si>
    <t>https://pravo.donland.ru/doc/view/id/%D0%9E%D0%B1%D0%BB%D0%B0%D1%81%D1%82%D0%BD%D0%BE%D0%B9+%D0%B7%D0%B0%D0%BA%D0%BE%D0%BD_178-%D0%97%D0%A1_01082019_12886/   https://pravo.donland.ru/doc/view/id/%D0%9E%D0%B1%D0%BB%D0%B0%D1%81%D1%82%D0%BD%D0%BE%D0%B9+%D0%B7%D0%B0%D0%BA%D0%BE%D0%BD_411-%D0%97%D0%A1_11122020_23847/ https://pravo.donland.ru/doc/view/id/%D0%9E%D0%B1%D0%BB%D0%B0%D1%81%D1%82%D0%BD%D0%BE%D0%B9+%D0%B7%D0%B0%D0%BA%D0%BE%D0%BD_805-%D0%97%D0%A1_27122022_33376/</t>
  </si>
  <si>
    <t>министерство региональной политики и массовых коммуникаций Ростовской области</t>
  </si>
  <si>
    <t>исполнительные органы Ростовской области</t>
  </si>
  <si>
    <t xml:space="preserve">местные администрации городских округов, муниципальных районов
</t>
  </si>
  <si>
    <t>любой из видов работ, предусмотренных описанием инициативного проекта для участия в конкурсном отборе инициативных проектов</t>
  </si>
  <si>
    <t>количество благополучателей указывается в составе заявки на участие в конкурсном отборе проектов, выдвигаемых для получения финансовой поддержки за счет субсидий из областного бюджета, направляемой местными администрациями городских округов, муниципальных районов</t>
  </si>
  <si>
    <t>https://61.rosstat.gov.ru/storage/mediabank/%D0%A7%D0%B8%D1%81%D0%BB%D0%B5%D0%BD%D0%BD%D0%BE%D1%81%D1%82%D1%8C%20%D0%BD%D0%B0%D1%81%D0%B5%D0%BB%D0%B5%D0%BD%D0%B8%D1%8F(15).pdf</t>
  </si>
  <si>
    <t>в протоколе собрания граждан, в том числе проводимого в целях осуществления территориального общественного самоуправления, о выдвижении инициативы, направленной на решение вопроса местного значения</t>
  </si>
  <si>
    <t>протокол заседания муниципальной комиссии городского округа, муниципального района</t>
  </si>
  <si>
    <t>https://www.donland.ru/result-report/1483/</t>
  </si>
  <si>
    <t>практика предусматривает возможность участия всех муниципальных образований, однако заявки на участие в конкурсном отборе проектов, выдвигаемых для получения финансовой поддержки за счет субсидий из областного бюджета, направляются местными администрациями 55 городских округов и муниципальных районов</t>
  </si>
  <si>
    <t>http://vmeste161.ru</t>
  </si>
  <si>
    <t>https://www.donland.ru/activity/2623/</t>
  </si>
  <si>
    <t>Информационное освещение инициативного бюджетирования, реализуемого на территории Ростовской области, проводилось путем размещения материалов на телевидении (передачи, сюжеты), региональных сайтах и сайтах информационных агентств.
Ссылки на освещение ИБ в СМИ:                                                                                                                                                                                                                                                                                                                                                                                          Интернет СМИ:                                                                                                                                                                                                                                                                                                                                               https://don24.ru/rubric/obschestvo/sdelaem-vmeste-iniciativy-zhiteley-dona-rassmotryat-na-oblastnom-konkurse.html                                                                                                                                                                                                                                                                                                https://dontr.ru/novosti/v-zavetinskom-rayone-blagodarya-oblastnomu-konkursu-sdelaem-vmeste-preobrazilis-dva-sela/?sphrase_id=155839                                                        https://don24.ru/rubric/obrazovanie/gubernatorskaya-programma-sdelaem-vmeste-na-donu-realizuetsya-56-iniciativnyh-proektov-v-sfere-obrazovaniya-i-kultury.html                    https://www.nvgazeta.ru/news/14488/596712/                                                                                                                                                                                                                                                                                                             https://don24.ru/rubric/obschestvo/mini-stadion-i-peshehodnye-allei-utverzhdeny-rezultaty-konkursnogo-otbora-iniciativnyh-proektov-donchan.html                                                                                                                                                                                                                                                                                                                                                             ТВ-сюжеты:                                                                                                                                                                                                                                                                                                                                                                                           https://dontr.ru/novosti/sdelaem-vmeste-na-initsiativnoe-byudzhetirovanie-2021-v-rostovskoy-oblasti-vydelyat-300-mln-rub/                                                                                                                                           https://dontr.ru/novosti/programma-sdelaem-vmeste-kto-i-kak-podderzhivaet-initsiativy-donchan/                                                                                                                                                                                                       https://www.youtube.com/watch?v=_Fwxs4yYwu0                                                                                                                                                                                                                                                                  https://www.youtube.com/watch?v=qNWW4gG04gc</t>
  </si>
  <si>
    <t>в 2021-2022 году было проведено 3 обучающих мероприятия по инициативному бюджетированию с использованием системы видео-конференц-связи, в которых принимали учатие представители Правительства Ростовской области, исполнительных органов Ростовской области, органов местного самоуправления и инициативных групп по выдвижению инициативных проектов, выдвигаемых для получения финансовой поддержки за счет субсидий из областного бюджета</t>
  </si>
  <si>
    <t>Дьяченко Даниил Константинович, начальник управления развития местного самоуправления министерства региональной политики и массовых коммуникаций Ростовской области</t>
  </si>
  <si>
    <t xml:space="preserve">8 (863) 240-59-51
</t>
  </si>
  <si>
    <t>Diachenko_DK@rostov-obladm.ru</t>
  </si>
  <si>
    <t>Томазов Виталий Владимирович, консультант отдела методологии межбюджетных отношений и взаимодействия с местными бюджетами</t>
  </si>
  <si>
    <t>8 (863) 240-54-08</t>
  </si>
  <si>
    <t>tomazov@minfin.donland.ru</t>
  </si>
  <si>
    <t>Проекты инициативного бюджетирования, направленные на развитие общественной инфраструктуры</t>
  </si>
  <si>
    <t>15 сентября 2021 года</t>
  </si>
  <si>
    <t>15 января 2022 года</t>
  </si>
  <si>
    <t>30 декабря 2022 года</t>
  </si>
  <si>
    <t>Постановление вительства Респблики Северная Осетия-Алания №88 от 13.04.2021г.</t>
  </si>
  <si>
    <t>Министерство жилищно-коммунального хозяйства, топлива и энергетики РСО-Алания</t>
  </si>
  <si>
    <t>Администрация местного самоуправления муниципального образования Кировский район</t>
  </si>
  <si>
    <t xml:space="preserve">оказание трудового содействия в реализации проекта </t>
  </si>
  <si>
    <t>протокол заключительного собрания ТОСов</t>
  </si>
  <si>
    <t>http://elhotovo.ru/index.php/dokumentatsiya/za-2020-god-5</t>
  </si>
  <si>
    <t>Онлайн-курс по инициативному бюджетированию с октября по ноябрь 2021 года прошла Козырева Залина Заурбековна</t>
  </si>
  <si>
    <t>Кабанова Мадина Гашотовна консультант отдела межбюджетных отношений, Министерство финансов Республики Северная Осетия-Алания</t>
  </si>
  <si>
    <t>8(867-2)54-52-83</t>
  </si>
  <si>
    <t>ombo@minfin.alania.gov.ru</t>
  </si>
  <si>
    <t>Решение вопросов местного значения, осуществляемое с привлечением средств самообложения граждан</t>
  </si>
  <si>
    <t>Самообложение граждан</t>
  </si>
  <si>
    <t>22 ноября 2013</t>
  </si>
  <si>
    <t>по настоящее время</t>
  </si>
  <si>
    <t>непрограммные мероприятия</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</si>
  <si>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образований Республики Татарстан на решение вопросов местного значения, осуществляемое с привлечением средств самообложения граждан»</t>
  </si>
  <si>
    <t>http://docs.cntd.ru/document/463306303</t>
  </si>
  <si>
    <t>Закон Республики Татарстан от 23 ноября 2022 года № 82-ЗРТ "О бюджете Республики Татарстан на 2023 год и на плановый период 2024 и 2025 годов"</t>
  </si>
  <si>
    <t>https://minfin.tatarstan.ru/byudzhet-2023.htm?pub_id=3492276</t>
  </si>
  <si>
    <t>Министерство финансов Республики Татарстан</t>
  </si>
  <si>
    <t>43 муниципальных района республики</t>
  </si>
  <si>
    <t>количество жителей, проживающих на территории городских и сельских поселений, участвующих в реализации практики самообложения граждан</t>
  </si>
  <si>
    <t>https://16.rosstat.gov.ru/naselenie</t>
  </si>
  <si>
    <t xml:space="preserve">протоколы ТИК и Решения ТИК о результатах </t>
  </si>
  <si>
    <t>Обучающие мероприятия в рамках программы повышения квалификации глав сельских поселений, реализуемой  Высшей школой государственного и муниципального управления КФУ</t>
  </si>
  <si>
    <t>Сабирзянова Мадина Рифкатовна, заместитель начальника отдела по взаимоотношениям с бюджетами регионов Министерства финансов Республики Татарстан</t>
  </si>
  <si>
    <t>8(843)264-79-84</t>
  </si>
  <si>
    <t>Madina.Sabirzyanova@tatar.ru</t>
  </si>
  <si>
    <t>Государственная программа Республики Марий Эл «Формирование современной городской среды на территории Республики Марий Эл на 2018 - 2024 годы». Подпрограмма «Благоустройство дворовых и общественных территорий» государственной программы Республики Марий Эл «Формирование современной городской среды на территории Республики Марий Эл на 2018 - 2024 годы». Основное мероприятие - Региональный проект «Формирование комфортной городской среды» по Республике Марий Эл.</t>
  </si>
  <si>
    <t xml:space="preserve">Постановление Правительства Республики Марий Эл от 19 сентября 2017 г. № 380 (в ред. постановления Правительства Республики Марий Эл от 22 марта 2023 г. № 119) 
</t>
  </si>
  <si>
    <t>https://mari-el.gov.ru/ministries/minstroy/</t>
  </si>
  <si>
    <t>Закон Республики Марий Эл от 3 декабря 2021 г. №56-З «О республиканском бюджете Республики Марий Эл на 2022 год и на плановый период 2023 и 2024 годов»</t>
  </si>
  <si>
    <t>https://mari-el.gov.ru/other/pravo/documents/ot-3-dekabrya-2021-g-56-z/</t>
  </si>
  <si>
    <t>Правила предоставления и распределения субсидий из республиканского бюджета Республики Марий Эл бюджетам муниципальных образований на поддержку муниципальных программ формирования современной городской среды на 2018 - 2024 годы, утвержденные постановлением Правительства Республики Марий Эл от 26 февраля 2018 г. № 76 (в редакции от 12 мая 2021 г. № 192); Постановление от 24 февраля 2021 г. N 66 "Об утверждении Порядка организации и проведения органами местного самоуправления в Республике Марий Эл процедуры рейтингового голосования по проектам благоустройства общественных территорий, подлежащих благоустройству в первоочередном порядке в рамках муниципальных программ формирования современной городской среды в соответствии с государственной программой Республики Марий Эл "Формирование современной городской среды на территории Республики Марий Эл на 2018 - 2024 годы"</t>
  </si>
  <si>
    <t xml:space="preserve">Министерство строительства, архитектуры и жилищно-коммунального хозяйства Республики Марий Эл </t>
  </si>
  <si>
    <t xml:space="preserve">Администрации городских округов, городских и сельских поселений Республики Марий Эл </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</si>
  <si>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утвержденная постановлением от 30 декабря 2017 года N 1710, Федеральный проект "Формирование комфортной городской среды"</t>
  </si>
  <si>
    <t>для подсчета благополучателей используются  данные Маристата о численности постоянного населения Республики Марий Эл в муниципальных образованиях, участвующих в реализации проектов по благоустройству</t>
  </si>
  <si>
    <t>https://infotables.ru/statistika/31-rossijskaya-federatsiya/198-chislennost-gorodskogo-i-selskogo-naseleniya-rossii-po-federalnym-okrugam-tablitsa</t>
  </si>
  <si>
    <t>Всероссийская платформа для онлайн - голосования</t>
  </si>
  <si>
    <t>протоколы администраций муниципальных образований</t>
  </si>
  <si>
    <t>часть (51 муниципальное образование)</t>
  </si>
  <si>
    <t xml:space="preserve">органы местного самоуправления городских округов, городских и сельских поселений в Республике Марий Эл, в состав которых входят населенные пункты с численностью населения свыше 1 000 человек. </t>
  </si>
  <si>
    <t>да (https://sreda.dom.gosuslugi.ru/)</t>
  </si>
  <si>
    <t>https://mari-el.gov.ru/proactivities/pages/natpojects_urban/</t>
  </si>
  <si>
    <t>https://gorodsreda.ru/documents/metodiki-i-rekomendatsi
https://vk.com/public175242912?z=photo-175242912_457239864%2Falbum-175242912_00%2Frev</t>
  </si>
  <si>
    <t xml:space="preserve">СМИ, газеты - 149 информационных новостей; гос.сайты - 71 публикация; соц.сети - 570 публикаций; цифровые экраны ( 5 экранов с ежедневным просмотром); информационные листы - 150 тыс. шт.; листовки, размещеннные в троллейбусах, такси, магазинах - 925 шт.;  информация на квитанциях ЖКХ - 2 тыс.шт.; ролики в соц.чатах - 89,8 тыс.шт. 
</t>
  </si>
  <si>
    <t xml:space="preserve">https://gg12.ru/v-joshkar-ole-nazvany-territorii-lidery-v-golosovanii-po-blagoustrojstvu/ ; https://i-ola.ru/about/info/news/35189/  ;                                                                                     https://vk.com/wall-177053162_214
</t>
  </si>
  <si>
    <t xml:space="preserve">листовки (наклейки в троллейбусах, такси), информационные раздаточные материалы в подъездах, на предприятиях, информационные баннеры, информация, размещенная на квитанциях ЖКХ. </t>
  </si>
  <si>
    <t>https://vk.com/public175242912?z=photo-175242912_457239837%2Falbum-175242912_00%2Frev</t>
  </si>
  <si>
    <t>Лапина Надежда Павловна, консультант отдела реализации региональных программ и проектов, Министерство строительства, архитектуры и жилищно-клммунального хозяйства Республики Марий Эл</t>
  </si>
  <si>
    <t>8(8362) 42-19-91</t>
  </si>
  <si>
    <t>otdel421991@yandex.ru</t>
  </si>
  <si>
    <t>Старикова Татьяна Сергеевна, заместитель начальника отдела государственной поддержки отраслей экономики Министерства финансов Республики Марий Эл</t>
  </si>
  <si>
    <t>8(8362) 63-01-32</t>
  </si>
  <si>
    <t>mf-pts@minfin.mari.ru</t>
  </si>
  <si>
    <t xml:space="preserve">Реализация мероприятий по благоустройству сельских территорий государственной программы Российской Федерации "Комплексное развитие сельских территорий"
</t>
  </si>
  <si>
    <t xml:space="preserve">Реализация мероприятий по благоустройству сельских территорий 
</t>
  </si>
  <si>
    <t>2020 год</t>
  </si>
  <si>
    <t>16 апреля 2021 г.</t>
  </si>
  <si>
    <t>Государственная программа Республики Марий Эл "Комплексное развитие сельских территорий" на 2020 - 2030 годы (подпрограмма «Создание и развитие инфраструктуры на сельских территориях», основное мероприятие "Благоустройство сельских территорий")</t>
  </si>
  <si>
    <t>Постановление Правительства Республики Марий Эл от 19.12.2019 № 398</t>
  </si>
  <si>
    <t>https://mari-el.gov.ru/ministries/minselhoz/pages/nd-npa-krst/</t>
  </si>
  <si>
    <t xml:space="preserve">Закон Республики Марий Эл от 3 декабря 2021 г. № 56-З «О республиканском бюджете Республики Марий Эл на 2022 год и на плановый период 
2023 и 2024 годов»
</t>
  </si>
  <si>
    <t>https://mari-el.gov.ru/ministries/minfin/pages/zakon-56z-v-redaktii-27z/?lang=ru</t>
  </si>
  <si>
    <t xml:space="preserve">постановление Правительства Республики Марий Эл от 11 октября 2019 г. № 306 «О предоставлении государственной поддержки, направленной на комплексное развитие сельских территорий в Республике Марий Эл» </t>
  </si>
  <si>
    <t>Министерство сельского хозяйства и продовольствия Республики Марий Эл</t>
  </si>
  <si>
    <t xml:space="preserve">Администрации городских и сельских поселений Республики Марий Эл </t>
  </si>
  <si>
    <t>учитывается в 7.С.1.</t>
  </si>
  <si>
    <t>учитывается в 7.С.2.</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</si>
  <si>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</si>
  <si>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</si>
  <si>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Количество выгодоприобретателей  (человек) рассчитывается и отражается заявитетем в паспорте общественно значимого проекта по благоустройству сельских территорий и включает в себя количество жителей, которые получат пользу от проекта, пользователей объектами, созданными (обустроенными) в рамках проекта</t>
  </si>
  <si>
    <t xml:space="preserve">https://rosstat.gov.ru/compendium/document/13282 </t>
  </si>
  <si>
    <t>протоколы собраний, сходов граждан</t>
  </si>
  <si>
    <t>Возможность участия предусмотрена для всех муниципальных образований</t>
  </si>
  <si>
    <t>https://vk.com/mncx_rme?w=wall-173418161_4289, https://vk.com/mncx_rme?w=wall-173418161_4246, https://vk.com/mncx_rme?w=wall-173418161_4036</t>
  </si>
  <si>
    <t>информация размещается на официальном сайте Минсельхоза Республики Марий Эл, а также на странице в социальной сети "Вконтакте"</t>
  </si>
  <si>
    <t>на базе Российского государственного аграрного заочного университета (РГАЗУ) 
образовательная программа Минсельхоза России «Актуальные возможности и инструменты комплексного развития сельских территорий» (участники - органы местного самоуправления, сотрудники органов исполнительной власти);</t>
  </si>
  <si>
    <t xml:space="preserve">В 2022 году специалисты органов местного самоуправления проходили обучение на базе ФГБОУ ДПО «Марийский институт переподготовки кадров агробизнеса»   по программам, направленным  на организацию проектной деятельности  в условиях развития сельских территорий. 
В сентябре 2022 г. делегация Республики Марий Эл приняла участие в семинаре, проводимом Минсельхозом России в г. Казань, на тему «Комплексное развитие сельских территорий и развитие малых форм хозяйствования».
Кроме того, в декабре 2022 г. органы местного самоуправления 
в дистанционном формате проходили обучение на базе Российского государственного аграрного заочного университета (РГАЗУ) 
по образовательной программе Минсельхоза России «Трансформация сельских территорий, возможности и сценарии развития», включающей изучение ключевых направлений проектного управления, общих принципов благоустройства и формирования комфортной среды для проживания на сельских территориях.
</t>
  </si>
  <si>
    <t xml:space="preserve">учет не осуществлялся </t>
  </si>
  <si>
    <t>Пенькова Ирина Александровна,начальник отдела, Министерство сельского хозяйства и продовольствия Республики Марий Эл</t>
  </si>
  <si>
    <t>(8362) 41-69-11</t>
  </si>
  <si>
    <t>stroitelstvo2@aris.mari.ru</t>
  </si>
  <si>
    <t>Поддержка местных инициатив на территории Республики Марий Эл</t>
  </si>
  <si>
    <t>21 сентября 2020 г.</t>
  </si>
  <si>
    <t>9 декабря 2022 г.</t>
  </si>
  <si>
    <t>Государственная программа «Экономическое развитие и инвестиционная деятельность (2013-2025 годы)», утвержденная постановлением Правительства Республики Марий Эл от 31 августа 2012 г. № 326, подпрограмма «Развитие инвестиционной деятельности», мероприятие «Субсидии бюджетам городских округов, городских и сельских поселений в Республике Марий Эл на софинансирование проектов и программ развития территорий муниципальных образований в Республике Марий Эл, основанных на местных инициативах»</t>
  </si>
  <si>
    <t>Постановление Правительства Республики Марий Эл от 7 июля 2014 г. № 346 «О внесении изменений в постановление Правительства Республики Марий Эл от 31 августа 2012 г. № 326»</t>
  </si>
  <si>
    <t>https://mari-el.gov.ru/other/pravo/documents/ot-7-iyulya-2014-g-346/</t>
  </si>
  <si>
    <t xml:space="preserve">Постановление Правительства Республики Марий Эл от 9 августа 2019 г. № 248 «О поддержке местных инициатив на территории Республики Марий Эл». Срок действия - бессрочный (на постоянной основе) </t>
  </si>
  <si>
    <t>https://mari-el.gov.ru/other/pravo/documents/ot-9-avgusta-2019-g-248/</t>
  </si>
  <si>
    <t>Министерство внутренней политики, развития местного самоуправления и юстиции Республики Марий Эл, Министерство промышленности, экономического развития и торговли Республики Марий Эл, Министерство финансов Республики Марий Эл</t>
  </si>
  <si>
    <t>Министерство промышленности, экономического развития и торговли Республики Марий Эл</t>
  </si>
  <si>
    <t>Неоплачиваемый вклад населения (размер неоплачиваемого вклада рассчитывается в денежном выражении из расчета минимального размера оплаты труда)</t>
  </si>
  <si>
    <t>45, по 1 проекту отказ от реализации, реализовано 44 проека</t>
  </si>
  <si>
    <t>данные администраций муниципальных образований, реализовавших проекты (сумма благополучателей по 44 проектам). Общее количество благополучателей складывается из общего количества прямых благополучателей и из общего количества косвенных благополучателей. Прямые благополучатели - группы населения, которые регулярно пользуются результатами выполненного проекта, косвенные - периодически. Постановление Правительства Республики Марий Эл от 9 августа 2019 г. № 248</t>
  </si>
  <si>
    <t>нет данных</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</si>
  <si>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9 августа 2019 г. № 248.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</si>
  <si>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Протоколы собраний граждан, подписи (по всем 78 заявкам, представленным на конкурсный отбор в 2022 году)</t>
  </si>
  <si>
    <t>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Состав конкурсной комиссии утвержден постановлением Правительства Республики Марий Эл от 9 августа 2019 г. № 248</t>
  </si>
  <si>
    <t>10 - представители органов власти Республики Марий Эл, 4 - общественные представители</t>
  </si>
  <si>
    <t>протокол заседания конкурсной комиссии</t>
  </si>
  <si>
    <t>14 (10 - представители органов власти Республики Марий Эл, 4 - общественные представители)</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</si>
  <si>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www.marpravda.ru/news/zh-k-h/proekt-narodnyy-kontrol-programma-podderzhki-obshchestvennykh-initsiativ-v-mariy-el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 (и группа в социальной сети «Вконтакте» https://vk.com/terin12)</t>
  </si>
  <si>
    <t>https://mari-el.gov.ru/ministries/mecon/pages/konkursy-i-vystavki/</t>
  </si>
  <si>
    <t>https://vk.com/terin12</t>
  </si>
  <si>
    <t xml:space="preserve">Видео ролики на ТВ о проектах, реализованных по программе местных инициатив в Республики Марий Эл и планируемых к реализации,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t>
  </si>
  <si>
    <t>Консультирование сотрудников администраций муниципальных образований по вопросам подготовки проектов по поддержке местных инициатив, реализации проектов и подготовке отчетов о реализации проектов сотрудниками Министерства промышленности, экономического развития и торговли Республики Марий Эл и Министерства внутренней политики, развития местного самоуправления и юстиции Республики Марий Эл. По вопросам финансирования - сотрудниками Министерства финансов Республики Марий Эл. В феврале 2023 г. проведен обучающий семинар на тему "Взаимодействие инициативных групп и местных администраций в процессе подготовки и реализации инициативных проектов" https://gsmari.ru/about/info/news/1364/</t>
  </si>
  <si>
    <t>на постоянной основе</t>
  </si>
  <si>
    <t>Попадюк Светлана Ивановна, начальник отдела мониторинга инвестиционных проектов Министерства промышленности, экономического развития и торговли Республики Марий Эл</t>
  </si>
  <si>
    <t>8(8362) 22-21-46</t>
  </si>
  <si>
    <t>invest@gov.mari.ru</t>
  </si>
  <si>
    <t>Инициативное бюджетирование в Республике Крым</t>
  </si>
  <si>
    <t>Крым как мы хотим</t>
  </si>
  <si>
    <t>Закон Республики Крым от 09.12.2021 № 242-ЗРК/2021 «О бюджете Республики Крым на 2022 год и на плановый период 2023 и 2024 годов»</t>
  </si>
  <si>
    <t>https://minfin.rk.gov.ru</t>
  </si>
  <si>
    <t>Закон Республики Крым от 29.05.2020 N 77-ЗРК/2020 "Об инициативном бюджетировании в Республике Крым" (принят Государственным Советом Республики Крым 27.05.2020). Начало действия документа - 14.06.2020.</t>
  </si>
  <si>
    <t>https://budget.rk.ifinmon.ru/krym-kak-my-hotim/dokumenty</t>
  </si>
  <si>
    <t>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Начало действия документа - 16.10.2020.</t>
  </si>
  <si>
    <t>Постановление Совета министров Республики Крым от 19.11.2021 № 694 «Об установлении предельного уровня софинансирования расходного обязательства муниципального образования Республики Крым при предоставлении субсидий из бюджета Республики Крым в 2022 году и плановом периоде 2023 и 2024 годов и признании утратившим силу постановления Совета министров Республики Крым от 14 декабря 2020 года № 784»,  постановление Совета министров Республике Крым от 30.08.2021 № 501 " Об утверждении Порядка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постановление Совета министров Республики Крым от 16.11.2020 N 703 "О создании Центра изучения гражданских инициатив", распоряжение Главы Республики Крым от 27 мая 2019 года №238-рг «О создании Рабочей группы по развитию инициативного бюджетирования в Республике Крым»</t>
  </si>
  <si>
    <t xml:space="preserve"> Министерство финансов Республики Крым </t>
  </si>
  <si>
    <t xml:space="preserve"> Министерство жилищно-коммунального хозяйства Республики Крым, Министерство спорта Республики Крым</t>
  </si>
  <si>
    <t xml:space="preserve">Cубсидия  предоставляется бюджетам городских и сельских поселений, муниципальным районам Республики Крым при условии софинансирования  со стороны бюджета городского (сельского) поселения, муниципального района Республики Крым не менее 5 процентов и со стороны жителей - не менее 3 процентов от суммы субсидии.Размер субсидии на поддержку одного проекта не может превышать 1,0 млн рублей. Распределение субсидий бюджетам муниципальных образований Республики Крым на реализацию проектов инициативного бюджетирования осуществляется в соответствии с нормативным правовым актом Совета министров Республики Крым, принятым на основании решения республиканской конкурсной комиссии инициативного бюджетирования по проектам победителям.
</t>
  </si>
  <si>
    <t xml:space="preserve">Неденежный вклад жителей населенного пункта  включает безвозмездный труд, строительные материалы или оборудование (транспорт). Неденежный вклад спонсоров  включает неоплачиваемые работы, строительные материалы или оборудование (транспорт).  
Оценка  осуществляется по  балльной шкале по следующим критериям (постановление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1.Вклад жителей населенного пункта в реализацию проекта в неденежной форме (материалы и другие формы): а) наличие участия жителей населенного пункта в реализации проекта в неденежной форме - 100 баллов; б) отсутствие участия жителей населенного пункта в реализации проекта в неденежной форме - 0 баллов.
2. Вклад спонсоров в реализацию проекта в неденежной форме (материалы и другие формы): а) сведения о планируемом участии спонсоров в реализации проекта в неденежной форме, - 100 баллов; б) отсутствие сведений о планируемом участии спонсоров в реализации проекта в неденежной форме, - 0 баллов.
</t>
  </si>
  <si>
    <t xml:space="preserve">Уровень софинансирования проекта  в неденежной форме со стороны граждан, индивидуальных предпринимателей и юридических лиц не устанавливается.
</t>
  </si>
  <si>
    <t>188 (количество поданных заявок, прошедших и непрошедших технический анализ).</t>
  </si>
  <si>
    <t xml:space="preserve">Методика подсчета количества благополучателей проектов инициативного бюджетирования осуществляется  на основании заявляемых на региональный конкурс  проектных заявок, для данного показателя предусматривается отдельная балльная оценка по следующим критериям (постановление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а) количество начисляемых баллов равно доле благополучателей в процентах от общей численности жителей населенного пункта (напр.: благополучателей 100 чел., жителей 200 чел., считаем по формуле 100/200*100= 50 % и умножаем на весовой коэффициент 0,05 = 2,5 балла)
б) в случае, если численность благополучателей превосходит численность жителей населенного пункта, начисляется 100 баллов (напр. благополучателей 200 чел., жителей 100 чел.,  100 % умножаем на весовой коэффициент 0,05 = 5 баллов)  
Функционал портала «Открытый бюджет Республики Крым»в подразделе " Крым как мы хотим" позволяет формировать аналитическую информацию (количество сходов граждан, количество участников, типология проектов, стоимость проектов, в том числе в разрезе источников финансирования, количество благополучателей и др.) и оценку проектов.
</t>
  </si>
  <si>
    <t>https://budget.rk.ifinmon.ru/krym-kak-my-hotim/o-proekte</t>
  </si>
  <si>
    <t>https://crimea.gks.ru/folder/27537</t>
  </si>
  <si>
    <t>https://minfin.rk.gov.ru/uploads/txteditor/minfin/attachments//d4/1d/8c/d98f00b204e9800998ecf8427e/phpborCGo_%D0%9F%D0%BE%D1%81%D1%82%D0%B0%D0%BD%D0%BE%D0%B2%D0%BB%D0%B5%D0%BD%D0%B8%D0%B5%20%D0%A1%D0%9C%20%D0%A0%D0%9A%20%D0%BE%D1%82%2016.11.2020%20%E2%84%96%20703.pdf</t>
  </si>
  <si>
    <t>Бюджет Республики Крым, госзадание</t>
  </si>
  <si>
    <t>55 981 (из них 19 463 победившие проекты)</t>
  </si>
  <si>
    <t>Проведение предварительных и заключительных собраний  жителей населенного пунктв по выбору проекта ИБ. Количество присутствующих указывается в протоколе  и в явочном листе регистрации, кроме того во время собрания для подтверждения факта его проведения и количества присутствующих происходит фотофиксация собрания.
 Аналитический отчет количество участников собраний формируется в автоматическом режиме на основании данных, имеющихся в системе. https://budget.rk.ifinmon.ru/krym-kak-my-hotim/analitika/stat</t>
  </si>
  <si>
    <t>5,3 тыс. человек</t>
  </si>
  <si>
    <t xml:space="preserve">Участие предусмотрено для всех мунипальных образований, кроме городских округов Республики Крым.
</t>
  </si>
  <si>
    <t>Министерство финансов Республики Крым во исполнение подпункта 2.1.2 пункта 2 протокола заседания Совета по вопросам местного самоуправления при полномочном представителе Президента Российской Федерации в Южном федеральном округе от 21.02.2019  № А52-723-29 о развитии инициативного бюджетирования в муниципальных образованиях субъектов Российской Федерации, расположенных в пределах Южного федерального округа, и с целью изучения передового опыта по реализации проектов инициативного бюджетирования в Республике Крым и разработки предложений для внедрения практики инициативного бюджетирования в регионе организовало Рабочую группу по развитию инициативного бюджетирования в Республике Крым (распоряжение Главы Республики Крым от 27.05.2019 № 238-рг).
Пунктом 1.1 протокола заседания Рабочей группы по развитию инициативного бюджетирования в Республике Крым от 13.08.2020 определено, что в пилотном режиме география муниципальных образований Республики Крым - участников конкурсного отбора проектов инициативного бюджетирования включит в 2021 году территорию городских и сельских поселений, муниципальных районов Республики Крым (в Крыму: 4 городских поселения, 250 сельских поселений и 14 муниципальных районов Республики Крым) - 49% от общего количества проживающих в Крыму жителей. Городские округа Республики Крым не охвачены республиканской практикой. 
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отразило географию муниципальных образований Республики Крым.</t>
  </si>
  <si>
    <t xml:space="preserve">Для освещения хода реализации проектов инициативного бюджетирования и подачи заявок и документов на конкурсный отбор на информационном портале Открытый бюджет Республики Крым создан раздел «Крым как мы хотим» и реализована техническая возможность. </t>
  </si>
  <si>
    <t>https://budget.rk.ifinmon.ru/krym-kak-my-hotim</t>
  </si>
  <si>
    <t>https://vk.com/centr_izuch_grazhdans_initsiativ,   https://ok.ru/group/59294494359577</t>
  </si>
  <si>
    <t xml:space="preserve">Важным фактором, повлиявшим на увеличение количества участников программы ИБ, стала развернутая информационная кампания по ИБ в Крыму, для которой использовался широкий спектр каналов коммуникации: информационные стенды и объявления, публикации на официальных сайтах муниципальных образований, муниципальные и региональные газеты, издания сельских поселений, региональные телеканалы, сайты населенных пунктов, социальные сети и мессенджеры.
К старту конкурсного отбора инициативных проектов 2022 года на региональном телевидении и в социальных сетях был запущен рекламный обучающий ролик о программе ИБ «Крым как мы хотим» https://budget.rk.ifinmon.ru/krym-kak-my-hotim/o-proekte. Такая социальная реклама, построенная на сочетании общей информации о практике ИБ и практических рекомендаций по подготовке проекта, показала себя эффективным инструментом в вовлечении граждан. Одним из источников информации о программе и выдвигаемых инициативных проектах стали муниципальные районные газеты, преимуществом которых является исторически сложившееся доверие к ним со стороны местных жителей. В местных изданиях публиковались как объявления о собраниях жителей для обсуждения инициатив, так и информационные материалы о программе инициативного бюджетирования и готовящихся проектах.
Региональное телевидение также было активно вовлечено в информирование общественности о реализации программы: от старта конкурса и подготовки конкурсных заявок муниципальными образованиями до открытия объектов. Широкая публичная презентация результатов реализации местных инициатив в СМИ повышает интерес жителей к программе и обеспечивает доверие к подобного рода проектам.
Эффективным инструментом развития и поддержки гражданских инициатив стали социальные сети и мессенджеры. К 2022 году сформировалась практика создания тематических групп конкретного населенного пункта в социальных сетях. Например, «Жители села Емельяновка участвуют в инициативном бюджетировании», «Инициативное бюджетирование в Крыму. Село Горностаевка». В таких группах размещается информация о программе ИБ, правилах конкурса, сроках подачи заявок, ходе проведения опросов населения, объявления о собрании местных жителей для обсуждения и утверждения проекта, рассказывается о ходе работ по реализации проекта, презентуются результаты и о жизни проекта после реализации. 
https://minfin.rk.gov.ru/ru/video-report/show/236
https://minfin.rk.gov.ru/ru/video-report/show/230
https://minfin.rk.gov.ru/ru/video-report/show/219
</t>
  </si>
  <si>
    <t>С целью информирования жителей Республики Крым  в рамках проведения информационно-разъяснительной кампании финансовым органом  совместно с Центром изучения гражданских инициатив подготовлены и  разданы на собраниях (сходах) жителей в муниципальных районах Республики Крым листовки «Что такое инициативное бюджетирование?»  в количестве 25000 шт., буклеты «Цикл подготовки проектов инициативного бюджетирования» 15000 шт. и плакаты «Предложи своё решение» 800 шт. https://minfin.rk.gov.ru/ru/article/show/1744  
Инфографика использовалась в презентациях https://budget.rk.ifinmon.ru/krym-kak-my-hotim/dokumenty</t>
  </si>
  <si>
    <t xml:space="preserve">Вебинары, семинары 32 ( из них 7 онлайн режиме и 25 выездных совещаний сотрудников Центра изучения гражданских инициатив в районных администрациях Республики  Крым),  межрегиональные семинары - 2, участие  во Всероссийских конференциях – 10 и в международных конференциях – 3,  выступление на ТВ - 6, методические рекомендации-1, опубликования 10 статей  из которых 5 в журналах ВАК  и 5 РИНЦ, Северная школа консультантов инициативного бюджетирования – 1.
В  информационно-обучающих мероприятиях, проведенных в онлайн- и офлайн- форматах, приняло участие более 1200 представителей  муниципальных образований Республики Крым, сотрудников Министерства финансов Республики Крым и Центра изучения гражданских инициатив КИПУ имени Февзи Якубова, активных граждан.
Темами информационно-обучающих мероприятий 2022 годы стали: 
1. Подготовка инициативных проектов для участия в конкурсном отборе
2.Теоретические и практические аспекты реализации проектов инициативного бюджетирования в регионе
3. Внедрение и развитие практик инициативного бюджетирования в муниципальных образованиях
4. Изменениям законодательства в сфере инициативного бюджетирования
5. Об участии в конкурсе проектов инициативного бюджетирования в Республике Крым в 2023 г.
6. Подготовка проектов инициативного бюджетирования для участия в конкурсном отборе в 2023 году.
7.Школьное инициативное бюджетирование: первые результаты и пути дальнейшего развития
Центром изучения гражданских инициатив КИПУ имени Февзи Якубова разработаны Методические рекомендации «Инициативное бюджетирование. Просто о нужном».
Выездные семинары-совещания были организованы сотрудниками Центра изучения гражданских инициатив для представителей глав администраций МО РК, активных граждан. 
https://budget.rk.ifinmon.ru/krym-kak-my-hotim/novosti 
https://minfin.rk.gov.ru/ru/index
https://minfin.rk.gov.ru/ru/video-report/show/236
</t>
  </si>
  <si>
    <t xml:space="preserve">Балема Елена Валерьевна, консультант отдела проектного управления и инициативного бюджетирования  Министерства финансов Республики Крым
</t>
  </si>
  <si>
    <t>(3652)73-30-37</t>
  </si>
  <si>
    <t>unp@minfin.rk.gov.ru</t>
  </si>
  <si>
    <t>Кадкина Алина Юрьевна, заведующий отделом проектного управления и инициативного бюджетирования Министерства финансов Республики Крым</t>
  </si>
  <si>
    <t>(3652)73-30-52</t>
  </si>
  <si>
    <t>Софинансирование проектов инициативного бюджетирования</t>
  </si>
  <si>
    <t>Пермский край меняем мы сами</t>
  </si>
  <si>
    <t xml:space="preserve">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N 1305-п, подпрограмма 2 "Поддержка проектов местных инициатив", основное мероприятие "Финансовая поддержка местных инициатив граждан по решению вопросов местного значения", мероприятие "Софинансирование проектов инициативного бюджетирования" </t>
  </si>
  <si>
    <t>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</si>
  <si>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https://minter.permkrai.ru/dokumenty/268012/</t>
  </si>
  <si>
    <t>Закон Пермского края от 2 июня 2016 г. № 654-ПК "О реализации проектов инициативного бюджетирования в Пермском крае"</t>
  </si>
  <si>
    <t>https://minter.permkrai.ru/dokumenty/106609/</t>
  </si>
  <si>
    <t>Министерство территориального развития Пермского края</t>
  </si>
  <si>
    <t>В соответствии с Законом Пермского края от 02.06.2016 г. № 654-ПК "О реализации проектов инициативного бюджетирования в Пермском крае" при реализации проектов предусмотрено участие добровольного имущественного и (или) трудового участия заинтересованных лиц, однако оно не учитывалось при проведении конкурсного отбора проектов на краевом уровне и при реализации проектов на 2022 г.
При этом на краевом этапе конкурса проектов на 2023 г. нефинансовый вклад предусмотрен в критериях оценки проектов на муниципальном уровне</t>
  </si>
  <si>
    <t>Оценка не проводилась</t>
  </si>
  <si>
    <t>На краевом этапе конкурса методика подсчета благополучателей от реализации проектов в 2022 г. отсутствовала.
При этом на краевом этапе конкурса проектов на 2023 г. в критериях оценки проектов на муниципальном уровне учитывается доля благополучателей проекта от количества жителей, проживающих на территории населенного пункта или его части</t>
  </si>
  <si>
    <t>https://59.rosstat.gov.ru/folder/160087</t>
  </si>
  <si>
    <t>Проводится при определении направления проекта инициативного бюджетирования на этапе проведения собраний инициативных граждан, но на краевом уровне не учитывается</t>
  </si>
  <si>
    <t>Подсчет на краевом уровне не ведется.</t>
  </si>
  <si>
    <t>Протокол, видеозапись</t>
  </si>
  <si>
    <t>Процедура сбора проектных предложений от граждан осуществляется на муниципальном уровне, в т.ч. проводится собрание (конференция) граждан, анкетирование, обсуждение (выбор) проектов инициативного бюджетирования в социальных сетях, в печатных СМИ, на официальных сайтах  муниципальных образований. Использование указанных информационных каналов по продвижению проектов инициативного бюджетирования включено в критерии оценки проектов инициативного бюджетирования на конкурсе на муниципальном уровне.</t>
  </si>
  <si>
    <t>На краевом этапе конкурса проектов на 2022 г. интернет-голосование отсутствовало.
При этом на краевом этапе конкурса проектов на 2023 г. в критериях оценки проектов на муниципальном уровне учитывается голосование за проект</t>
  </si>
  <si>
    <t>Отбор проектов-победителей проводится на двух уровнях. На муниципальном уровне отбор осуществляет муниципальная комиссия. Далее проекты отбираются краевой конкурсной комиссией, состав которой утверждается Правительством Пермского края. В состав комисии входят представители  Правительства Пермского края, депутаты Законодательного Собрания Пермского края, эксперты, а также представители общественности</t>
  </si>
  <si>
    <t>В 2022 году все проекты были представлены на портале "Управляем вместе" (https://vmeste.permkrai.ru/info/categories/6/program22), на котором также отражены итоги оценки проектов как на муниципальном уровне, так и на краевом уровне.</t>
  </si>
  <si>
    <t>https://minter.permkrai.ru/deyatelnost/podderzhka-mestnykh-initsiativ/initsiativnoe-byudzhetirovanie/initsiativnoe-byudzhetirovanie</t>
  </si>
  <si>
    <t xml:space="preserve">https://vmeste.permkrai.ru/program/category/6/; https://vk.com/minter.permkrai </t>
  </si>
  <si>
    <t xml:space="preserve">Реализация проектов инициативного бюджетирования широко освещается на федеральных и местных телевизионных каналах, а также в социальных сетях.
https://vesti-perm.ru/archive/c235d71ccf35498b9504a478d11b5dc4;
https://gazeta-perm.ru/article/v-2022-godu-zhiteli-prikamya-realizuyut-223-proekta-iniciativnogo-byudzhetirovaniya;
https://minter.permkrai.ru/novosti/?id=273187;
https://vk.com/wall-156623553_878
</t>
  </si>
  <si>
    <t>Брошюры и буклеты «Пермский край меняем мы сами", 
ссылка: https://minter.permkrai.ru/deyatelnost/podderzhka-mestnykh-initsiativ/initsiativnoe-byudzhetirovanie/konkursnyy-otbor/2023-god</t>
  </si>
  <si>
    <t>Обучающие семинары по вопросам инициативного бюджетирования, которые проводились для жителей и муниципальных служащих всех муниципальных образований Пермского края в очном формате и в формате ВКС</t>
  </si>
  <si>
    <t xml:space="preserve">Симакова Татьяна Николаевна,заместитель начальника управления, начальник отдела поддержки общественного самоуправления
управления социально-экономического развития муниципальных образований
Министерства территориального развития Пермского края </t>
  </si>
  <si>
    <t>8 (342) 217 74 18</t>
  </si>
  <si>
    <t>tnsimakova@minter.permkrai.ru</t>
  </si>
  <si>
    <t xml:space="preserve">Бормотова Ирина Витальевна, заместитель начальника отдела межбюджетных отношений  управления бюджетной политики Министерства финансов Пермского края </t>
  </si>
  <si>
    <t>8 (342) 235 16 65</t>
  </si>
  <si>
    <t>ivbormotova@mfin.permkrai.ru</t>
  </si>
  <si>
    <t>25 февраля 2022 г.</t>
  </si>
  <si>
    <t>Государственная программа Орловской области "Комплексное развитие сельских территорий Орловской области", подпрограмма 3 "Создание и развитие инфраструктуры на сельских территориях", основное мероприятие 3.1 "Благоустройство сельских территорий"</t>
  </si>
  <si>
    <t>Постановление Правительства Орловской области от 20.12.2019 года № 705 "Об утверждении государственной программы Орловской области "Комплексное развитие сельских территорий Орловской области"</t>
  </si>
  <si>
    <t>https://orel-region.ru/index.php?head=17&amp;part=19&amp;formName=docsearch&amp;doc_type=0&amp;doc_organ=0&amp;fwords=&amp;number=705&amp;date1f=20-12-2019&amp;date2f=%E4%E4-%EC%EC-%E3%E3%E3%E3&amp;date3f=%E4%E4-%EC%EC-%E3%E3%E3%E3&amp;x=29&amp;y=9</t>
  </si>
  <si>
    <t>Закон Орловской области от 25.11.2021 № 2696-ОЗ "Об областном бюджете на 2022 год и на плановый период 2023 и 2024 годов                                           Закон Орловской области от 02.12.2022 № 2838-ОЗ "Об областном бюджете на 2023 год и на плановый период 2024 и 2025 годов"</t>
  </si>
  <si>
    <t>http://publication.pravo.gov.ru/Document/View/5700202111250006                                           http://publication.pravo.gov.ru/Document/View/5700202212050009</t>
  </si>
  <si>
    <t>Департамент сельского хозяйства Орловской области</t>
  </si>
  <si>
    <t>муниципальные образования Орловской области - Свердловский район, Новодеревеньковский район, Кромской район</t>
  </si>
  <si>
    <t>Государственная программа Российской Федерации "Комплексное развитие сельских территорий", ведомственный проект "Благоустройство сельских территорий"</t>
  </si>
  <si>
    <t>Численность населения в поселениях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</si>
  <si>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https://57.rosstat.gov.ru/storage/mediabank/Численность%20населения%20в%20Орловской%20области(3).pdf</t>
  </si>
  <si>
    <t>протоколы собраний жителей муниципальных образований Орловской области</t>
  </si>
  <si>
    <t>Митина Мария Владимировна - главный специалист отдела развития малых форм хозяйствования и сельских территорий управления государственной поддержки  АПК и инфраструктуры села Департамента сельского хозяйства Орловской области</t>
  </si>
  <si>
    <t>8(4862)75-06-08</t>
  </si>
  <si>
    <t>mmv@adm.orel.ru</t>
  </si>
  <si>
    <t>Тоница Ирина Евгеньевна - заместитель начальника управления - начальник отдела отраслевого финансирования управления финансов Департамента финансов Орловской области</t>
  </si>
  <si>
    <t>8(4862)59-82-15</t>
  </si>
  <si>
    <t>oof@adm.orel.ru</t>
  </si>
  <si>
    <t xml:space="preserve">Проект "Народный бюджет" в Орловской области
</t>
  </si>
  <si>
    <t>Конкурс проектов инициативного бюджетирования "Народный бюджет"</t>
  </si>
  <si>
    <t xml:space="preserve">Закон Орловской области от 25.11.2021 года № 2696-ОЗ (ред. от 02.12.2022) "Об областном бюджете на 2022 год и на плановый период 2023 и 2024 годов"                                          Закон Орловской области от 02.12.2022 N 2838-ОЗ
"Об областном бюджете на 2023 год и на плановый период 2024 и 2025 годов"
</t>
  </si>
  <si>
    <t>consultantplus://offline/ref=A63E4147B21B71289196B192900A153EE39B0FB1A384F7E1C85D1F630D318A6413695600DEB6A622l2c9H                                                  http://publication.pravo.gov.ru/Document/View/5700202212050009</t>
  </si>
  <si>
    <t>Постановление Правительства Орловской области от 02.10.2017 № 412 "Об утверждении Положения о проекте "Народный бюджет" в Орловской области"</t>
  </si>
  <si>
    <t>http://publication.pravo.gov.ru/Document/View/5700201710030002</t>
  </si>
  <si>
    <t>Департамент по проектам развития территорий Орловской области</t>
  </si>
  <si>
    <t>Департамент образования Орловской области, Департамент жилищно-коммунального хозяйства, топливно-энергетического комплекса и энергосбережения Орловской области, Департамент физической культуры и спорта Орловской области, Департамент по проектам развития территорий Орловской области</t>
  </si>
  <si>
    <t>иной межбюджетный трансферт</t>
  </si>
  <si>
    <t>муниципальные образования Орловской области: г. Орёл, г. Ливны, Глазуновский район, Кромской район, Ливенский район, Новосильский район, Орловский муниципальный округ, Покровский район</t>
  </si>
  <si>
    <t>http://орёл.рф/народный-бюджет</t>
  </si>
  <si>
    <t>https://orel-region.ru/index.php?head=1&amp;unit=17469</t>
  </si>
  <si>
    <t>публичный информационный центр - Портал Орловской области</t>
  </si>
  <si>
    <t xml:space="preserve">«Формирование современной городской среды на территории Орловской области»
</t>
  </si>
  <si>
    <t>«Формирование комфортной городской среды»</t>
  </si>
  <si>
    <t>1 января 2021 г.</t>
  </si>
  <si>
    <t xml:space="preserve">Государственная программа Орловской области «Формирование современной городской среды на территории Орловской области» 
</t>
  </si>
  <si>
    <t xml:space="preserve">Постановление Правительства Орловской области от 31.08.2017 № 372 "Об утверждении государственной программы Орловской области "Формирование современной городской среды на территории Орловской области"
</t>
  </si>
  <si>
    <t xml:space="preserve">http://orel-region.ru/index.php?head=17&amp;part=19&amp;docid=10476 </t>
  </si>
  <si>
    <t>Закон Орловской области от 25.11.2021 года № 2696-ОЗ "Об областном бюджете на 2022 год и на плановый период 2023 и 2024 годов"                                            Закон Орловской области от 2 декабря 2022 года № 2838-ОЗ "Об областном бюджете на 2023 год и на плановый период 2024 и 2025 годов"</t>
  </si>
  <si>
    <t>http://publication.pravo.gov.ru/Document/View/5700202111250006                       http://publication.pravo.gov.ru/Document/View/5700202212050009</t>
  </si>
  <si>
    <t>Департамент жилищно-коммунального хозяйства, топливно-энергетического комплекса и энергосбережения Орловской области</t>
  </si>
  <si>
    <t>субсидии, иные межбюджетные трансферты</t>
  </si>
  <si>
    <t>муниципальные образования Орловской области</t>
  </si>
  <si>
    <t>1)предоставление и распределение субсидий из федерального бюджета бюджетам субъектов Российской Федерации на поддержку государственных программ субъектов Российской Федерации и муниципальных программ формирования современной городской среды, предусмотренными приложением № 15 к государственной программе Российской Федерации «Обеспечение доступным и комфортным жильем и коммунальными услугами граждан Российской Федерации» 
2) Предоставление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утвержденными постановлением Правительства Российской Федерации от 7 марта 2018г. № 237«Об утверждении Правил предоставления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3)Федеральный проект «Формирование комфортной городской среды" Национального проекта "Жилье и городская среда". Паспорт нацпроекта разработан Минстроем России во исполнение Указа Президента Российской Федерации от 7 мая 2018 года № 204 «О национальных целях и стратегических задачах развития Российской Федерации на период до 2024 года» и включает в себя четыре федеральных проекта: «Ипотека», «Жильё», «Формирование комфортной городской среды» и «Обеспечение устойчивого сокращения непригодного для проживания жилищного фонда».</t>
  </si>
  <si>
    <t xml:space="preserve">Форма трудового участия заинтересованных лиц в реализации мероприятий по благоустройству дворовых территорий в рамках минимального и дополнительного перечней работ по благоустройству может быть выражена в виде:
1) выполнения жителями неоплачиваемых работ, не требующих специальной квалификации (подготовка объектов (дворовой территории) к началу работ, земляные работы, снятие старого оборудования, уборка мусора), и других работ (покраска оборудования, озеленение территории, посадка деревьев, охрана объекта);
2) предоставления строительных материалов, техники;
3) обеспечения благоприятных условий для работы подрядной организации, выполняющей работы, и для ее сотрудников.
</t>
  </si>
  <si>
    <t xml:space="preserve">https://57.gorodsreda.ru/ </t>
  </si>
  <si>
    <t>часть</t>
  </si>
  <si>
    <t xml:space="preserve">Субсидии из областного бюджета предоставляются муниципальным образованиям Орловской области: городским округам Орловской области, городским поселениям Орловской области и сельским поселениям Орловской области, в состав которых входят населенные пункты с численностью населения свыше 1000 человек (далее также - муниципальные образования Орловской области), в целях благоустройства территорий данных муниципальных образований Орловской области </t>
  </si>
  <si>
    <t>рейтинговое голосование за отбор общественных территорий, благоустраиваемых в первоочередном порядке</t>
  </si>
  <si>
    <t>https://invest-orel.ru/ https://gorodsreda.ru/</t>
  </si>
  <si>
    <t xml:space="preserve">https://gorodsreda.ru/ </t>
  </si>
  <si>
    <t>ТВ, радио, наружная реклама, социальные сети,публичный информационный центр - Портал Орловской области и др.</t>
  </si>
  <si>
    <t>Островко Елена Евгеньевна - заместитель начальника управления комфортной городской среды Департамента жилищно-коммунального хозяйства, топливно-энергетического комплекса и энергосбережения Орловской области</t>
  </si>
  <si>
    <t>8(4862)59-85-57</t>
  </si>
  <si>
    <t>oee@adm.orel.ru</t>
  </si>
  <si>
    <t>Конкурсный отбор инициативных проектов на территории Омской области (постановление Правительства Омской области от 7 апреля 2021 года № 133-п)</t>
  </si>
  <si>
    <t>Конкурсный отбор инициативных проектов на территории Омской области</t>
  </si>
  <si>
    <t xml:space="preserve">1. Государственная программа Омской области "Формирование комфортной городской среды" (подпрограмма "Благоустройство общественных территорий муниципальных образований Омской области",  мероприятие "Реализация инициативных проектов в сфере формирования комфортной городской среды");
2. Государственная программа Омской области "Развитие культуры и туризма " (подпрограмма"Поддержка органов местного
самоуправления по осуществлению полномочий в сфере культуры", мероприятие - "Реализация инициативных проектов в сфере культуры на территории муниципальных образований Омской области");
3. Государственная программа Омской области "Развитие физической  культуры и спорта и реализация мероприятий в сфере молодежной политики" ( подпрограмма "Управление развитием отрасли физической культуры и спорта, в том числе развитие физической культуры, спорта высших достижений и системы подготовки спортивного резерва", мероприятие - "Реализация инициативных проектов в сфере физической культуры и спорта на территории муниципальных образований Омской области"
</t>
  </si>
  <si>
    <t xml:space="preserve">1. Постановление Правительства Омской области от 15 июля 2021 года № 280-п;
2. Постановление Правительства Омской области от 24 декабря 2021 года № 658-п;
3. Постановление Правительства Омской области от 10 февраля 2022 года № 49-п
</t>
  </si>
  <si>
    <t xml:space="preserve">1. https://ovmf2.consultant.ru/cgi/online.cgi?req=doc&amp;rnd=Tn7HyA&amp;base=RLAW148&amp;n=169173&amp;dst=100004&amp;field=134#Z8HEsbTcp3aBL4Wb1
2. https://ovmf2.consultant.ru/cgi/online.cgi?req=doc&amp;rnd=Tn7HyA&amp;base=RLAW148&amp;n=175799&amp;dst=100066&amp;field=134#JELDsbTuWtb0Ssnl
3. https://ovmf2.consultant.ru/cgi/online.cgi?req=doc&amp;rnd=Tn7HyA&amp;base=RLAW148&amp;n=177638&amp;dst=100004&amp;field=134#3pUEsbTO29TidjKp
</t>
  </si>
  <si>
    <t xml:space="preserve">
1. постановление Правительства Омской области от 7 апреля 2021 года № 133-п "О конкурсном отборе инициативных проектов на территории Омской области"
"2.постановление Правительства Омской области от 10 ноября 2021 года № 500-п "Об утверждении правил предоставления  и методики распределения иных межбюджетных трансфертов из областного бюджета местным бюджетам на софинансирование инициативных проектов"</t>
  </si>
  <si>
    <t>https://ovmf2.consultant.ru/cgi/online.cgi?req=doc&amp;cacheid=6986BF37D741E4A1968C35FE1D137A2C&amp;SORTTYPE=0&amp;BASENODE=23700-61&amp;ts=4uimvbT6zhTo7me5&amp;base=RLAW148&amp;n=190119&amp;rnd=Tn7HyA#Asu1wbTsle8w9TmI4
https://ovmf2.consultant.ru/cgi/online.cgi?req=doc&amp;cacheid=F9FC3FD5614E0B314E424473D0FF91D6&amp;SORTTYPE=0&amp;BASENODE=23700-47&amp;ts=juItebTzWdBjYhC5&amp;base=RLAW148&amp;n=195949&amp;rnd=cGgdgg#TzNtebTLc529AQ0O</t>
  </si>
  <si>
    <t xml:space="preserve">Министерство финансов Омской области </t>
  </si>
  <si>
    <t>Министерство энергетики и ижилищно-коммунального комплекса Омской области;
Министерство культуры Омской области;
Министерство по делам молодежи, физической культуры и спорта Омской области</t>
  </si>
  <si>
    <t xml:space="preserve">иные межбюджетные трансферты </t>
  </si>
  <si>
    <t xml:space="preserve">муниципальные образования Омской области </t>
  </si>
  <si>
    <t>Предусмотрено нефинансовое  участие физических лиц, индивидуальных предпринимателей и юридических лиц в реализации инициативных проектов</t>
  </si>
  <si>
    <t xml:space="preserve">не проводилась </t>
  </si>
  <si>
    <t>https://55.rosstat.gov.ru/storage/mediabank/chisl-2022.htm</t>
  </si>
  <si>
    <t>https://ovmf2.consultant.ru/cgi/online.cgi?req=doc&amp;cacheid=6986BF37D741E4A1968C35FE1D137A2C&amp;SORTTYPE=0&amp;BASENODE=23700-61&amp;ts=duLtebTJuH2fnC9M&amp;base=RLAW148&amp;n=190119&amp;rnd=cGgdgg#RDH4fbTSondncJ3r</t>
  </si>
  <si>
    <t>реестр подписей</t>
  </si>
  <si>
    <t xml:space="preserve">протокол заседания конкурсной комиссии по отбору инициативных проектов на территории Омской области от 14 декабря 2021 года (https://mf.omskportal.ru/magnoliaPublic/dam/jcr:dc42053a-3d69-4221-a3a3-cc83291943b1/Протокол.pdf);
протокол заседания конкурсной комиссии по отбору инициативных проектов на территории Омской области от 24 февраля 2022 года (https://mf.omskportal.ru/magnoliaPublic/dam/jcr:ecf15499-13ec-4494-83d6-8a1c1ab69f05/Протокол.pdf)
</t>
  </si>
  <si>
    <t>участвуют муниципальные образования Омской области с численностью населения, не превышающей 120 тыс. человек</t>
  </si>
  <si>
    <t>https://budget.omsk.ifinmon.ru/initsiativnoe-byudzhetirovanie/obshchaya-informatsiya
https://mf.omskportal.ru/oiv/mf/etc/Инициативное-бюджетирование</t>
  </si>
  <si>
    <t xml:space="preserve">https://t.me/minfin55
https://vk.com/kipomsk 
https://vk.com/omskminfin
</t>
  </si>
  <si>
    <t xml:space="preserve">https://vk.com/kipomsk </t>
  </si>
  <si>
    <t xml:space="preserve">Информационная компания велась на территории всех муниципальных районов Омской области посредством привлечения районных газет, региональных ТВ-каналов, социальных сетей, встреч с главами поселений и активом населения. К информированию на закрепленных территориях были привлечены депутаты регионального парламента. </t>
  </si>
  <si>
    <t>макет объявления https://disk.yandex.ru/d/8SEtjNZkKbXWcw</t>
  </si>
  <si>
    <t>очные и заочные семинары, главы муниципальных образований Омской области, руководители финансовых органов муниципальных районов Омской области, инициативные группы жителей, редакторы районных газет</t>
  </si>
  <si>
    <t>Пименова Ирина Владимировна - заместитель начальника управления, начальник отдела инициативного бюджетирования управления инициативного бюджетирования и мониторинга бюджетного процесса</t>
  </si>
  <si>
    <t>7(3812) 35-77-39</t>
  </si>
  <si>
    <t>pimenovaiv@minfin.omskportal.ru</t>
  </si>
  <si>
    <t>Субсидии местным бюджетам на благоустройство сельских территорий (постановление Правительства Омской области от 16.12.2019 № 425-п "Об утверждении государственной программы Омской области "Комплексное развитие сельских территорий Омской области" )</t>
  </si>
  <si>
    <t xml:space="preserve">Субсидии местным бюджетам на благоустройство сельских территорий </t>
  </si>
  <si>
    <t>государственная программа Омской области "Комплексное развитие сельских территорий Омской области", подпрограмма  "Развитие социальной и инженерной инфраструктуры на сельских территориях",
мероприятие  "Субсидии местным бюджетам на благоустройство сельских территорий"</t>
  </si>
  <si>
    <t>постановление Правительства Омской области от 16 декабря 2019 года 
№ 425-п</t>
  </si>
  <si>
    <t>https://ovmf2.consultant.ru/cgi/online.cgi?req=doc&amp;cacheid=91FAF2830B494CFC4A20C2EA93B506AB&amp;SORTTYPE=0&amp;BASENODE=23700-48&amp;ts=4tWHwbTachWvjHzX1&amp;base=RLAW148&amp;n=196885&amp;rnd=Tn7HyA#O6fHwbTBvJ6GFgPF</t>
  </si>
  <si>
    <t>Министерство сельского хозяйства и продовольствия Омской области</t>
  </si>
  <si>
    <t>Администрация (Правление) Лукьяновского казачьего сельского поселения Одесского муниципального района Омской области</t>
  </si>
  <si>
    <t xml:space="preserve">Государственная программа Российской Федерации "Комплексное развитие сельских территорий Омской области", утвержденная постановлением Правительства Российской Федерации  от 31 мая 2019 года № 696 </t>
  </si>
  <si>
    <t xml:space="preserve"> Министерство сельского хозяйства Российской Федерации
</t>
  </si>
  <si>
    <t xml:space="preserve">Предусмотрено нефинансовое  участие физических лиц, индивидуальных предпринимателей и юридических лиц в реализации практики </t>
  </si>
  <si>
    <t xml:space="preserve"> - </t>
  </si>
  <si>
    <t>https://omsk.gks.ru/storage/mediabank/chisl-2022.htm</t>
  </si>
  <si>
    <t>протоколы общественных обсуждений</t>
  </si>
  <si>
    <t>протокол заседания комиссии по осуществлению отбора муниципальных образований Омской области для предоставления субсидий местным бюджетам от 1 февраля 2022 года</t>
  </si>
  <si>
    <t xml:space="preserve">расположение объектов, на которые предоставляются субсидии  на благоустройство, в сельских поселениях Омской области или в сельских населенных пунктах и рабочих поселках Омской области, входящих в состав городских поселений Омской области, на территории которых преобладает деятельность, связанная с производством и переработкой сельскохозяйственной продукции, и сельских агломерациях Омской области </t>
  </si>
  <si>
    <t>Проведено собрание представителей органов местного самоуправления с приглашением всех муниципальных образований Омской области</t>
  </si>
  <si>
    <t>информационные материалы на бумажном носителе</t>
  </si>
  <si>
    <t>Очный, один раз в год, представители 32 муниципальных районов Омской области</t>
  </si>
  <si>
    <t>около 50 человек</t>
  </si>
  <si>
    <t>Бойко Станислав Васильевич, главный специалист отдела программ комплексного развития сельских территорий бюджетного учреждения Омской области "Управление развития сельских территорий и хозяйственного обслуживания Министерства сельского хозяйства и продовольствия Омской области"</t>
  </si>
  <si>
    <t>(3812) 790-875</t>
  </si>
  <si>
    <t xml:space="preserve">sboyko@minselkhoz.omskportal.ru
</t>
  </si>
  <si>
    <t>Конкурс школьных инициатив "Я считаю"</t>
  </si>
  <si>
    <t>"Я считаю"</t>
  </si>
  <si>
    <t>Государственная программа Алтайского края «Развитие образования в Алтайском крае», подпрограмма 2 "Развитие общего образования в Алтайском крае", Мероприятие 2.1.2.1. Предоставление грантов на поддержку школьных инициатив</t>
  </si>
  <si>
    <t>Постановление Правительства Алтайского края от 13.12.2019 № 494 «Об утверждении государственной программы Алтайского края «Развитие образования в Алтайском крае»</t>
  </si>
  <si>
    <t>http://publication.pravo.gov.ru/Document/View/2200201912180004</t>
  </si>
  <si>
    <t>Постановление Правительства Алтайского края от 22.03.2019 № 95 "Об утверждении порядка предоставления грантов на поддержку школьных инициатив";
Приказ Министерства образования и науки Алтайского края от 08.08.2019 № 29-П "Об утверждении положения о проведении конкурса "Я считаю" и форм документов для проведения конкурсного отбора для предоставления грантов на поддержку школьных инициатив"</t>
  </si>
  <si>
    <t>Министерство образования и науки Алтайского края</t>
  </si>
  <si>
    <t>Грант в форме субсидии</t>
  </si>
  <si>
    <t>Государственные (муниципальные) бюджетные и автономные учреждения, осуществляющие образовательную деятельность по образовательным программам начального общего, основного общего и (или) среднего общего образования</t>
  </si>
  <si>
    <t xml:space="preserve">Да </t>
  </si>
  <si>
    <t>Безвозмездный вклад в реализацию проекта (физический труд, поставка материалов, иной нефинансовый вклад (при наличии))</t>
  </si>
  <si>
    <t>Краевое автономное учреждение дополнительного профессионального образования "Алтайский институт развития образования имени Адриана Митрофановича Топорова"</t>
  </si>
  <si>
    <t>П. 1.4 порядка предоставления грантов на поддержку школьных инициатив, утвержденного постановлением Правительства Алтайского края от 22.03.2019 № 95</t>
  </si>
  <si>
    <t>Выдвижение старшеклассниками проектных идей на классных собраниях</t>
  </si>
  <si>
    <t>Конкурсная комиссия осуществляет оценку проектов на основании критериев оценки и балльной шкалы, формирует рейтинг проектов в порядке убывания присвоенных им суммарных баллов и рекомендуемый перечень победителей конкурса (грантополучателей)</t>
  </si>
  <si>
    <t>Да (https://ясчитаю.рф/)</t>
  </si>
  <si>
    <t>В конкурсном цикле 2021-2022 гг. интернет решение не использовалось</t>
  </si>
  <si>
    <t>https://xn--80ap0afx9bb.xn--p1ai/</t>
  </si>
  <si>
    <t>https://cloud.mail.ru/public/Js6U/v7HV8JY7N</t>
  </si>
  <si>
    <t xml:space="preserve">https://xn--80ap0afx9bb.xn--p1ai/news/?/2022/12/30/17_vebinar_po_teme_kak_oformit_zayavku_na_konkurs_ya_schitayu. https://xn--80ap0afx9bb.xn--p1ai/news/?/2022/12/09/16_proektnaya_sessiya_ot_idei_k_uspehu_kak_mehanizm_podgotovki_k_konkursu_ya_schitayu;
https://xn--80ap0afx9bb.xn--p1ai/news/?/2022/11/15/15_vebinar_po_teme_kak_organizovat_rabotu_na_iii_etape_konkursa_ya_schitayu;
https://xn--80ap0afx9bb.xn--p1ai/news/?/2022/11/01/14_dlya_uchastnikov_konkursa_ya_schitayu_nachalsya_iii_etap_rabotyi;
https://xn--80ap0afx9bb.xn--p1ai/news/?/2022/10/19/13_proshel_vebinar_dlya_uchastnikov_konkursa_ya_schitayu; 
https://xn--80ap0afx9bb.xn--p1ai/news/?/2022/10/10/12_priglashaem_prinyat_uchastie_v_vebinare;
https://xn--80ap0afx9bb.xn--p1ai/news/?/2022/10/03/11_dlya_uchastnikov_konkursa_ya_schitayu_nachalsya_ii_etap_rabotyi;
http://www.educaltai.ru/news/common/64484/?sphrase_id=423627 
</t>
  </si>
  <si>
    <t>Настенный календарь, буклеты</t>
  </si>
  <si>
    <t>Семинары, вебинары</t>
  </si>
  <si>
    <t>Кремлева Евгения Валерьевна, старший инспектор отдела общего образования и оценочных процедур Министерства образования и науки Алтайского края</t>
  </si>
  <si>
    <t>kremleva@22edu.ru</t>
  </si>
  <si>
    <t>Боев Никита Вадимович, главный специалист отдела внутреннего долга Министерства финансов Алтайского края</t>
  </si>
  <si>
    <t>boev@fin22.ru</t>
  </si>
  <si>
    <t>Реализация проектов инициативного бюджетирования по развитию сети предуниверсариев на базе муниципальных образовательных учреждений Республики Башкортостан</t>
  </si>
  <si>
    <t>Предуниверсиарии</t>
  </si>
  <si>
    <t>Государственная программа «Развитие науки и технологий в Республике Башкортостан», утвержденная постановлением Правительства Республики Башкортостан от 27 июля 2017 года № 350 (подпрограмма «Развитие научно-технической сферы Республики Башкортостан», региональный проект «Развитие кадрового потенциала в сфере исследований и разработок в Республике Башкортостан»)</t>
  </si>
  <si>
    <t>Постановление Правительства Республики Башкортостан от 27 декабря 2021 года № 726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t>
  </si>
  <si>
    <t>https://npa.bashkortostan.ru/34655/</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</si>
  <si>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</si>
  <si>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https://minfin.bashkortostan.ru/documents/active/212260/?ysclid=lg52nxons3712736691</t>
  </si>
  <si>
    <t>Указ Главы Республики Башкортостан от 6 сентября 2021 года № УГ-473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(в ред. от 29.07.2022)</t>
  </si>
  <si>
    <t>https://npa.bashkortostan.ru/32962/</t>
  </si>
  <si>
    <t>Министерство образования и науки Республики Башкортостан</t>
  </si>
  <si>
    <t>Подача идей инициативными группами школьников старше 14 лет</t>
  </si>
  <si>
    <t>Подача проектных идей не фиксируется</t>
  </si>
  <si>
    <t>Протокол голосования</t>
  </si>
  <si>
    <t>https://nocrb.ru/ib2023</t>
  </si>
  <si>
    <t>Информация о реализации сети предуниверсариев была размещена на официальном сайте, в социальных сетях. https://vk.com/wall-211213227_15</t>
  </si>
  <si>
    <t>Реализация проектов инициативного бюджетирования, основанных на инициативах школьников муниципальных образовательных учреждений Республики Башкортостан</t>
  </si>
  <si>
    <t>Государственная программа «Развитие науки и технологий в Республике Башкортостан»,  утвержденная постановлением Правительства Республики Башкортостан от 27 июля 2017 года № 350 (подпрограмма «Развитие научно-технической сферы Республики Башкортостан», региональный проект «Развитие кадрового потенциала в сфере исследований и разработок в Республике Башкортостан»</t>
  </si>
  <si>
    <t>Подача преоктных идей не фиксируется</t>
  </si>
  <si>
    <t>Информация о реализации проектов инициативного бюджетирования, основанных на инициативах школьников, была размещена на официальном сайте, в социальных сетях. https://vk.com/wall-211213227_79</t>
  </si>
  <si>
    <t>ШкИБ</t>
  </si>
  <si>
    <t>Проекты инициативного бюджетирования по направлению "Твой проект"</t>
  </si>
  <si>
    <t>Проекты инициативного бюджетирования "Твой проект"</t>
  </si>
  <si>
    <t>Постановление Администрации Приморского края от 19.12.2019 № 860-па "Об утверждении государственной программы Приморского края "Экономическое развитие и инновационная экономика Приморского края";
Подпрограмма № 3 "Долгосрочное финансовое планирование и организация бюджетного процесса, совершенствование межбюджетных отношений в Приморском крае" на 2020 - 2027 годы; основное мероприятие № 3.4 "Развитие инициативного бюджетирования в Приморском крае", пункт 3.4.2. Субсидии бюджетам муниципальных образований Приморского края на реализацию проектов инициативного бюджетирования по направлению "Твой проект"</t>
  </si>
  <si>
    <t>Постановление Правительства Приморского края от 10.03.2021 № 113-пп "О внесении изменений в постановление Администрации Приморского края от 19 декабря 2019 года N 860-па "Об утверждении государственной программы Приморского края "Экономическое развитие и инновационная экономика Приморского края" на 2020 - 2027 годы"</t>
  </si>
  <si>
    <t>https://pib.primorsky.ru/Menu/Presentation/14?ItemId=14</t>
  </si>
  <si>
    <t>Постановление Правительства Приморского края от 10.11.2020 № 955-пп (ред. от 04.10.2022) "Об отдельных вопросах реализации в Приморском крае проектов инициативного бюджетирования по направлению "Твой проект"</t>
  </si>
  <si>
    <t>министерство финансов Приморского края</t>
  </si>
  <si>
    <t>субсидии муниципальным образованиям</t>
  </si>
  <si>
    <t>муниципальные образования Приморского края</t>
  </si>
  <si>
    <t>количество граждан, голосовавших за проекты инициативного бюджетирования, финансовое обеспечение которых осуществлялось в 2022 году</t>
  </si>
  <si>
    <t>https://pib.primorsky.ru/Pib/Stat/2</t>
  </si>
  <si>
    <t>https://25.rosstat.gov.ru/folder/27118#</t>
  </si>
  <si>
    <t>заявка на сайте инициативного бюджетирования Приморского края pib.primorsky.ru</t>
  </si>
  <si>
    <t>1 заявка</t>
  </si>
  <si>
    <t>92 964 человека</t>
  </si>
  <si>
    <t>34 муниципальных образования (12 городских округов, 8 муниципальных округов, 14 муниципальных районов, в состав которых входят сельские и городские поселения)</t>
  </si>
  <si>
    <t>pib.primorsky.ru</t>
  </si>
  <si>
    <t>все процедуры были проведены через портал инициативного бюджетирования Приморского края</t>
  </si>
  <si>
    <t>https://pib.primorsky.ru/Menu/Presentation/5?ItemId=5</t>
  </si>
  <si>
    <t>ТВ реклама, реклама на радио, реклама в официальных соц. сетях Правительства Приморского края и органов исполнительной власти Приморского края</t>
  </si>
  <si>
    <t>Прыткова Марина Анатольевна, главный консультант отела открытости бюджета министерства финансов Приморского края</t>
  </si>
  <si>
    <t>8 (423)222-58-02</t>
  </si>
  <si>
    <t>Prytkova_MA@primorsky.ru</t>
  </si>
  <si>
    <t>Народный бюджет</t>
  </si>
  <si>
    <t>14 марта 2022 г.</t>
  </si>
  <si>
    <t>Государственная программа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подпрограмма 3 «Эффективное местное самоуправление в Московской области», 
Основное мероприятие 07. Реализация практик инициативного бюджетирования на территории муниципальных образований Московской области, Мероприятие 07.01. Предоставление субсидий муниципальным образованиям Московской области на реализацию проектов граждан, сформированных в рамках практик инициативного бюджетирования</t>
  </si>
  <si>
    <t>Постановление Правительства Московской области от 14.01.2020 № 1/1 "О внесении изменений в государственную программу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t>
  </si>
  <si>
    <t>https://ovmf2.consultant.ru/cgi/online.cgi?rnd=66D8B55318E3190061A470AE6405CD26&amp;req=doc&amp;base=MOB&amp;n=307719&amp;dst=100011&amp;fld=134&amp;REFFIELD=134&amp;REFDST=1000000048&amp;REFDOC=331165&amp;REFBASE=MOB&amp;stat=refcode%3D19827%3Bdstident%3D100011%3Bindex%3D73#25og239zvnb</t>
  </si>
  <si>
    <t xml:space="preserve">Закон Московской области от 19.10.2018 № 170/2018-ОЗ "О развитии инициативного бюджетирования в Московской области"
</t>
  </si>
  <si>
    <t>https://ovmf2.consultant.ru/cgi/online.cgi?req=doc&amp;ts=155202624105309729631190472&amp;cacheid=BE3771CA87324EE9826D00E861E8CF15&amp;mode=splus&amp;base=MOB&amp;n=309201&amp;rnd=66D8B55318E3190061A470AE6405CD26#2i5rxv5zruk</t>
  </si>
  <si>
    <t>Постановление Правительства Московской области от 17.12.2019 № 992/44 "Об образовании Московской областной конкурсной комиссии по проведению конкурсного отбора проектов инициативного бюджетирования в Московской области и о Порядке проведения конкурсного отбора проектов инициативного бюджетирования в Московской области"</t>
  </si>
  <si>
    <t>https://ovmf2.consultant.ru/cgi/online.cgi?from=326046-0&amp;req=doc&amp;rnd=HAk9aA&amp;base=MOB&amp;n=354047#F9Qr72To3KMyZQJo</t>
  </si>
  <si>
    <t xml:space="preserve">Министерство территориалной политики Московской области </t>
  </si>
  <si>
    <t xml:space="preserve">Администрации муниципальных образований Московской области </t>
  </si>
  <si>
    <t>Размещение проектов на интернет-портале</t>
  </si>
  <si>
    <t>https://vote.dobrodel.ru/narodniy_budjet</t>
  </si>
  <si>
    <t xml:space="preserve">протокол заседания конкурсной комиссии </t>
  </si>
  <si>
    <t>да, https://vote.dobrodel.ru/narodniy_budjet</t>
  </si>
  <si>
    <t xml:space="preserve">Размещение проектов и голосование за проекты ИБ </t>
  </si>
  <si>
    <t>ВКС-семинары, 2 раза в год, депутаты МОД, ОМСУ</t>
  </si>
  <si>
    <t xml:space="preserve">А.О. Шанаева - Заместитель заведующего отделом 
методической поддержки представительных органов управления организации местного самоуправления 
Московской области Министерства территориальной политики Московской области                                                               
</t>
  </si>
  <si>
    <t>8 (498) 602-08-98 (доб. 40642)</t>
  </si>
  <si>
    <t>ShanaevaAO@mosreg.ru</t>
  </si>
  <si>
    <t xml:space="preserve">Орлова Ольга Константиновна - начальник Управления экономики и бюджетной политики в сфере государственного, муниципального управления, безопасности и информирования населения Министерства экономики и финансов Московской области </t>
  </si>
  <si>
    <t>8 (498) 602-84-93 (доб. 48493)</t>
  </si>
  <si>
    <t>OrlovaOK@mosreg.ru</t>
  </si>
  <si>
    <t>Развитие системы инициативного бюджетирования в муниципальных округах Архангельской области</t>
  </si>
  <si>
    <t>01.01.2022 года</t>
  </si>
  <si>
    <t>31.12.2022 года</t>
  </si>
  <si>
    <t xml:space="preserve">Государственная программа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
подпрограмма № 3  "Развитие территориального общественного самоуправления в Архангельской области"
 </t>
  </si>
  <si>
    <t>Постановление Правительства Архангельской области от 10.10.2019 N 548-пп (ред. от 19.02.2021) "Об утверждении государственной программы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</si>
  <si>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http://publication.pravo.gov.ru/Document/View/2900201910180011</t>
  </si>
  <si>
    <t>Областной закон от 22 февраля 2013 года № 613-37-ОЗ «О государственной поддержке территориального общественного самоуправления в Архангельской области»</t>
  </si>
  <si>
    <t xml:space="preserve">http://portal.dvinaland.ru/docs/pub/a16eece709bc76b71bf44543d9de3cd7/613-37-oz.doc </t>
  </si>
  <si>
    <t>Администрация Губернатора Архангельской области и Правительства Архангельской области</t>
  </si>
  <si>
    <t>Местные бюджеты муниципальных округов</t>
  </si>
  <si>
    <t>Трудовое участие, финансовый и нефинансовый вклад индивидуальных предпринимателей и юридических лиц, НКО</t>
  </si>
  <si>
    <t>Оценка вклада граждан не проводилась</t>
  </si>
  <si>
    <t>Статистика благополучателей не ведется</t>
  </si>
  <si>
    <t>Отсутствует методика расчета благополучателей</t>
  </si>
  <si>
    <t xml:space="preserve">подписные листы </t>
  </si>
  <si>
    <t xml:space="preserve">статистика не ведется </t>
  </si>
  <si>
    <t>протколы сходов, собраний граждан</t>
  </si>
  <si>
    <t>да (5 проектов по инициативе ТОС)</t>
  </si>
  <si>
    <t xml:space="preserve">В 2022 году средства областного бюджета на поддержку инициативных проектов получили 5-ть муниципальных округов, в 2023 - 12 муниципальных округов </t>
  </si>
  <si>
    <t>https://tos29.ru</t>
  </si>
  <si>
    <t xml:space="preserve">https://vk.com/club82210903 </t>
  </si>
  <si>
    <t>Новости по телевидению, в областных и районных печатных средствах массовой информации, на интернет-портале www.dvinanews.ru</t>
  </si>
  <si>
    <t xml:space="preserve">Обучающие семинары по основам инициативного бюджетирования 
Семинары прошли в 13 муниципальных образованиях,                  в них приняли участие более 200 жителей Архангельской области.                 
</t>
  </si>
  <si>
    <t>Котов Андрей Александрович, заместитель начальника управления по реализации национальной политики и развитию институтов гражданского общества департамента по внутренней политике и местному самоуправлению администрации ГАО и ПАО</t>
  </si>
  <si>
    <t>8(8182) 288-127</t>
  </si>
  <si>
    <t>kotov.aa@dvinaland.ru</t>
  </si>
  <si>
    <t>Ионина Елена Владимировна, начальник отдела методологии и цифровой трансформации бюджетного процесса министерства финансов Архангельской области</t>
  </si>
  <si>
    <t>8(8182) 288-263</t>
  </si>
  <si>
    <t>ionina.ev@dvinaland.ru</t>
  </si>
  <si>
    <t>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t>
  </si>
  <si>
    <t xml:space="preserve">Государственная программа Самарской области "Комплексное развитие сельских территорий Самарской области на 2020 - 2025 годы". Мероприятие: "Предоставление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
</t>
  </si>
  <si>
    <t>Постановление Правительства Самарской области от 27.11.2019 N 864 "Об утверждении государственной программы Самарской области "Комплексное развитие сельских территорий Самарской области на 2020 - 2025 годы"</t>
  </si>
  <si>
    <t>https://mcx.samregion.ru/category/gosprogrammy-gospodderzhka/kompleksnoe-razvitie-selskih-territorij-samarskoj-oblasti-na-2020-2025-gody1/</t>
  </si>
  <si>
    <t>министерство сельского хозяйства и продовольствия Самарской области</t>
  </si>
  <si>
    <t>органы местного самоуправления муниципальных образований</t>
  </si>
  <si>
    <t>государственная программа Российской Федерации "Комплексное развитие сельских территорий"</t>
  </si>
  <si>
    <t>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Размеры средств местного бюджета, вклада граждан и (или) юридических лиц (индивидуальных предпринимателей) определяются муниципальным образованием самостоятельно</t>
  </si>
  <si>
    <t>расчет осуществляется муниципальными образованиями исходя из количества  пользователей результатом реализации проекта</t>
  </si>
  <si>
    <t>https://samarastat.gks.ru/ofstatistics</t>
  </si>
  <si>
    <t>протоколы (выписки из протоколов схода граждан)</t>
  </si>
  <si>
    <t>подсчет не осуществлялся</t>
  </si>
  <si>
    <t>протоколы (выписки из протоколов собраний граждан)</t>
  </si>
  <si>
    <t>Жители выдвигают инициативу по реализации проекта, определяют своим решением долю и форму своего участия в реализации проекта, фиксируют данное решение в протоколе собрания(схода) граждан и направляют иннициативу в орган местого самоуправления.</t>
  </si>
  <si>
    <t>Протокол собрания (схода граждан)</t>
  </si>
  <si>
    <t>предусматривает участие всех муниципальных образований в составе которых имеются сельские населенные пункты</t>
  </si>
  <si>
    <t>критерием участия является тип населенного пункта - сельский населенный пункт</t>
  </si>
  <si>
    <t>https://mcx.samregion.ru/category/gosprogrammy-gospodderzhka/kompleksnoe-razvitie-selskih-territorij-samarskoj-oblasti-na-2020-2025-gody1/informacziya-o-realizaczii-meropriyatij-po-blagoustrojstvu/</t>
  </si>
  <si>
    <t>Информационная кампания организовывается муниципальными образованиями путем оповещения граждан о проведении схода (собрания) жителей населенного пункта с использованием средств информирования (газеты, информационные щиты, размещение информации на сайтах муниципальных органов власти)</t>
  </si>
  <si>
    <t>Илясова Лариса Николаевна, главный консультант отдела программных мер поддержки сельского населения департамента развития сельских территорий и кадрового обеспечения АПК министерства сельского хозяйства и продовольствия Самарской области</t>
  </si>
  <si>
    <t>8(846)2145937</t>
  </si>
  <si>
    <t>IlyasovaLN@samregion.ru</t>
  </si>
  <si>
    <t>Благоустройство дворовых территорий</t>
  </si>
  <si>
    <t>Государственная программа Ханты-Мансийского автономного округа - Югры "Жилищно-коммунальный комплекс и городская среда"</t>
  </si>
  <si>
    <t>Постановление Правительства Ханты-Мансийского автономного – Югры от 31 октября 2021 г. № 477-п О государственной программе Ханты-Мансийского автономного округа - Югры "Жилищно-коммунальный комплекс и городская среда", (с изменениями на 16 сентября 2022 года)</t>
  </si>
  <si>
    <t xml:space="preserve">https://depjkke.admhmao.ru/gosudarstvennaya-programma/gosudarstvennaya-programma-khanty-mansiyskogo-avtonomnogo-okruga-yugry-zhilishchno-kommunalnyy-kompl/ </t>
  </si>
  <si>
    <t xml:space="preserve">Постановление Правительства ХМАО - Югры от 10.06.2022 N 260-п "О выделении бюджетных ассигнований из резервного фонда Правительства Ханты-Мансийского автономного округа - Югры"
</t>
  </si>
  <si>
    <t>http://publication.pravo.gov.ru/Document/View/8600202206160005</t>
  </si>
  <si>
    <t>Распоряжение Правительства Ханты-Мансийского автономного округа – Югры от 3 ноября 2022 г. № 679-рп «О Стратегии социально-экономического развития Ханты-Мансийского автономного округа – Югры до 2036 года с целевыми ориентирами до 2050 года»</t>
  </si>
  <si>
    <t>https://ugra2030.myopenugra.ru/strategy/</t>
  </si>
  <si>
    <t>до 01.01.2023 Департамент строительства и жилищно-коммунального комплекса Ханты-Мансийского атвономного округа - Югры</t>
  </si>
  <si>
    <t xml:space="preserve">бюджеты городских округов и муниципальных районов
</t>
  </si>
  <si>
    <t>Департамент жилищно-коммунального комплекса и энергетики Ханты-Мансийского автономного округа – Югры</t>
  </si>
  <si>
    <t>https://www.statdata.ru/largest_regions_russia</t>
  </si>
  <si>
    <t>Центр компетенций по благоустройству городской среды Автономная некоммерческая организация «Центр по реализации национальных проектов инфраструктурного развития Югры» (АНО «Центр по реализации национальных проектов»). С 30.03.2023 г создано АНО "Пространственное развитие территорий Югры"</t>
  </si>
  <si>
    <t>https://depproect.admhmao.ru/proektnyy-komitet-khanty-mansiyskogo-avtonomnogo-okruga-yugry/zasedaniya-komiteta/2023-god/21-marta-2023-goda/8709231/protokol-zasedaniya/</t>
  </si>
  <si>
    <t>Бюджет Ханты-Мансийского автономного округа - Югры</t>
  </si>
  <si>
    <t>300 ( участие в проведении информационно-разъяснительной работы с населением; общее информирование населения о результатах федерального проекта в муниципальных образованиях и планируемых к благоустройству объектах; предоставление гражданам возможности проголосовать за проекты благоустройства, планируемые к реализации, упрощенным способом на планшете / смартфоне волонтера.Работают в информационных точках, которые расположены в крупных торговых центрах и МЦФ.)</t>
  </si>
  <si>
    <t>собрание</t>
  </si>
  <si>
    <t xml:space="preserve">протокол  </t>
  </si>
  <si>
    <t>единая федеральная платформа za.gorodsreda.ru, разработанная АНО "Диалог Регионы" совместно с Минстроем России</t>
  </si>
  <si>
    <t>В Югре два муниципальных образования с численностью менее 20,0 тыс. человек: г. Покачи, Ханты-Мансийский район</t>
  </si>
  <si>
    <t>Во-первых, участие возможно только для жильцов многоквартирных домов. Во-вторых, участвовать в программе могут только населенные пункты с численностью не менее 1000 человек. В-третьих, для участия конкретной заявки необходимо, чтобы было подписано коллективное заявление жильцов двора. Согласие на благоустройство по программе «Формирование комфортной городской среды» подразумевает, что жильцы готовы софинансировать расходы по обустройству территории и в дальнейшем обеспечивать ее содержание. </t>
  </si>
  <si>
    <t xml:space="preserve">Цифровая площадка"Комфортная Югра" на портале "Открытый регион"  https://comfort.myopenugra.ru/  </t>
  </si>
  <si>
    <t>https://depjkke.admhmao.ru/prioritetnye-proekty/</t>
  </si>
  <si>
    <t xml:space="preserve">https://comfort.myopenugra.ru/    
http://nvraion.ru/jkh/formirovanie-komfortnoy-gorodskoy-sredy/
https://admsurgut.ru/rubric/25007/Federalnyy-proekt-Formirovanie-komfortnoy-gorodskoy-sredy                                                     
https://adm.gov86.org/436/2953/ http://www.admugansk.ru/category/1470 
</t>
  </si>
  <si>
    <t>https://admhmansy.ru/formirovanie-sovremennoy-gorodskoy-sredy/</t>
  </si>
  <si>
    <t xml:space="preserve">https://admhmao.ru/press-center/vse-press-relizy/5754235/  https://rg.ru/2021/04/30/reg-urfo/tysiachi-zhitelej-iugry-progolosovali-za-obekty-blagoustrojstva.html  https://admhmansy.ru/news/3670/157773/ https://admhmansy.ru/news/3670/157862/ 
https://informugra.ru/news/jkh/67-tysyach-zhiteley-khmao-uzhe-vybrali-obekty-blagoustroystva/?sphrase_id=13371539
https://ugra-news.ru/article/pora_aktivizirovatsya/ 
https://ugra-news.ru/article/etu_vozmozhnost_nuzhno_ispolzovat/
https://ugra-news.ru/article/bolee_53_tysyach_yugorchan_uzhe_progolosovali_za_obekty_blagoustroystva/
https://ugra-news.ru/article/zakhodim_i_golosuem/
https://www.ugra.kp.ru/online/news/4307889/ 
https://khanty-yasang.ru/news/12280
https://surgut.bezformata.com/listnews/surgut-blizok-k-polucheniyu-federalnih/94204409/
https://sitv.ru/arhiv/news/tropinki-skejt-park-i-ploshhadki-v-mikrorajone-surguta-blagoustroyat-skver/
http://www.nvraion.ru/news/detail.php?ID=68991
https://vk.com/wall-144340073_22390
https://vk.com/wall-154632972_121457
https://vk.com/wall-166469411_3010
</t>
  </si>
  <si>
    <t>заместитель начальника отдела жилищной инфтратсрукуры Депстроя и жкк Югры Райко Татьяна Николаевна, 3467 360-140, 2040</t>
  </si>
  <si>
    <t>7346 360-140, 2040</t>
  </si>
  <si>
    <t>raikotn@admhmao.ru</t>
  </si>
  <si>
    <t>Региональный конкурс инициативных проектов</t>
  </si>
  <si>
    <t>Государственная программа Ханты-Мансийского автономного округа - Югры "Развитие гражданского общества"
Подпрограмма I "Создание условий для развития гражданских инициатив"
Порядок предоставления субсидии из бюджета Ханты-Мансийского автономного округа - Югры местным бюджетам на реализацию инициативных проектов (приложение 15 к постановлению).</t>
  </si>
  <si>
    <t>Постановление Правительства Ханты-Мансийского АО - Югры от 31 октября 2021 г. N 487-п "О государственной программе Ханты-Мансийского автономного округа - Югры "Развитие гражданского общества"((в ред. постановления Правительства ХМАО - Югры от 20.05.2022 N 210-п)</t>
  </si>
  <si>
    <t>Постановление Правительства Ханты-Мансийского АО - Югры от 5 октября 2018 г. N 355-п
"О государственной программе Ханты-Мансийского автономного округа - Югры "Развитие гражданского общества"</t>
  </si>
  <si>
    <t>https://depos.admhmao.ru/deyatelnost/gosudarstvennaya-programma/normativno-pravovye-akty/7821966/aktualnaya-redaktsiya-gosudarstvennoy-programmy-razvitie-grazhdanskogo-obshchestva-487-p/</t>
  </si>
  <si>
    <t>Приказ Департамента общественных и внешних связей Ханты-Мансийского АО - Югры от 11 января 2021 г. N 1-нп "Об утверждении Положения о региональном конкурсе инициативных проектов"</t>
  </si>
  <si>
    <t>https://isib.myopenugra.ru/upload/iblock/e14/e1405c7d566d86dc6af2fa6bd0928e19.pdf</t>
  </si>
  <si>
    <t>Департамент общественных и внешних связей Ханты-Мансийского автономного округа - Югры</t>
  </si>
  <si>
    <t>городские округа и муниципальные районы Ханты-Мансийского автономного округа - Югры</t>
  </si>
  <si>
    <t xml:space="preserve">На безвозмездной основе принимали участие в выполнении работ по подготовке территорий к благоустроительным работам (уборке от мусора, выравнивании грунта),  осуществляли художественное оформление городских территорий (озеленение и цветочное оформление в летний период, установку снежных и ледяных фигур - в зимний), </t>
  </si>
  <si>
    <t>Это совокупность людей, однородная по каким либо параметрам – социально-демографическим, психографическим, имущественным и т.д. Это те люди, в интересах которых реализуется проект.</t>
  </si>
  <si>
    <t>http://www.statdata.ru/naselenie/naselenie-hmao</t>
  </si>
  <si>
    <t>Центр инициативного бюджетирования автономного учреждения Ханты-Мансийского автономного округа - Югры  "Центр "Открытый регион"</t>
  </si>
  <si>
    <t>https://isib.myopenugra.ru/compete/regional/view/?id=557368</t>
  </si>
  <si>
    <t>авторизированный вход в личный кабинет на isib.myopenugra.ru</t>
  </si>
  <si>
    <t>https://isib.myopenugra.ru/</t>
  </si>
  <si>
    <t>22 муниципальных образования Ханты-Мансийского автономного округа - Югры (все).</t>
  </si>
  <si>
    <t>нет таких</t>
  </si>
  <si>
    <t xml:space="preserve">Сервисе управления проектами инициативного бюджетирования автономного округа в государственной информационной системе автономного округа "Открытый регион - Югра" в информационно-телекоммуникационной сети "Интернет" по адресу: www.isib.myopenugra.ru                                                </t>
  </si>
  <si>
    <t>https://vk.com/cib_86</t>
  </si>
  <si>
    <t xml:space="preserve">https://isib.myopenugra.ru/about/Брендбук%20РГ%20ИБ%2023.06.2021.pdf </t>
  </si>
  <si>
    <t xml:space="preserve">Одной из важных задач центра инициативного бюджетирования является организация широкомасштабной информационной кампании. Для этого подключаются всевозможные ресурсы и источники подачи информации об инициативном бюджетировании на территории региона. Ведется работа с инициаторами проектов, благополучателями, лидерами общественного мнения в части размещения информации о практике инициативного бюджетирования на личных страницах в социальных сетях, различного рода интервью Система работы выстроена таким образом, чтоб доступным и понятным языком для простого гражданина донести пользу механизма инициативного бюджетирования. В течении года принято участие в телепередачах и радиопрограммах ГТРК «Югория», телерадиокомпании «Югра». Сотрудничество с местной региональной телерадиокомпанией «Югра» позволяет создавать короткометражные видеоролики о механизме инициативного бюджетирования, это интервью с инициаторами проектов, съемка этапов реализации проектов. За 2022 год согласно медиалогии (система аналитики социальных сетей и СМИ) на территории региона количество информационных сообщений составило 2169.
Ежегодно проводится региональный конкурс «В инициативе будущее Югры» среди инициативных граждан, реализовавших проект инициативного бюджетирования. Конкурс направлен на привлечение граждан к участию в механизме инициативного бюджетирование, а также на поддержание и поощрение инициативного гражданина (https://isib.myopenugra.ru/compete/regional/view/?id=543839; https://vk.com/cib_86?w=wall-183805010_314)
https://ugra-tv.ru/news/society/v_yugre_startoval_konkurs_proektov_initsiativnogo_byudzhetirovaniya/?sphrase_id=11643911  
https://ugra-tv.ru/news/society/munitsipalitety_yugry_poluchat_bolee_100_millionov_na_initsiativnye_proekty/?sphrase_id=11643911  
https://ugra-tv.ru/radio/news/konkurs-initsiativnykh-proektov-vnov-startoval-v-yugre/?sphrase_id=11643911  
https://ugra-tv.ru/news/society/yugorchane_smogut_sofinansirovat_proekty/?sphrase_id=11643911 
https://vk.com/cib_86?w=wall-183805010_316;  
https://vk.com/cib_86?w=wall-183805010_303;  
https://vk.com/cib_86?z=photo-183805010_457239870%2Falbum-183805010_00%2Frev 
https://vk.com/cib_86?z=video-183805010_456239088%2Fa7a34fea78f0cd3a95%2Fpl_wall_-183805010 
https://vk.com/cib_86?w=wall-183805010_288
</t>
  </si>
  <si>
    <t xml:space="preserve">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</si>
  <si>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Сербушка Юлия Геннадьевна - Заместитель начальника управления-начальник отдела по работе с институтами гражданского общества и поддержке инициатив по развитию общественных отношений Управления по обеспечению поддержки гражданских инициатив Департамента общественных, внешних связей и молодежной политики Ханты-Мансийского автономного округа - Югры </t>
  </si>
  <si>
    <t>(3467) 360-150 (доб.2728)</t>
  </si>
  <si>
    <t>E-mail: SerbushkaYG@admhmao.ru</t>
  </si>
  <si>
    <t>Формирование комфортной городской среды (Постановление Правительства Омской области от 31.08.2017 № 248-п "Об утверждении  государственной программы Омской области "Формирование комфортной городской среды")</t>
  </si>
  <si>
    <t>01.01.2022</t>
  </si>
  <si>
    <t>31.12.2022</t>
  </si>
  <si>
    <t>от 31.08.2017 № 248-п</t>
  </si>
  <si>
    <t>https://ovmf2.consultant.ru/cgi/online.cgi?from=164323-0&amp;req=doc&amp;rnd=NKHBWg&amp;base=RLAW148&amp;n=195651#Rb4Y5bTMfyehqpMJ1</t>
  </si>
  <si>
    <t>Министерство энергетики и жилищно-коммунального комплекса Омской области</t>
  </si>
  <si>
    <t>муниципальные образования 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</si>
  <si>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 проект "Формирование комфортной городской среды"</t>
  </si>
  <si>
    <t>открытое голосование и (или) интернет-голосование</t>
  </si>
  <si>
    <t>Интернет-голосование проводится на сайте (сайтах) в сети "Интернет", определенном (определенных) муниципальным правовым актом в соответствии с постановлением Правительства Омской области от 10.04.2019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t>
  </si>
  <si>
    <t>Участвуют четыре муниципальных образования Омской области, в том числе город Омск</t>
  </si>
  <si>
    <t>В соответствии с федеральным законодательством в голосовании по отбору территорий соответствующего функционального назначения (площади, набережные, улицы, пешеходные зоны, скверы, парки, иные территории),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участвуют муниципальные образования Омской области с численностью населения свыше 20 тыс. человек</t>
  </si>
  <si>
    <t>Романова Ольга Вячеславовна</t>
  </si>
  <si>
    <t>7(3812) 35-78-40</t>
  </si>
  <si>
    <t>Oromanova@mezhk.omskportal.ru</t>
  </si>
  <si>
    <t>Акты осмотра дворовых территорий (100 дворовых территорий) , дизайн-проекты благоустройства (381 дворовая территория)</t>
  </si>
  <si>
    <t>Протокол рассмотрения заявок на участие в отборе получателей субсидии на возмещение затрат на выполнение работ по благоустройству дворовых территорий (в случае если дворовая территория образована земельными участками, находящимися полностью или частично в частной собственности)
https://www.admomsk.ru/c/document_library/get_file?p_l_id=1131241&amp;folderId=1154705&amp;name=DLFE-85377.pdf</t>
  </si>
  <si>
    <t xml:space="preserve">муниципальные образования с численностью населения свыше 1000 человек
</t>
  </si>
  <si>
    <t>Рабочие группы</t>
  </si>
  <si>
    <t>Программа поддержки местных инициатив в Тверской области</t>
  </si>
  <si>
    <t>Программа поддержки местных инициатив в Тверской области, ППМИ Тверь</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</si>
  <si>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Подпрограмма 4 "Вовлечение граждан в бюджетный процесс и повышение финансовой грамотности населения в Тверской области"
Задача 2 "Создание условий для развития инициативного бюджетирования в Тверской области"
Мероприятие 2.02 "Осуществление софинансирования программ развития общественной инфраструктуры муниципальных образований Тверской области в рамках Программы поддержки местных инициатив в Тверской области"
В целях реализации ППМИ в Тверской области принят Порядок предоставления из областного бюджета Тверской области бюджетам муниципальных образований Тверской области субсидий на реализацию программ по поддержке местных инициатив в Тверской области (приложение 3 к государственной программе Тверской области "Управление общественными финансами и совершенствование региональной налоговой политики" на 2021 - 2026 годы").</t>
  </si>
  <si>
    <t>постановление Правительства Тверской области от 16.10.2012 № 604-пп "О госудасртвенной программе Тверской области Тверской области "Управление общественными финансами и совершенствование региональной налоговой политики" на 2013 - 2018 годы"</t>
  </si>
  <si>
    <t>Постановление Правительства Тверской области от 16.03.2021 № 145-пп "О государственной программе Тверской области "Управление общественными финансами и совершенствование региональной налоговой политики" на 2021 - 2026 годы"</t>
  </si>
  <si>
    <t xml:space="preserve">https://internet.garant.ru/#/document/400456255/paragraph/1/doclist/4952/showentries/0/highlight/145-пп:2 </t>
  </si>
  <si>
    <t>Приказ Министерства финансов Тверской области от 19.02.2016 №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Приказ Министерства финансов Тверской области от 05.02.2020 № 3-нп "Об утверждении типовой формы соглашения о предоставлении субсидии из областного бюджета Тверской области бюджету муниципального образования Тверской области"</t>
  </si>
  <si>
    <t>https://internet.garant.ru/#/document/16387642/paragraph/1/doclist/5414/2/0/0/3-нп%20от%2019.02.2016:5
https://internet.garant.ru/#/document/73527758/paragraph/1/doclist/12540/1/0/0/3-нп%20от%2005.02.2020:7</t>
  </si>
  <si>
    <t>Министерство финансов Тверской области</t>
  </si>
  <si>
    <t>Субсидии из областного бюджета Тверской области бюджетам муниципальных образований Тверской области на реализацию программ по поддержке местных инициатив в Тверской области</t>
  </si>
  <si>
    <t>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 городской округ Тверской области;
- муниципальный округ Тверской области;
- муниципальный район Тверской области;
- поселение Тверской области.</t>
  </si>
  <si>
    <t>неоплачиваемый вклад в реализацию проекта включен в критерии оценки заявки, не имеет финансовой оценки</t>
  </si>
  <si>
    <t>https://internet.garant.ru/#/document/16387642/paragraph/1/doclist/5414/2/0/0/3-нп%20от%2019.02.2016:5</t>
  </si>
  <si>
    <t>не проводится</t>
  </si>
  <si>
    <t>Заявкой на участие в конкурсном отборе предусмотрен показатель - число благополучателей (человек). Общая статистика ведется путем простого подсчета в excel, как сумма чисел по данному показателю.</t>
  </si>
  <si>
    <t>https://69.rosstat.gov.ru/storage/mediabank/Численность%20населения%20Тверской%20области%20на%201%20января%202022%20года.pdf</t>
  </si>
  <si>
    <t>Заявкой на участие в конкурсном отборе предусмотрены копии и своды опросных листов, анкет, фотографии и подписные листы с подомового обхода и т.д., подтверждающие фактическое проведение мероприятий</t>
  </si>
  <si>
    <t>подсчет не ведется</t>
  </si>
  <si>
    <t>Заявкой на участие в конкурсном отборе предусмотрены обсуждения проектов, подтверждением, которых являются протоколы и фотографии, подтверждающие фактическое проведение мероприятий</t>
  </si>
  <si>
    <t>протокол собрания населения</t>
  </si>
  <si>
    <t>подача заявок</t>
  </si>
  <si>
    <t>https://ppmi.tverfin.ru/</t>
  </si>
  <si>
    <t>https://vk.com/minfintver</t>
  </si>
  <si>
    <t>https://ppmi.tverfin.ru/news/post/shkola-ppmi-2023</t>
  </si>
  <si>
    <t>на муниципальном уровне: печатные СМИ, соц.сети, буклеты</t>
  </si>
  <si>
    <t>режим видеоконференцсвязи, не менее 2-х раз в год, муниципальные образования Тверской области</t>
  </si>
  <si>
    <t>Ганькова Алина Сергеевна, ведущий специалист-эксперт отдела бюджтеной политики и инициативного бюджетирования бюджетного управления Министерства финансов Тверской области</t>
  </si>
  <si>
    <t>8 (4822) 34 51 42</t>
  </si>
  <si>
    <t>ubp-gas@tverfin.ru</t>
  </si>
  <si>
    <t>Программа поддержки школьных инициатив</t>
  </si>
  <si>
    <t>Школьный бюджет</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</si>
  <si>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Главный администратор государственной программы Тверской области – Министерство финансов Тверской области 
Подпрограмма "Вовлечение граждан в бюджетный процесс и повышение финансовой грамотности населения в Тверской области"
Задача: создание условий для развития инициативного бюджетирования в Тверской области
Мероприятие "Предоставление иных межбюджетных трансфертов местным бюджетам на реализацию проектов в рамках поддержки школьных инициатив в Тверской области"
В целях реализации поддержки школьных инициатив в Тверской области принято Постановление Правительства Тверской области от 20.04.2021 N232-пп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данным постановлением утвержден Порядок предоставления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включая условия участия в программе муниципальных образований Тверской области. 
Порядком предусмотрены все процедуры, связанные с проведением конкурсного отбора, предоставлением иных менжбюджетных трансфертов и контролем за целевым и эффективным их использованием.</t>
  </si>
  <si>
    <t>от 16.03.2021 №145-пп</t>
  </si>
  <si>
    <t>http://publication.pravo.gov.ru/Document/View/6900202103170004
http://publication.pravo.gov.ru/Document/View/6900202104210007</t>
  </si>
  <si>
    <t>Государственная программа Тверской области от 16.03.2021 №145-пп "Управление общественными  финансами и совершенствование региональной налоговой политики" на 2021 – 2026 годы</t>
  </si>
  <si>
    <t>http://publication.pravo.gov.ru/Document/View/6900202103170004</t>
  </si>
  <si>
    <t>Постановление Правительства Тверской области от 28.04.2022 № 266-пп "О распределении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на 2022 год"
Приказ Министерства финансов Тверской области от 21.12.2021 №36-нп "Об утверждении предельного размера иных межбюджетных трансфертов местным бюджетам на реализацию проектов в рамках поддержки школьных инициатив Тверской области на 2022 год"
Приказ Министерства финансов Тверской области от 21.04.2021 № 120 «О конкурсной комиссии по отбору проектов в рамках поддержки школьных инициатив Тверской области»</t>
  </si>
  <si>
    <t xml:space="preserve">http://publication.pravo.gov.ru/Document/View/6900202204290004         </t>
  </si>
  <si>
    <t>Министерство Финансов Тверской области</t>
  </si>
  <si>
    <t>иные межбюджетные трансферты местным бюджетам на реализацию проектов в рамках поддержки школьных инициатив в Тверской области</t>
  </si>
  <si>
    <t>муниципальные образования Тверской области (городские и муниципальные округа, муниципальные района)</t>
  </si>
  <si>
    <t>40 (перечень проектов прилагается)</t>
  </si>
  <si>
    <t>Заявкой на участие в конкурсном отборе предусмотрен показатель - целевая аудитория (количество благополучателей от реализации проекта)(человек). Общая статистика ведется путем простого подсчета в экселе, как сумма чисел по данному показателю.</t>
  </si>
  <si>
    <t>Заявкой на участие в конкурсном отборе предусмотрен показатель  оценка востребованности проекта - подтверждение на основе опросных листов мнения обучающихся или информация о количестве обучающихся, проголосовавших за реализацию данного проекта, фотоматериалы.</t>
  </si>
  <si>
    <t>подсчет не предусмотрен</t>
  </si>
  <si>
    <t xml:space="preserve">Фотоматериалы </t>
  </si>
  <si>
    <t xml:space="preserve">Выбор проекта школьниками производится на собрании голосованием участников, в том числе по сводам листовок и опросных листов.
Выбор проектов для реализации производится по итогам конкурсного отбора в соответствии с критериями конкурсного отбора, утвержденными постановлением Правительства Тверской области от 20 апреля 2021 г. N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t>
  </si>
  <si>
    <t>В Тверской области в качестве пилотной площадки для реализации Программы в 2021 году выбран Вышневолоцкий городской округ.
С 2022 года в проект в рамках «Школьного бюджета» вовлечены все городские и муниципальные округа Тверской области. 
С 2023 года участвуют все  муниципальные образования Тверской области.</t>
  </si>
  <si>
    <t xml:space="preserve">https://www.tverfin.ru/deyatelnost-ministerstva/initsiativnoe-byudzhetirovanie/programma-podderzhki-shkolnykh-initsiativ-v-tverskoy-oblasti/pravovye-osnovy/, https://minobr.tverreg.ru/novosti/novosti/?ELEMENT_ID=183448, </t>
  </si>
  <si>
    <t>https://vk.com/minfintver, https://tvernews.ru/news/284438/, https://www.tver.kp.ru/daily/27480/4736619/, https://vedtver.ru/news/society/v-tverskoj-oblasti-provoditsja-programma-podderzhki-shkolnyh-iniciativ/</t>
  </si>
  <si>
    <t>Ганущак Олеся Вячеславна, главный специалист-эксперт отдела бюджетной политики и инициативного бюджетирования бюджетного управления</t>
  </si>
  <si>
    <t>Tел.: (4822) 32-37-40</t>
  </si>
  <si>
    <t>ubp-gov@tverfin.ru</t>
  </si>
  <si>
    <t>Краевой конкурс проектов развития территориального общественного самоуправления "Решаем сами"</t>
  </si>
  <si>
    <t xml:space="preserve"> Государственая программа Забайкальского края "Совершенствование государственного управления Забайкальского края" (подпрограмма "Содействие развитию местного самоуправления в Забайкальском крае", основное мероприятие "Повышение престижа муниципальной службы в муниципальных образованиях Забайкальского края, поддержка лучших практик местного самоуправления", мероприятие "Краевой конкурс среди субъектов территориального общественного самоуправления"</t>
  </si>
  <si>
    <t>Постановление Правительства Забайкальского края от 28.08.2018 г. № 338 "О внесении изменений в государственную программу Забайкальского края "Совершенствование государственного управления Забайкальского края", утвержденную постановлением Правительства Забайкальского края от 30 июня 2014 года № 383"</t>
  </si>
  <si>
    <t>http://publication.pravo.gov.ru/Document/View/7500201809040003</t>
  </si>
  <si>
    <t>Постановление Правительства Забайкальского края от 05.02.2020 г. № 21 "О краевом конкурсе проектов развития территориального общественного самоуправления "Решаем сами"</t>
  </si>
  <si>
    <t>https://docs.cntd.ru/document/561750188</t>
  </si>
  <si>
    <t>Администрация Губернатора Забайкальского края</t>
  </si>
  <si>
    <t>денежные премии</t>
  </si>
  <si>
    <t>Граждане (физические лица), являющиеся руководителями проектов развития территориального общественного самоуправления</t>
  </si>
  <si>
    <t>https://75.rosstat.gov.ru/storage/mediabank/1_%D0%A7%D0%B8%D1%81%D0%BB%D0%B5%D0%BD%D0%BD%D0%BE%D1%81%D1%82%D1%8C%20%D0%BD%D0%B0%D1%81%D0%B5%D0%BB%D0%B5%D0%BD%D0%B8%D1%8F.pdf</t>
  </si>
  <si>
    <t>https://xn--80aaacwhrik4o.xn--h1ahgajha2if.xn--p1ai/public/application/cards</t>
  </si>
  <si>
    <t>Приказ Администрации Губернатора Забайкальского края от 07.12.2021 г. № 359 "О комиссии по проведению краевого конкурса проектов территориального общественного самоуправления "Решаем сами" в 2022 году"</t>
  </si>
  <si>
    <t xml:space="preserve">да 
https://xn--80aaacwhrik4o.xn--h1ahgajha2if.xn--p1ai/ </t>
  </si>
  <si>
    <t>подача конкурсных заявок, допуск к конкурсу и регистрация конкурсных заявок, оцкенка конкурсных заявок (экспертиза)</t>
  </si>
  <si>
    <t>https://xn--80aaacwhrik4o.xn--h1ahgajha2if.xn--p1ai/</t>
  </si>
  <si>
    <t>https://75.ru/tos</t>
  </si>
  <si>
    <t>информационные сообщения размещаются на официальном портале Забайкальского края</t>
  </si>
  <si>
    <t xml:space="preserve">Формат -практикум, семинар-совещание; периодичность -не установлена; состав участников -члены ТОС, сотрудники Администрации Губернатора Забайкальского края, Департамента по развитию местного самоуправления Забайкальского края и Центра по работе с НКО ГКУ "Ресурсный центр развития НКО Забайкальского края" </t>
  </si>
  <si>
    <t>Скокова Татьяна Васильевна, заместитель начальника отдела мониторинга, анализа и взаимодействия с органами местного самоуправления управления развития местного самоуправления Министерства развития гражданского общества, муниципальных образований и молодежной политики Забайкальского края</t>
  </si>
  <si>
    <t>8 (3022) 23 36 89</t>
  </si>
  <si>
    <t>adm30@list.ru</t>
  </si>
  <si>
    <t>Домрачева Оксана Ильинична, начальник отдела бюджетной политики, Министерство финансов Забайкальского края</t>
  </si>
  <si>
    <t>8 (302 2) 35-39-40</t>
  </si>
  <si>
    <t>ref@fin.e-zab.ru</t>
  </si>
  <si>
    <t xml:space="preserve">Региональный проект "Формирование комфортной городской среды" </t>
  </si>
  <si>
    <t>Государственная программа Забайкальского края "Формирование современной городской среды", подпрограмма "Формирование городской среды"</t>
  </si>
  <si>
    <t>Постановление Правительства Забайкальского края от 29 марта 2019 года № 106 "О внесении изменений в государственную программу Забайкальского края "Формирование современной городской среды (2018 – 2022 годы)"</t>
  </si>
  <si>
    <t>http://publication.pravo.gov.ru/Document/View/7500201904020007</t>
  </si>
  <si>
    <t xml:space="preserve">Постановление Правительства Забайкальского края от 27 мая 2020 года № 177 "Об утверждении Методики распределения иных межбюджетных трансфертов из бюджета Забайкальского края бюджетам муниципальных образований Забайкальского края – победителей Всероссийского конкурса лучших проектов создания комфортной городской среды и правил их предоставления", постановление Правительства Забайкальского края от 22 мая 2020 года № 172 "Об утверждении Методики распределения иных межбюджетных трансфертов из бюджета Забайкальского края бюджетам муниципальных районов, муниципальных и городских округов Забайкальского края на реализацию отдельных мероприятий Плана социального развития центров экономического роста Забайкальского края и правил их предоставления"
</t>
  </si>
  <si>
    <t>http://publication.pravo.gov.ru/Document/View/7500202005280001
http://publication.pravo.gov.ru/Document/View/7500202005220007</t>
  </si>
  <si>
    <t>Министерство жилищно-коммунального хозяйства, энергетики, цифровизации и связи Забайкальского края</t>
  </si>
  <si>
    <t>Субсидии, иные межбюджетные трансферты</t>
  </si>
  <si>
    <t>Муниципальные образования Забайкальского края</t>
  </si>
  <si>
    <t>Федеральный проект "Формирование комфортной городской среды", государственная программа Российской Федерации "Социально-экономическое развитие Дальневосточного федерального округа"</t>
  </si>
  <si>
    <t xml:space="preserve">Министерство строительства и жилищно-коммунального хозяйства Российской Федерации, Министерство Российской Федерации по развитию Дальнего Востока и Арктики </t>
  </si>
  <si>
    <t>https://75.rosstat.gov.ru/storage/mediabank/1_Численность%20населения.pdf</t>
  </si>
  <si>
    <t>https://75.gorodsreda.ru/</t>
  </si>
  <si>
    <t>Онлайн-голосование граждан за выбор территории и мероприятий по благоустройству территории</t>
  </si>
  <si>
    <t>https://minenergo.75.ru/</t>
  </si>
  <si>
    <t xml:space="preserve">СМИ: https://gtrkchita.ru/news/vesti-chita-utro153/v-zabaikale-zavershilos-golosovanie-po-blagoustroistvu-territorii/
https://gtrkchita.ru/news/vesti-chita12/parki-ploshchadki-skvery-i-sady-zhiteli-zabaikalia-vybiraiut-territorii-dlia-blagoustroistva49366/
https://gtrkchita.ru/news/vesti-24181/sportivnye-i-detskie-ploshchadki-prud-i-fotozona-kak-mozhet-izmenitsia-poselok-novokruchininskii49256/
https://gtrkchita.ru/news/vesti-chita-utro153/22-tysiachi-chelovek-progolosovali-za-blagoustroistvo-obshchestvennykh-territorii-v-zabaikale49159/
https://gtrkchita.ru/news/vesti-chita-utro153/zhiteli-posiolka-karymskoe-mogut-progolosovat-za-territorii-dlia-blagoustroistva/
https://gtrkchita.ru/news/vesti-24181/pochti-13-tysiach-zabaikaltsev-progolosovali-za-blagoustroistvo-obshchestvennykh-territorii49018/
https://gtrkchita.ru/news/vesti-chita12/bolee-11-tysiach-zabaikaltsev-progolosovali-za-blagoustroistvo-territorii/
https://gtrkchita.ru/news/vesti-chita12/preobrazim-krai-bolee-4-tysiach-zabaikaltsev-progolosovali-za-mesta-dlia-blagoustroistva48823/
https://gtrkchita.ru/news/vesti-chita-utro153/bolee-1800-zabaikaltsev-uzhe-progolosovali-za-territorii-dlia-blagoustroistva-v-2023-godu/
https://www.chita.ru/text/gorod/2022/04/20/71270462/
https://www.chita.ru/text/society/2022/04/16/71262191/
https://www.chita.ru/text/gorod/2022/04/13/71252624/
Официальные ресурсы: https://minenergo.75.ru/novosti/267716
https://minenergo.75.ru/novosti/271229
https://minenergo.75.ru/novosti/273865
https://minenergo.75.ru/novosti/274855
8.3 https://disk.yandex.ru/d/D19IW8IO9t0U5
</t>
  </si>
  <si>
    <t>https://disk.yandex.ru/d/D19IW8IO9t0U5Q</t>
  </si>
  <si>
    <t>В период проведения Всероссийского онлайн голосования Министерством ЖКХ, энергетики, цифровизации и связи и Правительством Забайкальского края проведена информационная кампания для вовлечения граждан в процесс голосования. Материалы размещались на официальных ресурсах Правительства и Министерства, а также в печатных и электронных средствах массовой информации (ГТРК «Чита», ЗРТК, Радио России – Чита, Чита.ру, ИА Забньюс, газета «Вечорка», а также муниципальная пресса). Кроме того, осуществлялась массовая рассылка посредством электронной почты. Наружная реклама на протяжении всего периода голосования размещалась на восьми LED-экранах Читы, на электронных табло в троллейбусах, а также в супермаркетах. В муниципалитетах на информационных стендах были размещены листовки с логотипом проекта. Наиболее масоовый охват граждан обеспечен благодаря выходу информационных сюжетов на телеканалах «Вести-Чита» и «Россия 24 – Чита».</t>
  </si>
  <si>
    <t>На информационных стендах в организациях и на предприятиях муниципальных образований были размещены листовки форматов А3 и А4. Для подготовки информационных материалов использовался брендбук кампании «Влиятельные люди», разработанный АНО «Национальные приоритеты». Ссылка на материалы https://disk.yandex.ru/d/MLh-lnTobLvL9g.</t>
  </si>
  <si>
    <t>курсы повышения квалификации, 1 раз в год, главы муниципальных образований Забайкальского края</t>
  </si>
  <si>
    <t>Шелопугина Александра Григорьевна, начальник отдела по реализации приоритетного проекта "Городская среда", Министерство жилищно-коммунального хозяйства, энергетики, цифровизации и связи Забайкальского края</t>
  </si>
  <si>
    <t>8 (3022) 23-32-50</t>
  </si>
  <si>
    <t>kgs-zab@mail.ru</t>
  </si>
  <si>
    <t xml:space="preserve">Благоустройство  </t>
  </si>
  <si>
    <t>Государственная программа Забайкальского края "Комплексное развитие сельских территорий" (подпрограмма "Создание и развитие инфраструктуры на сельских территориях"/Основное мероприятие 2 "Благоустройство сельских территорий"</t>
  </si>
  <si>
    <t>постановление Правительства Забайкальского края  от 17декабря 2019 г. № 490 "Об утверждении государственной программы "Комплексное развитие сельских территорий"</t>
  </si>
  <si>
    <t>https://mcx.75.ru/gospodderzhka/gosprogrammy-zabaykal-skogo-kraya/kompleksnoe-razvitie-sel-skih-territoriy</t>
  </si>
  <si>
    <t>Постановление Правительства Забайкальского края от 06 февраля 2022 г. № 32 "О распределении в 2022 году средств субсидий из бюджета Забайкальского края бюджетам муниципальных районов и городских округов Забайкальского края на реализацию мероприятий по благоустройству сельских территорий"</t>
  </si>
  <si>
    <t>https://media.75.ru/mcx/documents/118615/o-raspredelenii-2022-g.pdf</t>
  </si>
  <si>
    <t xml:space="preserve">Отсутствует </t>
  </si>
  <si>
    <t xml:space="preserve">Приказ Министерства сельского хозяйства Забайкальского края от 4 мая 2022 г. N 78 "О проведении конкурсного отбора на предоставление субсидий бюджетам муниципальных районов, муниципальных и городских округов Забайкальского края из бюджета Забайкальского края на реализацию мероприятий по благоустройству сельских территорий" </t>
  </si>
  <si>
    <t>https://mcx.75.ru/gospodderzhka/finansovaya-podderzhka/kompleksnoe-razvitie-sel-skih-territoriy/blagoustroystvo-sel-skih-territoriy</t>
  </si>
  <si>
    <t>Министерство сельского хозяйства Забайкальского края</t>
  </si>
  <si>
    <t>Бюджеты муниципальных районов, муниципальных и городских округов</t>
  </si>
  <si>
    <t>Государственная программа Российской Федерации "Комплексное развитие сельских территорий"/ Приложение № 7 "Правила предоставления и распределения субсидий из федерального бюджета бюджетам субъектов Российской Федерации на реализацию мероприятий по благоустройству сельских территорий"</t>
  </si>
  <si>
    <t>трудовое участие граждан, индивидуальных предпринимателей и юридических лиц</t>
  </si>
  <si>
    <t>Сбор подписей</t>
  </si>
  <si>
    <t>949 чел.</t>
  </si>
  <si>
    <t>Протокол общественных обсуждений ,схода граждан</t>
  </si>
  <si>
    <t>Протокол общественных обсуждений схода граждан</t>
  </si>
  <si>
    <t xml:space="preserve">Реализация мероприятий возможна на сельских территориях, под которыми понимаются: 
1) сельские поселения или сельские поселения и межселенные территории, объединенные общей территорией в границах муниципального района;
2) сельские населенные пункты, входящие в состав городских поселений, муниципальных округов, городских округов (за исключением городских округов, на территориях которых находятся административные центры субъектов Российской Федерации);
3) рабочие поселки, наделенные статусом городских поселений;
4) рабочие поселки, входящие в состав городских поселений, муниципальных округов, городских округов (за исключением городских округов, на территориях которых находятся административные центры субъектов Российской Федерации).
</t>
  </si>
  <si>
    <t>1) заявитель реализует мероприятия по благоустройству на сельских территориях, определенных в пункте 1 приложения N 3 к государственной программе;
2) заявитель имеет средства местного бюджета на исполнение в соответствующем финансовом году расходных обязательств, на реализацию мероприятий по благоустройству на сельских территориях и привлекает на их реализацию вклады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в общем размере не менее 30% от общей стоимости проекта, при этом доля местного бюджета от общего объема привлекаемых средств составляет не менее 3%;
3) заявитель ранее не получал субсидии в соответствии с приложением N 3 к государственной программе и иными нормативными правовыми актами на реализацию аналогичного проекта в одном и том же населенном пункте.</t>
  </si>
  <si>
    <t>совещания в режиме видеоконференцсвязи, направление информационных писем</t>
  </si>
  <si>
    <t>по мере необходимости</t>
  </si>
  <si>
    <t>отвественные специалисты муниципальных образований  и Министерства сельского хозяйства Забайкальского края</t>
  </si>
  <si>
    <t>Ли Ольга Петровна, ведущий консультант отдела социального развития села, Министерство сельского хозяйства Забайкальского края</t>
  </si>
  <si>
    <t>8 (3022) 36-49-05</t>
  </si>
  <si>
    <t>lee@mcx.e-zab.ru</t>
  </si>
  <si>
    <t xml:space="preserve"> Государственная программа Курганской области "Формирование комфортной городской среды"</t>
  </si>
  <si>
    <t>Постановление Правительства Курганской области от 28 августа 2017 г. N 320 "О государственной программе Курганской области "Формирование комфортной городской среды"</t>
  </si>
  <si>
    <t>http://publication.pravo.gov.ru/Document/View/4500201708300001?rangeSize=20</t>
  </si>
  <si>
    <t>постановление Правительства Курганской области                                            от 2 апреля 2021 года № 77 «Об утверждении правил предоставления и распределения иных межбюджетных трансфертов из областного бюджета местным бюджетам на реализацию инициативных проектов»</t>
  </si>
  <si>
    <t>http://publication.pravo.gov.ru/Document/View/4500202104090001?index=4&amp;rangeSize=1</t>
  </si>
  <si>
    <t>Департамент строительства, госэкспертизы и жилищно-коммунального хозяйства Курганской области</t>
  </si>
  <si>
    <t>межбюджетные трансферты</t>
  </si>
  <si>
    <t>муниципальные образования</t>
  </si>
  <si>
    <t>Гончарова Нина Витальевна</t>
  </si>
  <si>
    <t>8 (35 22) 49 89 14, 8-922-575-8000</t>
  </si>
  <si>
    <t>goncharova_nv@kurganobl.ru</t>
  </si>
  <si>
    <t>Вахтомин Владимир Владимирович</t>
  </si>
  <si>
    <t>8(3522) 42-93-41</t>
  </si>
  <si>
    <t>vahtomin_vv@kurganobl.ru</t>
  </si>
  <si>
    <t>государственная программа Курганской области «Комплексное развитие сельских территорий Курганской области», раздел «Благоустройство сельских территорий»</t>
  </si>
  <si>
    <t>Постановление Правительства Курганской области от 28.12.2019 № 458</t>
  </si>
  <si>
    <t>dsh.kurganobl.ru</t>
  </si>
  <si>
    <t>Департамент агропромышленного комплекса Курганской области</t>
  </si>
  <si>
    <t>муниципальные образования  Курганской области</t>
  </si>
  <si>
    <t>Государственная программа Российской Федерации «Комплексное развитие сельских территорий»</t>
  </si>
  <si>
    <t>Формы:  трудовое участие, предоставление технических и др. средств на безвозмездной основе</t>
  </si>
  <si>
    <t>66.rosstat.gov.ru</t>
  </si>
  <si>
    <t>Комиссарова Марина Александровна главный специалист Департамент АПК Курганской области</t>
  </si>
  <si>
    <t>investdsh@kurganobl.ru</t>
  </si>
  <si>
    <t xml:space="preserve">Государственная программа Курганской области «Формирование комфортной городской среды» </t>
  </si>
  <si>
    <t xml:space="preserve">Постановление Правительства Курганской области от 28.08.2017 N 320  "О государственной Программе Курганской области "Формирование комфортной городской среды" </t>
  </si>
  <si>
    <t>http://docs.cntd.ru/document/450332653</t>
  </si>
  <si>
    <t>Департамент строительства, госэкспертизы и жилищно-коммунального хозяйства Курганской области.</t>
  </si>
  <si>
    <t xml:space="preserve">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"Жильё и городская среда" </t>
  </si>
  <si>
    <t>Министерство строительства и жилищно-коммунального хозяйсва Россйской Федерации</t>
  </si>
  <si>
    <t>Муниципальные образования, в состав которых входят населенные пункты с численностью свыше 1000 человек</t>
  </si>
  <si>
    <t>Вольман Даниил Александрович</t>
  </si>
  <si>
    <t>8(3522) 42-89-90</t>
  </si>
  <si>
    <t>volman_da@kurganobl.ru</t>
  </si>
  <si>
    <t>Субсидии местным бюджетам на реализацию муниципальных программ, направленных на реализацию проектов благоустройства территорий поселений и городских округов, отобраных на конкурсной основе,предложенных территориальным общественным самоуправлением</t>
  </si>
  <si>
    <t>Субсидии для территориального общественного самоуправления (ТОС)</t>
  </si>
  <si>
    <t>Постановление администрации Липецкой области от 31.08.2017 N 408 "Об утверждении государственной программы Липецкой области "Формирование современной городской среды в Липецкой области" (подпрограмма  "Развитие благоустройства территорий муниципальных образований Липецкой области", основное мероприятие 6 задачи подпрограммы: "Предоставление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t>
  </si>
  <si>
    <t>Постановление администрации Липецкой области от 28.03.2019 N 162 "О внесении изменений в постановление администрации Липецкой области от 31 августа 2017 года N 408 "Об утверждении государственной программы Липецкой области "Формирование современной городской среды в Липецкой области"</t>
  </si>
  <si>
    <t>http://publication.pravo.gov.ru/Document/View/4800201904040004?index=0&amp;rangeSize=1</t>
  </si>
  <si>
    <t>Закон Липецкой области от 13.12.2021 года № 28-ОЗ "Об областном бюджете на 2022 год и на плановый период 2023 и 2024 годов"</t>
  </si>
  <si>
    <t>Управление жилищно-коммунального  хозяйства Липецкой области</t>
  </si>
  <si>
    <t>Городские округа, городские и сельские поселения Липецкой области</t>
  </si>
  <si>
    <t>Количество благополучателей приравнивается к количеству населения, проживающему на территории  городских округов, городских и сельских поселений Липецкой области, в которых реализованы проекты</t>
  </si>
  <si>
    <t>Решение (протокол) муниципальной конкурсной комиссии. Трёхуровневый отбор: на уровне ТОС, на уровне МО, на региональном уровне.</t>
  </si>
  <si>
    <t>Предусматривает участие городских округов, городских и сельских поселений Липецкой области</t>
  </si>
  <si>
    <t xml:space="preserve">В соответствии с частью 1 статьи 27 Федерального закона от 6 октября 2003 года № 131 - ФЗ "Об общих принципах организации местного самоуправления в Российской Федерации"  территориальное общественное самоуправление (далее в этом пункте - ТОС) это самоорганизация граждан по месту их жительства на части территории поселения, городского округа. В связи с тем, что ИБ осуществляется через ТОС муниципальные районы не участвуют в распределении субсидий. </t>
  </si>
  <si>
    <t>Кузовкина Евгения Александровна</t>
  </si>
  <si>
    <t>8(4742)22-06-61</t>
  </si>
  <si>
    <t>KuzovkinaEA@admlr.lipetsk.ru</t>
  </si>
  <si>
    <t>Субсидии на реализацию мероприятий по благоустройству сельских территорий</t>
  </si>
  <si>
    <t>28 февраля 2022 г.</t>
  </si>
  <si>
    <t>22 июня 2022 г.</t>
  </si>
  <si>
    <t xml:space="preserve">Государственная программа Республики Алтай "Комплексное развитие сельских территорий", подпрограмма "Создание и развитие инфраструктуры на сельских территориях", мероприятие "Благоустройство сельских территорий" </t>
  </si>
  <si>
    <t>Постановление Правительства Республики Алтай от 26 декабря 2019 года № 379 "Об утверждении государственной программы Республики Алтай "Комплексное развитие сельских территорий"</t>
  </si>
  <si>
    <t>https://mcx-altai.ru/dokumenty/normativno-pravovye-akty/npa-respubliki-altaj/1785-postanovlenie-pravitelstva-respubliki-altaj-ot-26-dekabrya-2019-g-n-379-ob-utverzhdenii-gosudarstvennoj-programmy-respubliki-altaj-kompleksnoe-razvitie-selskikh-territorij</t>
  </si>
  <si>
    <t>Министерство сельского хозяйства Республики Алтай</t>
  </si>
  <si>
    <t>сельское поселение</t>
  </si>
  <si>
    <t>В соотвествии с Порядоком предоставления и распределения субсидий из республиканского бюджета Республики Алтай на софинансирование расходов бюджетов муниципальных образований в Республике Алтай на реализацию мероприятий по благоустройству сельских территорий (Приложение №4 к Государственной программе Республики Алтай "Комплексное развитие сельских территорий") предусмотрен нефинансовый вклад граждан в форме трудового участия, волонтерской деятельности, предоставления помещений и технических средств</t>
  </si>
  <si>
    <t>http://mcx-altai.ru/attachments/article/1946/1_20210311-postanovlenie-pravitelstva-respubliki-altaj-ot-26-dekabrja-2019-g.-№-379.docx</t>
  </si>
  <si>
    <t>Суммарная численность благополучателей, указанная в паспортах проектов, представленных на конкурсный отбор</t>
  </si>
  <si>
    <t>В реализации практики могут принимать участие только сельские поселения</t>
  </si>
  <si>
    <t>Сакашев Амыр Александрович, специалист-эксперт Министерства сельского хозяйства Республики Алтай</t>
  </si>
  <si>
    <t>8 (38822) 2-76-39</t>
  </si>
  <si>
    <t>sakashevmsxga@yandex.ru</t>
  </si>
  <si>
    <t>Региональный проект "Формирование комфортной городской среды"</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</si>
  <si>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региональный проект "Формирование комфортной городской среды" )</t>
  </si>
  <si>
    <t>Постановление Правительства Республики Алтай от 29.08.20217 г. № 217 "Об утверждении государственной программы Республики Алтай "Формирование современной городской среды"</t>
  </si>
  <si>
    <t>Министерство регионального развития Республики Алтай</t>
  </si>
  <si>
    <t>Обеспечение доступным и комфортным жильем и коммунальными услугами граждан Российской Федерации</t>
  </si>
  <si>
    <t xml:space="preserve">Министерство регионального развития Республики Алтай
</t>
  </si>
  <si>
    <t>В соотвествии с Порядком предоставления, распределения и расходования субсидий из республиканского бюджета Республики Алтай бюджетам муниципальных образований в Республике Алтай в целях софинансирования муниципальных программ формирования современной городской среды в Республике Алтай по благоустройству дворовых территорий (Приложение № 5 к государственной программе
Республики Алтай "Формирование современной
городской среды" ) предусмотрен следующий нефинансовый вклад граждан: Трудовое участие в реализации мероприятий по благоустройству дворовых территорий может осуществляться путем выполнения следующих видов работ (одного или нескольких): подготовка объекта (дворовой территории) к началу работ (земляные работы, демонтаж старого оборудования, уборка мусора); покраска оборудования; озеленение территории; посадка деревьев; охрана объекта (дворовой территории)</t>
  </si>
  <si>
    <t>196,01</t>
  </si>
  <si>
    <t>Протокол общего собрания собственников помещений многоквартирных домов, Протокол собрания по выбору территорий</t>
  </si>
  <si>
    <t>https://platform.gorodsreda.ru/#!requests</t>
  </si>
  <si>
    <t xml:space="preserve">протокол зседания межведомственной комиссии </t>
  </si>
  <si>
    <t>https://minregion-ra.ru/deyatelnost/strategicheskoe-napravlenie-zhkkh-i-gorodskaya-sreda.php</t>
  </si>
  <si>
    <t>https://disk.yandex.ru/d/i33ixeVH3NB7VQ</t>
  </si>
  <si>
    <t>8(38822) 4-70-27</t>
  </si>
  <si>
    <t>Республиканский конкурс «Лучшее территориальное общественное самоуправление»</t>
  </si>
  <si>
    <t>Конкурс «Лучший ТОС»</t>
  </si>
  <si>
    <t>30 ноября 2021 г.</t>
  </si>
  <si>
    <t>Постановление Правительства РБ от 10.03.2022 N 102 "Об утверждении Государственной программы Республики Бурятия "Совершенствование государственного управления" (Подпрограмма 3 "Содействие в развитии форм непосредственного
осуществления населением местного самоуправления")</t>
  </si>
  <si>
    <t>Постановление Правительства РБ от 29.05.2014 N 244 "О республиканском конкурсе "Лучшее территориальное общественное самоуправление"</t>
  </si>
  <si>
    <t>https://docs.cntd.ru/document/412308423</t>
  </si>
  <si>
    <t>Закон  Республики Бурятия от 09.05.2018 № 2940-V «О государственной поддержке территориального общественного самоуправления в Республике Бурят</t>
  </si>
  <si>
    <t>https://docs.cntd.ru/document/550102882</t>
  </si>
  <si>
    <t>Администрация Главы Республики Бурятия и Правительства Республики Бурятия (Комитет территориального развития)</t>
  </si>
  <si>
    <t>Администрация Главы Республики Бурятия и Правительства Республики Бурятия</t>
  </si>
  <si>
    <t>Территориальные общественные самоуправления</t>
  </si>
  <si>
    <t>260 тыс. человек</t>
  </si>
  <si>
    <t>количество жителей, проживающих в границах ТОС – победителей и призеров конкурса</t>
  </si>
  <si>
    <t>https://03.rosstat.gov.ru/storage/mediabank/02-03-11_20220101.pdf</t>
  </si>
  <si>
    <t>Ресурсный центр поддержки ТОС в Республике Бурятия</t>
  </si>
  <si>
    <t>республиканский бюджет</t>
  </si>
  <si>
    <t xml:space="preserve">Организации территориального общественного самоуправления до 1 декабря представляют в Комитет территориального развития Администрации Главы Республики Бурятия и Правительства Республики Бурятия на бумажном и электронном носителях конкурсные материалы.
</t>
  </si>
  <si>
    <t>Конкурсная комиссия в 20-дневный срок после окончания приема заявок на своем заседании утверждает список участников республиканского конкурса "Лучшее территориальное общественное самоуправление".</t>
  </si>
  <si>
    <t>12 членов комиссии</t>
  </si>
  <si>
    <t>тосбурятия.рф</t>
  </si>
  <si>
    <t>Коктышева Светлана Николаевна, консультант, Министерство финансов Республики Бурятия</t>
  </si>
  <si>
    <t>8 (3012) 21-65-61</t>
  </si>
  <si>
    <t>Koktysheva.S@govrb.ru</t>
  </si>
  <si>
    <t xml:space="preserve">Региональный проект "Формирование комфортной городской среды (Рязанская область)"
</t>
  </si>
  <si>
    <t xml:space="preserve">Государственная программа Рязанской области "Формирование комфортной городской среды" (Предоставление субсидий бюджетам муниципальных образований Рязанской области на поддержку муниципальных программ формирования современной городской среды, в том числе направленных на благоустройство общественных территорий, осуществляемую на условиях софинансирования из федерального бюджета)
</t>
  </si>
  <si>
    <t>постановление Правительства Рязанской области от 30.08.2017 № 204 "Об утверждении государственной  программы Рязанской области "Формирование комфортной городской среды" "</t>
  </si>
  <si>
    <t xml:space="preserve">министерство ТЭК и ЖКХ Рязанской области </t>
  </si>
  <si>
    <t>в бюджеты муниципальных образований</t>
  </si>
  <si>
    <t xml:space="preserve">государственная программа Российской Федерации "Обеспечение доступным и комфортным жильем и коммунальными услугами граждан Российской Федерации" в рамках национального проекта "Жилье и городская среда"
</t>
  </si>
  <si>
    <t xml:space="preserve">Министерством строительства и жилищно-коммунального хозяйства Российской Федерации
</t>
  </si>
  <si>
    <t>Матвеева Анна Николаевна, заместитель начальника отдела по благоустройству министерства ТЭК ЖКХ Рязанской области</t>
  </si>
  <si>
    <t>8 (4912) 27-22-23</t>
  </si>
  <si>
    <t>matveeva.an@ryazangov.ru</t>
  </si>
  <si>
    <t>I-II квартал 2023 г.</t>
  </si>
  <si>
    <t xml:space="preserve">Закон Тульской области от 29.01.2021 N 3-ЗТО
"О внесении изменения в статью 8 Закона Тульской области "О системе органов исполнительной власти Тульской области"
(принят Тульской областной Думой 28.01.2021)
</t>
  </si>
  <si>
    <t>http://publication.pravo.gov.ru/Document/View/7100202102010001</t>
  </si>
  <si>
    <t>Положение о проекте «Народный бюджет» в Тульской области, утвержденное постановлением правительства Тульской области 
от 20 февраля 2021 года № 63
Правила предоставления субсидий из бюджета Тульской области бюджетам муниципальных образований Тульской области в целях софинансирования расходных обязательств в рамках реализации проекта "Народный бюджет", утвержденные постановлением правительства Тульской области от 24.09.2015 № 433</t>
  </si>
  <si>
    <t>https://docs.cntd.ru/document/574631687
https://docs.cntd.ru/document/432801140</t>
  </si>
  <si>
    <t>Министерство внутренней политики и развития местного самоуправления в Тульской области</t>
  </si>
  <si>
    <t>Министерство жилищно-коммунального хозяйства Тульской области, министерство транспорта и дорожного хозяйства Тульской области, министерство образования Тульской области</t>
  </si>
  <si>
    <t>Муниципальные образования Тульской области</t>
  </si>
  <si>
    <t>Отдельно не выделяется, включено в показатель строки 7.С.1</t>
  </si>
  <si>
    <t>90,361 (по проектным заявкам, отобранным в ходе конкурсных процедур для финансирования)</t>
  </si>
  <si>
    <t>Сотрудником администрации указывается количество благополучателей при формировании пакета документов для участия заявки в проекте</t>
  </si>
  <si>
    <t>https://tulastat.gks.ru/storage/mediabank/численность%20населения%20%20по%20муниципальным%20образованиям%20на%20начало%202022%20года.pdf</t>
  </si>
  <si>
    <t>Протокол собрания жителей, реестр подписей участников собрания</t>
  </si>
  <si>
    <t>Всего: 140 431. По проектным заявкам, отобранным в ходе конкурсных процедур для финансирования:       30 469</t>
  </si>
  <si>
    <t>Организационная форма инициативной группы указывается в заявке</t>
  </si>
  <si>
    <t xml:space="preserve">https://or71.ru/primi_uchastie/narodniy_budjet_new/ </t>
  </si>
  <si>
    <t>Интернет-голосование за заявки через портал "Открытый регион 71" (www.or71.ru) с помощью ЕСИА</t>
  </si>
  <si>
    <t>Заседание конкурсной комиссии по подведению итогов конкурсного отбора (функции, порядок работы утверждены постановлением правительства Тульской области от 20 февраля 2021 года № 63 "Об утверждении Положения о проекте "Народный бюджет" в Тульской области")</t>
  </si>
  <si>
    <t>Прямое голосование жителей на территориальных счетных участках путем заполнения бюллетеня</t>
  </si>
  <si>
    <t>Итоги голосования подводились территориальными счетными комиссиями</t>
  </si>
  <si>
    <t>Подача заявок осуществлялась через портал "Открытый регион" (www.or71.ru): администрацией муниципального образования при подачи заявке заполнялась вся основная информация (описание проблемы, адрес, количественные показатели, копии документов, фотографии текущего состояния объекта). Интернет-голосование осуществлялось также через указанный выше портал с использованием адреса электронной почты. Также разработана удаленная система мониторинга текущей стадии реализации заявки</t>
  </si>
  <si>
    <t xml:space="preserve">https://vk.com/narodnyi_biudjet71 </t>
  </si>
  <si>
    <t>https://transfiles.ru/atd2k</t>
  </si>
  <si>
    <t>Рекламная кампания осуществлялась посредством интернет-источников (официальных сайтов Правительства Тульской области, муниципальных образований Тульской области, социальных сетей), на собраниях жителей с представителями администраций муниципальных образований</t>
  </si>
  <si>
    <t xml:space="preserve"> https://disk.yandex.ru/i/bExLsX8yzc83MA</t>
  </si>
  <si>
    <t>Федяинова Елена Владимировна, главный консультант исполнительной дирекции ассоциации "Совет муниципальных образований Тульской области"</t>
  </si>
  <si>
    <t>8(980)589-90-03</t>
  </si>
  <si>
    <t>elena.fedyainova@tularegion.ru</t>
  </si>
  <si>
    <t>Минеева Елена Александровна, главный консультант отдела финансирования производственной сферы и сферы услуг департамента бюджетной политики министерства финансов Тульской области</t>
  </si>
  <si>
    <t>8-4872-24-52-37 доб. 29-33</t>
  </si>
  <si>
    <t>elena.mineeva@tularegion.ru</t>
  </si>
  <si>
    <t xml:space="preserve">Постановление Правительства края от 31 августа 2017 г. № 356-пр Об утверждении государственной программы Хабаровского края "Формирование современной городской среды"
</t>
  </si>
  <si>
    <t>Использования фирменного стиля по брендбуку федерального проекта "Формирование комфортной городской среды" национального проекта "Жилье и городская среда"</t>
  </si>
  <si>
    <t>Формирование современной городской среды, основное мероприятие госпрограммы - "реализация регионального проекта "Формирование комфортной городской среды""</t>
  </si>
  <si>
    <t>Постановление Правительства Хабаровского края от 22.03.2019 № 94-пр "О внесении изменений в постановление Правительства Хабаровского края от 31 августа 2017 г. № 356-пр "Об утверждении государственной программы Хабаровского края "Формирование современной городской среды на 2018-2022 годы"</t>
  </si>
  <si>
    <t>http://publication.pravo.gov.ru/Document/View/2700201903260005?index=0&amp;rangeSize=1</t>
  </si>
  <si>
    <t>Ответственный орган исполнительной власти за реализацию регионального проекта "Формирование комфортной городоской среды" - министерство жилищно-коммунального хозяйства края</t>
  </si>
  <si>
    <t>министерство жилищно-коммунального хозяйства края</t>
  </si>
  <si>
    <t>муниципальные образования края - участники регионального проекта</t>
  </si>
  <si>
    <t>Федеральный проект "Формирование комфортной городской среды" национального проекта "Жилье и городская среда"</t>
  </si>
  <si>
    <t xml:space="preserve">Трудовое участие. Основные виды работ: 
- высадка зеленых насаждений, 
- покраска малых архитектурных форм, 
- уборка строительного мусора и др.
К разработке дизайн-проектов общественных территорий привлекаются студенты факультетов кадастра и строительства направления архитектуры, так например, ежегодно при разработке проектов благоустройства общественных территорий города Комсомольска-на-Амуре привлекаются студенты Комсомольского-на-Амуре государственного университета, факультета кадастра и строительства направление дизайн архитектурной среды.
</t>
  </si>
  <si>
    <t>голосование по отбору общественных территорий подлежащих благоустройству</t>
  </si>
  <si>
    <t>https://27.gorodsreda.ru/</t>
  </si>
  <si>
    <t>Участники - муниципальные образования с численностью свыше 1000 человек</t>
  </si>
  <si>
    <t>Отбор муниципальных образований края проведен в соответствии с Правилами предоставления и распределения из краевого бюджета бюджетам муниципальных образований Хабаровского края на софинансирование расходных обязательств муниципальных образований края по реализации муниципальных программ формирования современной городской среды на мероприятия по благоустройству общественных территорий, утвержденными постановлением Правительства Хабаровского края от 31.08.2017 № 356-пр "Об утверждении государственной программы Хабаровского края "Формирование современной городской среды"  (приложение № 5)</t>
  </si>
  <si>
    <t>https://gkh.khabkrai.ru/Deyatelnost/Nacionalnye-proekty/ZHILE-I-GORODSKAYA-SREDA/Regionalnyj-proekt-kraya-Formirovanie-komfortnoj-gorodskoj-sredy</t>
  </si>
  <si>
    <t>отсутвует</t>
  </si>
  <si>
    <t>https://disk.yandex.ru/d/Swo1Oar0ZAXXhQ</t>
  </si>
  <si>
    <t xml:space="preserve">За 2022 год в краевых и муниципальных средствах массовой информации размещено 1 022 информационных материалов по вопросу благоустрой-ства территорий, в том числе:
- печатные СМИ – 99;
- телевидение – 76;
- интернет-СМИ – 308;
- социальные сети – 432;
На официальном сайте министерства жилищно-коммунального хо-зяйства края размещено 107 информационных материалов по данной тематике.
</t>
  </si>
  <si>
    <t>Все информационные раздаточные материалы и инфографика была разработана Министерством строительства и ЖКХ РФ. https://disk.yandex.ru/d/Swo1Oar0ZAXXhQ</t>
  </si>
  <si>
    <t>Анисимова Светлана Сергеевна, главный специалист отдела по формированию комфортной городской среды управления жилищного хозяйства министерства жилищно-коммунального хозяйства Хабаровского края</t>
  </si>
  <si>
    <t>(4212) 32-40-77</t>
  </si>
  <si>
    <t>ssanisimova@adm.khv.ru</t>
  </si>
  <si>
    <t>YTDidenko@yanao.ru</t>
  </si>
  <si>
    <t>OVDrap@yam.yanao.ru</t>
  </si>
  <si>
    <t>NesterenkoYA@NVraion.ru</t>
  </si>
  <si>
    <t>mihalchenkosn@admsr.ru</t>
  </si>
  <si>
    <t>depfin@admugansk.ru</t>
  </si>
  <si>
    <t>leushi@mail.ru</t>
  </si>
  <si>
    <t>adm_shugur@mail.ru</t>
  </si>
  <si>
    <t>admkuma@yandex.ru</t>
  </si>
  <si>
    <t>adm-mortka@maii.ru</t>
  </si>
  <si>
    <t>lugovoikonda@mail.ru</t>
  </si>
  <si>
    <t>komfinkonda@bk.ru</t>
  </si>
  <si>
    <t xml:space="preserve">gafieva_mi@zav.udmr.ru </t>
  </si>
  <si>
    <t>fu15@fin.tambov.gov.ru</t>
  </si>
  <si>
    <t>kfu@list.ru</t>
  </si>
  <si>
    <t>kfsbor@sbor.ru</t>
  </si>
  <si>
    <t>bogdanovana@shentala.su</t>
  </si>
  <si>
    <t>fomrphv@yandex.ru</t>
  </si>
  <si>
    <t>rfu6374@samtel.ru</t>
  </si>
  <si>
    <t>admspisakly@yandex.ru</t>
  </si>
  <si>
    <t>gorfo@samtel.ru</t>
  </si>
  <si>
    <t>kuzminyh.ev@tgl.ru</t>
  </si>
  <si>
    <t>EmeljanovaTN@samadm.ru</t>
  </si>
  <si>
    <t>SolovevaOE@samadm.ru</t>
  </si>
  <si>
    <t>pohgor@samtel.ru</t>
  </si>
  <si>
    <t xml:space="preserve">fuago@otradny.org </t>
  </si>
  <si>
    <t>finans@adm-ussuriisk.ru</t>
  </si>
  <si>
    <t>Fin561@bk.ru</t>
  </si>
  <si>
    <t>agofin520@yandex.ru</t>
  </si>
  <si>
    <t>ladonnikova_np@fin.artemokrug.ru</t>
  </si>
  <si>
    <t>radosteva-ts@gorodperm.ru</t>
  </si>
  <si>
    <t>finans-ver@yandex.ru</t>
  </si>
  <si>
    <t>AndreevaKA@penza-gorod.ru</t>
  </si>
  <si>
    <t>tenka_fino@rambler.ru</t>
  </si>
  <si>
    <t>perovskiy-sov@mail.ru</t>
  </si>
  <si>
    <t>adm_gpse@admse.ru
k312@krasfin.ru</t>
  </si>
  <si>
    <t>Lapo@fin.admkrsk.ru 
k312@krasfin.ru</t>
  </si>
  <si>
    <t>org_adm_kalina@mail.ru</t>
  </si>
  <si>
    <t>budget.fin.usp@yandex.ru</t>
  </si>
  <si>
    <t>fumotim@mail.ru</t>
  </si>
  <si>
    <t>fintaman@yandex.ru</t>
  </si>
  <si>
    <t>nawi1@yandex.ru</t>
  </si>
  <si>
    <t>admi-krasnostrelskay@yandex.ru</t>
  </si>
  <si>
    <t>zaporoz_adm@mail.ru</t>
  </si>
  <si>
    <t>fin217@yandex.ru</t>
  </si>
  <si>
    <t>fumotr@yandex.ru</t>
  </si>
  <si>
    <t>KolomietsAA@sochiadm.ru</t>
  </si>
  <si>
    <t>grigorevskoesp@sevadm.ru</t>
  </si>
  <si>
    <t>buh.lvovskoe@yandex.ru</t>
  </si>
  <si>
    <t>sev_fin@mail.ru</t>
  </si>
  <si>
    <t>fbu@nross.ru</t>
  </si>
  <si>
    <t>a.smaglyuk@krd.ru</t>
  </si>
  <si>
    <t>admnovomish@mail.ru</t>
  </si>
  <si>
    <t>oktpos@mail.ru</t>
  </si>
  <si>
    <t>ivanovsk@list.ru</t>
  </si>
  <si>
    <t>poltadm@list.ru</t>
  </si>
  <si>
    <t>sergievka@list.ru</t>
  </si>
  <si>
    <t>kunderovasv1@yandex.ru</t>
  </si>
  <si>
    <t>dyadkovsk@inbox.ru</t>
  </si>
  <si>
    <t>bratkovsk@mail.ru</t>
  </si>
  <si>
    <t>kavpos2006@mail.ru</t>
  </si>
  <si>
    <t>fo.rzn@mail.ru</t>
  </si>
  <si>
    <t>fo.ugn@mail.ru</t>
  </si>
  <si>
    <t>adm_pervomaisk@mail.ru</t>
  </si>
  <si>
    <t>adm-chsp@mail.ru</t>
  </si>
  <si>
    <t>novo.posel@mail.ru</t>
  </si>
  <si>
    <t>unarok-admin@mail.ru</t>
  </si>
  <si>
    <t>besleneevskaja@mail.ru</t>
  </si>
  <si>
    <t>udora_fu@rambler.ru</t>
  </si>
  <si>
    <t xml:space="preserve">byudjet@pechora.rkomi.ru </t>
  </si>
  <si>
    <t>e.v.galeva@priluzie.ru</t>
  </si>
  <si>
    <t>gfo-vorkuta@mail.ru</t>
  </si>
  <si>
    <t>fo@vuktyl.rkomi.ru</t>
  </si>
  <si>
    <t>fo@kortkeros.rkomi.ru</t>
  </si>
  <si>
    <t>adm.ermolino@yandex.ru</t>
  </si>
  <si>
    <t>prokhorova_es@kaluga-gov.ru</t>
  </si>
  <si>
    <t>foborovsk@adm.kaluga.ru</t>
  </si>
  <si>
    <t>admdet@mail.ru</t>
  </si>
  <si>
    <t>lychevava@arhcity.ru</t>
  </si>
  <si>
    <t>+7 (34922) 2-24-77</t>
  </si>
  <si>
    <t>NVTurlakova@yam.yanao.ru</t>
  </si>
  <si>
    <t xml:space="preserve"> 8 (3466) 49-86-33</t>
  </si>
  <si>
    <t>8(3462)52-90-07</t>
  </si>
  <si>
    <t>8 3463 23 70 60</t>
  </si>
  <si>
    <t>8 (34677)37032</t>
  </si>
  <si>
    <t>8(34677)52151</t>
  </si>
  <si>
    <t>39-155</t>
  </si>
  <si>
    <t>8 (34677) 30-0-26</t>
  </si>
  <si>
    <t>8(34677)38116</t>
  </si>
  <si>
    <t>8(34677)32004 (доб.2124)</t>
  </si>
  <si>
    <t>222-508 доб 3</t>
  </si>
  <si>
    <t>(4752) 79 04 21</t>
  </si>
  <si>
    <t>8(8652)99-26-80</t>
  </si>
  <si>
    <t>8(34343) 2-11-80</t>
  </si>
  <si>
    <t>8(81369)2-21-24</t>
  </si>
  <si>
    <t>(884652)23090</t>
  </si>
  <si>
    <t>8 846 56 20138</t>
  </si>
  <si>
    <t>8-84650-21696</t>
  </si>
  <si>
    <t>8(846)5422325; 8(846)54 21451</t>
  </si>
  <si>
    <t>8(84639) 2 25 64</t>
  </si>
  <si>
    <t>8(846) 9505374</t>
  </si>
  <si>
    <t>995 13 06</t>
  </si>
  <si>
    <t>8(846)56 2-24-55</t>
  </si>
  <si>
    <t>8(84661)2-36-75</t>
  </si>
  <si>
    <t>8(4234) 320647</t>
  </si>
  <si>
    <t>8(42356)25-9-07</t>
  </si>
  <si>
    <t>8(42352)2-44-81</t>
  </si>
  <si>
    <t>(42337) 4-23-16</t>
  </si>
  <si>
    <t>8 (342) 212-34-24</t>
  </si>
  <si>
    <t>(34254)33636</t>
  </si>
  <si>
    <t xml:space="preserve"> (8412) 68-46-01</t>
  </si>
  <si>
    <t>8 (3532) 78-62-53</t>
  </si>
  <si>
    <t>8 (413 44) 3-04-39</t>
  </si>
  <si>
    <t>8 (39160) 21-373
8 (391) 222-13-95</t>
  </si>
  <si>
    <t>8 (391) 226-10-50
8 (391) 222-13-95</t>
  </si>
  <si>
    <t>8(8613)21360</t>
  </si>
  <si>
    <t>8 (86140) 5-82-43</t>
  </si>
  <si>
    <t>8(86148)31-2-42</t>
  </si>
  <si>
    <t>8-861-48-38-0-10</t>
  </si>
  <si>
    <t>8-86148-63-281</t>
  </si>
  <si>
    <t>8-918-686-95-56</t>
  </si>
  <si>
    <t>8(918)1136690</t>
  </si>
  <si>
    <t>8-861-66-3-75-41</t>
  </si>
  <si>
    <t>8-86166-21787</t>
  </si>
  <si>
    <t>8-8617-646-956</t>
  </si>
  <si>
    <t>886165-91-3-48</t>
  </si>
  <si>
    <t>8(86165) 94256</t>
  </si>
  <si>
    <t>8/86165/3-26-31</t>
  </si>
  <si>
    <t>8(86142)98638</t>
  </si>
  <si>
    <t>8(86142)21232</t>
  </si>
  <si>
    <t>8(86142) 6-62-08;
8(86142) 6-62-99</t>
  </si>
  <si>
    <t>8(86142)92-6-16</t>
  </si>
  <si>
    <t>8(86193)22-7-96</t>
  </si>
  <si>
    <t>8(86155)-38367</t>
  </si>
  <si>
    <t>8(86155)64202</t>
  </si>
  <si>
    <t>8(86155)65168</t>
  </si>
  <si>
    <t>8(86154) 94-278</t>
  </si>
  <si>
    <t>8(86137)3-71-61</t>
  </si>
  <si>
    <t>8(82135)33734</t>
  </si>
  <si>
    <t>8(82142)7-44-44 доб. 2010</t>
  </si>
  <si>
    <t>+7 82151 3-38-11</t>
  </si>
  <si>
    <t>8-82146-211-60</t>
  </si>
  <si>
    <t>8 (48438) 6-48-42</t>
  </si>
  <si>
    <t>8 (4842) 70-11-91</t>
  </si>
  <si>
    <t>8 (48438) 4 33 56</t>
  </si>
  <si>
    <t>8484-31-29-003</t>
  </si>
  <si>
    <t>576-922</t>
  </si>
  <si>
    <t>8(8182) 607-145</t>
  </si>
  <si>
    <t>Диденко Юлия Ташмурадовна
Заведующий сектором реализации проектов по развитию местного самоуправления и информационно - аналитической работы отдела по работе с территориями управления межбюджетных отношений департамента финансов автономного округа</t>
  </si>
  <si>
    <t>8(349)9630030; 8(349)9630312</t>
  </si>
  <si>
    <t>Нестеренко Юлия Артемовна, заместитель директора департамента финансов</t>
  </si>
  <si>
    <t>Михальченко Светлана Николаевна, начальник отдела анализа, нормативного и информационного обеспечения бюджетного процесса департамента финансов администрации Суругтского района</t>
  </si>
  <si>
    <t>Халезова Наталья Сергеевна, заместитель главы - директор департамента финансов</t>
  </si>
  <si>
    <t>Вурм Марина Владимировна, заместитель главы сп.Леуши</t>
  </si>
  <si>
    <t>Вахрушева Гузель Валитовна, главный специалист администрации сп Шугур</t>
  </si>
  <si>
    <t>Шепелина Анастасия Николаевна, начальник финансо-экономической деятельности администрации гп. Куминский</t>
  </si>
  <si>
    <t>Гавриличева Марина Вячеславовна главный специалист финансово-экономического отдела</t>
  </si>
  <si>
    <t>Митюшкина Елена Алиевна, заведующая сектором финансов и экономики администрации городского поселения Луговой</t>
  </si>
  <si>
    <t xml:space="preserve">Популова Анжела Владимировна, начальник отдела межбюджетных отношений и долговой политики комитета по финансам и налоговой политики </t>
  </si>
  <si>
    <t>Гафиева Мария Ивановна Начальник сектора анализа бюджета Управления финансов Администрации муниципального образования "Завьяловский район"</t>
  </si>
  <si>
    <t>Пантелина Лариса Александровна - начальник отдела межбюджетных отношений бюджетного управления министерства финансов Тамбовской области</t>
  </si>
  <si>
    <t>Горохов Сергей Геннадьевич</t>
  </si>
  <si>
    <t>Мальцева Евгения Романовна, главный специалист отдела казначейского исполнения бюджета</t>
  </si>
  <si>
    <t>Богданова Нина Александровна, руководитель управления финансами</t>
  </si>
  <si>
    <t>Молянова Лилия Леонидовна</t>
  </si>
  <si>
    <t>Консультант отдела составления бюджета, Кудашева Елена Федоровна</t>
  </si>
  <si>
    <t>Панченко Ольга Васильевна - заместитель главы администрации сельского поселения Исаклы; Корниенко Галина Владимировна - начальник финансового отдела администрации сельского поселения Исаклы</t>
  </si>
  <si>
    <t>Фоменко Светлана Михайловна, заместитель руководителя Финансового управления администрации г.о.Чапаевск</t>
  </si>
  <si>
    <t>Кузьминых Елена Владиславовна</t>
  </si>
  <si>
    <t>Емельянова Татьяна Николаевна</t>
  </si>
  <si>
    <t>Соловьева Оксана Евгеньевна, начальник ФЭО</t>
  </si>
  <si>
    <t>Герасимичева Светлана Николаевна</t>
  </si>
  <si>
    <t>Данилова Светлана Сергеевна, зам.руководителя Финансового управления Администрации г.о.Отрадный</t>
  </si>
  <si>
    <t>Ермакова Вероника Александровна</t>
  </si>
  <si>
    <t>Дронова Галина Владимировна</t>
  </si>
  <si>
    <t>Бакайкина Наталья Ивановна, заместитель начальника финансового управления Администрации городского округа Спасск--Дальний</t>
  </si>
  <si>
    <t>Ладонникова Наталья Петровна</t>
  </si>
  <si>
    <t>Радостева Татьяна Сергеевна, начальник отдел расходов на содержание органов местного самоуправления и общественной безопасности департамента финансов администрации города Перми</t>
  </si>
  <si>
    <t>Колчанова Светлана Николаевна, начальник управления финансов администрации Верещагинского городского округа Пермского края</t>
  </si>
  <si>
    <t xml:space="preserve">Андреева Ксения Андреевна, главный специалист отдела финансирования хозяйственных организаций Финансового управления города Пензы </t>
  </si>
  <si>
    <t>Величко Антонина Владимировна - начальник отдела анализа финансового менеджмента министерства финансов Оренбургской области</t>
  </si>
  <si>
    <t>Тайбарей Светлана Егоровна, заместитель директора департамента по бюджетной политике министерства финансов Новгородской области</t>
  </si>
  <si>
    <t>Карпачева Жанна Ивановна</t>
  </si>
  <si>
    <t>Гудима Александр Николаевич - Председатель Перовского сельского совета- глава администрации Перовского сельского поселения</t>
  </si>
  <si>
    <t>Григорьева Надежда Викторовна, главный специалист администрации городского поселка Северо-Енисейский
Фаррахова Светлана Владимировна, 
консультант отдела территориальных бюджетов</t>
  </si>
  <si>
    <t>Лапо Мария Геннадьевна, заместитель руководителя департамента - начальник отдела исполнения бюджета департамента финансов администрации города Красноярска
Фаррахова Светлана Владимировна, 
консультант отдела территориальных бюджетов</t>
  </si>
  <si>
    <t>Дейнега Олеся Владимировна, главный сециалист по организации взаимодействия с органами местного самоуправления Администрации МО Калининский  район</t>
  </si>
  <si>
    <t>Афанасьева Марина Викторовна - начальник бюджетного отдела финансового управления администрации муниципального образования Успенский район</t>
  </si>
  <si>
    <t>Чивяга Анастасия Николаевна</t>
  </si>
  <si>
    <t>Лобыцина Александра Юрьевна</t>
  </si>
  <si>
    <t xml:space="preserve">Бызовая
Эмине Айдеровна, начальник финансового отдела
</t>
  </si>
  <si>
    <t>Шнитко Светлана Сергеевна</t>
  </si>
  <si>
    <t>Кихаева Светлана Николаевна начальник  финансового отдела Запорожского сельского поселения</t>
  </si>
  <si>
    <t>Сергеева Юлия Валентиновна начальник финансового отдела администрации ГСП ТР</t>
  </si>
  <si>
    <t>Лебедева Юлия Андреевна</t>
  </si>
  <si>
    <t>Коломиец Александр Анатольевич, заместитель директора департамента по финансам и бюджету администрации муниципального образования городской округ город-курорт Сочи Краснодарского края</t>
  </si>
  <si>
    <t>Любецкая Татьяна Викторовна</t>
  </si>
  <si>
    <t>Скиба Олеся Павловна, директор МКУ "ЦБ Львовского сельского поселения Северского района"</t>
  </si>
  <si>
    <t>Зуза Татьяна Вячеславовна, исполняющий обязанности начальника финансового отдела</t>
  </si>
  <si>
    <t>Филатова Татьяна Владимировна, зам.начальника финансового отдела адмнистрации Северского сельского поселения</t>
  </si>
  <si>
    <t>Кургаева Надежда Валерьевна, начальник отдела сводно-аналитической работы финансового управления администрации муниципального образования город Новороссийск</t>
  </si>
  <si>
    <t>Смаглюк Андрей Сергеевич, заместитель начальника юридического отдела департамента финансов администрации муниципального образования город Краснодар</t>
  </si>
  <si>
    <t>Миндолина Наталья Юрьевна</t>
  </si>
  <si>
    <t>Назар Ирина Викторовна</t>
  </si>
  <si>
    <t>Белик Наталия Владимировна, начальник финансового отдела, главный бухгалтер</t>
  </si>
  <si>
    <t>Галушко Наталья Витальевна, начальник финансового отдела, главный бухгалтер администрации Полтавского сельского поселения</t>
  </si>
  <si>
    <t>Бундюк Людмила Григорьевна, начальник финансового отдела</t>
  </si>
  <si>
    <t>Кундерова Светлана Васильевна</t>
  </si>
  <si>
    <t>начальник общего отдела  администрации Дядьковского сельского поселения Кореновского района Надточий Ольга Евгеньевна; начальник финансового отдела администрации Дядьковского сельского поселения Кореновского районаФоменко Елена Анатольевна</t>
  </si>
  <si>
    <t>Шабанова Юлия Алексеевна, экономист финансового отдела</t>
  </si>
  <si>
    <t>Бережинская Ирина Васильевна - глава Кавказского сельского поселения Кавказского района</t>
  </si>
  <si>
    <t>Жгулева Юлия Владимировна</t>
  </si>
  <si>
    <t>Мефредова Мария Александровна</t>
  </si>
  <si>
    <t>Барсегян вероника Сергеевна</t>
  </si>
  <si>
    <t>Черемных Алла Владимировна</t>
  </si>
  <si>
    <t>Коник Светлана Алексеевна, начальник финансового отдела администрации Новопавловского сельского поселения Белоглинского района</t>
  </si>
  <si>
    <t>Дикарева Ирина Александровна (ведущий специалист бюджетного отдела фин.управления администрации МО г.Армавир)</t>
  </si>
  <si>
    <t>Дроздова Ольга Сергеевна,начальник отдела по финансам бюджету и экономики</t>
  </si>
  <si>
    <t>Назарова Елена Николаевна</t>
  </si>
  <si>
    <t>Будрина Елена Евгеньевна, начальник финансового управления администрации МР "Удорский"</t>
  </si>
  <si>
    <t>Лысакова Ольга Ивановна начальник бюджетного отдела управления финансов МР "Печора"</t>
  </si>
  <si>
    <t>Галева Анастасия Владимировна, заместитель начальника упраления финансов администрации муниципального района "Прилузский"</t>
  </si>
  <si>
    <t xml:space="preserve">Еремеева Людмила Валерьевна, заведующий отделом методологии бюджетного процесса, анализа и финансирования финансового управления администрации МО ГО "Воркута" </t>
  </si>
  <si>
    <t>Бабина Виктория Александровна, заместитель руководителя администрации городского округа «Вуктыл» - начальник Финансового управления администрации городского округа «Вуктыл»</t>
  </si>
  <si>
    <t>Карпова Валентина Анатольевна</t>
  </si>
  <si>
    <t>Кушнир Наталья Анатольевна, главный специалист финансово-экономического отдела администрации муниципального образования «Городское поселение «Город Ермолино»</t>
  </si>
  <si>
    <t>Прохорова Елена Сергеевна, главный специалист отдела планирования в отраслях социальной сферы</t>
  </si>
  <si>
    <t>Сапоцкая Нина Николаевна, заместитель заведующего отдела финансов Администрации Боровского района</t>
  </si>
  <si>
    <t>Гришина Наталья Александровна, главный специалист отдела бухгалтерии Поселковой администрации сельского поселения "Поселок Детчино"</t>
  </si>
  <si>
    <t>Сидоренко Марина Александровна - начальник  отдела мониторинга и взаимодействия с бюджетами муниципальных образований департамента бюджетной политики министерства финансов и бюджетной политики Белгородской области</t>
  </si>
  <si>
    <t>Лычева Вера Альбертовна, директор департамента финансов Администрации городского округа "Город Архангельск"</t>
  </si>
  <si>
    <t xml:space="preserve">Контактное лицо от финансового органа субъекта РФ </t>
  </si>
  <si>
    <t>tatianaakomarova@krasnoselkupsky.yanao.ru</t>
  </si>
  <si>
    <t>budget@dfik.ru</t>
  </si>
  <si>
    <t>V.Chuzhikova@tazovsky.yanao.ru</t>
  </si>
  <si>
    <t>Турлакова Наталья Владимировна -начальник отдела бюджетного управления; Драп Ольга Вячеславна- начальник отдела отраслевых финансов бюджетного управления</t>
  </si>
  <si>
    <t>Vyslobojaninova@priuralye.yanao.ru</t>
  </si>
  <si>
    <t>chuprova_nk@shur.yanao.ru</t>
  </si>
  <si>
    <t>ONOsadets@nadym.yanao.ru</t>
  </si>
  <si>
    <t>AIKilienko@mogub.yanao.ru</t>
  </si>
  <si>
    <t xml:space="preserve">NSZabolotskih@muravlenko.yanao.         </t>
  </si>
  <si>
    <t xml:space="preserve">AMGalkin@noyabrsk.yanao.ru </t>
  </si>
  <si>
    <t xml:space="preserve">kulikova.em@nur.yanao.ru
</t>
  </si>
  <si>
    <t>BezgodovaEA@df.lbt.yanao.ru</t>
  </si>
  <si>
    <t>iluhina@slh.yanao.ru
osetrova@slh.yanao.ru</t>
  </si>
  <si>
    <t>электронный адрес tavs-dsa@hmrn.ru</t>
  </si>
  <si>
    <t>BakharevaEV@NVraion.ru</t>
  </si>
  <si>
    <t>AntonovaDS@admugansk.ru</t>
  </si>
  <si>
    <t>reshetnikovasa86@mail.ru</t>
  </si>
  <si>
    <t>finans@kondadm.ru</t>
  </si>
  <si>
    <t>oms@admkonda.ru</t>
  </si>
  <si>
    <t>IvahnenkoVV@n-vartovsk.ru, invest@n-vartovsk.ru</t>
  </si>
  <si>
    <t>Zhivaeva_ai@admsurgut.ru</t>
  </si>
  <si>
    <t>elena.zavornikova@yandex.ru</t>
  </si>
  <si>
    <t xml:space="preserve">economica@admoil.ru </t>
  </si>
  <si>
    <t>rakti@mail4.admlangepas.ru</t>
  </si>
  <si>
    <t>KonstantinovaOA@admmegion.ru</t>
  </si>
  <si>
    <t>lebedevais@uray.ru</t>
  </si>
  <si>
    <t>Khomutovaed@khv27.ru</t>
  </si>
  <si>
    <t>org@amursk.ru</t>
  </si>
  <si>
    <t>PryahinAA@tyumen-city.ru</t>
  </si>
  <si>
    <t>trv@g58.tambov.gov.ru</t>
  </si>
  <si>
    <t>fintrunov@yandex.ru</t>
  </si>
  <si>
    <t>finupr_stavkray@mail.ru</t>
  </si>
  <si>
    <t>uasgkh@pyatigorsk.org
ofgh_fin@mail.ru</t>
  </si>
  <si>
    <t>territory@updtpmo.ru</t>
  </si>
  <si>
    <t>dor-munhoz@petrgosk.ru</t>
  </si>
  <si>
    <t>finupr@petrgosk.ru</t>
  </si>
  <si>
    <t>fu_09@mail.ru</t>
  </si>
  <si>
    <t>fiupravlenie@yandex.ru</t>
  </si>
  <si>
    <t>neftekumsk_fu@mail.ru</t>
  </si>
  <si>
    <t>finnev@nevsk.stavregion.ru
pravo@nevadm.ru</t>
  </si>
  <si>
    <t>zapros.ler@yandex.ru</t>
  </si>
  <si>
    <t>otdel-ekonom-2017@yandex,ru</t>
  </si>
  <si>
    <t>krasfin@mail.ru</t>
  </si>
  <si>
    <t>ko4ub@mail.ru</t>
  </si>
  <si>
    <t>finupravlenie@kislovods-kurort.org</t>
  </si>
  <si>
    <t>terotdelkgo@mail.ru</t>
  </si>
  <si>
    <t xml:space="preserve"> &lt;vera.slesareva.1973@mail.ru&gt;</t>
  </si>
  <si>
    <t>fuaimr@bk.ru</t>
  </si>
  <si>
    <t>grfu@yandex.ru</t>
  </si>
  <si>
    <t>fin@georgievsk.stavregion.ru</t>
  </si>
  <si>
    <t>fublar@mfsk.ru</t>
  </si>
  <si>
    <t>apanfup@yandex.ru</t>
  </si>
  <si>
    <t>economicaandrop@ya.ru</t>
  </si>
  <si>
    <t xml:space="preserve"> &lt;fualkr@mfsk.ru&gt;</t>
  </si>
  <si>
    <t>ntn@admrevda.ru</t>
  </si>
  <si>
    <t>ekonomkrur@mail.ru</t>
  </si>
  <si>
    <t>e.mokrushina@kgo66.ru</t>
  </si>
  <si>
    <t>horobrih@efbu.ru</t>
  </si>
  <si>
    <t>asb.ekonomika@mail.ru</t>
  </si>
  <si>
    <t>admin_amo@mail.ru</t>
  </si>
  <si>
    <t>lomkin@shentala.su</t>
  </si>
  <si>
    <t>beloothernoe-2011@mail.ru</t>
  </si>
  <si>
    <t>malamalish@yandex.ru</t>
  </si>
  <si>
    <t>adm.s.p.chernowka@yandex.ru</t>
  </si>
  <si>
    <t>Patel77@mail.ru</t>
  </si>
  <si>
    <t>ssadgorod@yndex.ru</t>
  </si>
  <si>
    <t>adm.podgorny.2010@mail.ru</t>
  </si>
  <si>
    <t>n.kluchi@yandex.ru</t>
  </si>
  <si>
    <t>Adm.muxanovo.ru@yandex.ru</t>
  </si>
  <si>
    <t>administraziy75@mail.ru</t>
  </si>
  <si>
    <t>adm-kr2013@yandex.ru</t>
  </si>
  <si>
    <t>kdz58@mail.ru</t>
  </si>
  <si>
    <t>poselenie63@mail.ru</t>
  </si>
  <si>
    <t>adm.kabanovka@yandex.ru</t>
  </si>
  <si>
    <t xml:space="preserve">erzowka@yandex.ru </t>
  </si>
  <si>
    <t>admbereznyaki@yandex.ru</t>
  </si>
  <si>
    <t>e-mail:s_paleks2017@mail.ru</t>
  </si>
  <si>
    <t>galinabondareva@list.ru</t>
  </si>
  <si>
    <t>semja@List.ru</t>
  </si>
  <si>
    <t>mburdk59@mail.ru</t>
  </si>
  <si>
    <t>admbm@mail.ru</t>
  </si>
  <si>
    <t>ugh-chap@yandex.ru</t>
  </si>
  <si>
    <t>strazhec.ns@tgl.ru</t>
  </si>
  <si>
    <t>TenyaevaEV@samadm.ru; Skachkovvv@samadm.ru</t>
  </si>
  <si>
    <t>AkinshinaAV@samadm.ru</t>
  </si>
  <si>
    <t>promtos63@mail.ru</t>
  </si>
  <si>
    <t>lukianovpv@samadm.ru</t>
  </si>
  <si>
    <t>AkritovaVT@samadm.ru</t>
  </si>
  <si>
    <t>TitovDY@samadm.ru</t>
  </si>
  <si>
    <t>invest-pokhvistnevo@yandex.ru</t>
  </si>
  <si>
    <t>nkootr@bk.ru</t>
  </si>
  <si>
    <t>feu-budjet11@mail.ru</t>
  </si>
  <si>
    <t>priem_gkh@mail.ru</t>
  </si>
  <si>
    <t>artem-dorogi@yandex.ru</t>
  </si>
  <si>
    <t>shemberger-vr@gorodperm.ru</t>
  </si>
  <si>
    <t>tv_zubova@mail.ru</t>
  </si>
  <si>
    <t xml:space="preserve"> berezina_ea@berezniki.perm.ru</t>
  </si>
  <si>
    <t>lagileva@vereschagino.permkrai.ru</t>
  </si>
  <si>
    <t>finotdel-2@se.orb.ru</t>
  </si>
  <si>
    <t>kurfin@mail.ru</t>
  </si>
  <si>
    <t>vitalik8406@mail.ru</t>
  </si>
  <si>
    <t>vai@to.orb.ru</t>
  </si>
  <si>
    <t xml:space="preserve">taschla.tfin@yandex.ru
</t>
  </si>
  <si>
    <t>sakmara_ru@mail.ru</t>
  </si>
  <si>
    <t>l_frolova@pm.orb.ru</t>
  </si>
  <si>
    <t>onl-or@mail.ru</t>
  </si>
  <si>
    <t>finotd_no@mail.orb.ru</t>
  </si>
  <si>
    <t>krasnogvard_fo@mail.ru</t>
  </si>
  <si>
    <t>fin-otdel@esoo.ru</t>
  </si>
  <si>
    <t>bns@bz-orb.ru</t>
  </si>
  <si>
    <t>ktn@bz-orb.ru</t>
  </si>
  <si>
    <t xml:space="preserve">mailto:bugraifo@mail.ru </t>
  </si>
  <si>
    <t>asfin@inbox.ru</t>
  </si>
  <si>
    <t>leniza.kabanova@mail.ru</t>
  </si>
  <si>
    <t>foa_adm@mail.ru</t>
  </si>
  <si>
    <t>finadam@mail.orb.ru</t>
  </si>
  <si>
    <t>kna@ys.orb.ru</t>
  </si>
  <si>
    <t>gorfo@esoo.ru</t>
  </si>
  <si>
    <t>tkachukolni@admin.orenburg.ru</t>
  </si>
  <si>
    <t>fo@mednogorsk56.ru</t>
  </si>
  <si>
    <t>gy_fin@mail.orb.ru</t>
  </si>
  <si>
    <t>popova@buzuluk-town.ru</t>
  </si>
  <si>
    <t xml:space="preserve"> depfin@admomsk.ru</t>
  </si>
  <si>
    <t>rfo07@minfin.omskportal.ru</t>
  </si>
  <si>
    <t>rfo24@minfin.omskportal.ru</t>
  </si>
  <si>
    <t>bugfo@mail.ru</t>
  </si>
  <si>
    <t>komobr@okuladm.ru</t>
  </si>
  <si>
    <t>komlub2@yandex.ru</t>
  </si>
  <si>
    <t>finans@adm-krestcy.ru</t>
  </si>
  <si>
    <t>vomp@adm.nov.ru</t>
  </si>
  <si>
    <t xml:space="preserve">polia.alt2020@yandex.ru </t>
  </si>
  <si>
    <t>ati@semenov.nnov.ru; zhabbarova@semenov.nnov.ru</t>
  </si>
  <si>
    <t>dop.kstovo@mail.ru</t>
  </si>
  <si>
    <t>lapteva@bor-fin.ru</t>
  </si>
  <si>
    <t>vachaganchik@mail.ru</t>
  </si>
  <si>
    <t>veselova@fino.dzr.nnov.ru</t>
  </si>
  <si>
    <t>gunzemaoms@mail.ru</t>
  </si>
  <si>
    <t>mczks.otd@yandex.ru</t>
  </si>
  <si>
    <t>jankoi-gfu@yandex.ru</t>
  </si>
  <si>
    <t>dalfinupr@yandex.ru</t>
  </si>
  <si>
    <t>suxom.rf35@yandex.ru
suxom.rf35@yandex.ru</t>
  </si>
  <si>
    <t>rf34@krasfin.ru</t>
  </si>
  <si>
    <t>Pilyugaeva@fin.admkrsk.ru</t>
  </si>
  <si>
    <t>root@rf46.krasnoyarsk.su</t>
  </si>
  <si>
    <t>7102@bk.ru</t>
  </si>
  <si>
    <t>sp07ek@mail/</t>
  </si>
  <si>
    <t>sp_tenginka@mail.ru</t>
  </si>
  <si>
    <t>zheleznoe_sp@mail.ru</t>
  </si>
  <si>
    <t>Sp-Kirpili@yandex.ru</t>
  </si>
  <si>
    <t>adminleninsk@mail.ru</t>
  </si>
  <si>
    <t>dvubratsk.adm@yandex.ru</t>
  </si>
  <si>
    <t>orgkad205@mail.ru</t>
  </si>
  <si>
    <t>org_timregion@mail.ru</t>
  </si>
  <si>
    <t>zkh.admtsp@yandex.ru</t>
  </si>
  <si>
    <t>poselen-temryuk@mail.ru</t>
  </si>
  <si>
    <t>titovaep@sochiadm.ru</t>
  </si>
  <si>
    <t>lvovskoe@yandex.ru</t>
  </si>
  <si>
    <t>afipskij@sevadm.ru</t>
  </si>
  <si>
    <t xml:space="preserve">642651@mail.ru </t>
  </si>
  <si>
    <t>fin@labinsk-city.ru</t>
  </si>
  <si>
    <t>bsp2009@mail.ru</t>
  </si>
  <si>
    <t>orgotdel.kurganinsk@mail.ru</t>
  </si>
  <si>
    <t>aksp160@mail.ru</t>
  </si>
  <si>
    <t>oktpos060@mail.ru</t>
  </si>
  <si>
    <t>admrodn@bk.ru</t>
  </si>
  <si>
    <t>novoalpos@mail.ru</t>
  </si>
  <si>
    <t>prigorod_adm49@mail.ru</t>
  </si>
  <si>
    <t>n.dubchak@krd.ru</t>
  </si>
  <si>
    <t>oktadm95@mail.ru</t>
  </si>
  <si>
    <t>samylki-olga@yandex.ru</t>
  </si>
  <si>
    <t>proletarka05@mail.ru</t>
  </si>
  <si>
    <t>platnirovka@mail.ru</t>
  </si>
  <si>
    <t>noovberezansk-sp@mail.ru</t>
  </si>
  <si>
    <t>fo.juravskaya@inbox.ru</t>
  </si>
  <si>
    <t>foburakovsk@mail.ru</t>
  </si>
  <si>
    <t>markeeva@admkor.ru</t>
  </si>
  <si>
    <t>fu25.166@bk.ru</t>
  </si>
  <si>
    <t>fu25.165@mail.ru</t>
  </si>
  <si>
    <t>fo.psh@mail.ru</t>
  </si>
  <si>
    <t>adm.ugn@mail.ru</t>
  </si>
  <si>
    <t>e-mail: sp_jaroslav@mail.ru</t>
  </si>
  <si>
    <t>mahoshevka@mail.ru</t>
  </si>
  <si>
    <t>vladimir-nosov-59@mail.ru</t>
  </si>
  <si>
    <t>tr-econom@mail.ru</t>
  </si>
  <si>
    <t>adm_udora_econom@mail.ru</t>
  </si>
  <si>
    <t>o.n.vityuk@usinsk.rkomi.ru</t>
  </si>
  <si>
    <t>economraz@mail.ru</t>
  </si>
  <si>
    <t>n,v,averkieva@aikino,rkomi,ru</t>
  </si>
  <si>
    <t>Lodygina_irina@mail.ru</t>
  </si>
  <si>
    <t>Nikiforova_AA@sykt.rkomi.ru</t>
  </si>
  <si>
    <t>o.b.kalmykova@syktyvdin.rkomi.ru</t>
  </si>
  <si>
    <t>zakaz@sysola.rkomi.ru</t>
  </si>
  <si>
    <t>econ-sosn@mail.ru</t>
  </si>
  <si>
    <t>econom-mr@yandex.ru</t>
  </si>
  <si>
    <t>e.v.novikova@priluzie.ru</t>
  </si>
  <si>
    <t>i.feneva@bk.ru   otdelp.t.s@yandex.ru</t>
  </si>
  <si>
    <t>t.p.vershinina@koigorodok.rkomi.ru</t>
  </si>
  <si>
    <t>92551@mail.ru</t>
  </si>
  <si>
    <t>rocheva.galina@list.ru</t>
  </si>
  <si>
    <t>econom@inta.rkomi.ru</t>
  </si>
  <si>
    <t>amrizhmazam@mail.ru</t>
  </si>
  <si>
    <t>org@admkirov.ru</t>
  </si>
  <si>
    <t>rfo02@mail.ru</t>
  </si>
  <si>
    <t>gaponov_aa@kaluga-gov.ru</t>
  </si>
  <si>
    <t>buhadmi@mail.ru</t>
  </si>
  <si>
    <t>Coi.gvard@mail.ru</t>
  </si>
  <si>
    <t>bykova@admsvtl.ru</t>
  </si>
  <si>
    <t>svitsova.er@cherepovetscity.ru, filippova.od@cherepovetscity.ru</t>
  </si>
  <si>
    <t>fu@adm-vyaz.ru</t>
  </si>
  <si>
    <t>fy@admsud.ru</t>
  </si>
  <si>
    <t>finu@gusr.ru</t>
  </si>
  <si>
    <t>yakov@ya.belregion.ru</t>
  </si>
  <si>
    <t>arovenki@mail.ru</t>
  </si>
  <si>
    <t>DGKH31@mail.ru</t>
  </si>
  <si>
    <t>org-otdel33@yandex.ru</t>
  </si>
  <si>
    <t>podotdel.gkh-volokonovka@yandex.ru</t>
  </si>
  <si>
    <t>lemzyakova_yua@ve.belregion.ru</t>
  </si>
  <si>
    <t>iks42@cckrb.ru</t>
  </si>
  <si>
    <t>fu.miaki@bashkortostan.ru
miaki_rfu@ufamts.ru</t>
  </si>
  <si>
    <t>meleuz_gfu@ufamts.ru</t>
  </si>
  <si>
    <t>fu.karaid@bashkortostan.ru</t>
  </si>
  <si>
    <t>essemenova@yandex.ru</t>
  </si>
  <si>
    <t xml:space="preserve"> 8 (34932)2-21-73</t>
  </si>
  <si>
    <t>8(34997)2-18-46</t>
  </si>
  <si>
    <t>8(34940)21452</t>
  </si>
  <si>
    <t>8(34993) 22465</t>
  </si>
  <si>
    <t>8 (34994) 21486</t>
  </si>
  <si>
    <t>8-3499-544-049</t>
  </si>
  <si>
    <t>34936 3-97-22</t>
  </si>
  <si>
    <t xml:space="preserve">8 (34938) 55-197,-Заболотских Н.С. </t>
  </si>
  <si>
    <t>8(3496)361051</t>
  </si>
  <si>
    <t>8(3494)94-77-82
8(3494)94-78-36</t>
  </si>
  <si>
    <t>8 (34992) 5-71-71 (внутр. 2045)</t>
  </si>
  <si>
    <t>83492225317
83492225319</t>
  </si>
  <si>
    <t xml:space="preserve">
телефон: 8(3467) 33-24-76 доб. 315
</t>
  </si>
  <si>
    <t>8 (3466) 49-87-33</t>
  </si>
  <si>
    <t>8 3463 23 07 96</t>
  </si>
  <si>
    <t>8 (34677)37031</t>
  </si>
  <si>
    <t>8(34677)42-800 (доб. 21)</t>
  </si>
  <si>
    <t>8(34677)34278</t>
  </si>
  <si>
    <t>8 (3466) 29-12-25</t>
  </si>
  <si>
    <t xml:space="preserve"> + 7 (3462) 52-21-70</t>
  </si>
  <si>
    <t>8 (950) 533-79-14</t>
  </si>
  <si>
    <t>7(3463)290020</t>
  </si>
  <si>
    <t>8 (34669) 5-60-57 добавочный 3601</t>
  </si>
  <si>
    <t>8 (34676) 2-05-82 (доб.120)</t>
  </si>
  <si>
    <t>(4212) 40-91-42</t>
  </si>
  <si>
    <t>8 (42142) 2-22-68, доб. Код 203</t>
  </si>
  <si>
    <t>(3452) 51-03-96</t>
  </si>
  <si>
    <t>8(86563)31-4-62</t>
  </si>
  <si>
    <t>8(8793)97-34-60/8(8793)33-03-81 (внутр.44-27/44-51)</t>
  </si>
  <si>
    <t>8(7961)-6-60-55</t>
  </si>
  <si>
    <t>8(86548)21733</t>
  </si>
  <si>
    <t>8(86544)6-66-13</t>
  </si>
  <si>
    <t>8(86558)45057</t>
  </si>
  <si>
    <t>8 (86554) 28810 (4310),                                                                                                     8 (86554) 28855 (114).</t>
  </si>
  <si>
    <t xml:space="preserve"> 8(87935) 3-43-66</t>
  </si>
  <si>
    <t>8(87964)63256</t>
  </si>
  <si>
    <t>8 865(41) 2-60-88 (23-01)</t>
  </si>
  <si>
    <t>2-17-52</t>
  </si>
  <si>
    <t>8(87937)9-59-69</t>
  </si>
  <si>
    <t>887938-52199</t>
  </si>
  <si>
    <t>(85242) 5-72-34</t>
  </si>
  <si>
    <t>88654520754</t>
  </si>
  <si>
    <t>8(86540) 4-13-44</t>
  </si>
  <si>
    <t>(887951)45-646</t>
  </si>
  <si>
    <t>8(865)492-12-92 (вн.1500)</t>
  </si>
  <si>
    <t>(886555)5-06-13</t>
  </si>
  <si>
    <t>865 56 6 22 40</t>
  </si>
  <si>
    <t>8 86557 2-27-88</t>
  </si>
  <si>
    <t>(34397)3-07-30</t>
  </si>
  <si>
    <t>8(34343) 21192</t>
  </si>
  <si>
    <t>8(34341)24490 доб. 22</t>
  </si>
  <si>
    <t>7(343) 304-15-21</t>
  </si>
  <si>
    <t>8(34365) 7-50-38</t>
  </si>
  <si>
    <t>8(34346)3-40-99</t>
  </si>
  <si>
    <t>884652)21358</t>
  </si>
  <si>
    <t>8 (84660) 4-03-32</t>
  </si>
  <si>
    <t>8 (84660) 4-78-28</t>
  </si>
  <si>
    <t>тел.8-846-60-3-35-25</t>
  </si>
  <si>
    <t>8(84639) 2 54 35</t>
  </si>
  <si>
    <t>88482544634 доб. 5252</t>
  </si>
  <si>
    <t>8(846)2622759, 8(846)2624609</t>
  </si>
  <si>
    <t>8(846)332 16 51</t>
  </si>
  <si>
    <t>8 (846) 995 99 08</t>
  </si>
  <si>
    <t>(846)330-35-24</t>
  </si>
  <si>
    <t>8(846) 9504588</t>
  </si>
  <si>
    <t>8(846) 56 2-63-31</t>
  </si>
  <si>
    <t>8(84661)3-07-27</t>
  </si>
  <si>
    <t>8(86360) 2-25-07</t>
  </si>
  <si>
    <t>8(42355)24201</t>
  </si>
  <si>
    <t>(42337) 3-20-44</t>
  </si>
  <si>
    <t>8 (342) 212-63-19</t>
  </si>
  <si>
    <t>8-902-47-49-082</t>
  </si>
  <si>
    <t>(34254)33674,89028022011</t>
  </si>
  <si>
    <t>8(35354)21007</t>
  </si>
  <si>
    <t>8-35341-2-11-36</t>
  </si>
  <si>
    <t>8 353 49 2-14-53</t>
  </si>
  <si>
    <t>8 (35347) 2-12-01</t>
  </si>
  <si>
    <t>8(3532)3-12-44</t>
  </si>
  <si>
    <t>8(35363)77025</t>
  </si>
  <si>
    <t>835344-2-12-89</t>
  </si>
  <si>
    <t>8 (35342)74165</t>
  </si>
  <si>
    <t>8 (35342)74166</t>
  </si>
  <si>
    <t>(835351)21931</t>
  </si>
  <si>
    <t>8(35359)21-2-86</t>
  </si>
  <si>
    <t>(35365) 2-27-73</t>
  </si>
  <si>
    <t>8(35368)2-13-03</t>
  </si>
  <si>
    <t>8(35346)42926</t>
  </si>
  <si>
    <t>8-(3532)-98-77-05</t>
  </si>
  <si>
    <t>8(35379)3-26-74</t>
  </si>
  <si>
    <t>8(35362)4-21-70</t>
  </si>
  <si>
    <t>8-35342-35242</t>
  </si>
  <si>
    <t>8 (38-12) 94-02-89</t>
  </si>
  <si>
    <t>8(38170)21042</t>
  </si>
  <si>
    <t>8-381-54-21386</t>
  </si>
  <si>
    <t>8(35352) 3-33-02</t>
  </si>
  <si>
    <t>тел. 8-816-57-2-13-33</t>
  </si>
  <si>
    <t>8 (81668)62-310 доб.6607</t>
  </si>
  <si>
    <t>8 (816 59) 5-44-77</t>
  </si>
  <si>
    <t>(8162) 630-750</t>
  </si>
  <si>
    <t xml:space="preserve">8 816 64 426 99 </t>
  </si>
  <si>
    <t>8 (83162) 5-21-95                                                                                                  8 (83162) 5-20-58</t>
  </si>
  <si>
    <t>8(83145) 3-91-96</t>
  </si>
  <si>
    <t>8-83159-37135</t>
  </si>
  <si>
    <t>8(8313)39-78-93</t>
  </si>
  <si>
    <t>8/41346/91264</t>
  </si>
  <si>
    <t>8 (413 44) 2-26-64</t>
  </si>
  <si>
    <t>3(6564) 31120</t>
  </si>
  <si>
    <t>8 (39199) 2-24-02
 8 (39199) 2-23-91</t>
  </si>
  <si>
    <t>8 (39160) 21-161</t>
  </si>
  <si>
    <t>8 (391) 226-14-19</t>
  </si>
  <si>
    <t>8 (39 144)3-01-00</t>
  </si>
  <si>
    <t>8(86151) 7-76-82</t>
  </si>
  <si>
    <t>8 861 51 3-86-10</t>
  </si>
  <si>
    <t>8(86135)56494</t>
  </si>
  <si>
    <t>8(86135)30194</t>
  </si>
  <si>
    <t>8(86135) 5-82-01</t>
  </si>
  <si>
    <t>8(86135)76133</t>
  </si>
  <si>
    <t>8(86135)48-3-27</t>
  </si>
  <si>
    <t>8(86140)5-53-86</t>
  </si>
  <si>
    <t>8(86148)31-4-07</t>
  </si>
  <si>
    <t>7-918-937-94-04</t>
  </si>
  <si>
    <t>8-988-247-37-77</t>
  </si>
  <si>
    <t>8-861-66-3-75-92</t>
  </si>
  <si>
    <t>8 (909)4638305</t>
  </si>
  <si>
    <t>(86169)3-15-76</t>
  </si>
  <si>
    <t>8(86147)2-22-34</t>
  </si>
  <si>
    <t>8 918 339 49 11</t>
  </si>
  <si>
    <t>8-861-47-66298</t>
  </si>
  <si>
    <t>8(86147) 6-46-23</t>
  </si>
  <si>
    <t>886165-91-3-43</t>
  </si>
  <si>
    <t>8(86165)94241</t>
  </si>
  <si>
    <t>8(86142)98630</t>
  </si>
  <si>
    <t>8(86142)21199</t>
  </si>
  <si>
    <t>8(86142)23283, 23197</t>
  </si>
  <si>
    <t>8(86142)71188</t>
  </si>
  <si>
    <t>8(86142) 25141</t>
  </si>
  <si>
    <t>8(86142)44632</t>
  </si>
  <si>
    <t>8(86164) 63 - 2 - 70</t>
  </si>
  <si>
    <t>8(86193)22-8-97</t>
  </si>
  <si>
    <t>8(86155)-38284</t>
  </si>
  <si>
    <t>8(86155)64145</t>
  </si>
  <si>
    <t>8(918)9810007</t>
  </si>
  <si>
    <t xml:space="preserve"> 8(86137)3-73-33</t>
  </si>
  <si>
    <t>тел.88619263141</t>
  </si>
  <si>
    <t>8(8216)789039</t>
  </si>
  <si>
    <t>8(82138) 91-4-50</t>
  </si>
  <si>
    <t>8(82135)33085</t>
  </si>
  <si>
    <t>8 (82144) 28130 (272)</t>
  </si>
  <si>
    <t>8(82137)93350</t>
  </si>
  <si>
    <t>8 (8212) 294-226</t>
  </si>
  <si>
    <t>8/82130/7-21-34</t>
  </si>
  <si>
    <t>(82131)91353</t>
  </si>
  <si>
    <t>8(82149)54820</t>
  </si>
  <si>
    <t>8(82142)7-44-44 доб. 1022</t>
  </si>
  <si>
    <t>+7 82151 3-55-11, +7 82151 3-49-13</t>
  </si>
  <si>
    <t>8-82146-22-2-62 (доб.30)</t>
  </si>
  <si>
    <t>8 8(2132) 9-19-32</t>
  </si>
  <si>
    <t>882139 -21640</t>
  </si>
  <si>
    <t>8(82145)6-84-07</t>
  </si>
  <si>
    <t>88214094107 (доб.114)</t>
  </si>
  <si>
    <t>8(8332)760462</t>
  </si>
  <si>
    <t>8(83331)21863</t>
  </si>
  <si>
    <t>+7 (4842) 70-11-55</t>
  </si>
  <si>
    <t>8 (48438) 2 10 53</t>
  </si>
  <si>
    <t>8 40152 491 11</t>
  </si>
  <si>
    <t>(8202) 77-11-79 (Свитцова Е.Р.), (8202) 77-10-80 (Филиппова О.Д.)</t>
  </si>
  <si>
    <t>8-49233-3-05-70</t>
  </si>
  <si>
    <t>8/49241/ 3 44 26, 8 /49241/ 2 05 84</t>
  </si>
  <si>
    <t>8483432-20-07</t>
  </si>
  <si>
    <t>8 (47 244) 6 93 58</t>
  </si>
  <si>
    <t>(47238)5-58-56</t>
  </si>
  <si>
    <t>(47241) 2-42-47</t>
  </si>
  <si>
    <t>8 47 235 5 10 55</t>
  </si>
  <si>
    <t>8 47 235 5 11 70</t>
  </si>
  <si>
    <t>8 47237 5-52-37</t>
  </si>
  <si>
    <t>8(34739)2-25-48</t>
  </si>
  <si>
    <t>8(34788)2-12-66</t>
  </si>
  <si>
    <t>8(34764)3-52-23</t>
  </si>
  <si>
    <t>8 (34744) 2-10-88</t>
  </si>
  <si>
    <t>8(8182) 607-363</t>
  </si>
  <si>
    <t>Комарова Татьяна Александровна, начальник отдела отраслей производственной сферы Управления финансов Администрации Красноселькупского района</t>
  </si>
  <si>
    <t>Тухватшина Оксана Венеровна, заведующий сектором планирования расходов органов местного самоуправления Бюджетного управления Департамента финансов и казначейства Администрации Пуровского района</t>
  </si>
  <si>
    <t>Чужикова Валентина Юрьевна, главный специалист бюджетного отдела</t>
  </si>
  <si>
    <t>Слобожанинова Валентина Юрьевна, заведующий сектором правового и кадрового обеспечения</t>
  </si>
  <si>
    <t xml:space="preserve">Чупрова Наталья Константиновна, начальник отдела информации и связей с общественностью информационно-аналитического управления Администрации Шурышкарского района </t>
  </si>
  <si>
    <t>Осадец Ольга Николаевна-гл.специалист(ИП)</t>
  </si>
  <si>
    <t>Начальник отдела отраслевых финансов Килиенко Алексей Иванович</t>
  </si>
  <si>
    <t xml:space="preserve">Заболотских Наталья Сергеевна, специалист отдела информации и общественных связей Администрации города Муравленко </t>
  </si>
  <si>
    <t>Галкин Александр Михайлович, главный специалист отдела анализа исполнения городского бюджета ДФ Администрации города</t>
  </si>
  <si>
    <t>Куликова Екатерина Михайловна, главный специалист отдела по местному самоуправлению Департамента внутренне политики Администрации города Новый Уренгой;
Демченко Елена Викторовна, главный специалист отдела отраслей производственной сферы Департамента финансов Администрации города Новый Уренгой</t>
  </si>
  <si>
    <t>Безгодова Елена Анатольевна, заведующий сектором перспективного планирования расходов бюджета управления планирования расходов бюджета муниципального учреждения Департамент финансов Администрации города Лабытнанги</t>
  </si>
  <si>
    <t>Илюхина Светлана Валерьевна - заместитель начальника департамента финансов Администрации города Салехарда;
Осетрова Марина Сергеевна - начальник бюджетного управления департамента финансов Администрации города Салехарда</t>
  </si>
  <si>
    <t>Тарада Виктория Сергеевна</t>
  </si>
  <si>
    <t>Бахарева Елизавета Владимировна, ведущий специалист отдела благоустройства</t>
  </si>
  <si>
    <t xml:space="preserve">Антонова Дарина Сергеевна, консультант 
отдела взаимодействия с общественными организациями и поддержки гражданских инициатив УОСКиМП департамента по делам администрации
</t>
  </si>
  <si>
    <t>Столбова Наталья Вадимовна, начальник финансового отдела администрации сп. Леуши</t>
  </si>
  <si>
    <t>Решетникова Светлана Александровна, экономист МКУ "СДК" д. Шугур</t>
  </si>
  <si>
    <t>Брусницина Наталья Николаевна, начальник отдела финансов и экономической политики</t>
  </si>
  <si>
    <t>Мазур Дарья Евгеньевна, главный специалист отдела по вопросам местного самоуправления управления внутренней политики администрации Кондинского района</t>
  </si>
  <si>
    <t>Ивахненко Виктория Владимировна, начальник отдела организации проектной деятельности управления инвестиций департамента строительства администрации города Нижневартовска</t>
  </si>
  <si>
    <t>Живаева Анна Ивановна, специалист-эксперт отдела анализа муницпальных программ управления анализа и сводного планирования расходов департмента финансво Администрации города Сургут</t>
  </si>
  <si>
    <t>Заворникова Елена Анатольевна, заведующий проектным отделом МАУ "Березовский медиацентр</t>
  </si>
  <si>
    <t>Землянкина Жанна Викторовна - главный специалист  отдела управления проектной деятельностью комитета по экономической политике и предпринимательству администрации Нефтеюганского района.</t>
  </si>
  <si>
    <t>Рак Татьяна Ивановна, специалист-эксперт управления по работе с общественными организациями и молодежной политики</t>
  </si>
  <si>
    <t>Константинова Ольга Александровна, главный специалист</t>
  </si>
  <si>
    <t>Лебедева Ирина Сергеевна</t>
  </si>
  <si>
    <t>Хомутова Елена Дмитриевна, заведующий сектором общественных проектов отдела по связям с общестсвенностью управления по связям с общественностью работе с молодежью администрации города Хабаровска</t>
  </si>
  <si>
    <t>Даниленко Юлия Юрьевна, ведцщий специалист организацинно-методического отдела</t>
  </si>
  <si>
    <t>Пряхин Александр Анатольевич, главный специалист комитета бюджетного процесса департамента финансов и налоговой политики Администрации города Тюмени</t>
  </si>
  <si>
    <t>Ивлиев Алексей Викторович</t>
  </si>
  <si>
    <t xml:space="preserve">Салова Наталья Николаевна, заместитель начальника финансового управления администрации </t>
  </si>
  <si>
    <t>Романовская Инна Васильевна, ведущий специалист финансового управления администрации Степновского муниципального округа Ставропольского края</t>
  </si>
  <si>
    <t>Пронский Сергей Александрович, заведующий отделом реформирования жилищно-коммунального хозяйства/Макаренко Людмила Борисовна, заведующий отделом/ Загороднюк Вероника Грантовна, консультант</t>
  </si>
  <si>
    <t>Спиридониди Мария Константиновна, консультант УПДТ администрации ПМО СК</t>
  </si>
  <si>
    <t>Косторнов Константин Викторович, заместитель начальника отдела дорожной деятельности и транспорта управления муниципального хозяйства администрации Петровского городского округа Ставропольского края</t>
  </si>
  <si>
    <t xml:space="preserve">Шевченко Наталья Николаевна </t>
  </si>
  <si>
    <t>Карпова Марина Ахсарбековна, ведущий специалист отдела планирования и исполнения бюджета финансового управления администрации Новоселицкого муниципального округа</t>
  </si>
  <si>
    <t xml:space="preserve">Иванова Наталья Алексеевна, главный специалист отдела организации исполнения расходов финансового управления администрации Новоалександровского городского округа Ставропольского края </t>
  </si>
  <si>
    <t>Смирнова Светлана Анатольевна, заместитель начальника отдела планирования и анализа бюджета финансового управления АНГО СК</t>
  </si>
  <si>
    <t>Гапоненко Ирина Владимировна, начальник бюджетного отдела финансового управления администрации г. Невинномысска Смирнова Елена Владимировна, заместитель начальника правового управления администрации г. Невинномысска</t>
  </si>
  <si>
    <t>Вершкова Марина Дмитриевна, ведущий специалист УЭР администрации города Лермонтова</t>
  </si>
  <si>
    <t xml:space="preserve">Погребняк Диана Александровна, главный специалист </t>
  </si>
  <si>
    <t>Завалишина Татьяна Ивановна, заместитель руководителя  Финансового управления АКМО СК</t>
  </si>
  <si>
    <t>Тамаревская Алла Александровна</t>
  </si>
  <si>
    <t>Келасова Виктория Савельевна - заместитель начальника Финансового управления администрации города-курорта Кисловодска</t>
  </si>
  <si>
    <t>Мухина Лилия Александровна - главный специалист отдела по работе с ткерриториями      администрации</t>
  </si>
  <si>
    <t>Слесарева Вера Владимировна, ведущий специалист отдела городского хозяйства управления по работе с территориями администрации ИГО СК</t>
  </si>
  <si>
    <t>Зайко Ирина Николаевна, заместитель начальника финансового управления</t>
  </si>
  <si>
    <t>Гончаров Николай Александрович, заместитель начальника финансового управления администрации Грачевского муниципального округа Ставропольского края</t>
  </si>
  <si>
    <t>Григорьев Константин Васильевич, начальник отдела планирования и мониторинга бюджета финансового управления администрации Георгиевского городского округа Ставропольского края</t>
  </si>
  <si>
    <t>Кунецова Лидия Владимировна, заместитель главы администрации-начальник ФУ АБГО СК</t>
  </si>
  <si>
    <t>Шиянова Елена Викторовна, начальник управления расходами финансового управления администрации Апанасенковского МО СК</t>
  </si>
  <si>
    <t>Беликова Татьяна Ивановна</t>
  </si>
  <si>
    <t>Ткаченко Ольга Александровна</t>
  </si>
  <si>
    <t>Смирнова Лариса Сергеевна,заместитель начальника управления стратегического планирования,экономики и потребительского рынка администрации городского округа Ревда</t>
  </si>
  <si>
    <t>Радаева Тамара Анатольевна, гл. специалист отдела экономики</t>
  </si>
  <si>
    <t>Мокрушина Елена Александровна</t>
  </si>
  <si>
    <t>Хоробрых Алена Викторовна, заместитель начальника бюджетного управления Департамента финансов Администрации города Екатеринбурга</t>
  </si>
  <si>
    <t>Русакова Елена Александровна, ведущий специалист отдела экономики администрации Асбестовского городского округа</t>
  </si>
  <si>
    <t>Бекленева Елена Александровна</t>
  </si>
  <si>
    <t xml:space="preserve">Ломкин Николай Иванович, заместитель Главы муниципального района Шенталинский </t>
  </si>
  <si>
    <t>Санкеев Евгений Александрович, глава сельского поселения Четыровка</t>
  </si>
  <si>
    <t>Овчинникова Анна Владимировна, специалист администрации</t>
  </si>
  <si>
    <t>Нарушева Ольга Николаевна, заместитель Главы сельского поселения Черновка муниципального района Кинель-Черкасский Самарской области</t>
  </si>
  <si>
    <t>Лашина Татьяна Валерьевна</t>
  </si>
  <si>
    <t>Симонов Алексей Юрьевич,Глава сельского поселения Садгород муниципального района Кинель-Черкасский Самарской области</t>
  </si>
  <si>
    <t xml:space="preserve">Лебедева Ольга Федоровна, ведущий инспектор администрации сельского поселения Подгорное муниципального района Кинель-Черкасский Самарской области </t>
  </si>
  <si>
    <t>Леденёва Наталья Викторовна</t>
  </si>
  <si>
    <t xml:space="preserve">Пижамов Виктор Александрович, инспектор администрации сельского поселения Муханово муниципального района Кинель-Черкасский Самарской области </t>
  </si>
  <si>
    <t>Рябова Светлана Павловна,заместитель главы сельского поселения Кротовка муниципального района Кинель-Черкасский Самарской области</t>
  </si>
  <si>
    <t>http://aleksandrovka.kinel-cherkassy.ru/?p=6117</t>
  </si>
  <si>
    <t>Зайцева Инна Борисовна, руководитель Муниципального бюджетного учреждения «Культурно-досуговый центр сельского поселения Кинель-Черкассы муниципального района Кинель-Черкасский Самарской области»</t>
  </si>
  <si>
    <t>Левкина Анжелика Сергеевна, Заместитель руководителя управления делами сельского поселения Кинель-Черкассы муниципального района Кинель-Черкасский Самарской области»</t>
  </si>
  <si>
    <t xml:space="preserve">Хилковская Ирина Геннадьевна, ведущий инспектор администрации сельского поселения Кабановка муниципального района Кинель-Черкасский Самарской области </t>
  </si>
  <si>
    <t>Рябченко Татьяна Александровна, инспектор первой категории администрации сельского поселения Ерзовка муниципального района Кинель-Черкасский Самарской области</t>
  </si>
  <si>
    <t xml:space="preserve">Савчук Елена Евгеньевна, ведущий инспектор администрации сельского поселения Березняки муниципального района Кинель-Черкасский Самарской области </t>
  </si>
  <si>
    <t>Аверьянова Вера Николаевна Глава сельского поселения Александровка муниципального района Кинель-Черкасский Самарской области</t>
  </si>
  <si>
    <t>Бондарева Галина Вячеславовна, начальник отдела</t>
  </si>
  <si>
    <t>Исакова Людмила Борисовна, ведущий инспектор</t>
  </si>
  <si>
    <t>Чернова Юлия Валерьевна, директор МБУ "РДК"</t>
  </si>
  <si>
    <t>Гулин Илья Анатольевич - Глава сельского поселения Исаклы</t>
  </si>
  <si>
    <t>Сидорова Наталия Ивановна глава</t>
  </si>
  <si>
    <t>Багдасар Наталия Анатольевна, главный экономист МКУ "Управление городского хозяйства" администрации городского округа Чапраевск</t>
  </si>
  <si>
    <t>Стражец Наталья Сергеевна</t>
  </si>
  <si>
    <t xml:space="preserve"> Теняева Елена Викторовна, консультант отдела финансового планирования и экономики Администрации Советского внутригородского района, Скачков Вадим Владимирович - консультант отдела по работе с общественными объединениями Администрации Советского района</t>
  </si>
  <si>
    <t>Акиньшина Анна Владимировна</t>
  </si>
  <si>
    <t xml:space="preserve">Лязина Александра Анатольевна -начальник отдела по работе с населением и общественными объединениями Администрации Промышленного внутригородского района городского округа Самара </t>
  </si>
  <si>
    <t>Лукьянов Павел Владимирович, начальник отдела развития и контроля в сфере благоустройства Администрации Куйбышевского внутригородского района городского округа Самара</t>
  </si>
  <si>
    <t>Акритова Виолетта Тариеловна</t>
  </si>
  <si>
    <t xml:space="preserve">Титов Дмитрий Юрьевич </t>
  </si>
  <si>
    <t>Герасимова Елена Михайловна</t>
  </si>
  <si>
    <t>Шевалье Марина Александровна, директор  муниципального казенного учреждения "Дом общественных организаций"</t>
  </si>
  <si>
    <t>Острикова Елена Юрьевна</t>
  </si>
  <si>
    <t>Дитрих Максим Юрьевич</t>
  </si>
  <si>
    <t>Пенькова Светлана Сергеевна</t>
  </si>
  <si>
    <t>Кузьменко Анна Вячеславовна</t>
  </si>
  <si>
    <t>Шембергер Владислав Рафисович, консультант отдела по работе с общественными организациями управления по вопросам общественного самоуправления и межнациональным отношениям</t>
  </si>
  <si>
    <t>Зубова Татьяна Валерьевна, начальник отдела развития предпринимательства</t>
  </si>
  <si>
    <t>Березина Евгения Анатольевна, консультант</t>
  </si>
  <si>
    <t xml:space="preserve">Гилева Людмила  Алексеевна, начальник сектора развития территорий и инвестиционных проектов администрации Верещагинского городского округа Пермского края </t>
  </si>
  <si>
    <t>Пестова Татьяна Александровна - главный специалист бюджетного отдела</t>
  </si>
  <si>
    <t>Алякскина Елена Викторовна</t>
  </si>
  <si>
    <t>Жувасин Виталий Николаевич, ведущий специалист по вопросам муниципальных программ и муниципальных услуг </t>
  </si>
  <si>
    <t>Игнатов Владимир Александрович</t>
  </si>
  <si>
    <t>Абрамова Ирина Сергеевна, ведущий специалист отдела по бюджету</t>
  </si>
  <si>
    <t>Тенихина Инесса Владимировна</t>
  </si>
  <si>
    <t>Фролова Лилия Юрьевна</t>
  </si>
  <si>
    <t>Липова Ольга Николаевна, начальник отдела бюджетной политики и межбюджетных отношений Финансового управления администрации муниципального образования Оренбургский район</t>
  </si>
  <si>
    <t xml:space="preserve">Ковылова Галина Валентиновна главный специалист бюджетного отдела </t>
  </si>
  <si>
    <t>Давлетов Радик Маратович заместитель начальника</t>
  </si>
  <si>
    <t>Главный специалист Дончук Лариса Юрьевна</t>
  </si>
  <si>
    <t>Борчук Надежда Сергеевна, начальник бюджетного отдела</t>
  </si>
  <si>
    <t>Назарова Ольга Евгеньевна, главный специалист бюджетного отдела</t>
  </si>
  <si>
    <t>Грачева Лилия Николаевна, ведущий специалист бюджетного отдела</t>
  </si>
  <si>
    <t xml:space="preserve">Тавеева Елена Анаольевна главный специалист бюджетного отдела финансового отдела администрации муниципального образования "Асекеевский район" </t>
  </si>
  <si>
    <t>Кабанова Лениза Мансуровна</t>
  </si>
  <si>
    <t>Кабанова лениза Мансуровна</t>
  </si>
  <si>
    <t>Хижко Вероника Владимировна</t>
  </si>
  <si>
    <t>Федоров Виктор Иванович</t>
  </si>
  <si>
    <t>Клюшина Наталья Анатольевна</t>
  </si>
  <si>
    <t>Урюпина Екатерина Ильдаровна - главный специалист бюджетного отдела Управления финансов</t>
  </si>
  <si>
    <t>Ткачук Ольга Николаевна, ведущий специалист отдела финансирования муниципальных учреждений</t>
  </si>
  <si>
    <t>Никитина Ирина Валерьевна, заместитель главы муниципального образования по финансово-экономической политике - начальник финансового отдела администрации г. Медногорска</t>
  </si>
  <si>
    <t>Лушникова Татьяна Анатольевна начальник отдела анализа финансового менеджмента</t>
  </si>
  <si>
    <t>Попова Ирина Александровна</t>
  </si>
  <si>
    <t>Пестовская Надежда Робертовна, главный специалист сектора мониторинга бюджетного процесса управления бюджетного планирования департамента финансов Администрации города Омска</t>
  </si>
  <si>
    <t>Богатова Елена Викторовна</t>
  </si>
  <si>
    <t>Лапунова Татьяна Павловна</t>
  </si>
  <si>
    <t>Руденко Татьяна Алексеевна, главный специалист бюджетного отдела</t>
  </si>
  <si>
    <t>Андреева Марина Витальевна, ведущий специалист комитета образования</t>
  </si>
  <si>
    <t>Анишина Людмила Евгеньевна,Председатель комитета образования Администрации Любытинского муниципального района</t>
  </si>
  <si>
    <t>Филиппова Наталья Алексеевна</t>
  </si>
  <si>
    <t>Воробьёва Марина Петровна, первый заместитель председателя комитета по образованию Администрации Великого Новгорода</t>
  </si>
  <si>
    <t xml:space="preserve">Обоенкова Полина Александровна, главный специалист комитета образования Администрации Боровичского муниципального района </t>
  </si>
  <si>
    <t xml:space="preserve">Картаева Светлана Николаевна, консультант отдела городского хозяйства администрации г.о.Семеновский                                            Жаббарова Ирина Евгеньевна, заведующий сектора доходов финансового управления администрации г.о.Семеновский  </t>
  </si>
  <si>
    <t>Мазанова Светлана Александровна, главный специалист отдела дополнительного образования и воспитания департамента образования</t>
  </si>
  <si>
    <t>Лаптева Галина Васильевна, Главный специалист</t>
  </si>
  <si>
    <t>Рябов Вачаган Владимирович</t>
  </si>
  <si>
    <t>Веселова Екатерина Игоревна, начальник сектора департамента финансов администрации города</t>
  </si>
  <si>
    <t>Лумбунова Гунзыма Зоригтуевна, начальник отдела ЖКХ и муниципального жилищного контроля Управления ЖКХ и градостроительства администрации Омсукчанского городского округа</t>
  </si>
  <si>
    <t>Шевченко Ирина Кировна</t>
  </si>
  <si>
    <t>Лукина Татьяна Петровна заместитель главы администрации- начальник финансового управления администрации города Джанкоя Республики Крым</t>
  </si>
  <si>
    <t>Чикардин Сергей Владимирович, заместитель руководителя Финансовго управления</t>
  </si>
  <si>
    <t>Фукс Татьяна Владимировна, начальник бюджетного отдела финансового управления администрации Сухобузимского района
Сошина Татьяна Александровна, заместитель главы по финансово-экономическим вопросам-руководитель финансового управления администрации Сухобузимского района</t>
  </si>
  <si>
    <t>Хурсанова Татьяна Владимировна, заместитель начальника бюджетно-экономического отдела Финансового управления администрации Северо-Енисейского района</t>
  </si>
  <si>
    <t>Пилюгаева Ольга Борисовна, главный специалист отдела исполнения бюджета департамента финансов администрации города Красноярска</t>
  </si>
  <si>
    <t>Просвирнина Юлия Владимировна, главный специалист бюджетного отдела</t>
  </si>
  <si>
    <t>Исаева Ирина Николаевна, ведущий специалист финансово-экономического отдела администрации Старощербиновского сельского поселения Щербиновского района</t>
  </si>
  <si>
    <t>Гринченко Елена Николаевна, начальник финансового отдела админстрации Екатериновского сельского поселения Щербиновского района</t>
  </si>
  <si>
    <t>Шерошенко Татьяна Владимировна</t>
  </si>
  <si>
    <t xml:space="preserve">Баранова Ольга Евгеньевна-специалист 2 категории финансового отдела. </t>
  </si>
  <si>
    <t xml:space="preserve">Баева Любовь Дмитриевна специалист 2 категории  </t>
  </si>
  <si>
    <t>Пулека Дмитрий Сергеевич, исполняющий обязанности главы Ленинского с/п Усть-Лабинского района</t>
  </si>
  <si>
    <t>Клементьев Александр Анатольевич, глава Двубратского сельского поселения Усть-Лабинского района</t>
  </si>
  <si>
    <t>Самойлова Юлия Ивановна - главный специалист отдела делопроизводства и организационно-кадровой работы администрации муниципального образования Успенский район</t>
  </si>
  <si>
    <t xml:space="preserve">Мишина Валерия Николаевна </t>
  </si>
  <si>
    <t>Рева Олег Анатольевич</t>
  </si>
  <si>
    <t>Кандауров Юрий Игоревич, заместитель главы Сенного сельского поселения Темрюкского района</t>
  </si>
  <si>
    <t>Ясинская Елена Ивановна заместитель главы Запорожского сельского поселения Темрюкского района</t>
  </si>
  <si>
    <t>Веретенникова Мария Владимировна</t>
  </si>
  <si>
    <t>Титова Елена Петровна, заместитель директора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</si>
  <si>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Коваль Елена Алексеевна, заместитель главы администрации Львовского сельского поселения Северского района</t>
  </si>
  <si>
    <t xml:space="preserve">Аленевская Светлана Александровна начальник общего отдела                                                                                                                    </t>
  </si>
  <si>
    <t>Соболев Александр Владимирович, заместитель директор МКУ "Новороссийский городской общественный центр"</t>
  </si>
  <si>
    <t>Шараускас Дмитрий Владимирович</t>
  </si>
  <si>
    <t>Ованесова Кристина Владимировна, специалист I категории</t>
  </si>
  <si>
    <t>Поломеева Ольга Алексеевна, начальник организационного отдела администрации Курганинского городского поселения</t>
  </si>
  <si>
    <t>Новикова Екатерина Алексеевна</t>
  </si>
  <si>
    <t>Болдырева Наталья Ивановна-начальник финансового отдела администрации</t>
  </si>
  <si>
    <t>Белова Светлана Александровна, начальник финансового отдела администрации Родниковского сельского поселения</t>
  </si>
  <si>
    <t>Картавченко Никита Николаевич, зам. Главы</t>
  </si>
  <si>
    <t>Исакова Марина Туралбековна, заместитель главы Пригородного сельского поселения Крымского района</t>
  </si>
  <si>
    <t xml:space="preserve">Дубчак Наталья Леонидовна, главный специалист  отдела по развитию форм участия населения в местном самоуправлении департамента внутренней политики администрации муниципального образования город Краснодар   </t>
  </si>
  <si>
    <t>Горковец Наталья Сергеевна</t>
  </si>
  <si>
    <t>Мажара Татьяна Алексеевна</t>
  </si>
  <si>
    <t>Костюк Лариса Викторовна, ведущий специалист общего отдела</t>
  </si>
  <si>
    <t>Гацко Ирина Горигорьевна, ведущий специалист финансового отдела</t>
  </si>
  <si>
    <t>Самылкина Ольга Борисовна. Ведущий специалист общего отдела</t>
  </si>
  <si>
    <t xml:space="preserve">начальник общего отдела Демченко Людмила Викторовна, начальник финансового отдела Цапулина Оксана Ильинична, начальник финансового отдела </t>
  </si>
  <si>
    <t>Бондаренко Анастасия Эдуардовна, ведущий специалист финансово-экономического отдела</t>
  </si>
  <si>
    <t>зам.главы Булан Сергей Иванович</t>
  </si>
  <si>
    <t>Рублевская Виктория Сергеевна</t>
  </si>
  <si>
    <t>Санькова Ирина Петровна начальник финансового отдела</t>
  </si>
  <si>
    <t>Маркеева Виктория Валерьевна</t>
  </si>
  <si>
    <t>Найден Нина Васильевна</t>
  </si>
  <si>
    <t>Черноусов Николай Викторович, заместитель главы</t>
  </si>
  <si>
    <t xml:space="preserve">Файзрахманова Людмила Валерьевна - специалист администрации Кавказского сельского поселения </t>
  </si>
  <si>
    <t>Орлова Татьяна Андреевна, начальник финансового отдела администрации</t>
  </si>
  <si>
    <t>Разуваева Лариса Ивановна</t>
  </si>
  <si>
    <t>Цыганкова Вероника Владимировна</t>
  </si>
  <si>
    <t xml:space="preserve">Узлиян Гаик Арсенович </t>
  </si>
  <si>
    <t>Ефремова Татьяна Александровна (ведущий специалист огранизационного отдела администрации МО г.Армавир)</t>
  </si>
  <si>
    <t>Мустафина Оксана Николаевна, заместитель главы, начальник общего отдела администрации Ярославского сельского поселения Моствоского района</t>
  </si>
  <si>
    <t>Ковалева Юлия Андреевна, начальник общего отдела</t>
  </si>
  <si>
    <t>Поплавская Кристина Александровна</t>
  </si>
  <si>
    <t>Хмелев Анатолий Серегеевич</t>
  </si>
  <si>
    <t>Носов Владимир Иванович</t>
  </si>
  <si>
    <t>Мамбетова Людмила Александровна</t>
  </si>
  <si>
    <t>Венско Наталья Ивановна, заведующий отделом экономического развития и прогнозирования администрации МР "Удорский"</t>
  </si>
  <si>
    <t>Витюк Ольга Николаевна, начальник сектора инвестиций управления экономического развития, прогнозирования и инвестиционной политики администрации МО ГО "Усинск"</t>
  </si>
  <si>
    <t>Носова Алла Николаевна</t>
  </si>
  <si>
    <t>Аверкиева Надежда Владимирована</t>
  </si>
  <si>
    <t>Лодыгина Ирина Валерьевна, заведующий отделом социальной политики администрации МР "Усть-Куломский"</t>
  </si>
  <si>
    <t>Никифорова Анна Анатольевна, главный спецалист сектора по связям с общественностью управления по связям с общественностью и социальной работе администрации МО ГО "Сыктывкар"</t>
  </si>
  <si>
    <t>Калмыкова Ольга Богдановна, зам. Начальника отдела по работе с Советом, сельскими поселениями и связям с общественностью АМР «Сыктывдинский»</t>
  </si>
  <si>
    <t>Куратова Елена Александровна</t>
  </si>
  <si>
    <t>Максименчук Елена Александровна</t>
  </si>
  <si>
    <t>Федорова Екатерина Егоровна ведущий экономист отдела экономики и инвестиций</t>
  </si>
  <si>
    <t>Новикова Екатерина Валерьевна, заместитель начальника организационно-правового управления</t>
  </si>
  <si>
    <t>Фенева Ирина Алексеевна - заместитель начальника управления городского хозяйства и благоустройства по экономическим вопросам; Белов Вячеслав Валерьевич - главный специалист отдела транспорта и дорожной деятельности УГХиБ</t>
  </si>
  <si>
    <t>Иванова Юлиана Витальевна, заведующий организационным отделом администрации городского округа «Вуктыл»</t>
  </si>
  <si>
    <t>Вершинина Татьяна Павловна, исполняющий обязанности начальника финансового управления МР "Койгородский"</t>
  </si>
  <si>
    <t>Каранова Елена Викторовна</t>
  </si>
  <si>
    <t>Рочева Галина Ивановна, главный специалист сектора перспективного планирования АМР "Княжпогостский"</t>
  </si>
  <si>
    <t>Казаринова Лариса Ивановна- экономист отдела бюджетного анализа , прогнозирования доходов и налоговой политики администрации МОГО "Инта"</t>
  </si>
  <si>
    <t>Батманова Анжелика Алексеевна</t>
  </si>
  <si>
    <t>Шулятьев Алексей Владимирович, главный специалист управления организационной работы</t>
  </si>
  <si>
    <t>Меркучева Светлана Николаевна, главный специалист по бюджету</t>
  </si>
  <si>
    <t>Никитина Светлана Александровна, главный специалист отдела бухгалтерского учета администрации муниципального образования "Городское поселение "Город Ермолино"</t>
  </si>
  <si>
    <t>Гапонов Алексей Алексеевич, начальник управления по работе с населением на территориях</t>
  </si>
  <si>
    <t>Васильева Диана Юрьевна, главный специалист по финансам администрации СП "Село Совхоз "Боровский"</t>
  </si>
  <si>
    <t>Лебеденко Юлия Олеговна,ведущий специалист по проектной деятельности Центра общественных инициатив</t>
  </si>
  <si>
    <t>Начальник управления ЖКХ, дорожного хозяйства, благоустройства, транспорта и связи администрации МО "Светловский городской округ" 
Быкова Ирина Валериевна</t>
  </si>
  <si>
    <t>Свитцова Елена Роиновна, главный специалист сводного бюджетного отдела финансового управления мэрии города Череповца, Филиппова Ольга Дмитриевна, заместитель начальника управления по работе с общественностью мэрии города Череповца</t>
  </si>
  <si>
    <t>Федорова Виктория Васильевна, консультант отдела ЖКХ, ФПС и АПК финансового управления администарции Вязниковского района</t>
  </si>
  <si>
    <t>Кулакова Татьяна Александровна, зам Главы администрации МО "Судогордский район", начальник финансового Управления</t>
  </si>
  <si>
    <t xml:space="preserve">Хромова Алла Анатольевна - зам.начальника финансового управления, начальник отдела межбюджетных отношений и анализа консолидированного бюджета;
Рубцова Татьяна Ивановна - начальник отдела налоговых ии неналоговых доходов финансового управления администрации района </t>
  </si>
  <si>
    <t>Корябин Алексей Викторович</t>
  </si>
  <si>
    <t>Штыленко Екатерина Николаевна - руководитель отдела по связям с общественностью администрации Яковлевского городского округа, секретарь комиссии</t>
  </si>
  <si>
    <t>Неткал Анатолий Анатольевич, начальник организационно-контрольного отдела администрации Ровеньского района</t>
  </si>
  <si>
    <t>Карасева Анастасия Викторовна - директор МКУ "ДЖКХ и Б Губкинского городского округа"</t>
  </si>
  <si>
    <t>Плескачева Наталия Евгеньевна, начальник организационно-контрольного отдела администрации района</t>
  </si>
  <si>
    <t>Чернышова Евгения Викторовна, главный специалист по жилищно-коммунальному хозяйству администрации муниципального района "Волоконовский район"</t>
  </si>
  <si>
    <t>Лемзякова Юлия Алексеевна- начальник управления по организационно-контрольной и кадровой работе администрации муниципального района "Вейделевский район"</t>
  </si>
  <si>
    <t>Рычкаль Елена Петровна, главный экономист-и.о. директора муниципального бюджетного учреждения "Стерлибашевский информационно-консультационный центр" Администрации муниципального района Стерлибашевский район Республики Башкортостан</t>
  </si>
  <si>
    <t>Бутенко Зухра Ахкямовна, и.о.заместителя начальника управления – начальник бюджетного отдела финансового управления Администрации муниципального района Миякинский район Республики Башкортостан</t>
  </si>
  <si>
    <t>Тагирова Гузель Фархатовна, заместитель начальника-начальник бюджетного отдела финансового управления Администрации муниципального района Мелеузовский район</t>
  </si>
  <si>
    <t>Шангареева Регина Расимовна -главный экономист отдела исполнения бюджета финансового управления Администрации муниципального района Караидельский район</t>
  </si>
  <si>
    <t>Пономарева Евгения Сергеевна, консультант управления методологии бюджетного процесса департамента финансов Администрации городского округа "Город Архангельск"</t>
  </si>
  <si>
    <t xml:space="preserve"> В рамках школьного партисипаторного бюджетирования проведение  совещаний в режиме ВКС, обучающие тренинги для обучающихся и кураторов инициативных групп, не менее 1 раза в месяц</t>
  </si>
  <si>
    <t>от городского округа Ревда 2</t>
  </si>
  <si>
    <t>неограниченное</t>
  </si>
  <si>
    <t>более 30 человек</t>
  </si>
  <si>
    <t>3 (участники) 5 (состав рабочей группы )</t>
  </si>
  <si>
    <t>более 1000 чел.</t>
  </si>
  <si>
    <t>В ходе реализации мероприятий по информационному сопровождению механизмов инициативного бюджетирования использовались : информационные видеоролики, брошюры,брендированные кепки,флажки,шары.</t>
  </si>
  <si>
    <t>13 групповых мероприятий, 43 консультации</t>
  </si>
  <si>
    <t>более 10</t>
  </si>
  <si>
    <t>https://vk.com/moi_yamalskiy_raion?w=wall-75005231_26093</t>
  </si>
  <si>
    <t xml:space="preserve">Главы администраций сельских поселений совместно с членами проектного офиса приняли участие в октябре 2021 года в Ямальском форуме инициативного бюджетирования </t>
  </si>
  <si>
    <t xml:space="preserve">1) сбор волонтеров и обучение проведения приема инициативот граждан в проектном офисе
2) работа с гражданами в проектном офисе и помощь в подготовке заявки и документации
3) сбор волонтеров и обучение проведения очного этапа голосования за поданные инициативы </t>
  </si>
  <si>
    <t>Ежегодно в сентябре месяце проводятся обучающиеся семинары для школьников по инициативному бюджетированию и по написанию проектов. В 2022 году в рамках форума "Уютный Ямал в лицах" проведены мастер-классы для участников форум (демонстрация форм работы с населением по инициированию проектов, их оформлению)</t>
  </si>
  <si>
    <t xml:space="preserve">Установочная сессия для волонтеров по работе на счетных участках в период голосования </t>
  </si>
  <si>
    <t xml:space="preserve">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</si>
  <si>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В рамках мероприятия «День открытых дверей», проводимом депаратментом финансов администрации Сургутского района для школьников Сургутского района, был продемонстрирован ознакомительный видеоролик, посвященный истории и деятельности департамента, возможностям реализации инициатив посредствам инициативного бюджетирования                                                                          Круглный стол, личные консультации специалиста       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</si>
  <si>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Круглный стол, личные консультации специалиста       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</si>
  <si>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Консультации, семинары с жителями через ВКС                   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</si>
  <si>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Очные встречи                                                             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</si>
  <si>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1) мероприятия в очном формате:
- "Северная школа консультантов инициативного бюджетирования, в рамках совместного проекта Правительства ХМАО-Югры и НИФИ Министерства финансов РФ" (при участии АУ "Центр "Открытый регион") (1 раз в год);
- мероприятия в рамках финансовой граматности, проводимые для школьников;
- IV Всероссийская конференция по инициативному бюджетированию «Стратегия развития инициативного бюджетирования в Российской Федерации».
2) мероприятия в формате ВКС:
- вебинары посвященные инициативному бюджетированию, подготовленных командой Всемирного банка совместно с Минфином РФ, а также подготовленные специалистами НИФИ (мин. 1 раз в квартал);
- программа повышения квалификации, проведенной АУ  «Центр «Открытый регион» (1 раз в год).</t>
  </si>
  <si>
    <t xml:space="preserve">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</si>
  <si>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Обучающие семинары по мере поступления предложений от жителей города                                Онлайн-курсы повышения квалификации на тему: «Инициативные проекты – инструмент вовлечения граждан, институтов гражданского общества и некоммерческих организаций в управление государственными финансами»;                                 Северная школа консультантов инициативного бюджетирования          </t>
  </si>
  <si>
    <t xml:space="preserve">Круглый стол, информационные встречи и семинары, "Школа ТОС", индивидуальные консультации. Общие мероприятия проводятся 2-3 раза в квартал, индивидуальные 1- 5 раз в месяц. Участники- представители ТОС. </t>
  </si>
  <si>
    <t>семинары.
По мере необходимости.
Граждане, представители общественных организаций, органы ТОС</t>
  </si>
  <si>
    <t>очное собрание,ежегодно, жители округа, председатели ТОС</t>
  </si>
  <si>
    <t>Проводится семинар, 1 раз в год, принимает участие население округа</t>
  </si>
  <si>
    <t>Обучающие мероприятия проводились в формате собраний граждан в восьми территориальных отделах при участии - начальника финансового управления администрации округа, начальника управления по делам территорий администрации округа, а также начальников территориальных отделов по работе с населением</t>
  </si>
  <si>
    <t>обучающие мероприятия в населенных пунктах округа с 11.03.2022 по 03.06.2022- жители населенных пунктов; индивидуальные консультации для специалистов ОМС, руководителей инициатвиных групп в течении всего периода</t>
  </si>
  <si>
    <t>Очное собрание жителей, периодичность - 1 раз в год. Представители администрации, представители территориальных отделов.</t>
  </si>
  <si>
    <t>школа инициативного бюджетирования</t>
  </si>
  <si>
    <t>Совещание</t>
  </si>
  <si>
    <t xml:space="preserve">в форме собраний </t>
  </si>
  <si>
    <t>Обучающее мероприятие для инициативных групп граждан о порядке выдвижения инициативных проектов</t>
  </si>
  <si>
    <t>круглые столы</t>
  </si>
  <si>
    <t>Обучающие семинары, 1 раз в год, члены инициативных групп</t>
  </si>
  <si>
    <t>Проведение собраний финансовым управлением администрации Изобильненского городского округа Ставропольского края в населенных пунктах Изобильненского городского округа Ставропольского края</t>
  </si>
  <si>
    <t>Обучающие семинары для инициативных групп граждан с 18.05.2022 по 17.06.2022
https://georgievsk.ru/about/info/news/148/18857/?sphrase_id=444535</t>
  </si>
  <si>
    <t>обучающие мероприятия проводились представителями администрации Благодарненского гороского округа Ставропольского края 1 раз в год, в форме собраний</t>
  </si>
  <si>
    <t>Перед проведением конкурса проводилась разъяснительная работа с руководителями территориальных отделов администрации округа в рамках совещаний по общим вопросам</t>
  </si>
  <si>
    <t>В форме рабочего совещания в рамках муниципального часа (представители терриориальных отделов, ответственные за реализацию инициативного бюджетирования)</t>
  </si>
  <si>
    <t>Обучающие семинары НИФИ Министерства финансов РФ в режиме ВКС онлайн ( 22.04.2022, 28.06.2022,10.11.2022)</t>
  </si>
  <si>
    <t>не проводилось</t>
  </si>
  <si>
    <t>информационная консультация сотрудника</t>
  </si>
  <si>
    <t>В рамках очных встреч на заседаниях инициативной комиссии проводитяс лекции по бюджетному процессу и о закупках ТРУ для обеспечения гос. И мун. нужд (44-ФЗ).</t>
  </si>
  <si>
    <t>семинар</t>
  </si>
  <si>
    <t>Семинар с участием представителей администрации городского округа Тольятти, представителей Думы городского округа Тольятти, представителей ТОС, управляющих микрорайонов</t>
  </si>
  <si>
    <t>Семинар, председатели ТОС, члены инициативных групп</t>
  </si>
  <si>
    <t xml:space="preserve">Индивидуальные консультации </t>
  </si>
  <si>
    <t>Проектные школы</t>
  </si>
  <si>
    <t>Организация и проведение обучающих семинаров "Школа управдома", 2 раза в год, участники- председатели товариществ собственников жилья, председатели территориальных общественных самоуправлений, инициативные граждане Уссурийского городского округа</t>
  </si>
  <si>
    <t>Открытое заседание муниципальной конкурсной комиссии инициативного бюджетирования, проводилось  однократно,присутствовали члены    комиссии, участники инициативных групп. Регулярные встречи населения с Главой городского округа, присутствуют жители микрорайонов города</t>
  </si>
  <si>
    <t>обучающие мероприятия не проводились</t>
  </si>
  <si>
    <t>Индивидуальные консультации с инициативными группами</t>
  </si>
  <si>
    <t>круглый стол</t>
  </si>
  <si>
    <t>обучение, семинары, обучающие мероприятия по инициативному бюджетированию, проводимые Министреством финансов Оренбургской области</t>
  </si>
  <si>
    <t>Совещания, публикации в СМИ</t>
  </si>
  <si>
    <t>Семинары, аппаратные совещания. Главы сельских поселений, специалисты. Ежеквартально.</t>
  </si>
  <si>
    <t>Проведен семинар-совещание с директорами школ специалистами финансового отдела в администрации района.</t>
  </si>
  <si>
    <t xml:space="preserve">Совещание </t>
  </si>
  <si>
    <t>Онлай-семинары</t>
  </si>
  <si>
    <t>При проведении в поселениях дня информации, совещание администрации района с главами поселений</t>
  </si>
  <si>
    <t>Обучающий семинар с главами сельских поселений</t>
  </si>
  <si>
    <t>семинары с главами сельских поселений</t>
  </si>
  <si>
    <t>Начиная с 2022 года, один раз в год проводятся совещания с образовательнаыми организациями, на которых освещается вопрос по школьному бюджету. На данном мероприятии проводится обучение специалистов: о правилах подготовки заявок, представляемых на рассмотрение конкурсных комиссий; о правилах отбора проектных предложений по общешкольному голосованию, организованное Советом обучающихся, на котором выбирается одно проектное предложение для дальнейшего участия в конкурсном отборе. На данных совещаниях присутствуют директора образовательных организаций.</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</si>
  <si>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</si>
  <si>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собрание глав и специалистов сельских поселений</t>
  </si>
  <si>
    <t xml:space="preserve">1 раз в год </t>
  </si>
  <si>
    <t>Ежегодно проводются обучающие семинары по инициативному бюджетированию формат (семинар совещание, состав представители сельских поселений)</t>
  </si>
  <si>
    <t>поведение встреч, оказание методической и консультативной помощи  инициаторам  проекта,  на протяжении всего периода реализации проекта</t>
  </si>
  <si>
    <t xml:space="preserve">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 </t>
  </si>
  <si>
    <t>совещание с руководителями общеобразовательных организаций</t>
  </si>
  <si>
    <t xml:space="preserve">очное, 8 человек </t>
  </si>
  <si>
    <t>Экспертная оценка проектов экспертами Школы проектного управления НовГУ им. Ярослава Мудрого</t>
  </si>
  <si>
    <t>Уроки финансовой грамотности- проводятся во всех 14 образовательных организациях  состав участников: обучающиеся ( охват 7109)</t>
  </si>
  <si>
    <t>Вебинары НИФИ РФ; ежеквартально; сотрудники департамента финасов, департамента управления делами администрации города</t>
  </si>
  <si>
    <t>Обучающий семинар-практикум 2021г.</t>
  </si>
  <si>
    <t xml:space="preserve">Совещание. Участники - депутаты Перовского сельского совета, сотрудники администрации. </t>
  </si>
  <si>
    <t>Встречи предствителей коллегиального органа с представителями инициативных групп во всех школах города.</t>
  </si>
  <si>
    <t>Вебинары, встречи с периодичностью два раза в месяц, граждане, ТОС</t>
  </si>
  <si>
    <t>Семинар</t>
  </si>
  <si>
    <t>1 раз в год</t>
  </si>
  <si>
    <t>Собнания граждан, раз в полугодие</t>
  </si>
  <si>
    <t>онлайн</t>
  </si>
  <si>
    <t>совещание с председателями домовых и квартальных комитетов 30.06.2022г., где обсуждался вопрос реализации инициативных проектов на территории Северского сельского поселения</t>
  </si>
  <si>
    <t xml:space="preserve">Воркшоп "Инициативный проект" , «Инициативный пикник» – культурно-массовое мероприятие на площадках Центрального городского парка с презентацией лучших инициативных проектов – победителей конкурсов 2022-2023 годов, работой выставочных площадок СОНКО, ТОСов, учреждений социального комплекса, а также яркой концертной программой, сходы с гражданами. Обучающие тренинги и семинары. </t>
  </si>
  <si>
    <t>ежегодно</t>
  </si>
  <si>
    <t xml:space="preserve">Информационные занятия в территориальных центрах для работы с общественными объединениями и населением муниципального образования город Краснодар по месту жительства  2 раза в месяц </t>
  </si>
  <si>
    <t>Собрание граждан, 30 дней</t>
  </si>
  <si>
    <t>Семинар-совещание</t>
  </si>
  <si>
    <t>Видиоконференции</t>
  </si>
  <si>
    <t>Семинар-совещание, руководители ТОС</t>
  </si>
  <si>
    <t xml:space="preserve">совместное заседание органов ТОС Унароковского сельского поселения </t>
  </si>
  <si>
    <t>1 раз в год в рамках заседания бюджетной комиссии</t>
  </si>
  <si>
    <t>В 2022 году проведено 5 обучающих мероприятий, в формате семинаров, форумов, тренингов</t>
  </si>
  <si>
    <t>Индивидуальное консультирование+семинары, участники - члены инициативных групп</t>
  </si>
  <si>
    <t>Индивидуальное консультирование+семинары, участники - члены ТОС</t>
  </si>
  <si>
    <t>отсутствовали</t>
  </si>
  <si>
    <t>Заседание Ассоциации ТОС города Калуги, по мере необходимости, председатели ТОС</t>
  </si>
  <si>
    <t xml:space="preserve">Проведение лекций по повышению финансовой грамотности на регулярной основе, количество и состав участников не ограничивается. Кроме того, информация по проекту "Народный бюджет-ТОС" озвучилась на заседании Череповецкой городской Думы, которая транслируется в соц. сети и на официальном сайте города, а также информирование о программах развития округов осуществляется в рамках конференций территориальных общественных самоуправлений города, информация о реализации программ развития округов дополнительно размещается в официальных группах ТОС в социальной сети вконтакте. Кроме того, на платформе "Мой Череповец" в разделе "Городские проекты" также размещается информация о проектах/объектах, реализованных/реализуемых по инициативе горожан. Дополнительно проводится обучение глав управ как по медиа планированию, бюджетному процессу, IT-инструментов. </t>
  </si>
  <si>
    <t>Форум общественного самоуправления Яковлевского городского округа</t>
  </si>
  <si>
    <t>Проектная школа, 2 раза в год, старосты</t>
  </si>
  <si>
    <t>Проектная школа, 2 раза в год, активисты ТОС</t>
  </si>
  <si>
    <t>встреча с лидерами общественного мнения</t>
  </si>
  <si>
    <t>Видеоконференция, 3 раза в год , начальники управлений, главы сельских и городского поселений</t>
  </si>
  <si>
    <t xml:space="preserve">Сотрудниками  АНО "Управляющая компания научно-образовательного центра Республики Башкортостан" проводятся обучающие мероприятий для представителей муниципальных образований, а также инициативных групп. Мероприятия проводятся ежегодно в муниципальных районах </t>
  </si>
  <si>
    <t xml:space="preserve">Сотрудниками АНО "Управляющая компания научно-образовательного центра Республики Башкортостан" проводятся обучающие мероприятий для представителей муниципальных образований, а также инициативных групп. Мероприятия проводятся ежегодно в муниципальных районах </t>
  </si>
  <si>
    <t>Указать формат, периодичность и состав участников</t>
  </si>
  <si>
    <t>листовки, брошюры, воздушные шары, ручки</t>
  </si>
  <si>
    <t>Буклеты, листовки, брошюры</t>
  </si>
  <si>
    <t>https://vk.com/doyamal?w=wall-127918423_7198</t>
  </si>
  <si>
    <t>При старте заявочной кампании проводится распространение информационных буклетов. При публикации материалов в группах социальных сетей используется бренд и логотип проекта  Уютный Ямал.  https://disk.yandex.ru/d/GbFvvDzIdbgmKw</t>
  </si>
  <si>
    <t>Все материала поставлялись из округа.</t>
  </si>
  <si>
    <t>На территории города были размещены 6 баннеров (размером 6 м*3 м). В день города волонтеры раздали более 500 буклетов, также была организована фотозона с брендированным арт-объектом. Полиграфическая продукция с информацией о возможности подачи идей была размещена в учреждениях и организациях города, в автобусах и на остановочных комплексах. https://disk.yandex.ru/d/YPzPzQxeTuZvXQ</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</si>
  <si>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t>
  </si>
  <si>
    <t>Информационная инфографика (презентация, брошюра, листовки, флажок с логотипом "Уютный Ямал"). Приложены в отдельных файлах.</t>
  </si>
  <si>
    <t>https://lbt.yanao.ru/activity/730/?nav-projects=page-1</t>
  </si>
  <si>
    <t>Информационные листовки и плакаты
https://vk.com/salekhard_adm?trackcode=2ce5e929bUXZNtuQ03S9JH9bjRLUi0y0QIFP9fyKjEB32CzXhAvgJH-acsG6DaosZFS-D9a3TqBAkEX79JGWRXr-BcqWALYidPcCqA&amp;w=wall-118907081_31295 
https://vk.com/salekhardonline?trackcode=c3eb5b459nuMlfo4zLyH2mBgOAKGNSTf72fMNT-KlF8LSDEeZtdCGgdLVnuhxZDSe28LDI0GFsXfac4tPJaOXxpCbmoH&amp;w=wall-89594340_23991</t>
  </si>
  <si>
    <t>не применялось</t>
  </si>
  <si>
    <t>Брошюра, информационные листы с информацией о практике инициативного бюджетирования в Сургутском районе. 
https://drive.google.com/file/d/1XR6B2xVDXg4sDAjkGgiqQ0k3C0la10uf/view?usp=share_link</t>
  </si>
  <si>
    <t>В 2022 году не было листовок и т.д.</t>
  </si>
  <si>
    <t>Были ипользованы информационные стенды в общественных местах: https://ok.ru/group/60701864427563/topic/154815924443947      https://vk.com/public183840176?w=wall-183840176_1989</t>
  </si>
  <si>
    <t>информация отсутствует</t>
  </si>
  <si>
    <t>https://disk.yandex.ru/d/zVQ9bWhLKGmhZQ</t>
  </si>
  <si>
    <t>Публикование в газете Звезда Лангепаса" , на официальных страницах администрации города Лангепаса в социальных сетях "Одноклассники", "Вконтакте"</t>
  </si>
  <si>
    <t>не было</t>
  </si>
  <si>
    <t>Размещение информации в виде печатного объявления на информационных стендах территориальных отделов по работе с населением УПДТ администрации ПМО СК</t>
  </si>
  <si>
    <t>http://petrgosk.ru/initsiativnye-proekty/materialy/index.php</t>
  </si>
  <si>
    <t>Листовки</t>
  </si>
  <si>
    <t>Плакаты, стикеры, банеры</t>
  </si>
  <si>
    <t>https://cloud.mail.ru/public/yi6y/nRsgYCMn9</t>
  </si>
  <si>
    <t>банеры, информационные рекламные листы</t>
  </si>
  <si>
    <t>Буклет, обучающие материалы
https://www.georgievsk.ru/mestnye-initsiativy/budjetirovanie/slaid.pdf
https://www.georgievsk.ru/mestnye-initsiativy/budjetirovanie/buklet.pdf</t>
  </si>
  <si>
    <t>https://adm-ussuriisk.ru/ob_okruge/otkrytyy_byudzhet/initsiativnoe_byudzhetirovanie/mestnye_initsiativy/</t>
  </si>
  <si>
    <t>буклеты, видеоролики, информ. релиза</t>
  </si>
  <si>
    <t xml:space="preserve">Посты в социальных сетях                    https://t.me/gospasskadmin/9965  </t>
  </si>
  <si>
    <t>раздаточные материалы не использовались</t>
  </si>
  <si>
    <t xml:space="preserve">Для каждого проекта инициативного бюджетирования разработвается Дизайн-проект, в котором отражен подробный перечень оборудования, финансовые расходы на реализацию проекта, определено точное территориальное расположение обустраиваемых объектов и представлено текущее состояние объектов.  </t>
  </si>
  <si>
    <t>социальные сети</t>
  </si>
  <si>
    <t>http://fin-otdel.ru/byudzhet-i-otchetnost/Бюджетные%20обзоры/Итоги%20ИБ%202022.pdf</t>
  </si>
  <si>
    <t xml:space="preserve">Представление проектных предложений внутри класса проводится в форме презентаций PowerPoint. Проектное предложение, оформленное в виде текстового материала объемом не более 10 страниц формата А4. Предварительная смета расходов на реализацию проектного предложения. 
</t>
  </si>
  <si>
    <t>Финансовым управлением разработаны буклеты, для размещения на информационных досках в каждом сельском совете, приложено.</t>
  </si>
  <si>
    <t xml:space="preserve">https://asfin56.ru/narodnyij-byudzhet </t>
  </si>
  <si>
    <t>https://vk.com/club211208773?z=photo-211208773_457239048%2Falbum-211208773_00%2Frev</t>
  </si>
  <si>
    <t>Буклет приложение в эл.виде</t>
  </si>
  <si>
    <t>На сайте Омск.рф  размещено 8 релизов, на основе которых в СМИ вышло 13 сообщений
https://disk.yandex.ru/d/jFP91rwQ-Fh-WA</t>
  </si>
  <si>
    <t>http://komobrkrr.edusite.ru/p26aa1detales203.html</t>
  </si>
  <si>
    <t>https://адмдзержинск.рф/ekonomika-i-imushchestvo/ekonomika/normativno-pravovye-dokumenty/initsiativnoe-byudzhetirovanie/</t>
  </si>
  <si>
    <t>https://dzhankoy.rk.gov.ru/uploads/txteditor/dzhankoy/attachments//d4/1d/8c/d98f00b204e9800998ecf8427e/phpU7ZELM_Методичка%20МОЛОДОЕ%20ПОКОЛЕНИЕ.pdf</t>
  </si>
  <si>
    <t>Информационные листовки</t>
  </si>
  <si>
    <t>информационные листовки</t>
  </si>
  <si>
    <t>https://sochi.com/news/2085/495251/ 
https://sochi.bezformata.com/listnews/sochi-alekseya-kopaygorodskogo-usileno/109794034/ 
https://sochi-news.net/society/2022/09/29/125958.html 
https://kuban.aif.ru/society/vlasti_sochi_usilili_vzaimodeystvie_s_voennym_komissariatom
https://sochistream.ru/novosti/ekonomika/za-tri-goda-parametry-byudzheta-sochi-vyrosli-na-60-93358/
https://sochi.com/news/2083/494946/
https://sochi.mk.ru/social/2022/09/08/byudzhet-sochi-vyros-na-60-za-poslednie-tri-goda.html
https://sochi.bezformata.com/listnews/parametri-byudzheta-sochi-virosli/109214892/
https://sochi.bezformata.com/listnews/blagoustroystvu-obshestvennih-territoriy/109124559/
https://sochi.com/news/2097/494777/
https://sochi1.ru/text/education/2022/08/30/71611754/
https://bloknotsochi.ru/news/aleksey-kopaygorodskiy-obyavil-o-novykh-lgotakh-dl-1515649
https://riafan.ru/23617206-pedagogi_v_sochi_poluchili_ryad_novih_l_got
https://www.kuban.kp.ru/online/news/4897147/
https://sochi.mk.ru/social/2022/08/31/v-sochi-vveli-novye-lgoty-dlya-uchiteley.html
https://yugtimes.com/news/82754/
https://tass.ru/obschestvo/15595429
https://sochistream.ru/novosti/obshhestvo/kopajgorodskij-rasskazal-o-lgotah-dlya-uchitelej-92657/
https://kubnews.ru/obshchestvo/2022/08/30/priezzhim-uchitelyam-v-sochi-budut-vyplachivat-po-15-tys-rubley-ezhemesyachno-na-arendu-zhilya/
https://ria.city/sochi/328270091/
https://ki-news.ru/news/v-sochi-do-kontsa-goda-poiaviatsia-dva-novykh-skvera/
https://sochi.mk.ru/social/2022/07/09/do-konca-goda-v-sochi-blagoustroyat-eshhe-dve-territorii.html
https://sochi.bezformata.com/listnews/sochi-realizuyut-eshe-dva/107310993/
https://grad-sochi.ru/2022/07/11/9885/
https://sochi.com/news/2085/493827/
https://sochistream.ru/novosti/obshhestvo/v-sochi-realizuyut-eshhe-dva-initsiativnyh-proekta-blagoustrojstva-88921/
https://sochi24.tv/v-sochi-blagoustroyat-2-obshhestvennye-territorii/
https://www.kuban.kp.ru/online/news/4824282/
https://vesti-sochi.tv/obshhestvo/75648-v-sochi-blagoustroyat-eshche-dve-obshchestvennye-territorii
https://sochistream.ru/novosti/obshhestvo/kopajgorodskij-sovershil-rabochij-obezd-gornogo-klastera-96003/
https://sochi.bezformata.com/listnews/sochi-aleksey-kopaygorodskiy/110329593/
https://kuban.report/ru/news/20221012/13602.html
https://sochi.bezformata.com/listnews/venchagova-v-komsomolskom-skvere/108819933/
https://smotrim.ru/article/2912280
https://sochi.mk.ru/social/2022/12/30/v-sochi-blagoustroili-9-ugolkov-sergeya-venchagova.html
https://kuban24.tv/item/v-sochi-blagoustroili-9-ugolkov-dekoratora-sergeya-venchagova-v-god-ekologii
https://www.kuban.kp.ru/online/news/4895794/
https://grad-sochi.ru/2022/08/27/11128/
https://kubantv.ru/obshhestvo/v-soci-rekonstruiruyut-lesnoi-ugolok-v-komsomolskom-skvere
https://sochi.bezformata.com/listnews/vibrali-luchshie-initciativnie-proekti/105450268/
https://grad-sochi.ru/2022/05/12/8146/
https://sochistream.ru/novosti/obshhestvo/v-sochi-vybrali-tri-luchshih-proekta-dlya-blagoustrojstva-86178/
https://kuban24.tv/item/v-sochi-vybrali-tri-initsiativnyh-proekta-dlya-blagoustrojstva
https://vesti-sochi.tv/obshhestvo/74955-v-sochi-opredelili-tri-initsiativnykh-proekta-po-blagoustrojstvu
https://www.kuban.kp.ru/online/news/4742719/
https://kuban.rbc.ru/krasnodar/freenews/63a050b89a79472c941368f3
https://www.kommersant.ru/doc/5734022
https://www.kuban.kp.ru/online/news/5069237/
https://bloknotsochi.ru/news/bolee-39-milliardov-rubley-ozhidaet-dokhodnaya-cha
https://grad-sochi.ru/2022/12/20/14216/
https://www.kuban.kp.ru/online/news/5060570/
https://sochi.bezformata.com/listnews/adlerskom-rayone-sochi-blagoustroeni/112561424/
https://sochistream.ru/novosti/obshhestvo/v-adlerskom-rajone-blagoustroili-20-obshhestvennyh-prostranstv-102023/
https://smotrim.ru/article/3103745
https://ria.city/sochi/337431296/</t>
  </si>
  <si>
    <t>Листовки, плакаты и иные информационные материалы. https://grigorevskaia.krasnodar.ru/poselenie/initsiativnye-proety/</t>
  </si>
  <si>
    <t>https://disk.yandex.ru/d/MmHCxAIzB7KhFA</t>
  </si>
  <si>
    <t>Рекламные листовки,объявления</t>
  </si>
  <si>
    <t>https://zhuravskaja.ru/</t>
  </si>
  <si>
    <t>https://dyadkovskaya.ru/initsiativnoe-byudzhetirovanie</t>
  </si>
  <si>
    <t>раздаточные материалы не изготавливались</t>
  </si>
  <si>
    <t>В качестве раздаточного материала были испльзованны фотографии дороги, требующей ремонта</t>
  </si>
  <si>
    <t>Бюллетени с инициативами, информация в открытом доступе на официальном сайте Череповца: https://cherinfo.ru/nb</t>
  </si>
  <si>
    <t>Проводились сходы граждан, опросы населения в сельских поселениях</t>
  </si>
  <si>
    <t>Для информационной кампании проекта были разработаны листовки, пошаговая инструкция, контент для социальных сетей. 
https://vk.com/wall-178985470_769</t>
  </si>
  <si>
    <t>Для информационной кампании проекта были разработаны листовки, пошаговая инструкция, контент для социальных сетей. 
https://vk.com/wall-178985470_756</t>
  </si>
  <si>
    <t>19.5.</t>
  </si>
  <si>
    <t>ТВ, газета, социальные сети ОМСУ, наружная реклама</t>
  </si>
  <si>
    <t>Информация о старте конкурсного отбора размещается в средствах массовой информации (газета "Северный Луч", пуровская тедл "Луч"), на официальном сайте муниципального округа Пуровский район, в официальных аккаунтах органов местного самоуправления. Жителям раздаются буклеты, проводятся общественные обсуждения и собрания граждан</t>
  </si>
  <si>
    <t>Соцсети, наружная реклама, общественные обсуждения проектов https://vk.com/wall-170887968_12191, викторина "Уютный Ямал" https://vk.com/wall-170887968_12380</t>
  </si>
  <si>
    <t xml:space="preserve">Рекламная кампания ИБ в рамках проекта Уютный Ямал проводилась в социальных сетях на официальной странице Администрации Ямальского района, Департамента образования Ямальского района, официальных сайтах общеобразовательных организаций                                               </t>
  </si>
  <si>
    <t xml:space="preserve">Для проведения рекламной кампании использовались радио, ТВ, социальные сети, а также наружная реклама (размещение баннеров). </t>
  </si>
  <si>
    <t xml:space="preserve">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поста в группах социальных сетей:   https://vk.com/wall-170438171_7452     https://vk.com/wall-170438171_7193     https://vk.com/wall-170438171_7189    https://vk.com/wall-170438171_6739     https://www.youtube.com/watch?v=QrYePcipRo8  http://spmuzhi.ru/?p=40137   http://spmuzhi.ru/?p=35724 </t>
  </si>
  <si>
    <t xml:space="preserve">Информационные материалы о проведении мероприятий в рамках инициативного бюджетирования размещались на официальном сайте Администрации Надымского района, официальных страницах Администрации Надымского района в социальных сетях ВКонтакте, Одноклассники, Телегарам. Также информационные материалы размещались в эфирах телеканала «Вестник Надыма» и радиоканала «Радио Надыма», в газете «Рабочий Надыма» и на ее официальном сайте (сетевое издание), на официальных сайтах и страницах муниципальных учреждений средств массовой информации в социальных сетях. </t>
  </si>
  <si>
    <t>Информирование граждан о возможности принятия участия в проекте инициативного бюджетирования "Уютный Ямал" велось через городские СМИ (МБУ "ГТРК "Вектор") - ТВ, радио. По средствам размещения видеороликов на городских светодиодных экранах, а также на официальном сайте Администрации города Губкинского и в аккаунтах Администрации города Губкинского и бюджетных организаций города. В день открытия проектного офиса в ДК "Нефтяник" волонтёры раздавали листовки о проекте. На весь период проекта были размещены банеры на территории города, на светодиодных городских экранах транслировались видеоролики, в газете "Губкинская неделя" публиковались материалы на тему проекта. В августе 2021 года прошли общественные обсуждения проектов, которые также широко были освещены в СМИ. В сентябре 2021 года в дни празднования дня города была организована викторина "Уютный Ямал", где горожане отвечали на вопросы, связанные с городом, и получали призы с атрибутикой проекта. В середине сентября 2021 года губкинцы принимали участие в голосование за проекты. С целью привлечения населения к голосованию за инициативы также проводилась викторина. Информация о сборе инициатив, а также поданных в 2021 годах инициативах, а также о реализации поданных инициатив публиковались в СМИ. 
https://vk.com/wall-169928902_5148
https://vk.com/wall-169928902_5813
https://vk.com/wall-169928902_5117
https://vk.com/wall-169928902_5097
https://vk.com/wall-169928902_5015
https://vk.com/wall-169928902_4955
https://vk.com/wall-169928902_4180
https://vk.com/wall-169928902_4011
https://vk.com/wall-169928902_3948
https://vk.com/wall-169928902_3902
https://vk.com/wall-169928902_3628
https://vk.com/wall-169928902_3621
https://vk.com/wall-81916513_42138
https://vk.com/wall-81916513_41745
https://vk.com/wall-81916513_41484
https://vk.com/wall-81916513_39765
https://vk.com/wall-169928902_5709
https://vk.com/wall-169928902_5702
https://vk.com/wall-81916513_27480
https://vk.com/wall-81916513_27099
https://vk.com/wall-81916513_27095
https://vk.com/wall-81916513_27090
https://vk.com/wall-169928902_11596 https://vk.com/wall-169928902_11397 https://vk.com/wall-169928902_5931 https://vk.com/wall631300712_1107
https://vk.com/wall-169928902_5901
https://vk.com/wall-169928902_5888
https://vk.com/wall-81916513_32036
https://vk.com/wall-81916513_32931
https://vk.com/wall-81916513_32665
https://vk.com/wall-81916513_32641
https://vk.com/wall-81916513_32036
https://vk.com/wall-81916513_27086
https://vk.com/wall-81916513_27084
https://vk.com/wall-81916513_27060
https://vk.com/wall-81916513_27030
https://vk.com/wall-81916513_26900
https://vk.com/wall-81916513_26628
https://vk.com/wall-81916513_26579
https://vk.com/wall-81916513_26518
https://vk.com/wall-81916513_26481
https://vk.com/wall-81916513_25664
https://vk.com/wall-81916513_25305
https://vk.com/wall-81916513_25067
https://vk.com/wall-81916513_27558   https://vk.com/wall-169928902_5861  https://vk.com/wall-169928902_5828 
https://vk.com/wall-169928902_5561
https://vk.com/wall-169928902_5844
https://t.me/gubadm89/2929
https://t.me/gubadm89/1638
https://t.me/gubadm89/1634
https://t.me/gubadm89/1164
https://t.me/gubadm89/1184
https://t.me/gubadm89/3788
https://t.me/AMGaranin/901
https://t.me/AMGaranin/1431
https://t.me/AMGaranin/1468
https://t.me/AMGaranin/1719
https://www.gubadm.ru/presscenter/news/79044/%20https://www.gubadm.ru/presscenter/news/106760/%20https://www.gubadm.ru/presscenter/news/78915/%20https://www.gubadm.ru/presscenter/news/78234/%20https://www.gubadm.ru/presscenter/news/77605/%20https://www.gubadm.ru/presscenter/news/77319/%20https://www.gubadm.ru/presscenter/news/75791/%20https://www.gubadm.ru/presscenter/news/75481/%20https://www.gubadm.ru/presscenter/news/74116/%20https://www.gubadm.ru/presscenter/news/71875/</t>
  </si>
  <si>
    <t>В 2022 году МАУ "Муравленко Медиа" на всех медиаплощадках (теле и радиоэфир, газета "Наш город", официальные паблики в социальных сетях, канал youtub.com) осуществлялась рекламная кампания практик инициативного бюджетирования. Всего за 2022 год вышло 1117 информационных материалов.</t>
  </si>
  <si>
    <t>Рекламная кампания инициативного бюджетирования в  2022 году в муниципальном образовании город Новый Уренгой проводилась с использованием социальных сетей, телерадиовещания МАУ «Информационного агентство «Импульс Севера», а также путем размещения наружной рекламы на информационных щитах города.</t>
  </si>
  <si>
    <t>Публикации на официальном сайте Администации, в СМИ (репортажи "Лабытнанги-ТВ") и социальных сетях Вконтакте и Инстаграм: https://vk.com/ialbt?w=wall-64952690_35174;
https://lbt.yanao.ru/about/projects/all/576/;
https://vk.com/ialbt?w=wall-64952690_35190;
https://sever-press.ru/news/obschestvo/zhiteli-labytnangi-massovo-progolosovali-za-piknichok-2-mashinu-dlja-avtoshkoly-i-jekourny/;
https://lbt.yanao.ru/about/projects/all/572/;
https://vk.com/a.karsanov?w=wall353102806_398%2Fall;
https://lbt.yanao.ru/about/projects/all/565/;
https://vk.com/ialbt?w=wall-64952690_34133;
https://vk.com/ialbt?w=wall-64952690_34075;
https://lbt.yanao.ru/about/projects/all/568/;
https://vk.com/dk_harp?w=wall-71665785_1823;
https://lbt.yanao.ru/about/projects/all/577/;
 https://vk.com/lbt_yanao_ru?w=wall-169362718_11669;
https://lbt.yanao.ru/about/projects/all/573/;
https://vk.com/lbt_yanao_ru?w=wall-169362718_11669;
https://lbt.yanao.ru/about/projects/all/573/; https://vk.com/lbt_yanao_ru?w=wall-169362718_17921;
https://lbt.yanao.ru/about/projects/all/575/;
https://vk.com/lbt_yanao_ru?w=wall-169362718_18297;
https://lbt.yanao.ru/about/projects/all/569/;
https://vk.com/ialbt?w=wall-64952690_25036;
https://vk.com/lbt_yanao_ru?w=wall-169362718_17921;
https://lbt.yanao.ru/about/projects/all/580/;
https://lbt.yanao.ru/about/projects/all/566/;
https://vk.com/lbt_yanao_ru?w=wall-169362718_18070;
https://lbt.yanao.ru/about/projects/all/578/
https://vk.com/wall-64952690_33984; https://vk.com/wall-64952690_34130; https://vk.com/wall-64952690_34413                                                                                                                       https://vk.com/wall-64952690_34143; https://vk.com/wall-64952690_33999; https://vk.com/wall-169362718_18208; https://vk.com/wall-169362718_18035; https://sever-press.ru/news/obschestvo/v-labytnangi-sostoitsja-golosovanie-za-proekty-iniciativnogo-bjudzhetirovanija/; https://sever-press.ru/news/obschestvo/v-labytnangi-profinansirujut-10-proektov-iniciativnogo-bjudzhetirovanija/</t>
  </si>
  <si>
    <t>публикация на официальном сайте ХМРН, в газете "Наш район", социальных сетях ХМРН</t>
  </si>
  <si>
    <t>В СМИ и социальных сетях публиковались информационные ролики, заметки и статьи об инициативном бюджетировании.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В рамках проводимого мероприятия департаментом финансов "День открытых дверей", школьники Сургутского района были проинформированы о возможностях реализации инициатив посредством инициативного бюджетирования.  
Граждане информировались также об участии в конкурсе реализованных инициативных проектов.</t>
  </si>
  <si>
    <t xml:space="preserve"> Рекламная кампания инициативного бюджетирования проводится посредством размещения информации на официальном сайте органов местного самоуправления, в печатных изданиях и социальных сетях, проката новостных сюжетов и интервью на телевидении, радио 
Соц. Сети: https://vk.com/ugansktv?w=wall-38941736_58442
https://vk.com/ugansktv?w=wall-38941736_59572
https://vk.com/ugansktv?w=wall-38941736_60556
https://vk.com/ugansktv?w=wall-38941736_61639
https://vk.com/ugansktv?w=wall-38941736_61659
https://vk.com/ugansktv?w=wall-38941736_61714
https://vk.com/ugansktv?w=wall-38941736_61855
https://vk.com/ugansktv?w=wall-38941736_62669
https://vk.com/online_admugansk?w=wall-127859266_14936
https://vk.com/online_admugansk?w=wall-127859266_14438
https://vk.com/online_admugansk?w=wall-127859266_14373
https://vk.com/online_admugansk?w=wall-127859266_14062
https://vk.com/online_admugansk?w=wall-127859266_13969
https://vk.com/online_admugansk?w=wall-127859266_13721
https://vk.com/online_admugansk?w=wall-127859266_13717
https://vk.com/online_admugansk?w=wall-127859266_13068
https://vk.com/online_admugansk?w=wall-127859266_12841
https://vk.com/online_admugansk?w=wall-127859266_12473
https://vk.com/znpress?w=wall-108284571_50136
https://vk.com/znpress?w=wall-108284571_49407
https://vk.com/znpress?w=wall-108284571_47080
https://vk.com/znpress?w=wall-108284571_46337
https://vk.com/znpress?w=wall-108284571_45125
https://znpress.ru/news/nefteyugansk/apgrejd-ot-naroda-eto-kasaetsya-i-gorodskoj-sredy/
https://znpress.ru/news/ugra/portalu-otkrytyj-region-yugra-ispolnilos-5-let/
https://znpress.ru/news/nefteyugansk/aleksandr-zelenskij-inicziativnoe-byudzhetirovanie-eto-vozmozhnost-povliyat-na-razvitie-gorodskih-territorij-nefteyuganska/
https://znpress.ru/news/society/sytno-i-teplo/
https://znpress.ru/news/molodezhka/hot-plyazh-hot-trotuar/ https://www.youtube.com/watch?v=V5dzMdhpaQA https://www.youtube.com/watch?v=tQnsmCo2tZc&amp;t=2s
</t>
  </si>
  <si>
    <t>Обсуждали на собраниях с руководителями,  предпринимателями</t>
  </si>
  <si>
    <t>Информирование населения пгт. Куминсксий о проекте через сообщество Администрация городского поселения Куминский
https://ok.ru/admkuma
Телевизионный эфир 24.02.2022
https://vk.com/video-112511363_456240338
Информирование населения пгт. Куминсксий о проекте на официальном сайте гп. Куминский
http://admkuma.ru/</t>
  </si>
  <si>
    <t>Использование специальных информационных досок/стендов,  публикация в газете "Кондинский вестник", Репортаж руководителя инициативного проекта «Школьный бульвар», размещение информации о проекте и ходе реализации в социальных сетях "В Контакте" и Однаклассники. Размещение на официальных страницах "Адмконда".</t>
  </si>
  <si>
    <t xml:space="preserve">Информация размещалась в газете «Кондинский вестник»:
-  от 05.11.2021 № 45(1481), стр. 3;
- от 21.01.2022 № 3(1492), стр.2
</t>
  </si>
  <si>
    <t xml:space="preserve">Использование социальных сетей, групп в мессенджерах, информационных стендах, вещание на радио, ТВ </t>
  </si>
  <si>
    <t xml:space="preserve">В целях внедрения и популяризации практики реализации инициативных проектов на территории города Нижневартовска в соответствии с Положением о реализации инициативных проектов в городе Нижневартовске, утвержденным решением Думы города от 26.02.2021 №717 "О Положении о реализации инициативных проектов в городе Нижневартовске" в 2022 году были проведены депутатские слушания; рабочие встречи (в том числе в режиме ВКС) и выездные обучающие семинары с жителями города; телефонные консультации. Проводится активная информационная кампания: на официальном сайте органов местного самоуправления города, в том числе в разделе «Мой вклад в бюджет», в печатных изданиях, на телевизионных каналах, социальных сетях. </t>
  </si>
  <si>
    <t xml:space="preserve">Информация о реализации инициативных проектов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в том числе:
1) в печатных изданиях:
- газета "Сургутские ведомости" , выпуск №3 от 29.01.2022 (страница 4) http://newspaper.admsurgut.ru/article/217/10534/Surgutskie-Vedomosti-31040?page=4
2) социальные сети:
- https://vk.com/wall-172721673_19037 
- https://vk.com/wall-134935698_1554 
- https://vk.com/focssd?w=wall-141960552_10329 
- https://vk.com/sibirskiy_legion?w=wall-1577688_8712 
- https://vk.com/formatsurgut?w=wall-59061281_10244 
3) телевидение:
- https://sitv.ru/arhiv/news/surgutskie-tosy-kak-sposob-izmenit-mir-vokrug-i-stat-liderom/;
- https://sitv.ru/arhiv/video/za_delo/E126C27B-0EB1-AA39-FB7F-FDB37A0F8379/
- https://ugra-tv.ru/news/society/v_surgute_novuyu_detskuyu_ploshchadku_osnastyat_vay_faem/
4) интернет ресурсы (в том числе тв, печатных изданий):
- https://siapress.ru/news_surgut/118032-15-noyabrya-v-surgute-na-chernom-misu-otkroyut-detskuyu-ploshchadku-s-batutom-i-wi-fi;
- https://ugra-news.ru/article/na_chernom_mysu_v_surgute_postroyat_detsko_sportivnuyu_ploshchadku/;
- https://surgut.bezformata.com/listnews/surgute-v-mikrorayone-cherniy-mis/107607227/;
- https://www.siapress.ru/interview/116522-chem-seychas-zanimayutsya-i-mogut-zanyatsya-predstaviteli-yunih-pokoleniy-v-surgute
- https://muksun.fm/news/2022-09-02/v-surgute-blagoustroili-ploschadki-dlya-detey-1258576;
- https://siapress.ru/news_surgut/105116-surgutskie-vlasti-videlili-uchastok-pod-stroitelstvo-sportploshchadki-na-chernom-misu;
- https://86.ru/text/gorod/2022/11/25/71846774/;
- https://vestniksr.ru/news/42899-v-surgute-pojavitsja-novaja-tochka-pritjazhenija-molodyozhi.html </t>
  </si>
  <si>
    <t>Рекламная кампания проводилась в газете "Жизнб Югры", информация о голосовании за проекты, о начале конкурса ИБ, о голосовании за проект  размещалась на офоициальном интернет-ресурсе, в социальных сетях. Рзмещалась наружная реклама на досках объявлений. https://disk.yandex.ru/d/zVQ9bWhLKGmhZQ</t>
  </si>
  <si>
    <t>Рекламная компания проводилась через ТВ, газету, учреждения образования и культуры</t>
  </si>
  <si>
    <t>Рекламная кампания проходила и через соцсети, телевидение и газету "Звезда Лангепаса".                                                                https://vk.com/video-88087398_456244082;   https://vk.com/video-89013980_456247026; Звезда Лангепаса №30 от 15.07.2022, Звезда Лангепаса №31 от 22.07.2022, Звезда Лангепаса №13 от 26.03.2022, Звезда Лангепаса №38 от 17.09.2022. Звезда Лангепаса №47 от 19.11.2022</t>
  </si>
  <si>
    <t>соцсети, ТВ, радио</t>
  </si>
  <si>
    <t xml:space="preserve">Сабантуй
https://uray.ru/v-urae-proshjol-odin-samyh-jarkih-prazdnikov-sabantuj/
https://holdingtv.tv/news/?n=zavtra-v-urae-proydet-prazdnik-sabantuy313.html
https://vk.com/wall-63159149_23495
https://vk.com/wall-99356825_26779
https://infoflag.ru/2022/06/10/suri-obrela-golos/
Видео: https://www.youtube.com/watch?v=slELKUnoLWE
Зимняя сказка
https://infoflag.ru/2022/12/12/skazka-prihodit-v-uraj/
Цветочная палитра
https://uray.ru/iniciativnyj-proekt-cvetochnoe-oformlenie-obshhestvennyh-territorij-goroda-v-letnij-period-cvetochnaja-palitra/
https://vk.com/wall-89013980_18449
https://holdingtv.tv/news/?n=cvetochnaya-palitra-v-urae-itogi-konkursa227.html
https://ok.ru/admuray/topics
https://www.youtube.com/watch?v=Ds8gHTE6Ats
https://ugra-tv.ru/ugra24/obshchestvo/ulitsy-uraya-ukrasila-tsvetochnaya-palitra/
</t>
  </si>
  <si>
    <t>Размещение информации на официальном сайте администрации, публикациии в социальных сетях, в группах активных граждан</t>
  </si>
  <si>
    <t xml:space="preserve">Информация размещелась на официальном сайте МО "Завьяловский район" в сети интернет завьяловский.рф, а также в официальной группе ВКонтакте </t>
  </si>
  <si>
    <t>Информирование населения посредствам социальных сетей (https://vk.com/public192404342)</t>
  </si>
  <si>
    <t>размещение информации в соц.сетях</t>
  </si>
  <si>
    <t>Размещение информации на официальных страничках территориальных отделов в сети Инстаграмм</t>
  </si>
  <si>
    <t>Публикации в газете "Петровските Вести"</t>
  </si>
  <si>
    <t>Наружная реклама, социальные сети, печатный орган Красногвардейского муниципального округа "Красногвардейский вестник"</t>
  </si>
  <si>
    <t>Социальные сети,обществнные собрания</t>
  </si>
  <si>
    <t>Для информирования населения использовались социальные сети и офциальный портал администрации</t>
  </si>
  <si>
    <t>наружная реклама, Telegram - канал главы Ипатовского ГО СК: "Вера Шейкина глава  Ипатовского ГО"</t>
  </si>
  <si>
    <t>Информация рамещалась на сайте администрации Грачевского муниципального округа Ставропольского края.</t>
  </si>
  <si>
    <t>Размещение информации в новостном разделе на официальном сайте Георгиевского городского округа Ставропольского края, в социальных сетях, наружная реклама</t>
  </si>
  <si>
    <t>представителями администрации на территории населенных пунктов Благодарненского гороского округа Ставропольского края проведены разъяснительные мероприятия по вопросу практики применения инициативного бюджетирования</t>
  </si>
  <si>
    <t xml:space="preserve">рекламная кампания проводилась путем информирования населения посредством сайтов администрации, территориальных отделов, социальных сетей, размещения в сельских средствах массовой информации, на информационных стендах </t>
  </si>
  <si>
    <t>Информация о ходе реализации проекта освещалась в газете "Ревдинский рабочий", в мессенджере telegram "Ревдинский рабочий" и на местном ТВ канале "Единство"                                                                       1) https://revda-novosti.ru/details/o-moy-dvor.-kak-jiteli-lenina-30-voploshchayut-proekt-blagoustroystva-svoego-dvora1663764892?ysclid=lgp13nepiy848218743; 
2)https://dzen.ru/video/watch/63328f21b91d2a71063f881c  3)https://t.me/tvrevda/2242</t>
  </si>
  <si>
    <t>размещение информации на официальном сайте городского округа и официальной странице Администрации Качканарского ГО в социальной сети «Вконтакте», информирование о начале приема заявок по местному радио «Мастер FM»</t>
  </si>
  <si>
    <t>В сети интернет</t>
  </si>
  <si>
    <t>Размещение информации на официальном сайте Асбестовского городского округа, в газете "Асбестовский рабочий", странице ВК</t>
  </si>
  <si>
    <t>сайт МО Алапаевское, газета "Алапаевская искра"</t>
  </si>
  <si>
    <t>местрое телевидение и радиостанция "Балтийский берег" регулярно проводит репортажи наиболее масштабных мероприятий в рамках Проекта, в городской газете "маяк" публикуются различные материалы</t>
  </si>
  <si>
    <t xml:space="preserve">Размещение объявлений на досках объявлений около жилых домов; газета Чапаевский рабочий №43 от 26 апреля 2022 года
</t>
  </si>
  <si>
    <t>социальные сети, объявления на подъездах, на собраниях жителей через упроавляющих микрорайонами</t>
  </si>
  <si>
    <t>социальные сети,  на собраниях жителей через территориальное общественное самоуправление</t>
  </si>
  <si>
    <t>Информирование о предстоящем конкурсе /подведении итогов/реализации каждого  проекта проводилось через социальные сети, газету "Похвистневский вестник"</t>
  </si>
  <si>
    <t>Размещение информации в социальных сетях, газете "Рабочая трибуна",  https://vk.com/nkootr?w=wall-170038948_1138 https://vk.com/nkootr?w=wall-170038948_1022  https://www.otradny24.ru/news/?element_id=48152&amp;section_id=131&amp;sphrase_id=517914</t>
  </si>
  <si>
    <t>Рекламная компания проводилась в новостных блоках на официальном сайте администрации Уссурийского городского округа, а также в официальных социальных сетях администрации Уссурийского городского округа и финансового управления "Одноклассники", "В Контакте", "Телеграмм", в СМИ и на телеканале МУП "ТК "Телемикс УГО". Кроме того был изготовлен видеоролик по теме "Что такое инициативные проекты", который    транслировался на  телеканале МУП "ТК "Телемикс УГО" и размещен на сайте администрации УГО, а также в социальных сетях и мессенджерах.                                                               https://adm-ussuriisk.ru/videogalereya/</t>
  </si>
  <si>
    <t>соц. сети, распространение листовок, информация на официальном сайте администрации ЛГО</t>
  </si>
  <si>
    <t>Информация о проведении конкурсного отбора инициативных проектов по направлению "Местная инициатива"размещена в официальном печатном издании - газета "Спасск", на официальном сайте АГО Спасск-Дальний, в официальных аккаунтах социальных сетей. Наибольший охват населения обеспечили посты в социальных сетях</t>
  </si>
  <si>
    <t>рекламная компания не проводилась</t>
  </si>
  <si>
    <t>В соответсвии с п. 8.4 Решения Пермской городской Думы от 26.03.2019 № 64, информация о проведении конкурсного отбора инициативных проектов размещается на оффициальном сайте администрации города Перми</t>
  </si>
  <si>
    <t>Рекламной кампании ИБ в муниципальном образовании "Городской округ- город Кудымкар" уделяется большое внимание. При проведение рекламной кампании задействованы все средства массовой информации. На официальном сайте муниципального образования создан раздел "Инициативное бюджетирование" http://admkud.ru/initsiativnoe-byudzhetirovanie/index.php. В официальных группах администрации города Кудымкара в социальных сетях публикуется подробная информация о проектах- участниках. В периодических печатных изданиях  (Газета "Парма", газета "Парма Новости", "Городсая газета") и на радиоканалх выходят индивидуальные и общие статъи о пректах (еженедельный тираж каждого печатного издания не менее 4500 экз.). Также информация об инициативном бюджетировании освещается на встречах главы города Кудымкара- главы администрации города Кудымкара с наслением, при проведении прямых эфиров в социальной сети "Вконтакте".</t>
  </si>
  <si>
    <t>Информация о начале проведения конкурсного отбора публикуется на официальном сайте, в официальном аккаунте Вконтакте (21 057 подписчиков), в газете "Два Берега Камы" (в ней объединены газеты двух городов: г.Березники и г.Усолье)</t>
  </si>
  <si>
    <t>СМИ, соцсети</t>
  </si>
  <si>
    <t>Информирование на официальном сайте администрации города Пензы, репортажи на региональном ТВ, радио, в муниципальной газете "Пенза"</t>
  </si>
  <si>
    <t>наружная реклама на стенде сельского совета, через встречи с жителями МО, через газету "Северная звезда"</t>
  </si>
  <si>
    <t>через сообщество социальной сети ВК "Подслушано Курманаевка" доведена информация о проекте и сборе средств</t>
  </si>
  <si>
    <t>информация доведена через объявления в магазине, почтовое отделение и т.д, стенд объявлений,местная газета " Кутушинский вестник" № 5 от 30.04.2022</t>
  </si>
  <si>
    <t xml:space="preserve">Было направлено официальное письмо во все школы Ташлинского района для необходимости участия в "Школьном бюджете". </t>
  </si>
  <si>
    <t>Сельские поселения проводят работу с населением, осуществляют информирование жителей с использованием информационных стендов, на собраниях жителей, размещение новостей на официальном сайте администрации района.</t>
  </si>
  <si>
    <t>https://vk.com/wall-205848157_275</t>
  </si>
  <si>
    <t xml:space="preserve">http://fin-or.ru/news/narodnyy-byudzhet-1   ;   https://ok.ru/group/67794830884909/topic/155280766349357  ; https://ok.ru/group/67794830884909/topic/154908625678381 ; 
https://vk.com/56finor?w=wall-190966048_161 ; https://vk.com/56finor?w=wall-190966048_123; https://vk.com/wall-217441574_11;  https://vk.com/wall-217441574_145 ;  https://ok.ru/group/70000001147578/topic/154955017535674 ; http://ппокровка.рф/?page_id=3920
</t>
  </si>
  <si>
    <t>Социальные сети, размещение объявлений в доступных местах, размещение материалов в Новоорской газете, сайт Финансового отдела, сайт Администрации Новоорского района</t>
  </si>
  <si>
    <t>Рекламная компания ИБ осуществлялась в очном формате на собраниях и сходах граждан, информирование граждан о реализованных проектах, показ слайлов</t>
  </si>
  <si>
    <t xml:space="preserve">Информация (видео и фото) о проекте регулярно публикуется на сайте администрации Бузулукского района,  в социальных сетях вконтакте и одноклассники. </t>
  </si>
  <si>
    <t xml:space="preserve">Информация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 Видео публикуется на Ютуб канале. </t>
  </si>
  <si>
    <t>Официальный сайт МО</t>
  </si>
  <si>
    <t>Наружная реклама, официальные сайт МО</t>
  </si>
  <si>
    <t>через социальные сети, официальный сайт муниципального образования и финансового органа                                                                          https://mo-ad.orb.ru/presscenter/news/60955/   https://adamfin.ru/shb-2022</t>
  </si>
  <si>
    <t>через социальные сети, официальный сайт муниципального образования и финансового органа       (https://adamfin.ru/narodnyij-byudzhet)</t>
  </si>
  <si>
    <t>Социальные сети, портал Сорочинского городского округа, официальные сайты Управления финансов администрации Сорочинского городского округа Оренбургской области и Управления образования администрации Сорочинского городского округа Оренбургской области</t>
  </si>
  <si>
    <t xml:space="preserve"> В целях информирования заинтересованных участников в реализации Проекта, Администрация г. Медногорска обеспечивает распространение информационных материалов о Проекте через официальный сайт в информационно-телекоммуникационной сети Интернет, официальную страницу в социальной сети Вконтакте, а также сообщество в социальной сети ВКонтакте "PRO-финансы | Медногорск" , созданное Финансовым отделом администрации города Медногорска и на телеканал "Медногорск ТВ".
 На первом этапе реализации проекта "Школьный бюджет" проводится подготовительная работа Школьного совета, начало информационной кампании. Представители Администрации и Отдела образования проводят инструктаж Школьных кураторов перед проведением классных собраний.  На уровне школ информационная кампания организуется и проводится Школьным советом при содействии Школьных кураторов.Школьный совет и Школьные кураторы проводят классные собрания, на которых информируют учащихся 9-11 классов о возможности принять участие в Проекте. Для информирования учащихся школы материалы о Проекте, а также о планируемых в связи с ним мероприятиях размещаются Школьным советом на информационных стендах и официальных сайтах школы. https://vk.com/mo_mednogorsk?w=wall-198446316_3841
https://vk.com/profm56?w=wall-202109114_567</t>
  </si>
  <si>
    <t xml:space="preserve"> https://gy.orb.ru/presscenter/news/50364/; https://gy.orb.ru/presscenter/news/46057/;</t>
  </si>
  <si>
    <t xml:space="preserve">Публикации информации о проекте на официальном сайте администрации города, в газете, социальных сетях, при проведении уроков финансовой грамотности в организациях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организациях города  на которых разъясняется механизм реализации и участия в данном проекте. </t>
  </si>
  <si>
    <t xml:space="preserve">Публикации информации о проекте на официальном сайте администрации города и школ, размещается на информационных стендах в общедоступных местах школы,  в  социальных сетях. Специалистами Финансового управления администрации города Бузулука  ежегодно проводится большая работа по повышению финансовой грамотности  на которых разъясняется механизм реализации  данного проекта. </t>
  </si>
  <si>
    <t xml:space="preserve">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 </t>
  </si>
  <si>
    <t>Информирование омичей Администрацией города осуществлялось посредством средств массовой информации и социальных сетей. 
В официальных сообществах Администрации города в социальных сетях "ВКонтакте", "Одноклассники", и "Telegram" было опубликовано 22 поста. 
Примеры:
https://vk.com/wall-117639365_172057
https://vk.com/wall-117639365_181189
https://vk.com/wall-117639365_186058
https://vk.com/wall-117639365_189015</t>
  </si>
  <si>
    <t>Информирование о проекте  через социальные сети, размещение объявления о проведении  инициативного проета в общественных местах</t>
  </si>
  <si>
    <t>Информация о конкурсе проектов  была опубликована на сайте администрации муниципального образования в информационно-телекоммуникационной сети «Интернет»: buqadmin.orb.ru  в разделе бюджет/народный бюджет.</t>
  </si>
  <si>
    <t xml:space="preserve">сайты и социальные сети </t>
  </si>
  <si>
    <t xml:space="preserve">
Комитетом образования Администрации Крестецкого района на образовательные организации района было направленно письмо с предложением поучаствовать в муниципальном проекте "Твой школьный бюджет". Срок предоставление заявок в комитет образования до 16.02.2021. После завершения заявочной компании были обговорены сроки защиты проектов. 09.04.2023 года состоялась защита проектов и подведены итоги.
 </t>
  </si>
  <si>
    <t>ТВ, интернет ресурсы, социальные сети,</t>
  </si>
  <si>
    <t>Информация в районной еженедельной газете "Омсукчанские вести", сайт администрации Омсукчанского городского округа</t>
  </si>
  <si>
    <t>Распространение информационных материалов о Проекте через официальный сайт в информационно-телекоммуникационной сети Интернет; на информационном стенде финансового управления администрации и информационных стендах города; в газете "Свободная территория" (выпуск от 17.03.2022 года №11(372).</t>
  </si>
  <si>
    <t>социальные сети Viber, WatsApp</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</si>
  <si>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в учебных учреждениях, на стенде финансового управления администрации.</t>
  </si>
  <si>
    <t>обсуждение в мессенджерах</t>
  </si>
  <si>
    <t>в стадии разработки</t>
  </si>
  <si>
    <t xml:space="preserve">Рекламная кампания ИБ в муниципальном образовании проводилась через  социальные сети
https://vk.com/wall-100423544_8788
 </t>
  </si>
  <si>
    <t>официальный сайт Тенгинского сельского поселения, социальные сети, сайт общественно-политической газеты Усть-Лабинского района Краснодарского края "Сельская Новь", наружная реклама</t>
  </si>
  <si>
    <t>официальный сайт Железного сельского поселения, социальные сети, сайт общественно-политической газеты Усть-Лабинского района Краснодарского края "Сельская Новь", наружная реклама, беседы квартальных с населением</t>
  </si>
  <si>
    <t>официальный сайт Кирпильского сельского поселения, социальные сети, сайт общественно-политической газеты Усть-Лабинского района Краснодарского края "Сельская Новь", наружная реклама</t>
  </si>
  <si>
    <t>официальный сайт Ленинского сельского поселения, социальные сети, сайт общественно-политической газеты Усть-Лабинского района Краснодарского края "Сельская Новь", наружная реклама</t>
  </si>
  <si>
    <t>официальный сайт Двубратского сельского поселения, социальные сети, сайт общественно-политической газеты Усть-Лабинского района Краснодарского края "Сельская Новь", наружная реклама</t>
  </si>
  <si>
    <t>социальные сети, официальный сайт администрации МО Успенский район</t>
  </si>
  <si>
    <t>Социальные сети, газета  "Роговчанка"</t>
  </si>
  <si>
    <t>Социальные сети, информационные стенды в общественных местах, публикации в местной газете "Наши вести"</t>
  </si>
  <si>
    <t>Социальные сети, Вконтакте, Телеграм</t>
  </si>
  <si>
    <t xml:space="preserve">ТВ, радио, наружная реклама, социальные сети и др.: https://t.me/officialsochi/20717
https://ok.ru/group54127878275224/topic/154792896376216 
https://vk.com/sochigov?w=wall-55888465_50557 
https://t.me/officialsochi/20646 
https://ok.ru/group54127878275224/topic/154786570710424 
https://vk.com/sochigov?w=wall-55888465_50386 
https://t.me/officialsochi/20334 
https://ok.ru/group54127878275224/topic/154765411757464 
https://vk.com/sochigov?w=wall-55888465_49805 
https://t.me/officialsochi/18340 
https://ok.ru/group54127878275224/topic/154604732951960 
https://vk.com/sochigov?w=wall-55888465_46518 
https://vk.com/sochigov?w=wall-55888465_52269 
https://ok.ru/group54127878275224/topic/154897916308888 
https://t.me/officialsochi/21993 
https://t.me/officialsochi/20224 
https://vk.com/sochigov?w=wall-55888465_49618 
https://ok.ru/group54127878275224/topic/154756553256344 
https://vk.com/sochigov?w=wall-55888465_44116 
https://ok.ru/group54127878275224/topic/154427775987096 
https://t.me/officialsochi/15069 
https://vk.com/sochigov?w=wall-55888465_55620 
https://ok.ru/group54127878275224/topic/155179356073368 
https://t.me/officialsochi/24469 
https://vk.com/sochigov?w=wall-55888465_55548 
https://ok.ru/group54127878275224/topic/155168626847128 
https://t.me/officialsochi/24414 </t>
  </si>
  <si>
    <t>совещание с председателями домовых и квартальных комитетов о реализации инициативных проектов, размещение информации в сети Интернет на официальном скайте администрации Северского сельского поселения. https://severskoe.sevadm.ru/about/initsiativnye-proekty/</t>
  </si>
  <si>
    <t xml:space="preserve">За счет внебюджетных средств издано 10000 экземпляров раздаточного материала. Также разработан дизайн и напечатано 5 универсальных баннеров размером 3х2 метра для использования в информационных целях на гостевых улицах города Новороссийска. Ролики и сюжеты в новостных выпусков телеканала "Новороссийское телевидение", а также в пабликах социальных сетей. И публикации в городских СМИ: Новороссийский рабочий, Вечерний Новороссийск, Наша газета, Блокнот Новороссийс. Также через общественные чаты и электронную платформу «Мой Новороссийск» (отдельная вкладка Городские проекты»; https://мой-новороссийск.рф/programs) в течение года презентовались проекты, которые поддержаны и реализуются инициативными группами, что позволяет направлению «Инициативное бюджетирование» стать более открытым и доступным для горожан. https://disk.yandex.ru/d/5vc1P7XRXnrLYw </t>
  </si>
  <si>
    <t>официальный сайт администрации Безводного сп; объявления на социально значимых объектах.</t>
  </si>
  <si>
    <t>объявление на социально-значимых объектах</t>
  </si>
  <si>
    <t>радио</t>
  </si>
  <si>
    <t>наружная реклама, освещение информации на официальном сайте администрации</t>
  </si>
  <si>
    <t>Наружная реклама, публикация в газете, официальный сайт администрации в сети "Интернет"</t>
  </si>
  <si>
    <t>Проводятся семинары с общественными объединениями и руководителями территорориального общественного самоуправления. Информация о завершившихся проектах публикуется в социальных сетях</t>
  </si>
  <si>
    <t>Размещение информации в социальных сетях и на официальном сайте поселения</t>
  </si>
  <si>
    <t>публикация материалов в газете «Голос Правды», официальный сайт администрации Ивановского сельского поселения Красноармейского района</t>
  </si>
  <si>
    <t>Информация размещена на официальном сайте Журавского сельского поселения в сети "Интернет", на информационных стендах Журавского сельского поселения кореновского района. https://zhuravskaja.ru/</t>
  </si>
  <si>
    <t>https://dyadkovskaya.ru/initsiativnoe-byudzhetirovanie/10834-reshenie-soveta-dyadkovskogo-selskogo-poseleniya-korenovskogo-rajona-ot-16-12-2020-82-ob-utverzhdenii-polozheniya-o-poryadke-realizatsii-initsiativnykh-proektov-v-dyadkovskom-selskom-poselenii-korenovskogo-rajona</t>
  </si>
  <si>
    <t>Сход граждан, опрос граждан, оповещение в СМИ</t>
  </si>
  <si>
    <t>Распространялись информационные листовки, через местное радио в общественных местах, рассылки в местные социальные группы.</t>
  </si>
  <si>
    <t>официальный сайт, мессенждеры, сходы, подворовой обход</t>
  </si>
  <si>
    <t>наружная реклама, публикация в газете, официальный сайт</t>
  </si>
  <si>
    <t>пресса, сходы, подворовой обход</t>
  </si>
  <si>
    <t xml:space="preserve">Информация размещалась на официальных стендах, на официальном сайте администрации Новопавловского сельского поселения Белоглинского района, на страничке ТОС, главы поления в Одноклассниках и Контакте, объявления распоространялись в каждый дом </t>
  </si>
  <si>
    <t>https://adm-yaroslavskogo.ru/проекты-местных-инициатив</t>
  </si>
  <si>
    <t>Рекламная компания проводилась в социальныхх сетях, газете "Ухта", ТРК Юрган"официальом портале администрации МОГО "Ухта"</t>
  </si>
  <si>
    <t>На официальном сайте администрации МО ГО "Усинск", в социальной сети Вконтакте группа "Администрация МО ГО "Усинск"</t>
  </si>
  <si>
    <t>Информация  в текстовом варианте,фотоотчет размещались на сайтах администраций сельских поселений,администрации района.</t>
  </si>
  <si>
    <t>Размещение объявлений в соц. сетях о начале приема заявок, о ходе выполнения работ</t>
  </si>
  <si>
    <t>Информационное сопровождение практики осуществлялось с использованием ТВ и социальных сетей и на официальном сайте МОГО "Инта"</t>
  </si>
  <si>
    <t>На собрание жителей улицы Черемушки проведены подготовительные работы по оценке проекта, принято решение об участии в программе</t>
  </si>
  <si>
    <t>Через депутатов окружного Совета депутатов МО "Светловский городской округ"</t>
  </si>
  <si>
    <t xml:space="preserve">Информационная кампания об инициативах  и Народном голосовании проводилась на официальном сайте мэрии города Череповца, через социальные сети (в т.ч. Официальные группы ТОС/Управы вКонтакте), в СМИ, через цифровую платформу городского портала "Мой Череповец", в т.ч. путем публичных опросов. </t>
  </si>
  <si>
    <t>https://33mayak.ru/2022/04/21/58568;   https://vk.com/wall-186108534_9880</t>
  </si>
  <si>
    <t>публикация на официальном сайте администрации Навлинского муниципального района Брянской области</t>
  </si>
  <si>
    <t>https://vk.com/yakovlevez?w=wall-202831546_401&amp;ysclid=lggl3asamn715497386</t>
  </si>
  <si>
    <t>наружная реклама(листовки)</t>
  </si>
  <si>
    <t>Материалы городских информационно-общественных газетах "Новое время", "Эфир Губкина", сюжеты Губкинского телерадиокомитета</t>
  </si>
  <si>
    <t>Радио, социальные сети</t>
  </si>
  <si>
    <t>рекламная кампания проводилась посредством интернет-ресурсов и социальных сетей</t>
  </si>
  <si>
    <t xml:space="preserve">Размещение информации на официальном сайте муниципального района, размещение наружной рекламы </t>
  </si>
  <si>
    <t>Размещение информации на официальном сайте муниципального района, размещение наружной рекламы, газета https://put-okt.com/articles/novosti-goroda/2022-07-06/v-meleuzovskom-rayone-startoval-konkurs-nashe-selo-2865595?utm_source=odnoklassniki&amp;utm_medium=social&amp;utm_campaign=57883334475810 ; http://admdenis.ru/news/item/211</t>
  </si>
  <si>
    <t>Размещение информации на официальном сайте муниципального района, размещение наружной рекламы  http://artakul.ru/itogovoe-sobranie-realizatsii-programmy-nashe-selo-2022-v-s-artakul-karaidelskogo-rajona-respubliki-bashkortostan-23-maya-2022-g/</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</si>
  <si>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округа"Город Архангельск" (www.arhcity.ru), в группах Вконтакте "Бюджет Архангельска", "Бюджет твоих возможностей и инциативные проекты граждан", "Открытый Архангельск". 
https://vk.com/wall-178985470_769
https://vk.com/wall-178985470_785</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</si>
  <si>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округа"Город Архангельск" (www.arhcity.ru), в группах Вконтакте "Бюджет Архангельска", "Бюджет твоих возможностей и инциативные проекты граждан", "Открытый Архангельск". Кроме того, выходили сюжеты о проекте на телевидении.
https://vk.com/wall-178985470_847
https://vk.com/video-64387052_456249421</t>
  </si>
  <si>
    <t>Описание того, каким образом и в каких масштабах проводилась рекламная кампания ИБ в муниципальном образовании (ТВ, радио, наружная реклама, социальные сети и др.). Ссылки на примеры, обеспечившие самый большой охват населения или целевой аудитории практики</t>
  </si>
  <si>
    <t>19.4.</t>
  </si>
  <si>
    <t>https://vk.com/uyt_yamal</t>
  </si>
  <si>
    <t>https://tasu.ru/ekonomika-i-finansy/initsiativnoe-byudzhetirovanie/, https://живёмнасевере.рф/about_yamal</t>
  </si>
  <si>
    <t>https://vektor-tv.ru/upload/iblock/edf/edf43b0aa455055a1a5eb455ec3d1e53.png</t>
  </si>
  <si>
    <t>https://disk.yandex.ru/d/CmMsm_ql0UsX5Q</t>
  </si>
  <si>
    <t>https://admnoyabrsk.ru/obshchestvo/ritm?ysclid=lg3nvhi7gc998813957</t>
  </si>
  <si>
    <t>https://shurbiblio.yam.muzkult.ru/media/2019/08/02/1263863178/yamal.png</t>
  </si>
  <si>
    <t>https://lbt.yanao.ru/presscenter/news/10190/</t>
  </si>
  <si>
    <t xml:space="preserve">https://df.salekhard.org/upload/medialibrary/db2/%D1%83%D1%8E%D1%82%D0%BD%D1%8B%D0%B9%20%D1%8F%D0%BC%D0%B0%D0%BB.png                         </t>
  </si>
  <si>
    <t>http://nvraion.ru/ekonomika-i-finansy/initsiativnoe-byudzhetirovanie/ЦВЕТ.jpg</t>
  </si>
  <si>
    <t>https://drive.google.com/drive/folders/1Cj39TXvcKs2o4kcb7PJInFNb22_W36dG?usp=sharing</t>
  </si>
  <si>
    <t>https://www.n-vartovsk.ru/ibudget/</t>
  </si>
  <si>
    <t>https://admsurgut.ru/rubric/24927/Ispolzovanie-brendbuka-pri-provedenii-municipalnogo-konkursa-iniciativnyh-proektov</t>
  </si>
  <si>
    <t>http://www.admoil.ru/finans/narodni-budget/logotip.rar</t>
  </si>
  <si>
    <t>https://zav-18.gosuslugi.ru/obschestvennyy-kontrol/initsiativnye-proekty/</t>
  </si>
  <si>
    <t xml:space="preserve">
http://www.tyumen-city.ru/ekonomika/finansi/iniciativnoe-budjetirovanie/</t>
  </si>
  <si>
    <t>http://petrgosk.ru/initsiativnye-proekty/</t>
  </si>
  <si>
    <t>https://www.кочубеевский-район.рф/izveshcenie-o-vnesenii-initciativnykh-proektov-2022.html</t>
  </si>
  <si>
    <t>http://kir-portal.ru/upload/medialibrary/8fd/8fd54616581f0d9d880082d61381ba03.jpg</t>
  </si>
  <si>
    <t>http://www.ipatovo.org/userfiles/image/initiatives_projects.jpeg</t>
  </si>
  <si>
    <t>https://georgievsk.ru/mestnye-initsiativy/budjetirovanie/nashokrug.jpg</t>
  </si>
  <si>
    <t>https://alapaevskoe.ru/article/show/id/10217</t>
  </si>
  <si>
    <t>https://vk.com/sbor.budget?z=photo-51946917_456239578%2Falbum-51946917_0%2Frev</t>
  </si>
  <si>
    <t>https://samadm.ru/upload/iblock/b87/Informatsionnoe-soobshchenie-po-TKD.docx</t>
  </si>
  <si>
    <t>https://pohgor.ru/sociosfera/prestige-pricing/image-projects_56.html</t>
  </si>
  <si>
    <t xml:space="preserve">https://spasskd.ru/images/files/2022/ago/04/foto_mestnaya_iniciativa.jpg  </t>
  </si>
  <si>
    <t>https://sun9-9.userapi.com/impg/dzXnoRHDmP8elgq3frPkEiWZkI7scWVV5IicWQ/_3pj8kjAHWw.jpg?size=927x631&amp;quality=95&amp;sign=ca1913112ee4399d625970e617235a88&amp;c_uniq_tag=OU88g3Ov147kk_MMyX4Y7JjmZs2BA2MJ4l4NqLOjJJU&amp;type=album</t>
  </si>
  <si>
    <t>https://tl.orb.ru/activity/10699/</t>
  </si>
  <si>
    <t>http://fin-or.ru/content/narodnyy-byudzhet</t>
  </si>
  <si>
    <t>https://finotdnovoorsk.ru/kadrovoe-obespechenie</t>
  </si>
  <si>
    <t xml:space="preserve"> --</t>
  </si>
  <si>
    <t>https://vk.com/club211208773?z=photo-211208773_457239022%2Falbum-211208773_00%2Frev</t>
  </si>
  <si>
    <t>http://www.gfo-sorochinsk.ru/tshb</t>
  </si>
  <si>
    <t>https://www.finuprgaj.ru/проекты-молодежного-бюджета/2022-год/2; https://gy.orb.ru/documents/active/66763/; https://gy.orb.ru/presscenter/news/40226/</t>
  </si>
  <si>
    <t>https://buzuluk.orb.ru/activity/20976/</t>
  </si>
  <si>
    <t>https://buzuluk.orb.ru/activity/23687/</t>
  </si>
  <si>
    <t>https://disk.yandex.ru/i/rzhmmNjAlE-1Kg</t>
  </si>
  <si>
    <t>https://komobrlub.edusite.ru/images/p94_ob-yavlenie-tshb-_1_.jpg</t>
  </si>
  <si>
    <t>http://vnovobr.ru/pages/?id=131</t>
  </si>
  <si>
    <t>https://dzhankoy.rk.gov.ru/uploads/txteditor/dzhankoy/attachments/d4/1d/8c/d98f00b204e9800998ecf8427e/phpm1golM_молодое%20поколение%20Инициативное%20бюджетирование%20ПЛАКАт%202021.jpg</t>
  </si>
  <si>
    <t>http://starscherb.ru/2022/Iniciati_proekt/ustanovka_v_parke_kultury_i_otdykha_malykh_arkhite.docx</t>
  </si>
  <si>
    <t>https://disk.yandex.ru/d/0znO5iLzr_dUIA</t>
  </si>
  <si>
    <t>http://безводное.рф/iniciativnoe-byudzhetirovanie-1.html</t>
  </si>
  <si>
    <t>https://m.vk.com/club211384202</t>
  </si>
  <si>
    <t>http://xn----7sbbaibk7avopm4b4o.xn--p1ai/ivanovskoe-sel-skoe-poselenie-krasnoarmeyskogo-rayona-podalo-zayavku-dlya-uchastiya-v-kraevom-konkurse-po-otboru-proektov-mestnykh-initciativ-v-2022-godu.html</t>
  </si>
  <si>
    <t>https://privoladm.ru/initsiativnoe-byudzhetirovanie</t>
  </si>
  <si>
    <t>https://пшехское.рф/novosti/39549/</t>
  </si>
  <si>
    <t xml:space="preserve">
У каждого ТОС/Управы свой логотип</t>
  </si>
  <si>
    <t>https://karaidel.bashkortostan.ru/presscenter/news/357766/</t>
  </si>
  <si>
    <t>https://www.arhcity.ru/</t>
  </si>
  <si>
    <t>https://www.arhcity.ru/?page=2371/1</t>
  </si>
  <si>
    <t>https://trk-luch.ru/search/index.php?q=Уютный+Ямал&amp;s=
https://газетасеверныйлуч.рф/search/index.php?tags=&amp;q=Уютный+Ямал&amp;where=&amp;how=r
https://www.puradm.ru/search/index.php?tags=&amp;q=«Уютный+Ямал»&amp;how=r
https://dfik.ru/#iniciativa
https://vk.com/depfinpurovskiy
https://t.me/puradm/599
https://t.me/puradm/476
https://t.me/puradm/655
https://t.me/puradm/1289
https://t.me/puradm/1299
https://t.me/puradm/1550
https://t.me/puradm/1576
https://t.me/puradm/1601
https://vk.com/public_pur_adm_89
https://газетасеверныйлуч.рф/search/index.php?tags=&amp;q=школа+идей&amp;where=&amp;how=r
https://trk-luch.ru/news/v-khanymeyskoy-shkole-2-proveli-den-otkrytykh-dverey/?sphrase_id=88284</t>
  </si>
  <si>
    <t>https://vk.com/wall-170887968_10466
https://vk.com/wall-170887968_10497
https://vk.com/wall-170887968_10721
https://vk.com/wall-170887968_11022
https://vk.com/wall-170887968_11226
https://vk.com/wall-170887968_12181
https://vk.com/wall-170887968_12191
https://vk.com/wall-170887968_12314
https://vk.com/wall-170887968_12380
https://vk.com/wall-170887968_12405
https://vk.com/wall-170887968_12659</t>
  </si>
  <si>
    <t>https://vk.com/public170438171
https://uoshur.yanao.ru/</t>
  </si>
  <si>
    <t>https://vk.com/nadymregion 
https://vk.com/nadfin
https://ok.ru/nadym.yanao
https://ok.ru/group/70000001212589
https://t.me/nadym_region</t>
  </si>
  <si>
    <t>https://www.gubadm.ru/
https://vk.com/gubadm
https://vk.com/gubvektor
https://vk.com/gubkinskiy
https://vk.com/garanin_a_m
https://t.me/gubadm89
https://www.gubadm.ru/
https://t.me/AMGaranin
https://t.me/vektor_gub</t>
  </si>
  <si>
    <t>https://vk.com/wall-189302525?q=бюджетирование</t>
  </si>
  <si>
    <t xml:space="preserve">https://nur.yanao.ru/presscenter/news/101903/,
https://nur.yanao.ru/presscenter/news/104171/,
https://nur.yanao.ru/presscenter/news/105427/,
https://nur.yanao.ru/presscenter/news/107934/,
https://nur.yanao.ru/presscenter/news/109246/,
https://nur.yanao.ru/presscenter/news/115792/,
https://nur.yanao.ru/presscenter/news/115994/,
https://nur.yanao.ru/presscenter/news/116369/,
https://nur.yanao.ru/presscenter/news/122784/,
https://nur.yanao.ru/presscenter/news/130089/ 
</t>
  </si>
  <si>
    <t>https://m.vk.com/lbt_yanao_ru</t>
  </si>
  <si>
    <t>https://vk.com/uyt_yamal, https://df.salekhard.org/  (РАЗДЕЛ "БИГ")</t>
  </si>
  <si>
    <t>https://gazeta-hmrn.ru/index.php</t>
  </si>
  <si>
    <t>https://vk.com/budget_news
https://t.me/budget_news</t>
  </si>
  <si>
    <t>http://shugur.ru/narodnyy-byudzhet.html</t>
  </si>
  <si>
    <t>https://vk.com/public188912037    https://vk.com/public188912037?w=wall-188912037_1541    https://ok.ru/feed   https://vk.com/mortkinskaya_school https://vk.com/86evra?w=wall-112511363_7659   http://admkonda.ru/mortka-informatciya-ob-yavleniya.html</t>
  </si>
  <si>
    <t xml:space="preserve">https://vk.com/public183840176?w=wall-183840176_1752
https://ok.ru/group/60701864427563/topic/154321549171499
https://ok.ru/group/60701864427563/topic/154535610063659
https://vk.com/public183840176?w=wall-183840176_1851
https://vk.com/public183840176?w=wall-183840176_1853
https://ok.ru/group/60701864427563/topic/154535931845419
https://vk.com/public183840176?w=wall-183840176_1936
https://vk.com/public183840176?w=wall-183840176_1953
https://vk.com/public183840176?w=wall-183840176_1942
https://vk.com/public183840176?z=video-112511363_456240262%2F4da236475b421698e4%2Fpl_wall_-183840176
https://vk.com/public183840176?z=video-112511363_456240241%2F464da80bde01aa1aa3%2Fpl_wall_-183840176
https://ok.ru/group/60701864427563/topic/155419464407851
https://vk.com/public183840176?w=wall-183840176_2369
https://ok.ru/group/60701864427563/topic/155288281062187
https://vk.com/public183840176?w=wall-183840176_2445
https://vk.com/public183840176?w=wall-183840176_2569
https://vk.com/public183840176?z=video-172622683_456239533%2F5fa896b4234831d2b1%2Fpl_wall_-183840176
https://vk.com/public183840176?w=wall-183840176_2578
 </t>
  </si>
  <si>
    <t>https://vk.com/wall21074557_555
https://vk.com/wall21074557_579
https://vk.com/wall-188645291_749
https://vk.com/wall-188645291_751
https://vk.com/wall-188645291_758
https://vk.com/wall-188645291_763
https://vk.com/wall21074557_591</t>
  </si>
  <si>
    <t>https://vk.com/topic-172622683_46851082;  https://vk.com/wall10659960_3795;  https://vk.com/wall10659960_3790;  https://vk.com/wall-172622683_9716; https://vk.com/wall-112511363_8945</t>
  </si>
  <si>
    <t xml:space="preserve">https://www.n-vartovsk.ru/ibudget/                                         https://www.n-vartovsk.ru/news/citywide_news/bvk/408256.html Репортаж телеканала "Мегаполис" https://vk.com/video-96877798_456263072?access_key=cff001691805b99d85       https://vk.com/wall-123264310_460853
https://www.youtube.com/watch?v=616tyH7F3g4                   ТРК «Самотлор» https://vk.com/video-77503436_456255680,
https://vk.com/wall-77503436_60278                                      https://www.youtube.com/watch?v=A6BAYvXnMUE
https://tochka.in/iniciativy-2022-goda-zhiteli-hotyat-prokachat-sportploshhadku/                                                     https://www.samotlor.tv/ru/news-page/admnv/blagodarya-sovmestnoj-rabote-initsiativnykh-vartovchan-i-gorodskikh-vlastej-nizhnevartovsk-preobrazhaetsya https://www.nakanune.ru/news/2022/09/14/22674835/ https://isib.myopenugra.ru/   
</t>
  </si>
  <si>
    <t>https://vk.com/public211812330</t>
  </si>
  <si>
    <t>http://berezovo.info/, t.me/berezovo_ru (https://t.me/berezovo_ru), http://berezovo.info/gazeta-zhizn-jugry/, https://vk.com/club216228278, https://vk.com/berezovoinfo, https://t.me/BEREZOVOINFO</t>
  </si>
  <si>
    <t xml:space="preserve">https://vk.com/video-88087398_456244554 </t>
  </si>
  <si>
    <t>https://vk.com/ofmegion</t>
  </si>
  <si>
    <t xml:space="preserve">1) http://uray.ru/;
2) https://vk.com/official_uray;
3) https://ok.ru/admuray;
4)  https://infoflag.ru/;
5) https://vk.com/znamy_uray86;
</t>
  </si>
  <si>
    <t>https://vk.com/wall-119764592_433</t>
  </si>
  <si>
    <t>http://www.tyumen-city.ru/ekonomika/finansi/iniciativnoe-budjetirovanie/</t>
  </si>
  <si>
    <t>https://g58.tmbreg.ru/zhilischno-kommunalnoe-hozjajstvo.html</t>
  </si>
  <si>
    <t>http://updtpmo.ru/</t>
  </si>
  <si>
    <t>https://www.angosk.ru/index.php/mestnye-initsiativy</t>
  </si>
  <si>
    <t>https://nevadm.ru/news/media/2022/4/20/novuyu-sportploschadku-postroyat-dlya-nevinnomyisskih-shkolnikov/
https://www.instagram.com/reel/CaC5fjLKYCL/?utm_medium=copy_link
https://www.nevworker.ru/articles/society/v_nevinnomysske_nachnut_stroit_mnogofunktsionalnuyu_sportploshchadku_/</t>
  </si>
  <si>
    <t xml:space="preserve"> http://abgosk.ru/finansy/initsiativnoe-byudzhetirovanie/initsiativnoe-byudzhetirovanie.php                                                 http://abgosk.ru/city/media_area/izv/2021/gazeta_19(124)2021.docx   https://www.instagram.com/p/CT7H-r0q920/
https://www.instagram.com/p/CT7IJ60qKnP/
https://ok.ru/abgosk/statuses/153576296072057
https://vk.com/abgosk_official?w=wall508236364_1902%2Fall</t>
  </si>
  <si>
    <t>http://www.andropovskiy.ru/index.php?option=com_content&amp;view=category&amp;layout=blog&amp;id=172&amp;Itemid=628&amp;lang=ru                              http://www.mokrimgireevskoe.ru/index.php/2011-07-27-05-40-23/2021-год-2          https://vk.com/id711761562           https://ok.ru/group/60089948307599     https://t.me/kurshava</t>
  </si>
  <si>
    <t>https://vk.com/club211961988
https://asbestadm.ru/economy/initsiativnoe-byudzhetirovanie/                                                               
https://vk.com/zaasbest</t>
  </si>
  <si>
    <t>да https://vk.com/sbor.budget</t>
  </si>
  <si>
    <t>http://vodokanalchap.ru/files/Поддержка%20местных%20инициатив%20на%202022%20год.pdf</t>
  </si>
  <si>
    <t xml:space="preserve">https://promadm.ru/narodnoe_iniciativnoe_byudzhetirovanie/, https://vk.com/club168168058,
https://ok.ru/group55281698865277
https://t.me/admprom
https://vk.com/club168168058
https://promadm.ru/
</t>
  </si>
  <si>
    <t>https://pohgor.ru/sociosfera/prestige-pricing/image-projects_56.html          https://pohgor.ru/sociosfera/prestige-pricing/image-projects_57.html  https://vk.com/public168256203?w=wall-168256203_13825https://pohgor.ru/sociosfera/prestige-pricing/image-projects_58.html</t>
  </si>
  <si>
    <t>https://vk.com/fuauss
https://adm-ussuriisk.ru/ob_okruge/otkrytyy_byudzhet/initsiativnoe_byudzhetirovanie/
https://ok.ru/profile/600168253752/groups
https://t.me/finupradmUSS</t>
  </si>
  <si>
    <t xml:space="preserve">https://vk.com/wall-203950610_1948  
https://ok.ru/group/53654412918946/album/53654421110946/919099367074 
https://t.me/spasskadmin/842
https://ok.ru/group/53654412918946/topic/153922391615650
https://t.me/gospasskadmin/9965 
https://ok.ru/spasskgo/topic/154467984713890
</t>
  </si>
  <si>
    <t xml:space="preserve">http://www.artemokrug.ru/about/info/news/33785/
http://www.artemokrug.ru/about/info/news/33534/ </t>
  </si>
  <si>
    <t>https://vk.com/wall-179945354?q=%D0%B8%D0%BD%D0%B8%D1%86%D0%B8%D0%B0%D1%82%D0%B8%D0%B2%D0%BD%D1%8B%D0%B5%20%D0%BF%D1%80%D0%BE%D0%B5%D0%BA%D1%82%D1%8B&amp;w=wall-179945354_10938</t>
  </si>
  <si>
    <t>https://www.penzainform.ru/news/social/2022/06/07/na_podderzhku_initciativ_grazhdan_iz_byudzheta_penzi_videlyat_18_mln.html</t>
  </si>
  <si>
    <t>https://vk.com/id759436775</t>
  </si>
  <si>
    <t>https://ok.ru/group/55117096812709/topic/154245047101605</t>
  </si>
  <si>
    <t>https://vk.com/fintotsk?w=wall-163040897_111, https://ok.ru/adm.tockoe/topic/154230528976262, https://ok.ru/adm.tockoe/topic/154928098944390</t>
  </si>
  <si>
    <t>https://vk.com/wall418432023_262</t>
  </si>
  <si>
    <t xml:space="preserve">https://vk.com/56finor?w=wall-190966048_142
https://ok.ru/group/67794830884909/topic/155178608242733
https://t.me/finor56 
</t>
  </si>
  <si>
    <t>https://ok.ru/group/55033267880141, https://vk.com/public212961850</t>
  </si>
  <si>
    <t>https://vk.com/buzulukskiyraion?w=wall-173587551_1491                              https://bz.orb.ru/about/news/76955/             https://ok.ru/buzulukskiy.raion/topic/155008682735054</t>
  </si>
  <si>
    <t xml:space="preserve"> http://xn----8sbbyfgcdai3alxj0abb.xn--p1ai/about/news/74171/ , http://xn----8sbbyfgcdai3alxj0abb.xn--p1ai/officials/units/finansovyy-otdel/ , http://xn----8sbbyfgcdai3alxj0abb.xn--p1ai/about/news/78824/ , https://ok.ru/profile/576859143118/statuses/155252224734670</t>
  </si>
  <si>
    <t>https://bugr.orb.ru/activity/30209/</t>
  </si>
  <si>
    <t>https://www.aleksandrovka56.ru/munitsipalitet/?ELEMENT_ID=4542</t>
  </si>
  <si>
    <t xml:space="preserve">https://vk.com/club211208773?w=wall-211208773_52%2Fall
</t>
  </si>
  <si>
    <t>https://vk.com/@-211208773-praktiki-iniciativnogo-budzhetirovaniya-opyt-adamovskogo-rai
https://vk.com/club211208773?w=wall-211208773_25%2Fall</t>
  </si>
  <si>
    <t>https://xn----gtbdkiklee8agu5h7b.xn--p1ai/proekt-narodnyij-byudzhet</t>
  </si>
  <si>
    <t>https://vk.com/profm56</t>
  </si>
  <si>
    <t>https://vk.com/wall-43693019_9940</t>
  </si>
  <si>
    <t>https://vk.com/wall-120041745_17733</t>
  </si>
  <si>
    <t>https://vk.com/wall-117639365_195731</t>
  </si>
  <si>
    <t>http://ivnmssk.tevr.omskportal.ru/omsu/tevr-3-52-255-1/poseleniya/ivanovo-myisskoe/etc/inibudget</t>
  </si>
  <si>
    <t>http://okuladm.ru/news/23297</t>
  </si>
  <si>
    <t>https://vk.com/wall-188987338_4254,                                                    https://vk.com/wall-188987338_3174,                                                  https://vk.com/wall-188987338_2995,                                                                                                  https://vk.com/wall-188987338_2686,                                                                                                         https://vk.com/wall-188987338_2848</t>
  </si>
  <si>
    <t xml:space="preserve">https://disk.yandex.ru/i/1P21Z3kgteCbqQ 
https://velikiynovgorod.bezformata.com/listnews/proekti-na-konkursnom-otbore-shkolniy/104818030/ 
https://novgorod-tv.ru/novosti/58363-v-shkole-13-proshlo-prazdnovanie-dnya-kosmonavtiki.html 
https://vk.com/wall-211597998_22  
https://novgorod-tv.ru/tegi/shkola-13.html 
https://novgorod-tv.ru/novosti/58311-uchenikov-shkoly-13-poznakomili-s-professiej-ekologa-v-ramkakh-proekta-kod-uspekha.html 
https://vesti53.com/projects/vesti-velikij-novgorod/10461-v-velikom-novgorode-nagradili-pobeditelej-regionalnogo-konkursnogo-otbora-proektov-shkolnyj-byudzhet-2022-v-ramkakh-realizatsii-klasternogo-proekta-oblast-vozmozhnostej-53-kod-uspekha.html 
https://vk.com/wall-211597998   
https://budget4me.ru/projects/view-project/?view=85442 
https://budget4me.ru/projects/view-project/?view=57472  
https://budget4me.ru/projects/view-project/?view=74222  
https://budget4me.ru/projects/view-project/?view=57232  
https://vk.com/wall-211597998_22  
https://vesti53.com/projects/vesti-velikij-novgorod/10461-v-velikom-novgorode-nagradili-pobeditelej-regionalnogo-konkursnogo-otbora-proektov-shkolnyj-byudzhet-2022-v-ramkakh-realizatsii-klasternogo-proekta-oblast-vozmozhnostej-53-kod-uspekha.html  
https://budget4me.ru/upload/medialibrary/a5a/a5acff8060012be9ba446be8c5559669.pdf 
</t>
  </si>
  <si>
    <t>https://vk.com/public194261304?w=wall-194261304_1908</t>
  </si>
  <si>
    <t>https://vk.com/stvsemenov?z=video-213848216_456239395%2Fe33fe47399e5ac0148%2Fpl_post_-213848216_816</t>
  </si>
  <si>
    <t>http://suhobuzimo.ru/sites/default/files/docs/byudzhet_dlya_grazhdan_2023.pdf
http://borsky.ru/news/340-blagoustrojstvo-kladbishcha.html
http://borsky.ru/news/331-remont-dorogi.html
https://vk.com/wall-212126507_909
http://minderla.ru/news/829-grazhdanskaya-initsiativa.html
http://nahvalskoe.ru/vizitnaya-kartochka/fotogalereya2.html
http://podsopki.ru/in-proekt.html
http://suhobuzimskiy-sovet.ru/node/410 
https://vk.com/wall-217627959_116
http://shilinsk.ru/grazhdanskaya-initsiativa.html</t>
  </si>
  <si>
    <t>https://vk.com/officialadmse</t>
  </si>
  <si>
    <t>VK
https://vk.com/wall-100423544_14463
https://vk.com/wall-100423544_14388
https://vk.com/wall-100423544_11304
https://vk.com/wall-100423544_10935
https://vk.com/wall-100423544_8788
OK
https://ok.ru/group62405578129529/topic/154593610679161
https://ok.ru/group62405578129529/topic/154948767302521
https://ok.ru/group62405578129529/topic/154954606035833</t>
  </si>
  <si>
    <t>http://starscherb.ru</t>
  </si>
  <si>
    <t>http://www.tenginskoesp.ru/pages/initsiativnoe-bjudzhetirovanie</t>
  </si>
  <si>
    <t>http://zheleznoe-sp.ru/load/iniciativnoe_bjudzhetirovanie/96</t>
  </si>
  <si>
    <t>https://kirpilskoesp.ru/pages/initsiativnoe-bjudzhetirovanie</t>
  </si>
  <si>
    <t>http://leninskoesp.ru/pages/initsiativnoe-bjudzhetirovanie</t>
  </si>
  <si>
    <t>http://dvubratskoe-sp.ru/load/iniciativnoe_bjudzhetirovanie/62</t>
  </si>
  <si>
    <t>https://vk.com/g.bakhilin?w=wall710267413_945%2Fall</t>
  </si>
  <si>
    <t>https://web.telegram.org/k/#@sennoe_sp</t>
  </si>
  <si>
    <t xml:space="preserve">https://adm-zaparozhskaya.ru/. </t>
  </si>
  <si>
    <t>https://sochi.ru/press-sluzhba/novosti/11/191079/ 
https://sochi.ru/press-sluzhba/novosti/65/176161/ 
https://sochi.ru/press-sluzhba/novosti/11/176100/ 
https://sochi.ru/press-sluzhba/novosti/11/175941/ 
https://sochi.ru/press-sluzhba/novosti/66/174793/ 
https://sochi.ru/press-sluzhba/novosti/11/191453/ 
https://sochi.ru/press-sluzhba/novosti/66/175893/ 
https://sochi.ru/press-sluzhba/novosti/11/173559/ 
https://sochi.ru/press-sluzhba/novosti/11/193095/ 
https://sochi.ru/press-sluzhba/novosti/11/193066/ https://sochi.com/news/2085/495251/ 
https://sochi.bezformata.com/listnews/sochi-alekseya-kopaygorodskogo-usileno/109794034/ 
https://sochi-news.net/society/2022/09/29/125958.html 
https://kuban.aif.ru/society/vlasti_sochi_usilili_vzaimodeystvie_s_voennym_komissariatom
https://sochistream.ru/novosti/ekonomika/za-tri-goda-parametry-byudzheta-sochi-vyrosli-na-60-93358/
https://sochi.com/news/2083/494946/
https://sochi.mk.ru/social/2022/09/08/byudzhet-sochi-vyros-na-60-za-poslednie-tri-goda.html
https://sochi.bezformata.com/listnews/parametri-byudzheta-sochi-virosli/109214892/
https://sochi.bezformata.com/listnews/blagoustroystvu-obshestvennih-territoriy/109124559/
https://sochi.com/news/2097/494777/
https://sochi1.ru/text/education/2022/08/30/71611754/
https://bloknotsochi.ru/news/aleksey-kopaygorodskiy-obyavil-o-novykh-lgotakh-dl-1515649
https://riafan.ru/23617206-pedagogi_v_sochi_poluchili_ryad_novih_l_got
https://www.kuban.kp.ru/online/news/4897147/
https://sochi.mk.ru/social/2022/08/31/v-sochi-vveli-novye-lgoty-dlya-uchiteley.html
https://yugtimes.com/news/82754/
https://tass.ru/obschestvo/15595429
https://sochistream.ru/novosti/obshhestvo/kopajgorodskij-rasskazal-o-lgotah-dlya-uchitelej-92657/
https://kubnews.ru/obshchestvo/2022/08/30/priezzhim-uchitelyam-v-sochi-budut-vyplachivat-po-15-tys-rubley-ezhemesyachno-na-arendu-zhilya/
https://ria.city/sochi/328270091/
https://ki-news.ru/news/v-sochi-do-kontsa-goda-poiaviatsia-dva-novykh-skvera/
https://sochi.mk.ru/social/2022/07/09/do-konca-goda-v-sochi-blagoustroyat-eshhe-dve-territorii.html
https://sochi.bezformata.com/listnews/sochi-realizuyut-eshe-dva/107310993/
https://grad-sochi.ru/2022/07/11/9885/
https://sochi.com/news/2085/493827/
https://sochistream.ru/novosti/obshhestvo/v-sochi-realizuyut-eshhe-dva-initsiativnyh-proekta-blagoustrojstva-88921/
https://sochi24.tv/v-sochi-blagoustroyat-2-obshhestvennye-territorii/
https://www.kuban.kp.ru/online/news/4824282/
https://vesti-sochi.tv/obshhestvo/75648-v-sochi-blagoustroyat-eshche-dve-obshchestvennye-territorii
https://sochistream.ru/novosti/obshhestvo/kopajgorodskij-sovershil-rabochij-obezd-gornogo-klastera-96003/
https://sochi.bezformata.com/listnews/sochi-aleksey-kopaygorodskiy/110329593/
https://kuban.report/ru/news/20221012/13602.html
https://sochi.bezformata.com/listnews/venchagova-v-komsomolskom-skvere/108819933/
https://smotrim.ru/article/2912280
https://sochi.mk.ru/social/2022/12/30/v-sochi-blagoustroili-9-ugolkov-sergeya-venchagova.html
https://kuban24.tv/item/v-sochi-blagoustroili-9-ugolkov-dekoratora-sergeya-venchagova-v-god-ekologii
https://www.kuban.kp.ru/online/news/4895794/
https://grad-sochi.ru/2022/08/27/11128/
https://kubantv.ru/obshhestvo/v-soci-rekonstruiruyut-lesnoi-ugolok-v-komsomolskom-skvere
https://sochi.bezformata.com/listnews/vibrali-luchshie-initciativnie-proekti/105450268/
https://grad-sochi.ru/2022/05/12/8146/
https://sochistream.ru/novosti/obshhestvo/v-sochi-vybrali-tri-luchshih-proekta-dlya-blagoustrojstva-86178/
https://kuban24.tv/item/v-sochi-vybrali-tri-initsiativnyh-proekta-dlya-blagoustrojstva
https://vesti-sochi.tv/obshhestvo/74955-v-sochi-opredelili-tri-initsiativnykh-proekta-po-blagoustrojstvu
https://www.kuban.kp.ru/online/news/4742719/
https://kuban.rbc.ru/krasnodar/freenews/63a050b89a79472c941368f3
https://www.kommersant.ru/doc/5734022
https://www.kuban.kp.ru/online/news/5069237/
https://bloknotsochi.ru/news/bolee-39-milliardov-rubley-ozhidaet-dokhodnaya-cha
https://grad-sochi.ru/2022/12/20/14216/
https://www.kuban.kp.ru/online/news/5060570/
https://sochi.bezformata.com/listnews/adlerskom-rayone-sochi-blagoustroeni/112561424/
https://sochistream.ru/novosti/obshhestvo/v-adlerskom-rajone-blagoustroili-20-obshhestvennyh-prostranstv-102023/
https://smotrim.ru/article/3103745
https://ria.city/sochi/337431296/</t>
  </si>
  <si>
    <t>https://xn----dtbsbdgikgdbazpac.xn--p1ai/programs</t>
  </si>
  <si>
    <t>https://gorod-kurganinsk.ru/about/info/news/8087/?sphrase_id=13999</t>
  </si>
  <si>
    <t>https://xn----7sbbhib2aqbonkeww0u.xn--p1ai/initciativnoe-byudzhetirovanie.html</t>
  </si>
  <si>
    <t>https://t.me/+B2LIpr8z4CRlZTdi</t>
  </si>
  <si>
    <t>https://ok.ru/profile/331821742169</t>
  </si>
  <si>
    <t>https://www.korenovsk.ru/iniciativnoe-bjudzhetirovanie/</t>
  </si>
  <si>
    <t>https://www.adm-kavkaz.ru/sobranie-deputatov/reshenie-sobranij/resheniya-2020/3741-reshenie-4-ot-08-02-2019-goda-o-peredache-kavkazskomu-selskomu-poseleniyu-kavkazskogo-rajona-proektnoj-dokumentatsii-ob-ekta-gazifikatsii; https://www.adm-kavkaz.ru/sobranie-deputatov/reshenie-sobranij/resh-2020/4755-reshenie-2-ot-30-01-2020-g-o-peredache-kavkazskomu-selskomu-poseleniyu-kavkazskogo-rajona-proektnoj-dokumentatsii-ob-ekta-gazifikatsii</t>
  </si>
  <si>
    <t>https://vk.com/public217341028?w=wall-217341028_16</t>
  </si>
  <si>
    <t>https://vk.com/mogouht  https://t.me/uhta_off  https://ok.ru/groupmouhtaru</t>
  </si>
  <si>
    <t>https://usinsk.gosuslugi.ru/deyatelnost/napravleniya-deyatelnosti/initsiativnoe-byudzhetirovanie/narodnaya-initsiativa/
https://vk.com/usinsk_mo</t>
  </si>
  <si>
    <t>http://усть-кулом.рф/city/narodnye-initsiativy/</t>
  </si>
  <si>
    <t>https://vk.com/sysola11?w=wall-113780475_18214; https://vk.com/sysola11?w=wall-113780475_17960;https://vk.com/sysola11?w=wall-13780475_19573;https://vk.com/sysola11?w=wall-113780475_20688</t>
  </si>
  <si>
    <t>https://vk.com/gorodvorkuta</t>
  </si>
  <si>
    <t>https://vk.com/govuktyl</t>
  </si>
  <si>
    <t>http://adminta.ru/about/info/news/12760/; http://www.adminta.ru/city/initsiativnoe-byudzhetirovanie/narodnye-initsiativy/obyavleniya-izveshcheniya/</t>
  </si>
  <si>
    <t>https://vk.com/public186720140, https://vk.com/public186141631</t>
  </si>
  <si>
    <t>https://vk.com/svh_borovskiy?w=wall-199033158_1085</t>
  </si>
  <si>
    <t>https://vk.com/tos_cher</t>
  </si>
  <si>
    <t xml:space="preserve"> https://33mayak.ru/   https://vk.com/vzmedia</t>
  </si>
  <si>
    <t>https://gubtrk.ru/news/administracziya/10760-241220</t>
  </si>
  <si>
    <t>https://vk.com/volokonovskiyrayon?w=wall-159960654_7532 https://vk.com/wall-216942996_533 https://vk.com/public217368579?w=wall-217368579_166,
https://vk.com/public217102956?w=wall-217102956_526,
https://ok.ru/group70000001547874/topic/155240796691810,
https://ok.ru/group70000001658825/topic/155463591383241 https://vk.com/id594255994?w=wall594255994_711%2Fall
https://ok.ru/shidlovka.ru/topic/155336889809770</t>
  </si>
  <si>
    <t>https://vk.com/id536512759?w=wall536512759_6228  https://vk.com/wall-212593583_150  https://vk.com/wall-212593583_143 https://vk.com/wall-212593583_125  https://vk.com/wall-216942996_532  https://vk.com/public214041440?w=wall-214041440_2
https://vk.com/public214041440?w=wall-214041440_3
https://vk.com/public214041440?w=wall-214041440_5
https://vk.com/public214041440?w=wall-214041440_6
https://vk.com/public214041440?w=wall-214041440_7
https://vk.com/public214041440?w=wall-214041440_9
https://vk.com/public214041440?w=wall-214041440_11
https://vk.com/public214041440?w=wall-214041440_12
https://vk.com/public214041440?w=wall-214041440_13
https://vk.com/public214041440?w=wall-214041440_14
https://vk.com/public214041440?w=wall-214041440_15
https://vk.com/public214041440?w=wall-214041440_18
https://vk.com/public214041440?w=wall-214041440_20
https://vk.com/public214041440?w=wall-214041440_25
https://vk.com/public214041440?w=wall-214041440_27  
https://vk.com/id701434793?w=wall701434793_14%2Fall
https://vk.com/public202608067?w=wall-202608067_572 https://vk.com/wall-138405846?q=ТОС%20%22Тургенева%22
https://vk.com/wall-138405846?q=ТОС%20%22Тургенева%22&amp;w=wall-138405846_5283
https://vk.com/wall-138405846?q=ТОС%20%22Тургенева%22&amp;w=wall-138405846_5692
https://vk.com/wall-138405846?q=ТОС%20%22Тургенева%22&amp;w=wall-138405846_5719
https://vk.com/wall-138405846?q=ТОС%20%22Тургенева%22&amp;w=wall-138405846_5736 
https://vk.com/id594255994?w=wall594255994_735%2Fall
https://vk.com/id594255994?w=wall594255994_715%2Fall</t>
  </si>
  <si>
    <t>https://vk.com/id600134009?w=wall600134009_1537%2Fall https://vk.com/public168496073?z=photo-168496073_457239719%2Fwall-168496073_407
https://vk.com/club178892707?z=photo-178892707_457239393%2Fwall-178892707_160
https://vk.com/id600134009?w=wall600134009_1536%2Fall
https://vk.com/id600134009?w=wall600134009_1487%2Fall
https://vk.com/id600134009?w=wall600134009_1459%2Fall
https://vk.com/id596327510?w=wall596327510_236
https://vk.com/wall-134343225_3947</t>
  </si>
  <si>
    <t>https://ok.ru/profile/574795459450</t>
  </si>
  <si>
    <t>https://sterlibash.bashkortostan.ru/documents/active/427286/</t>
  </si>
  <si>
    <t>https://miyaki.bashkortostan.ru/activity/12234/?ysclid=lggfjq9720124205462</t>
  </si>
  <si>
    <t>http://admmeleuz.ru/index.php?option=com_content&amp;view=category&amp;id=905&amp;Itemid=356</t>
  </si>
  <si>
    <t>https://vk.com/btv29</t>
  </si>
  <si>
    <t>Ссылки на иные официальные и неофициальные информационные ресурсы, в том числе в социальных сетях</t>
  </si>
  <si>
    <t>https://selkup.yanao.ru/activity/40411/
http://raduga-ks.ru/activ/pb</t>
  </si>
  <si>
    <t>http://dfik.ru/#iniciativa
http://dfik.ru/#school</t>
  </si>
  <si>
    <t>https://живёмнасевере.рф/cozyYamal/abou ; https://fea.yamalfin.ru/bdg/o-byudzhete/proekt-big</t>
  </si>
  <si>
    <t>http://xn--80aawbfbdhxjcmbfl2a0n.xn--p1ai/economy/initsiativnoe-byudzhetirovanie/</t>
  </si>
  <si>
    <t>https://xn--80adblbabq1bk1bi8r.xn--p1ai/; https://admmuji.yanao.ru/activity/31757/
https://uoshur.yanao.ru/</t>
  </si>
  <si>
    <t>https://nadym.yanao.ru/about/projects/all/480/</t>
  </si>
  <si>
    <t>https://живёмнасевере.рф</t>
  </si>
  <si>
    <t>https://muravlenko.yanao.ru/activity/27372/?filter%5Bdocuments%5D%5Bsection%5D=0
https://vk.com/wall-189302525?q=бюджетирование</t>
  </si>
  <si>
    <t>https://budget.depfinnbr.ru/initsiativnoe-byudzhetirovanie/proekt-ritm?ysclid=lg3nxyqj3c196949660</t>
  </si>
  <si>
    <t xml:space="preserve">Информационный ресурс «Живем на Севере» в информационно-телекоммуникационной сети Интернет, в разделе «Уютный Ямал» https://xn--80adblbabq1bk1bi8r.xn--p1ai/ </t>
  </si>
  <si>
    <t>https://lbt.yanao.ru/activity/730/</t>
  </si>
  <si>
    <t>http://hmrn.ru/gkh/zhile-i-gorodskaya-sreda/initsiativnoe-byudzhetirovanie.php</t>
  </si>
  <si>
    <t>http://nvraion.ru/ekonomika-i-finansy/initsiativnoe-byudzhetirovanie/</t>
  </si>
  <si>
    <t>https://admsr.ru/budget/NewInitsBudshet/</t>
  </si>
  <si>
    <t>http://www.admugansk.ru/category/1496</t>
  </si>
  <si>
    <t>http://shugur.ru/realizatciya-proektov-2022.html</t>
  </si>
  <si>
    <t>http://admkuma.ru/narodnyy-byudzhet.html</t>
  </si>
  <si>
    <t>http://admkonda.ru/initciativnye-proekty-2022-god-mortka-byudzhet.html</t>
  </si>
  <si>
    <t>http://lugovoikonda.ru/initciativnyy-proekt-skver-100-letiya.html</t>
  </si>
  <si>
    <t>http://www.admkonda.ru/2022-nb.html</t>
  </si>
  <si>
    <t>http://www.admkonda.ru/mezhd-initciativnye-proekty-2022-goda.html</t>
  </si>
  <si>
    <t>http://admkonda.ru/narodnyy-byudzhet.html</t>
  </si>
  <si>
    <t xml:space="preserve">https://www.n-vartovsk.ru/ibudget/                                   </t>
  </si>
  <si>
    <t>https://admsurgut.ru/rubric/24175/Iniciativnye-proekty</t>
  </si>
  <si>
    <t>https://berezovo.ru</t>
  </si>
  <si>
    <t>http://www.admoil.ru/iniciativnoe-byudzhetirovanie</t>
  </si>
  <si>
    <t>https://admlangepas.ru/open-budget/proactive-budgeting/</t>
  </si>
  <si>
    <t>https://depfin.admmegion.ru/initiative_budget/</t>
  </si>
  <si>
    <t>http://budget.uray.ru/iniciativnoe-bjudzhetirovanie-v-rf/</t>
  </si>
  <si>
    <t>https://khv27.ru/projects/territorialnoe-obshchestvennoe-samoupravlenie/</t>
  </si>
  <si>
    <t>https://amursk.ru/index.php?option=com_content&amp;task=blogcategory&amp;id=214&amp;Itemid=361</t>
  </si>
  <si>
    <t>new.stepnoe.ru/mestnye-initsiativy/vydvizhenie-initsiativnykh-proektov</t>
  </si>
  <si>
    <t>https://pyatigorsk.org/</t>
  </si>
  <si>
    <t>https://pmosk.ru/archives/category/programma-podderzhki-mestnyh-iniciativ-stavropolskogo-kraya/vydvizhenie-iniciativnyh-proektov/page/2</t>
  </si>
  <si>
    <t>http://petrgosk.ru/obshchestvo/koordinatsionnye-i-soveshchatelnye-organy/konkursnaya-komissiya-po-provedeniyu-konkursnogo-otbora-proektov-po-remontu-ulichno-dorozhnoy-seti-o/index.php</t>
  </si>
  <si>
    <t>http://newalexandrovsk.ru/initsiativnoe-byudzhetirovanie/info/</t>
  </si>
  <si>
    <t>http://krasnogvardeiskoe.info/ru</t>
  </si>
  <si>
    <t>https://www.кочубеевский-район.рф/rezul-taty-realizatcii-initciativnykh-proektov.html</t>
  </si>
  <si>
    <t>http://www.ipatovo.org/page.php?id=31864#top</t>
  </si>
  <si>
    <t>http://izobadmin.ru/taxonomy/term/1537</t>
  </si>
  <si>
    <t>https://www.adm-grsk.ru/initsiativnye-proekty</t>
  </si>
  <si>
    <t>https://www.georgievsk.ru/mestnye-initsiativy/</t>
  </si>
  <si>
    <t xml:space="preserve"> http://abgosk.ru/finansy/initsiativnoe-byudzhetirovanie/initsiativnoe-byudzhetirovanie.php                               </t>
  </si>
  <si>
    <t>https://aamrsk.ru/deyatelnost/initsiativnoe-byudzhetirovanie/initsiativnye-proekty/</t>
  </si>
  <si>
    <t>http://www.andropovskiy.ru/index.php?option=com_content&amp;view=article&amp;id=34&amp;Itemid=616&amp;lang=ru</t>
  </si>
  <si>
    <t>https://aleksadmin.ru/initsiativnoe-byudzhetirovanie/mestnye-praktiki/</t>
  </si>
  <si>
    <t>https://admrevda.ru/ekonomika/5247-initsiativnoe-byudzhetirovanie.html</t>
  </si>
  <si>
    <t>https://krur.midural.ru/article/show/id/10381</t>
  </si>
  <si>
    <t>https://kgo66.ru/str-eco/str-eco-inbud/str-eco-inbud-inpr</t>
  </si>
  <si>
    <t>http://инициатива.екатеринбург.рф/</t>
  </si>
  <si>
    <t>https://asbestadm.ru/economy/initsiativnoe-byudzhetirovanie/normativno-pravovyie-dokumentyi/</t>
  </si>
  <si>
    <t>https://sbor.ru/finance/bd/otkrbud/plan</t>
  </si>
  <si>
    <t>https://vk.com/malmalishi</t>
  </si>
  <si>
    <t>http://chernovka.kinel-cherkassy.ru/</t>
  </si>
  <si>
    <t>http://adm-timashevo.ru/</t>
  </si>
  <si>
    <t>http://sadgorod.kinel-cherkassy.ru/</t>
  </si>
  <si>
    <t>https://podgornoe.kinel-cherkassy.ru/</t>
  </si>
  <si>
    <t>http://novyekluchi.kinel-cherkassy.ru/</t>
  </si>
  <si>
    <t>http://mukhanovo.kinel-cherkassy.ru/</t>
  </si>
  <si>
    <t>http://krotovka.kinel-cherkassy.ru/index.php</t>
  </si>
  <si>
    <t>http://gorka.kinel-cherkassy.ru/?page_id=4645</t>
  </si>
  <si>
    <t>https://www.kinel-cherkassy.ru/index.php/initsiativnye-proekty</t>
  </si>
  <si>
    <t>http://kabanovka.kinel-cherkassy.ru</t>
  </si>
  <si>
    <t xml:space="preserve">http://erzovka.kinel-cherkassy.ru/ </t>
  </si>
  <si>
    <t>http://berezniki.ucoz.ru/index/0-2</t>
  </si>
  <si>
    <t>http://aleksandrovka.kinel-cherkassy.ru</t>
  </si>
  <si>
    <t>https://isakli.ru/documents/priobretenie-konteynerov-dlya-skladirovaniya-tbo/index.php?back_url_admin=%2Fbitrix%2Fadmin%2Fiblock_list_admin.php%3FIBLOCK_ID%3D6%26type%3Ddocs%26lang%3Dru%26find_section_section%3D94</t>
  </si>
  <si>
    <t>https://isakli.ru/documents/priobretenie-i-ustanovka-derevyannoy-gorki-teremok/</t>
  </si>
  <si>
    <t>https://tgl.ru/structure/department/iniciativnye-proekty-g.o.tolyatti/</t>
  </si>
  <si>
    <t>https://sovadmsamara.ru/tvoj_konstruktor_dvora/</t>
  </si>
  <si>
    <t>https://www.kuibsamara.ru/iniciativnoe_byudzhetirovanie/</t>
  </si>
  <si>
    <t>https://dalmdr.ru/node/4901</t>
  </si>
  <si>
    <t xml:space="preserve">https://spasskd.ru/index.php/initsiativnoe-byudzhetirovanie </t>
  </si>
  <si>
    <t>http://artemokrug.ru/administratsiya/otdely-i-upravleniya-administratsii-ago/upravlenie-dorozhnoy-deyatelnosti-i-blagoustroystva/dokumenty/?ELEMENT_ID=33983&amp;clear_cache=Y</t>
  </si>
  <si>
    <t>https://www.gorodperm.ru/actions/social-link/society/%20Inprojects/</t>
  </si>
  <si>
    <t>http://www.admkud.ru/initsiativnoe-byudzhetirovanie/index.php</t>
  </si>
  <si>
    <t>https://adm-brz.ru/grazhdanam/initsiativy/initsiativnye-proekty/</t>
  </si>
  <si>
    <t>https://veradmgo.ru/news/media/2022/7/31/v-derevne-pervomajka-otremontirovali-i-blagoustroili-kolodets/
https://veradmgo.ru/news/media/2022/7/5/v-derevne-pervomajka-v-ramkah-realizatsii-proekta-initsiativnogo-byudzhetirovaniya-nachalsya-remont-kolodtsa/
https://veradmgo.ru/news/media/2022/5/19/blagodarya-initsiativnyim-zhitelyam-vereschaginskogo-okruga-v-derevne-chernomyasovo-skoro-poyavitsya-ulichnoe/</t>
  </si>
  <si>
    <t>https://www.penza-gorod.ru/line_of_activity/public_self_government/konkurs-sotsialno-znachimykh-proektov-napravlennykh-na-razvitie-territorialnogo-obshchestvennogo-sam/2022-god/</t>
  </si>
  <si>
    <t>https://mokurmsovet.ru/content/obyavleniya</t>
  </si>
  <si>
    <t>https://admkutushi.webnode.ru/obyavleniya/</t>
  </si>
  <si>
    <t>https://tu.orb.ru/activity/20630/</t>
  </si>
  <si>
    <t>http://fintotsk.ru/hearing/11</t>
  </si>
  <si>
    <t>https://tl.orb.ru/activity/14412/</t>
  </si>
  <si>
    <t>http://первомайский-район.рф/novosti-informatciya.html</t>
  </si>
  <si>
    <t>http://fin-or.ru/content/shkolnyy-byudzhet</t>
  </si>
  <si>
    <t>https://krasnogvardfo.ru/narodnyij-byudzhet</t>
  </si>
  <si>
    <t>https://grach-rf.orb.ru/activity/14679/</t>
  </si>
  <si>
    <t>https://bugraifo.orb.ru/activity/26293/</t>
  </si>
  <si>
    <t>https://bugraifo.orb.ru/activity/26288/</t>
  </si>
  <si>
    <t>https://www.aleksandrovka56.ru/munitsipalitet/?SECTION_ID=382/</t>
  </si>
  <si>
    <t>http://finotdel-akbulak.ru/index.php?option=com_content&amp;view=article&amp;id=202&amp;Itemid=117</t>
  </si>
  <si>
    <t xml:space="preserve">https://adamfin.ru/shb-2022
https://mo-ad.orb.ru/presscenter/news/60955/   </t>
  </si>
  <si>
    <t>https://adamfin.ru/narodnyij-byudzhet</t>
  </si>
  <si>
    <t xml:space="preserve">https://smarteka.com/practices/proekt-skol-nyj-budzet </t>
  </si>
  <si>
    <t>https://www.finuprgaj.ru/проекты-молодежного-бюджета/2022-год; https://www.finuprgaj.ru/проекты-молодежного-бюджета/2022-год/2</t>
  </si>
  <si>
    <t>Официальный сайт Администрации города Омска
https://admomsk.ru/web/guest/progress/pilot/selection-2022</t>
  </si>
  <si>
    <t>https://bugadmin.orb.ru/activity/11204/</t>
  </si>
  <si>
    <t xml:space="preserve">https://vk.com/komitetlubitino                                                                 https://komobrlub.edusite.ru/p94aa1.html                    </t>
  </si>
  <si>
    <t>https://semenov.52gov.ru/search/?q=%D0%B8%D0%BD%D0%B8%D1%86%D0%B8%D0%B0%D1%82%D0%B8%D0%B2%D0%BD%D0%BE%D0%B5+%D0%B1%D1%8E%D0%B4%D0%B6%D0%B5%D1%82%D0%B8%D1%80%D0%BE%D0%B2%D0%B0%D0%BD%D0%B8%D0%B5</t>
  </si>
  <si>
    <t>http://bg-adm.ru./?id=30562</t>
  </si>
  <si>
    <t>http://omsukchan-adm.ru/</t>
  </si>
  <si>
    <t>http://admtenka.ru/</t>
  </si>
  <si>
    <t>https://dzhankoy.rk.gov.ru/ru/structure/2022_03_16_15_21_konkurs_proektov_initsiativnogo_biudzhetirovaniia_v_munitsipalnom_obrazovanii_gorodskoi_okrug_dzhankoi_respubliki_krym_2022_god</t>
  </si>
  <si>
    <t>https://perovskoe.rk.gov.ru/ru/structure/2022_02_17_13_11_normativnye_pravovye_dokumenty_po_initsiativnomu_biudzhetirovaniiu_administratsii_perovskogo_selskogo_poseleniia</t>
  </si>
  <si>
    <t>https://dzhankoy.rk.gov.ru/ru/structure/1915</t>
  </si>
  <si>
    <t>http://www.admse.ru/rayon/initsiativnye-proekty/</t>
  </si>
  <si>
    <t>http://www.admkrsk.ru/citytoday/municipal/initiative_projects/Pages/spisok_projects.aspx</t>
  </si>
  <si>
    <t xml:space="preserve">http://www.divnogorsk-adm.ru/finansy/iniciativnoe-byudzhetirovanie/
http://www.divnogorsk-adm.ru/novosti/gorodskaya-sreda/item/9520-na-nagornoj-poyavitsya-novaya-ploshadka-dlya-detej-i-vzroslyh
http://www.divnogorsk-adm.ru/novosti/gorodskaya-sreda/item/9991-iniciativa-divnogorcev-voplotilas-v-zhizn
</t>
  </si>
  <si>
    <t>http://admekaterinovka.ru/initsiativnye-proekty/</t>
  </si>
  <si>
    <t>http://адм-тамань.рф/index.php/nasha-taman/initsiativnogo-byudzhetirovaniya/initsiativnogo-byudzhetirovaniya-4/initsiativnogo-byudzhetirovaniya-5</t>
  </si>
  <si>
    <t>http://admsennaya.krd.eis1.ru/iniciativn_budzhet_npa</t>
  </si>
  <si>
    <t>https://admkrasnostrelskaya.ru/index.php?id=219&amp;page=invbud</t>
  </si>
  <si>
    <t>http://golubitskoe.ru/%D0%B8%D0%BD%D0%B8%D1%86%D0%B8%D0%B0%D1%82%D0%B8%D0%B2%D0%BD%D0%BE%D0%B5-%D0%B1%D1%8E%D0%B4%D0%B6%D0%B5%D1%82%D0%B8%D1%80%D0%BE%D0%B2%D0%B0%D0%BD%D0%B8%D0%B5/%D0%BF%D1%80%D0%BE%D0%B5%D0%BA%D1%82/2022-%D0%B3%D0%BE%D0%B4.html</t>
  </si>
  <si>
    <t>https://www.temryuk.ru/nash-rayon/initsiativnoe-byudzhetirovanie/initsiativnye-proekty/2022-god/</t>
  </si>
  <si>
    <t>https://sochi.ru/gorodskaya-vlast/deyatelnost/mun-sluzhba/initsiativnye-proekty/171202/</t>
  </si>
  <si>
    <t>http://www.lspadmin.ru/поселение/инициативные-проекты.html</t>
  </si>
  <si>
    <t>https://severskoe.sevadm.ru/about/initsiativnye-proekty/</t>
  </si>
  <si>
    <t>https://admnvrsk.ru/gorozhanam/initsiativnoe-byudzhetirovanie/</t>
  </si>
  <si>
    <t>https://www.labinsk-city.ru/</t>
  </si>
  <si>
    <t>https://xn----7sbgmnkdubbgfcqtgegc.xn--p1ai/initciativnyy-proekt-2022-god.html</t>
  </si>
  <si>
    <t>http://октябрьское-адм.рф/iniciativnoe-byudzhetirovanie.html</t>
  </si>
  <si>
    <t>https://krd.ru/administratsiya/administratsii-krasnodara/departament-po-svyazyam-s-obschestvennostyu-vzaimodeystviyu/ip/</t>
  </si>
  <si>
    <t>http://www.admnovomysh.ru/images/ZKX/2022/iniciativ_proekt.pdf</t>
  </si>
  <si>
    <t>https://oktpos.ru/инициативные-проекты.html</t>
  </si>
  <si>
    <t>http://xn----7sbbaibk7avopm4b4o.xn--p1ai/iniciativnoe-byudzhetirovanie.html</t>
  </si>
  <si>
    <t>сайт администрации ,https://www.poltavadm.ru</t>
  </si>
  <si>
    <t>https://razdolnaya-adm.ru/initsiativnoe-byudzhetirovanie</t>
  </si>
  <si>
    <t>https://www.proletarskoe.ru</t>
  </si>
  <si>
    <t>http://www.platnirovskaja.ru/</t>
  </si>
  <si>
    <t>https://www.novoberezanskoe.ru/initsiativnoe-byudzhetirovanie</t>
  </si>
  <si>
    <t>https://www.adm-kavkaz.ru/</t>
  </si>
  <si>
    <t>http://moryazanskoesp.ru</t>
  </si>
  <si>
    <t>https://южненское-сп.рф</t>
  </si>
  <si>
    <t>https://admin-pervomaiskiy.ru/news.html</t>
  </si>
  <si>
    <t>https://vk.com/wall676669606_200 https://vk.com/wall676669606_275 https://www.chernigovskaya.ru/news.html</t>
  </si>
  <si>
    <t>https://npavlovka.ru/ekonomika-i-finansy/initsiativnoe-byudzhetirovanie/</t>
  </si>
  <si>
    <t>Объявления (unarokovo.ru)</t>
  </si>
  <si>
    <t>www.besleneevskaja.ru</t>
  </si>
  <si>
    <t>mouhta.ru</t>
  </si>
  <si>
    <t>http://udora.info/initsiativnoe-byudzhetirovanie</t>
  </si>
  <si>
    <t>https://usinsk.gosuslugi.ru/</t>
  </si>
  <si>
    <t>https://сыктывкар.рф/</t>
  </si>
  <si>
    <t>https://syktyvdin.ru/ru/page/residents.malyje_i_narodnyje_projekty.NB_2021.narodnye_initsiativy_2021_1</t>
  </si>
  <si>
    <t>www.сысола-адм.рф/archive/grant22.pdf</t>
  </si>
  <si>
    <t>http://воркута.рф/regulatory/initsiativnoe-byudzhetirovanie/</t>
  </si>
  <si>
    <t>http://adm.govuktyl.ru</t>
  </si>
  <si>
    <t>https://admkirov.ru/</t>
  </si>
  <si>
    <t>https://www.afanasyevo.ru/ekonomika/initsiativnye-proekty</t>
  </si>
  <si>
    <t>https://www.kaluga-gov.ru/obshchestvo/initsiativnye-proekty/pravovaya-baza/2740/</t>
  </si>
  <si>
    <t>https://xn--b1agmh1ai8d.xn--p1ai/remont-dvorov-obshhee-delo/</t>
  </si>
  <si>
    <t>https://cherinfo.ru/nb</t>
  </si>
  <si>
    <t>http://www.adm-vyaz.ru/initciativnoe-byudzhetirovanie.html</t>
  </si>
  <si>
    <t>https://yakovgo.gosuslugi.ru/glavnoe/territorialnye-obschestvennye-samoupravleniya-tos/</t>
  </si>
  <si>
    <t>https://volokonovskij-r31.gosweb.gosuslugi.ru/</t>
  </si>
  <si>
    <t xml:space="preserve">https://vejdelevskij-r31.gosweb.gosuslugi.ru/ </t>
  </si>
  <si>
    <t>https://www.arhcity.ru/?page=2865/1</t>
  </si>
  <si>
    <t>В рамках реализации проекта инициативного бюджетирования "Уютный Ямал"  посредством портала "Живём на Севере" инициаторами подаются проектные идеи; также на данном ресурсе организуется голосование населения за проектные идеи</t>
  </si>
  <si>
    <t>Информационный ресурс "Живем на Севере" https://живёмнасевере.рф/about_yamal</t>
  </si>
  <si>
    <t>Прием инициатив граждан, а также голосование за внесенные инициативные проекты осуществляется посредством информационного ресурса «Живем на Севере»</t>
  </si>
  <si>
    <t xml:space="preserve">Сбор инициатив и отбор лучших (через онлайн голосование) осуществляется через информационный портал "Живем на Севере" https://xn--80adblbabq1bk1bi8r.xn--p1ai/  </t>
  </si>
  <si>
    <t>Подача заявок от участников на портале "Живем на Севере", определение победителя в рамках голосования на портале (полученные баллы суммируются с баллами очного голосования).</t>
  </si>
  <si>
    <t>В рамках реализации проекта инициативного бюджетирования "Уютный Ямал" инициаторами посредством портала "Живём на Севере" подаются проектные идеи; также на данном ресурсе организуется голосование населения за проектные идеи</t>
  </si>
  <si>
    <t>Инициативные проекты, допущенные к конкурсному отбору,  выносятся Комиссией в течение 5 рабочих дней с момента подписания протокола о допуске инициативных проектов к конкурсному отбору, на голосование жителям муниципального образования на информационном ресурсе «Живем на Севере» в информационно-телекоммуникационной сети Интернет, в разделе «Уютный Ямал»  и открытых площадках муниципального образования (при очном голосовании) (пункт 7.8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</si>
  <si>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По средствам информационного портала "Живем на Севере" осуществлялся: сбор идей жителей города и онлайн голосование за отбор проектов для реализации</t>
  </si>
  <si>
    <t xml:space="preserve">Обсуждение местных инициатив осуществляется в форме опроса на информационном ресурсе «Живем на Севере» (живемнасевере.рф) </t>
  </si>
  <si>
    <t>интернет-голосование на официальном сайте органов местного самоуправления города Нефтеюганска ХМАО-Югры / в официальной группе администрации города Нефтеюганска в социальной сети Вконтакте</t>
  </si>
  <si>
    <t xml:space="preserve">Приглашение жителей города для участия в различных  мероприятиях. </t>
  </si>
  <si>
    <t>Электронное голосование за инициативные проекты проходит на портале опросов "Я решаю!" (https://dom.tyumen-city.ru/ir/)</t>
  </si>
  <si>
    <t>размещение на официальном сайте городского округа нормативной документации по инициативным проектам, извещений о начале приема инициативных проектов; результатов конкурсного отбора инициативных проектов; результатов реализации инициативного проекта, отчетов по реализации.</t>
  </si>
  <si>
    <t>сбор заявок на участие, чат членов инициативной комссии, публикация материалов</t>
  </si>
  <si>
    <t xml:space="preserve">Было организовано интернет-голосование на сайте Администрации Советского внутригородского района городского округа Самара. В результате проголосовало 1703 жителя и по итогу составлен протокол заседания Конкурсной комиссии по отбору общественных инициатив и определению победителей конкурса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01.12.2021 </t>
  </si>
  <si>
    <t>Определение количества граждан, поддержавших инициативные проекты, проводится путем онлайн голосования с помощью информационной системы "Платформа обратной связи"</t>
  </si>
  <si>
    <t xml:space="preserve">Открытое электронное голосование   на платформе обратной связи (ПОС), а также в официальных аккаунтах Администрации городского округа спасск-Дальнийи  в соц сетях </t>
  </si>
  <si>
    <t>Итоги реализации инициативного бюджетирования. http://fintotsk.ru/hearing/22</t>
  </si>
  <si>
    <t>https://gy.orb.ru/vote/187/result/expired/</t>
  </si>
  <si>
    <t xml:space="preserve">проведении общественного голосования на «Едином портале государственных и муниципальных услуг (функций)» </t>
  </si>
  <si>
    <t xml:space="preserve">Голосование в социальных сетях за поддержку инициативных проектов:
https://ok.ru/profile/591032699691/statuses/154959471680299   https://vk.com/kormilovkakmcb
https://ok.ru/profile/574272945712/statuses/154972076455984   </t>
  </si>
  <si>
    <t>Информирование на официальном сайте администрации информации о реализации проектов  в рамках ИБ, составе и заседании комиссии по проведению конкурсного отбора инициативных проектов в Новомышастовском  сельском поселении. Информирование о месте и времени проведения собрания граждан по обсуждения проекта ИБ</t>
  </si>
  <si>
    <t>размещение информации по инициативным проектам для обсуждения, результатов конкурсного отбора</t>
  </si>
  <si>
    <t>Обсуждение отдельных вопросов при проработке проектно-сметной документации осуществлялись путем учета мнения в официальных группах Управ/ТОС, проектной группы "Шаги"  вКонтакте.</t>
  </si>
  <si>
    <t>Размещение информации о внесенных проектах,   ход реализации и отчете о проделанной работе.</t>
  </si>
  <si>
    <t>Подача заявки на участие в конкурсе "Лучшая практика общественного самоуправления в Яковлевском городском округе в 2022 году" на официальном сайте органов местного самоуправления Яковлевского городского округа</t>
  </si>
  <si>
    <t xml:space="preserve">На официальном информационном интернет - портале городского округа "Город Архангельск" функционируют раздел "Инициативные проекты граждан", где реализован следующий функционал: новости, документы, опубликование заявок на участие в проекте, информация об экспертизе инициатив, информация о реализации  инициатив (дорожные карты, сбор мнений жителей). Создано сообщество в социальной сети "Вконтакте" "Бюджет твоих возможностей и инициативные проекты граждан", где размещаются новости о проекте, проводятся опросы граждан и сбор предложений по совершенствованию проектов. </t>
  </si>
  <si>
    <t xml:space="preserve">На официальном информационном интернет - портале городского округа "Город Архангельск" функционируют раздел "Бюджет твоих возможностей", где реализован следующий функционал: новости, документы, опубликование заявок на участие в проекте, информация об экспертизе инициатив, информация о реализации  инициатив (дорожные карты, сбор мнений жителей). Создано сообщество в социальной сети "Вконтакте" "Бюджет твоих возможностей и инициативные проекты граждан", где размещаются новости о проекте, проводятся опросы граждан и сбор предложений по совершенствованию проектов. </t>
  </si>
  <si>
    <t>да, https://kgo66.ru/str-eco/str-eco-inbud/str-eco-inbud-inpr</t>
  </si>
  <si>
    <t>да  https://vk.com/sbor.budget</t>
  </si>
  <si>
    <t>да http://www.admnovomysh.ru/images/ZKX/2022/iniciativ_proekt.pdf</t>
  </si>
  <si>
    <t>https://syktyvdin.gosuslugi.ru/)</t>
  </si>
  <si>
    <t>Да, https://www.arhcity.ru/?page=2371/1</t>
  </si>
  <si>
    <t>Наличие интернет-решения, используемого для управления практикой ИБ</t>
  </si>
  <si>
    <t>более 46000 чел.</t>
  </si>
  <si>
    <t>16 человек</t>
  </si>
  <si>
    <t>протоколы ученического совета</t>
  </si>
  <si>
    <t>протокол от 20.10.2022 №1 заседания рабочей группы по рассмотрению инициативного проекта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t>
  </si>
  <si>
    <t>подворный опрос</t>
  </si>
  <si>
    <t>Территориальный отдел «Еленовский» проводил подсчет опросных листов, информация фиксировалась в протоколе.</t>
  </si>
  <si>
    <t>https://финотдел-ясный.рф/2022god</t>
  </si>
  <si>
    <t>Протокол заседания Экспертной комиссии</t>
  </si>
  <si>
    <t>Протокол собрания инициативной группы</t>
  </si>
  <si>
    <t>Протокол внеочередного заседания муниципальной конкусной комиссии по отбору народных проектов для участия в региональном проекте "Народный бюджет" на территории МО ГО "Сыктывкар" от 04.05.2022 г.</t>
  </si>
  <si>
    <t>протокол заседания №2 от 28.04.2022</t>
  </si>
  <si>
    <t>народное голосование</t>
  </si>
  <si>
    <t>протокол от 28 февраля 2023 года</t>
  </si>
  <si>
    <t>ШПБ - общешкольное голосование</t>
  </si>
  <si>
    <t>Очное голосование в 2022 году не проводилось</t>
  </si>
  <si>
    <t>Лучшие проекты выбирались голосованием обучающихся</t>
  </si>
  <si>
    <t>Собрание делегатов в целях рассмотрения и обсуждения инициативных проектов</t>
  </si>
  <si>
    <t>рабочая группа по рассмотрению инициативного проекта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t>
  </si>
  <si>
    <t>Конкурсный отбор не проводился, так как в 2022 году на рассмотрение поступил 1 проект. Рассмотрение осуществлялось  в соответствии с решением Думы города-курорта Кисловодска от 24.02.2021 № 11-521.</t>
  </si>
  <si>
    <t xml:space="preserve"> </t>
  </si>
  <si>
    <t>заполнение опросного листа</t>
  </si>
  <si>
    <t>опросы граждан</t>
  </si>
  <si>
    <t>Опрос граждан в рамках ст. 31 ФЗ 131-ФЗ</t>
  </si>
  <si>
    <t xml:space="preserve">В голосовании принимают участие Школьные советы в количестве по 5 человек от каждой принимающей участие в Проекте школы.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голосования между школами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проектных предложений по форме в соответствии с приложением к настоящему Положению и принимает решение о победителях голосования.
Решением комиссии победителями голосования объявляются проектные предложения, набравшие наибольшее количество голосов, общая оценочная стоимость реализации которых не превышает средств,  утвержденных решением о бюджете на текущий финансовый год.
</t>
  </si>
  <si>
    <t xml:space="preserve">Отбор Экспертной комиссией проектов-победителей из числа инициативных проектов, ставших лидерами на школьном голосовании </t>
  </si>
  <si>
    <t>Собрание инициативной группы</t>
  </si>
  <si>
    <t>Учитывая уровень софинансирования 50 процентов, поддерживаются все обращения в течение года. При недостатке средств в бюджете района в текущем году, выделение средств по обращениям переносится на следующий год.</t>
  </si>
  <si>
    <t>Муниципальная конкусная комиссия по отбору народных проектов для участия в региональном проекте "Народный бюджет" на территории МО ГО "Сыктывкар" состоящая из должностных лиц администрации МО ГО Сыктывкар", депутатов Совета МО ГО "Сыктывкар", руководителя социально ориентированной некоммерческой организации</t>
  </si>
  <si>
    <t>подведение итогов голосования осуществляет общественный совет муниципального района "Сысольский"</t>
  </si>
  <si>
    <t>Конкурсного отбора не было, поддержаны все завленные проекты</t>
  </si>
  <si>
    <t>2 этап отбора - Общественным советом при Главе городского округа "Город Архангельск"</t>
  </si>
  <si>
    <t>8 (члены комиссии), 8 (граждане-инициаторы, присутствовавшие на заседании комиссии)</t>
  </si>
  <si>
    <t xml:space="preserve">Протоколы заседаний конкурсной комиссии по отбору проектов инициативного бюджетирования в рамках проекта «Уютный Ямал», в состав комиссии входят представители органов местного самоуправления, депутаты и представители общественности
</t>
  </si>
  <si>
    <t>протокол заседания комиссии 
https://dfik.ru/images/files/protokol22.rar</t>
  </si>
  <si>
    <t>Протокол заседания конкурсной комиссии по рассмотрению и отбору инициативных проектов, в рамках регионального проекта "Уютный Ямал" на территории Тазовского района от 14 сентября 2022 года № 6</t>
  </si>
  <si>
    <t>https://www.mo-yamal.ru/portal/uyutnyi_yamal/1808</t>
  </si>
  <si>
    <t>https://vk.com/vpriuralye?w=wall-173311244_3836</t>
  </si>
  <si>
    <t>Заседание комиссии</t>
  </si>
  <si>
    <t xml:space="preserve">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 в состав данных комиссий входят как представители власти, так и представители городского гражданского сообщества
</t>
  </si>
  <si>
    <t>Протокол заседания Комиссии по проведению конкурсного отбора инициативных проектов</t>
  </si>
  <si>
    <t>https://lbt.yanao.ru/documents/other/134187/</t>
  </si>
  <si>
    <t>Оценка критериев инициативных проектов, сформированных согласно решению Городской Думы города Салехарда от 23.12.2022 года № 122 " Об утверждении Порядка выдвижения, вынесения, обсуждения, рассмотрения инициативных проектов и проведения их конкурсного отбора" https://df.salekhard.org/byudzhetnaya-initsiativa-grazhdan/2021.php</t>
  </si>
  <si>
    <t>протол</t>
  </si>
  <si>
    <t>протокол конкурсной комиссии по проведению конкурсного отбора инициативных проектов</t>
  </si>
  <si>
    <t>http://www.admugansk.ru/uploads/2022/05/protokol_1_ot_24.02.2021.pdf ; http://www.admugansk.ru/uploads/2022/05/protokol_ot_13_maya_2022_goda_№3.pdf</t>
  </si>
  <si>
    <t xml:space="preserve">протокол </t>
  </si>
  <si>
    <t>Протокол согласительной комиссии по рассмотрению и проведению конкурсного отбора инициативных проектов  http://www.admkonda.ru/tinybrowser/files/poseleniya2022/mejdur/budget/inic-proekty/mezhd-2022-04-14-protokol-sk-2-konkurs-otbor-proektov-na-2022.pdf</t>
  </si>
  <si>
    <t xml:space="preserve">Конкурсный отбор проектов осуществляет специально созданная конкурсная комиссия в соответсвии с  постановлением Администрации города от 21.01.2021 № 445 "Об утверждении состава комиссии по рассмотрению и конкурсному отбору инициативных проектов". Решение конкурсной комиссии оформляется протоколом заседания указанной комиссии. </t>
  </si>
  <si>
    <t>https://isib.myopenugra.ru/upload/iblock/32c/приказ%2060_комиссия.pdf</t>
  </si>
  <si>
    <t xml:space="preserve">Порядок формирования и деятельности Комиссии
4.1. Комиссия является коллегиальным органом, созданным для проведения конкурсного отбора проектов на уровне Нефтеюганского района.
4.2. Численность комиссии составляет 8 человек, при этом половина от общего числа членов Комиссии должна быть назначена на основе предложений Думы Нефтеюганского района. 
4.3. Комиссия состоит из председателя комиссии, заместителя председателя комиссии, секретаря комиссии и членов комиссии, участвующих в ее работе лично.
4.4. Председатель комиссии:
1) организует работу комиссии, руководит ее деятельностью;
2) формирует проект повестки дня очередного заседания комиссии;
3) дает поручения членам комиссии;
4) председательствует на заседаниях комиссии.
4.5. Заместитель председателя конкурсной комиссии исполняет обязанности председателя конкурсной комиссии в случае его временного отсутствия.
4.6. Секретарь комиссии:
1) осуществляет информационное и документационное обеспечение деятельности комиссии, в том числе подготовку к заседанию комиссии;
2) оповещает членов комиссии, инициаторов проектов и иных лиц, приглашенных на заседание комиссии, о дате, месте проведения очередного заседания комиссии и о повестке дня очередного заседания комиссии;
3) ведет протоколы заседаний комиссии.
4.7. Член комиссии:
1) участвует в работе комиссии, в том числе в заседаниях комиссии;
2) вносит предложения по вопросам работы комиссии;
3) знакомится с документами и материалами, рассматриваемыми на заседаниях комиссии;
4) задает вопросы участникам заседания комиссии;
5) голосует на заседаниях комиссии.
4.8. Основной формой работы комиссии являются заседания. 
4.9. Инициаторы проекта и их представители могут принять участие в работе Комиссии и изложить свои позиции по инициативным проектам.
4.10. Комиссия осуществляет следующие функции:
4.10.1. Рассматривает, оценивает инициативные проекты и документы в соответствии с критериями оценки согласно приложению № 6 к настоящему Порядку. 
Предварительный расчет баллов по установленным критериям по каждому инициативному проекту производит департамент финансов Нефтеюганского района.
4.10.2. Проверяет соответствие инициативных проектов требованиям, установленным настоящим Порядком.
4.10.3. Определяет перечень инициативных проектов – победителей конкурсного отбора согласно рейтингу, сформированному по установленным критериям. 
4.10.4. Принимает решение о признании инициативного проекта прошедшим или не прошедшим конкурсный отбор.
4.11. Заседание Комиссии правомочно при условии, что на заседании присутствует не менее половины от утвержденного состава ее членов.
4.12. Решение принимается открытым голосованием по каждому инициативному проекту простым большинством голосов присутствующих на заседании лиц, входящих в состав Комиссии. В случае равенства голосов решающим является голос председательствующего на заседании Комиссии.
4.13. При отсутствии председателя Комиссии на заседании председательствует и подписывает протокол заместитель председателя Комиссии. В случае отсутствия члена Комиссии его замещает лицо, исполняющее его обязанности по основной деятельности. Комиссия может привлекать к участию в дополнительных работах необходимых специалистов.
4.14. Результаты конкурсного отбора оформляются протоколом в течение 5 рабочих дней со дня заседания комиссии, который подписывается всеми лицами, входящими в состав Комиссии, принявшими участие в голосовании и направляется всем членам Комиссии.
4.15. В протоколе указываются:
4.15.1. лица, принявшие участие в заседании комиссии;
4.15.2. реестр участников конкурсного отбора;
4.15.3. информация об оценках инициативных проектов участников конкурсного отбора.
4.16. В случае если по результатам оценки на одно призовое место претендуют несколько инициативных проектов, набравших одинаковое количество баллов, преимущество имеет инициативный проект, дата и время регистрации которого имеет более ранний срок.
4.17. Количество направленных инициативных проектов не ограничено.
4.18. Финансирование инициативных проектов из бюджета Нефтеюганского района осуществляется первым 8 проектам в соответствии с рейтингом.
В случае внесения 8 или менее инициативных проектов победителями конкурсного отбора признаются все поступившие проекты, соответствующие требованиям, установленным настоящим Порядком без определения ранжирования и расчета баллов по установленным критериям.
4.19. В случае образования остатков средств бюджета Нефтеюганского района, предусмотренных на реализацию инициативных проектов, оставшихся от распределения первым 8 проектам в соответствии с рейтингом, средства направляются на финансирование инициативных проектов, занимающих в рейтинге позиции, следующие после инициативных проектов, признанных победителями. Объем финансирования, необходимый для реализации инициативного проекта, занимающего в рейтинге позицию, следующую после инициативных проектов, признанных победителями, определяется в соответствии с преимуществом занимаемой позиции. 
</t>
  </si>
  <si>
    <t xml:space="preserve">согласительная комиссия  https://admlangepas.ru/open-budget/proactive-budgeting/legal-regulation2870/municipal-legal-acts5266/postanovlenie-ot-20-fevralya-2021-g-260/ </t>
  </si>
  <si>
    <t xml:space="preserve">протокол заседания конкурсной комиссии   по отбору проектов, социально значимых инициатив (проектов) среди территориального обще-ственного самоуправления </t>
  </si>
  <si>
    <t>Протокол с заседания согласительной комиссии по проведению конкурсного отбора инициативных проектов от  №1 от 29.10.2021 г.</t>
  </si>
  <si>
    <t>Протокол собрания конкурсной комиссии по проведению конкурсного отбора инициативных проектов</t>
  </si>
  <si>
    <t>протокол заседания конкурсной комиссии http://petrgosk.ru/obshchestvo/koordinatsionnye-i-soveshchatelnye-organy/konkursnaya-komissiya-po-provedeniyu-konkursnogo-otbora-proektov-po-remontu-ulichno-dorozhnoy-seti-o/%D0%9A%D0%BE%D1%81%D1%82%D0%BE%D1%80%D0%BD%D0%BE%D0%B2%20%D0%9A.%D0%92.%20%D0%9F%D1%80%D0%BE%D1%82%D0%BE%D0%BA%D0%BE%D0%BB%20%E2%84%961%20%D0%BE%D1%82%2002.02.2021.pdf</t>
  </si>
  <si>
    <t>протокол https://www.angosk.ru/index.php/informatsiya/mestnye-initsiativy/12396-protokol-zasedaniya-komissii-po-provedeniyu-konkursnogo-otbora-initsiativnykh-proektov-neftekumskogo-gorodskogo-okruga-stavropolskogo-kraya-ot-05-iyulya-2023-goda-1</t>
  </si>
  <si>
    <t>протокол от 04.08.2021</t>
  </si>
  <si>
    <t>фото</t>
  </si>
  <si>
    <t>Протокол заседания конкурсной комисии по отбору инициативных проектов http://izobadmin.ru/taxonomy/term/1537</t>
  </si>
  <si>
    <t>Участие зафиксировано протоколом заседания конкурсной комиссии по отбору проектов инициативного бюджетирования</t>
  </si>
  <si>
    <t>Постановление администрации Георгиевского городского округа Ставропольского края от 06 июля 2021 г. № 2109 "Об утверждении состава конкурсной комиссии по проведению конкурсного отбора инициативных проектов на территории Георгиевского городского округа Ставропольского края"
https://www.georgievsk.ru/mestnye-initsiativy/2021/2109_06-07-2021.doc
Результаты конкурсного отбора
https://www.georgievsk.ru/mestnye-initsiativy/budjetirovanie/rezult_konkurs_2022.pdf</t>
  </si>
  <si>
    <t>протокол комиссии по проведению конкурсного отбора инициативных проектов в Благодарненском городском округе Ставропольского края, http://abgosk.ru/finansy/initsiativnoe-byudzhetirovanie/initsiativnye-proekty/Протокол%201.pdf</t>
  </si>
  <si>
    <t>протокол конкурсной комиссии</t>
  </si>
  <si>
    <t>протоколы - от 26.05.2022, от 02.06.2022, от 26.08.2022, от 13.12.2022 (https://krur.midural.ru/article/show/id/10624)
постановление администрации городского округа Красноуральск от 24.05.2022 № 648 "О созании комиссии по рассмотрению инициативных проектов"</t>
  </si>
  <si>
    <t>протокол комиссии по отбору инициативных проектов</t>
  </si>
  <si>
    <t>протокол заседания конкурсной комиссии по отбору инициативных проектов в МО Алапаевское</t>
  </si>
  <si>
    <t>https://dumatlt.ru/deytelnost/rs/rs_vii_2021_9m.php</t>
  </si>
  <si>
    <t>Проведение конкурсного отбора инициативных проектов возлагается на комиссию по проведению конкурсного отбора инициативных проектов, конкурсная комиссия. 
Состав конкурсной комиссии формируется Администрацией городского округа Похвистнево и утверждается её постановлением. Количество членов конкурсной комиссии составляет 9 человек ,при этом в комиссиию включены 2 жителя и 2 депутата</t>
  </si>
  <si>
    <t xml:space="preserve">Протокол заседания конкурсной комиссии по проведению конкурсного отбора инициативных проектов от   25 марта 2022г.
</t>
  </si>
  <si>
    <t>Постановление администрации города Перми от 04.02.2022 № 66 "Об утверждении состава комиссии по рассмотрению инициативных проектов"</t>
  </si>
  <si>
    <t>Протокол заседания муниципальной конкурсной комиссии по отбору проектов инициативного бюджетирования на территории города Кудымкара</t>
  </si>
  <si>
    <t>Протокол заседания комиссии по проведению конкурсного отбора инициативных проектов на территории МО "Город Березники" Пермского края</t>
  </si>
  <si>
    <t>комиссии по проведению конкурсного отбора инициативных проектов</t>
  </si>
  <si>
    <t>Протокол заседания конкурсной комиссии по отбору инициативных проектов в 2022 году
https://admomsk.ru/c/document_library/get_file?p_l_id=1186294&amp;folderId=1159548&amp;name=DLFE-85877.pdf
https://admomsk.ru/c/document_library/get_file?p_l_id=1186294&amp;folderId=1159548&amp;name=DLFE-86326.pdf</t>
  </si>
  <si>
    <t>Протокол № 1 от 26.05.2022 заседания конкурсной комиссии по отбору инициативных проектов на территории Тевризского муниципального района Омской области</t>
  </si>
  <si>
    <t>Очная защита проектов представителем Проектной группы образовательной организации. Конкурсная комиссия очно оценивала проекты (оценочные листы)</t>
  </si>
  <si>
    <t xml:space="preserve">Протокол №1 заседания комиссии по рассмотрению инициативных проектов на территории Богородского муниципального округа Нижегородской области от 12.08.2022 </t>
  </si>
  <si>
    <t>https://dzhankoy.rk.gov.ru/uploads/txteditor/dzhankoy/attachments//d4/1d/8c/d98f00b204e9800998ecf8427e/phpa8l5UJ_Пртокол%20№%201%20от%2029.04.2022%20г.%20заседания%20комиссии%20по%20рассмотрению%20проекта.pdf</t>
  </si>
  <si>
    <t>https://dzhankoy.rk.gov.ru/uploads/txteditor/dzhankoy/attachments//d4/1d/8c/d98f00b204e9800998ecf8427e/php3qgsSu_Протокол%20№1%20заседания%20конкурсной%20комиссии%20по%20рассмотрению%20инициативного%20проекта.pdf</t>
  </si>
  <si>
    <t>http://адм-тамань.рф/images/SMI/proekt/Протокол%20согласительной%20комиссии.pdf</t>
  </si>
  <si>
    <t>Протокол Согласительной комиссии</t>
  </si>
  <si>
    <t>Протокол согласительной комиссии</t>
  </si>
  <si>
    <t>Согласительная комиссия по отбору проектов местных инициатив</t>
  </si>
  <si>
    <t>Рассмотрение проектов на заседаниях для дельнейшего финансирования либо отказа в финансировании.</t>
  </si>
  <si>
    <t>протокол комиссии</t>
  </si>
  <si>
    <t>Протокол заседания комиссии от 08.09.2022 г.</t>
  </si>
  <si>
    <t>протокол конкурсной комисии</t>
  </si>
  <si>
    <t xml:space="preserve">протокол конкурсной комиссии </t>
  </si>
  <si>
    <t>Протокол комиссии</t>
  </si>
  <si>
    <t>фотофиксация Объявления (unarokovo.ru)</t>
  </si>
  <si>
    <t>Протокол №1 от 24.05.2022г. Общественная муниципальная комиссия , https://docs.yandex.ru/docs/view?url=ya-browser%3A%2F%2F4DT1uXEPRrJRXlUFoewruLJogg-hhXp17y79Ujd5-iFLdjt2P13iJG-bVCfLmdI-kiEj229PFnYjXHKmxwybI12Co2IkLLzB9a7CPaoMX7sIR-78TvNB8vRQ03TeqcTtiWLWl8b9rwqMr11kl3-WBA%3D%3D%3Fsign%3DjWpIWYaToB8lu9Sfm7sV6WzIkCe4m9nT5Ebuoxm8P10%3D&amp;name=Итоговый_протокол_от_24.05.2022.docx&amp;nosw=1</t>
  </si>
  <si>
    <t>Протокол от 08.04.2022</t>
  </si>
  <si>
    <t>Протокол совещания общественной муниципальной комиссии по реализации проекта народной инициативы от 20.04.2022</t>
  </si>
  <si>
    <t>Постановлением администрации МР "Койгородский" от 16  июля 2021 года № 24/07 создана счетная комиссия по подсчету голосов народных инициатив на территории муниципального образования муниципального района "Койгородский" в количестве 7 чел. Проведено  заседание (11 апреля 2022 года -участвовало 7 членов комиссии; ).</t>
  </si>
  <si>
    <t>постановление от 23.07.2021 №1201 "О составе и порядке работы комиссии муниципального образования муниципального района "Корткеросский" по отбору народных инициатив"</t>
  </si>
  <si>
    <t>Счетная комиссия осуществляет подсчет голосов, оформляется итоговый протокол</t>
  </si>
  <si>
    <t>https://www.afanasyevo.ru/ekonomika/initsiativnye-proekty/item/23022-protokol-1-2022-zasedaniya-komissii-po-provedeniyu-konkursnogo-otbora-initsiativnykh-proektov</t>
  </si>
  <si>
    <t>Инициативный проект, внесенный в администрацию, подлежит обязательному рассмотрению, в случае если в администрацию внесено 2 и более инициативных проекта, в том числе с описанием аналогичных по содержанию приоритетных проблем, администрация организует проведение конкурсного отбора и информирует об этом инициатора проекта</t>
  </si>
  <si>
    <t xml:space="preserve">нет . В связи с подачей одной заявки, конкурсные процедуры не предполагаются </t>
  </si>
  <si>
    <t xml:space="preserve">Распоряжение администрации Северо-Енисейского района от 21.03.2022 № 504-р "Об организации работы с инициативными проектами граждан на территории Северо-Енисейского района" </t>
  </si>
  <si>
    <t>11 (7 членов комиссии и 4 приглашенных участника)</t>
  </si>
  <si>
    <t>11 чел.</t>
  </si>
  <si>
    <t xml:space="preserve">25 человек </t>
  </si>
  <si>
    <t>10 человек</t>
  </si>
  <si>
    <t>7 человек</t>
  </si>
  <si>
    <t>https://df.salekhard.org/byudzhetnaya-initsiativa-grazhdan/2021.php</t>
  </si>
  <si>
    <t>http://lugovoikonda.ru/tinybrowser/files/2023/raznoe/_-283-komissiya-po-proektam-ib-1.doc</t>
  </si>
  <si>
    <t>https://amursk.ru/index.php?option=com_content&amp;task=view&amp;id=15161&amp;Itemid=361</t>
  </si>
  <si>
    <t>согласительные комиссии</t>
  </si>
  <si>
    <t>протокол заседания рабочей группы администрации и совета депутатов</t>
  </si>
  <si>
    <t>Протокол заседания Конкурсной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09.09.2021</t>
  </si>
  <si>
    <t>очное голосование членов конкурсной комиссии  с фиксацией результатов в протоколе заседания</t>
  </si>
  <si>
    <t>Постановление Администрации Красноглинского внутригородского района городского округа Самара от 21.10.2021 № 692 "Об утверждении конкурсной комиссии по отбору претендентов на допущение  общественных инициатив к общественному голосованию и определению победителей конкурсного отбора по результатам общественного голосования"</t>
  </si>
  <si>
    <t>Распоряжение Администрации Красноглинского внутригородского района городского округа Самара от 16.11.2022 № 99 "О создании рабочей группы для рассмотрения инициативного проекта "Крутая горка" в мкр. Крутые Ключи, территория в границах домов №№6,7 по ул. Крутые Ключи и домов №№6,8 по бульвару Ивана Финютина Красноглинского внутригородского района городского округа Самара"</t>
  </si>
  <si>
    <t>https://otradny.org/upload/iblock/1f3/1f3df8aa53ea75199261fa1fcc0289b8.docx , https://otradny.org/upload/idlock/9ee/9ee202c933396cfebe6e4lef96662005.docx</t>
  </si>
  <si>
    <t>экспертный совет грантового конкурса социальных проектов инициатив местных сообществ</t>
  </si>
  <si>
    <t>протокол общественной комиссии</t>
  </si>
  <si>
    <t>Постановление администрации Верещагинского городского округа от 16.07.2021 № 254-01-01-1197</t>
  </si>
  <si>
    <t>протокол заседания Конкурсной Комиссии</t>
  </si>
  <si>
    <t>Конкурсная комиссия  после презентации инициативных предложений осуществляет оценку предложений в соответствии с критериями отбора, формирует рейтинг инициативных предложений в порядке убывания присвоенных им суммарных баллов  определяет победителя Проекта. Победителем Проекта признается общеобразовательная организация, чье инициативное предложение получило наибольший суммарный балл, согласно сформированному рейтингу.</t>
  </si>
  <si>
    <t>Конкурсная комиссия принимает решение по итоговому рейтингу проектов на основе балльной шкалы критериев оценки</t>
  </si>
  <si>
    <t>https://finotdnovoorsk.ru/assets/files/2023/protokol-ot-26.04.2022.pdf</t>
  </si>
  <si>
    <t>https://bugraifo.orb.ru/upload/uf/91c/Protokol.pdf</t>
  </si>
  <si>
    <t>https://bugraifo.orb.ru/documents/other/103324/</t>
  </si>
  <si>
    <t>https://adamfin.ru/assets/files/documents/Shkolnyi%20budjet/2022/itogi-otbora-proektnyix-predlozhenij-po-proektu-shkolnyij-byudzhet-za-2022-god.pdf</t>
  </si>
  <si>
    <t>https://adamfin.ru/assets/files/1oldfile/Protokol-no-2-ot-15.06.2022.rar</t>
  </si>
  <si>
    <t xml:space="preserve">Инициаторы проектных идей совместно со Школьным советом проводят оформление выбранной проектной идеи для дальнейшего участия в отборе между школами. Школьный совет оформляет заявку на участие в Проекте. Готовые заявки на участие в Проекте направляются в Конкурсную комиссию, состав которой назначается приказом Отдела образовании администрации города Медногорска.
Выбор победителя осуществляется после очной защиты инициативных предложений. Конкурсная комиссия в течение трех рабочих дней после презентации инициативных предложений осуществляет оценку предложений в соответствии с критериями отбора, предусмотренныыми Положением о проекте «Школьный бюджет», формирует рейтинг инициативных предложений в порядке убывания присвоенных им суммарных баллов) и определяет победителя Проекта. Победителем Проекта признается образовательная организация, чье инициативное предложение получило наибольший суммарный балл, согласно сформированному рейтингу. </t>
  </si>
  <si>
    <t>Комиссии по проведению конкурсного отбора заявок на участие в проекте «Школьный бюджет»</t>
  </si>
  <si>
    <t>комиссия по проведению конкурсного отбора заявок на участие в проекте «Народный бюджет - 2022»</t>
  </si>
  <si>
    <t>Протокол заседания конкурсной комиссии по проведению конкурсного отбора инициативных проектов для реализации на территории г.о.Семеновский в 2022 году от 07.06.2022 г.</t>
  </si>
  <si>
    <t xml:space="preserve">Протокол заседания конкурсной комиссии по отбору инициативных проектов в городском округе город Дивногорск на 2022 год
http://www.divnogorsk-adm.ru/uploads/files/%D0%9F%D1%80%D0%BE%D1%82%D0%BE%D0%BA%D0%BE%D0%BB%20%D0%B8%D0%BD%D0%B8%D1%86%D0%B8%D0%B0%D1%82%D0%B8%D0%B2%D0%BD%D1%8B%D0%B5%20%D0%BF%D1%80%D0%BE%D0%B5%D0%BA%D1%82%D1%8B.pdf </t>
  </si>
  <si>
    <t>протоколы,фото, аудио и видеофиксация</t>
  </si>
  <si>
    <t>протокол, аудиофиксация</t>
  </si>
  <si>
    <t>проводится заседание комиссии, члены комиссии оценивают каждый представленный инициативный проект в соответствии с критериями оценки инициативных проектов</t>
  </si>
  <si>
    <t>Протокол заседания комиссии по проведению конкурсного отбора инициативных     проектов в Журавском сельском поселении Кореновского района</t>
  </si>
  <si>
    <t>опросы</t>
  </si>
  <si>
    <t>Комиссия по отбору народных инициатив муниципального района «Усть-Цилемский»</t>
  </si>
  <si>
    <t>Протокол счетной комиссии администрации муниципального района "Сысольский" (подсчет и формирование рейтинга голосов)</t>
  </si>
  <si>
    <t>протоколы от 8 апреля и 17 июня 2022 г.</t>
  </si>
  <si>
    <t>протокольное решение</t>
  </si>
  <si>
    <t>Подведение итогов Общественных обсуждений, анкетирование по участию города во Всероссийском конкурсе лучших проектов создания Комфортной городской среды среди малых городов и Исторических поселений принимает общественная комиссия (состав утвержден постановлением мэрии города от 08.08.2017 №3704), по рассмотрению предложений заинтересованных или уполномоченных ими лиц о включении территорий нуждающихся в благоустройстве и подлежащих благоустройству в 2018-2024 годах, в муниципальную программу "Формирование современной городской среды муниципального образования "Город Череповец" на 2018-2024 годы</t>
  </si>
  <si>
    <t>Оценочный лист</t>
  </si>
  <si>
    <t>Протокол заседания комиссии Конкурса проектов, реализуемых территориальным общественным самоуправлением в городском и сельских поселениях района</t>
  </si>
  <si>
    <t>протокол от 24 ноября 2021 года</t>
  </si>
  <si>
    <t>протокол от 31 января 2022 года</t>
  </si>
  <si>
    <t>да, 1 этап отбора</t>
  </si>
  <si>
    <t>https://vk.com/album-51946917_283084658</t>
  </si>
  <si>
    <t>по итогам - протокол, фотоотчет</t>
  </si>
  <si>
    <t>https://komobrlub.edusite.ru/p94aa1.html</t>
  </si>
  <si>
    <t>https://amursk.ru/index.php?option=com_content&amp;task=view&amp;id=14342&amp;Itemid=361</t>
  </si>
  <si>
    <t>очное голосование на конференции делегатов ТОС с фиксацией результатов в протоколах конференции делегатов ТОС</t>
  </si>
  <si>
    <t>Протокол собрания граждан №6 от 11.05.2022 года</t>
  </si>
  <si>
    <t>очное собрание</t>
  </si>
  <si>
    <t xml:space="preserve">Протокол конференции. П. 4.22 решения Пермской городской Думы от 26.03.2019 № 64 </t>
  </si>
  <si>
    <t>протокол собрания (конференции)</t>
  </si>
  <si>
    <t>протокол, подписные листы</t>
  </si>
  <si>
    <t>проводятся на постоянной основе, в т.ч с участием депутатов и глав управ</t>
  </si>
  <si>
    <t>95 человек</t>
  </si>
  <si>
    <t>55 чел.</t>
  </si>
  <si>
    <t>3889 чел.</t>
  </si>
  <si>
    <t>Голосование за инициативы в рамках проекта «Бюджетная инициатива граждан» («Уютный Ямал») осуществлялось в очном формате, во время проведения Выборов работали точки для голосования за инициативы, данное мероприятие осуществлялось с привлечением волонтеров. Информация о количестве проголосовавших гражданах отражена в журнале регистрации</t>
  </si>
  <si>
    <t>В рамках школьного патисипаторного бюджетирования проводится единый день голосования. Участие фиксировалось путем подсчетов подписей в бюллетенях</t>
  </si>
  <si>
    <t>Голосование за инициативы осуществлялось также в очном формате, в рамах работы точек для голосования, с привлечением волонтёров, https://vk.com/wall-189302525?q=бюджетирование</t>
  </si>
  <si>
    <t>Очное голосование на счетных участках</t>
  </si>
  <si>
    <t>Проведение городской конференции - https://vk.com/salekhard_adm?w=wall-118907081_30850, https://vk.com/salekhard_adm?w=wall-118907081_31295                        C 17 по 19 сентября голосование  на специально созданных счётных участках</t>
  </si>
  <si>
    <t>http://lugovoikonda.ru/tinybrowser/files/2021/rasporygeniy/protokol.docx  http://lugovoikonda.ru/tinybrowser/files/2022/aukzion/protookol-sobraniya-grazhdan.docx</t>
  </si>
  <si>
    <t>Протокол собрания  https://admlangepas.ru/open-budget/proactive-budgeting/attention-the-competition/projects-submitted-to-the-contest/2022-y/</t>
  </si>
  <si>
    <t>протоколы собрания собственников жилья</t>
  </si>
  <si>
    <t>очное голосование на сходе</t>
  </si>
  <si>
    <t>протокол собрания граждан по выбору инициативного проекта</t>
  </si>
  <si>
    <t>собрания</t>
  </si>
  <si>
    <t xml:space="preserve">протокол собрания </t>
  </si>
  <si>
    <t>протокол собрания, подписные листы</t>
  </si>
  <si>
    <t>Протокол собрания граждан многоквартирного дома № 30 по улице Ленина г.Ревды о рассмотрении инициативного проекта,подписные листы</t>
  </si>
  <si>
    <t>Протокол собраний, сходов, конференций</t>
  </si>
  <si>
    <t>Собрание граждан</t>
  </si>
  <si>
    <t xml:space="preserve">протокол собрания жителей
</t>
  </si>
  <si>
    <t>Протокол собрания граждан от 23.09.2021г. https://isakli.ru/documents/priobretenie-konteynerov-dlya-skladirovaniya-tbo/protokol-konteynery/</t>
  </si>
  <si>
    <t>Протокол собрания граждан от 23.09.2021г.: https://isakli.ru/documents/priobretenie-i-ustanovka-derevyannoy-gorki-teremok/protokol-sobraniya-zhiteley-ot-23-09-2021g/</t>
  </si>
  <si>
    <t>Протокол
схода граждан деревни Малое Микушкино Исаклинского района Самарской области Сельское поселение Большое Микушкино муниципального района Исаклинский Самарской области</t>
  </si>
  <si>
    <t xml:space="preserve">Протокол </t>
  </si>
  <si>
    <t>Оформление протокола собрания граждан</t>
  </si>
  <si>
    <t>https://tu.orb.ru/documents/other/132806/</t>
  </si>
  <si>
    <t>Рейтин проектых решений</t>
  </si>
  <si>
    <t>собрание граждан в центре района для обсуждения благоустройство территории СДК с. Новосултангулово</t>
  </si>
  <si>
    <t>протокол собрания №2 от 27.04.2022</t>
  </si>
  <si>
    <t>Протокол собрания жителей</t>
  </si>
  <si>
    <t>Проектные заявки отбираются на собраниях (конференциях)
Проведение предварительных и заключительных собраний  жителей населенного пунктв по выбору проекта ИБ. Количество присутствующих указывается в протоколе.</t>
  </si>
  <si>
    <t>протокол общего собрания жителей</t>
  </si>
  <si>
    <t>протокол, фото, аудио и видеофиксация</t>
  </si>
  <si>
    <t>протокол, видеозапись</t>
  </si>
  <si>
    <t>протокол схода граждан, аудио-запись</t>
  </si>
  <si>
    <t xml:space="preserve">Проведена встреча инициативной группы с жителями п. Сенной, а также представителями администрации поселения, в ходе которой было проведено голосование, и проект был вынесен на рассмотрение в администрацию Сенного сельского поселения Темрюкского район, </t>
  </si>
  <si>
    <t>Протокол собрания инициатвной группы</t>
  </si>
  <si>
    <t>опросные листы граждан</t>
  </si>
  <si>
    <t xml:space="preserve">Публичная защита проектов иниациативного бюджетирования </t>
  </si>
  <si>
    <t>фото фиксация</t>
  </si>
  <si>
    <t>открытое голосование</t>
  </si>
  <si>
    <t>Подписные листы</t>
  </si>
  <si>
    <t>голосование на собраниях</t>
  </si>
  <si>
    <t xml:space="preserve">протокол схода граждан/https://www.novoberezanskoe.ru/initsiativnoe-byudzhetirovanie </t>
  </si>
  <si>
    <t>запись на видео</t>
  </si>
  <si>
    <t>аудио фиксация, фотофиксация</t>
  </si>
  <si>
    <t>сходы, собрания</t>
  </si>
  <si>
    <t>протоколирование</t>
  </si>
  <si>
    <t>Протокол собрания граждан об участии в конкурсном отборе проектов местных инициатив муниципальных образований Краснодарского края</t>
  </si>
  <si>
    <t>Сходы и собрания жителей</t>
  </si>
  <si>
    <t>видиофиксация</t>
  </si>
  <si>
    <t xml:space="preserve">Сбор подписей </t>
  </si>
  <si>
    <t>Протокол собрания б/н от 30.04.2022</t>
  </si>
  <si>
    <t>протокол итогового голосования</t>
  </si>
  <si>
    <t>проводились конференции, собрания для уточнения перечня инициатив и определения приоритетов и дальнейшего вынесения на народное голосование, общее собрание жителей дома, анкетирование горожан</t>
  </si>
  <si>
    <t>протокол от 9 августа 2022</t>
  </si>
  <si>
    <t>Фото</t>
  </si>
  <si>
    <t xml:space="preserve">Интернет-голосование за инициативы проводилось на портале "Живём на Севере"
https://www.survio.com/survey/w/M8F3O7Q8R2F8P2I9T
</t>
  </si>
  <si>
    <t xml:space="preserve">Информационный ресурс "Живем на Севере" </t>
  </si>
  <si>
    <t>Информационный портал «Живем на Севере»</t>
  </si>
  <si>
    <t>На портале "Живем на Севере" организуется онлайн-голосование за проекты, которые вошли в шорт - лист  - https://xn--80adblbabq1bk1bi8r.xn--p1ai/</t>
  </si>
  <si>
    <t>Зарегистрированные пользователи портала "Живем на Севере" могли проголосовать за инициативы, вошедшие в шорт-лист, в течение нескольких дней.</t>
  </si>
  <si>
    <t>Отчет из личного кабинета информационного ресурса "Живём на Севере"</t>
  </si>
  <si>
    <t>Голосование за идеи на портале "Живём на Севере"</t>
  </si>
  <si>
    <t xml:space="preserve">Онлайн голосование за проекты ИБ на портале «Живем на Севере» https://xn--80adblbabq1bk1bi8r.xn--p1ai/votings/2212 </t>
  </si>
  <si>
    <t>Информационный портал "Живем на Севере"</t>
  </si>
  <si>
    <t>Портал «Живем на Севере» https://xn--80adblbabq1bk1bi8r.xn--p1ai/cozyYamal/about
В социальных сетях и мессенджерах при помощи гугл-ссылки (партисипаторное бюджетирование)</t>
  </si>
  <si>
    <t>http://www.admugansk.ru/read/52979 ; http://www.admugansk.ru/read/51237</t>
  </si>
  <si>
    <t>https://vk.com/id12323527?w=wall-172622683_7283</t>
  </si>
  <si>
    <t>голосование, https://isib.myopenugra.ru/application/view/?id=557867</t>
  </si>
  <si>
    <t>Электронное голосование на официальном сайте Администрации города Тюмени в системе электронных опросов "Я решаю!" (www.dom.tyumen-city.ru/ir/)</t>
  </si>
  <si>
    <t>https://ok.ru/profile/584108313288/statuses/153625045775816, http://pregradnoe.ru, https://www.instagram.com/p/CQ-8LKkLcI-/?igshid=YmMyMTA2M2Y=</t>
  </si>
  <si>
    <t>протокол результата опроса, скриншоты свода с результатами голосования с интернет- сайта</t>
  </si>
  <si>
    <t>https://ag.sbor.ru/poll/69</t>
  </si>
  <si>
    <t>Площадка для голосования на сайте Администрации городского округа Самара во вкладке "Красноглинский район", "Твой конструктор двора" с 08.00 часов 22.11.2021 до 20.00 24.11.2021</t>
  </si>
  <si>
    <t>рейтинговое голосование на федеральной платформе "Город-среда"</t>
  </si>
  <si>
    <t>электронное голосование   на платформе обратной связи (ПОС), а также в официальных аккаунтах в соц сетях</t>
  </si>
  <si>
    <t>https://tl.orb.ru/vote/207/result/expired/</t>
  </si>
  <si>
    <t>сайт"сакмарскийрайон.рф"</t>
  </si>
  <si>
    <t>https://gy.orb.ru/vote/187/result/expired/;   см Протокол №2 от 29.08.2022 (результат по голосованию Орский колледж не является муниципальной собственносью муниципального образования Гайский городскофй округ, снимается с участия в конкурсе)</t>
  </si>
  <si>
    <t>https://pos.gosuslugi.ru/lkp/project-contests/820/02/</t>
  </si>
  <si>
    <t xml:space="preserve">https://pos.gosuslugi.ru/lkp/project-contests/10129/
</t>
  </si>
  <si>
    <t>https://xn----dtbsbdgikgdbazpac.xn--p1ai/</t>
  </si>
  <si>
    <t>опрос жителей</t>
  </si>
  <si>
    <t>https://vk.com/wall659391180_113</t>
  </si>
  <si>
    <t>интернет-голосование использовалось для учета мнения жителей при разработке ПСД, концепций инициативных проектов</t>
  </si>
  <si>
    <t>242 (Бабушкина 14)</t>
  </si>
  <si>
    <t>Заявка для участия в конкурсном отборе, является приложением к Порядку</t>
  </si>
  <si>
    <t>Заявки собирали волонтеры.</t>
  </si>
  <si>
    <t xml:space="preserve">Проектный офис "Уютный Ямал" </t>
  </si>
  <si>
    <t>Регистрация письма в администрации района</t>
  </si>
  <si>
    <t>регистрация заявки, фиксация в протоколе согласительной комиссии</t>
  </si>
  <si>
    <t>Регистрация проектов в Администрации города ежемесячно в последние 2 рабочих дня в течение года</t>
  </si>
  <si>
    <t>https://admlangepas.ru/open-budget/proactive-budgeting/attention-the-competition/projects-submitted-to-the-contest/2022-y/</t>
  </si>
  <si>
    <t>присвоение проекту входящего номера</t>
  </si>
  <si>
    <t>https://g58.tmbreg.ru/assets/files/2022/%D0%9E%D0%B1%D1%8A%D1%8F%D0%B2%D0%BB%D0%B5%D0%BD%D0%B8%D0%B5%20%D0%BE%20%D0%BA%D0%BE%D0%BD%D0%BA%D1%83%D1%80%D1%81%D0%BD%D0%BE%D0%BC%20%D0%BE%D1%82%D0%B1%D0%BE%D1%80%D0%B5%20%D0%B8%D0%BD%D0%B8%D1%86%D0%B8%D0%B0%D1%82%D0%B8%D0%B2%D0%BD%D1%8B%D1%85%20%D0%BF%D1%80%D0%BE%D0%B5%D0%BA%D1%82%D0%BE%D0%B2.pdf</t>
  </si>
  <si>
    <t>Заявки на участие в конкурсном отборе</t>
  </si>
  <si>
    <t xml:space="preserve">Обсуждение идей происходит в микрорайонах и некоммерческих организациях перед подготовкой и подачей готовых проектных заявок (официально не фиксируется). </t>
  </si>
  <si>
    <t>протокол общего собрания собственников</t>
  </si>
  <si>
    <t>Сбор заявок на Кокурс и регистрация в Журнале заявок</t>
  </si>
  <si>
    <t>Регистрация заявок через систему АСЭД</t>
  </si>
  <si>
    <t>Запись в листе регистрации Ф.И.О. участников голосования, N школы  и класса, подпись участвоваших в голосовании</t>
  </si>
  <si>
    <t>публичная защита проектных предложений</t>
  </si>
  <si>
    <t>электронной почты: yass@mail.orb.ru</t>
  </si>
  <si>
    <t>Текст</t>
  </si>
  <si>
    <t>Итоговый протокол голосования</t>
  </si>
  <si>
    <t>регистрация в журнале</t>
  </si>
  <si>
    <t>общие собрания собственников помещений многоквартирных домов</t>
  </si>
  <si>
    <t>В соответствии с положением о конкурсе "Лучшая практика общественного самоуправления в Яковлевском городском округе в 2022 году"</t>
  </si>
  <si>
    <t>сбор подписей населения и работников муниципальных учреждений</t>
  </si>
  <si>
    <t>Внесение заявки для назначения общественных обсуждений и проведения конкурсного отбора</t>
  </si>
  <si>
    <t>проведение школьных мероприятий - торжественные линейки, круглый стол, тренинги, классный час (ШПБ)</t>
  </si>
  <si>
    <t xml:space="preserve">Подача заявок в проектном офисе "Уютный Ямал" </t>
  </si>
  <si>
    <t>Обсуждение идей в классных коллективах</t>
  </si>
  <si>
    <t>Подача проектных идей в администрацию лично или посредством электронной почты</t>
  </si>
  <si>
    <t>прием письменных заявок по утвержденной форме заявки в течении текущего года</t>
  </si>
  <si>
    <t>Внесение инициативных проектов осуществляется инциаторами (инциативная группа граждан, индвидульные предприниматели, ТОС, юридические лицы) на бумажном носителе в Администрацию города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t>
  </si>
  <si>
    <t>Заявка на участие в конкурсе инициативных проектов идет в соответствии с Порядком выдвижения, внесения, обсуждения, 
рассмотрения инициативных проектов, а также проведения их конкурсного отбора 
в городском округе Лангепас</t>
  </si>
  <si>
    <t>предоставление лично на бумажном носителе</t>
  </si>
  <si>
    <t>на сайте размещено уведомление о конкурсе и что жители могут подать заявку</t>
  </si>
  <si>
    <t>на адрес электронной почты</t>
  </si>
  <si>
    <t xml:space="preserve">через сбор предложений организаторов по месту требования </t>
  </si>
  <si>
    <t>силами граждан установленна детская площадка</t>
  </si>
  <si>
    <t xml:space="preserve">Выдвижение проектной идеи юридическим лицом, являющимся некоммерческой организацией, осуществляющей деятельность на территории городского округа </t>
  </si>
  <si>
    <t xml:space="preserve">Конкурсная комиссия:
 1) размещает текст информационного сообщения для информирования населения на официальном сайте Администрации городского округа Самара во вкладке «Самарский внутригородского район» в информационно-телекоммуникационной сети Интернет. 
 2) осуществляет прием заявок и регистрирует их.
 3) Комиссия рассматривает поступившие заявки, осуществляет отбор общественных инициатив. 
</t>
  </si>
  <si>
    <t>Подача заявок, согласование схем и дизайн-проектов благоустрйоства</t>
  </si>
  <si>
    <t>Подача заявок через систему АСЭД</t>
  </si>
  <si>
    <t xml:space="preserve">регистрации учащихся </t>
  </si>
  <si>
    <t>конкурс на уровне школ, затем конкурс на уровне района</t>
  </si>
  <si>
    <t>с 01 июля по 01 августа 2022 года на адре: электронной почты: yass@mail.orb.ru подается заявка на участие в конкурсе и прикладываются документы: паспорт проекта,локальные сметы на работы в рамках проекта, или коммерческие предложения и другая информация, подтвеждающая стоимость материалов, оборудования, являющихся неотъемлемой частью проекта</t>
  </si>
  <si>
    <t>Заявка на участие от физического лица</t>
  </si>
  <si>
    <t xml:space="preserve">Школьное голосование (выбор учащимися 7-11 классов одного инициативного проекта от школы для представления на районном конкурсном отборе) </t>
  </si>
  <si>
    <t>Подача обращения инициативной группой, с подписями заинтересованных граждан</t>
  </si>
  <si>
    <t xml:space="preserve">инициатива мецената о благоустройстве детской игровой площадки за счет собственных средств </t>
  </si>
  <si>
    <t>инициативная группа</t>
  </si>
  <si>
    <t>иной механизм процедуры сбора проектных идей отсутствует</t>
  </si>
  <si>
    <t>Идеи по реализации проектов выдвигались на сходах граждан.</t>
  </si>
  <si>
    <t>подача инициативных проектов в Центр общественных инициатив</t>
  </si>
  <si>
    <t>Проведение конкурса "Лучшая практика общественного самоуправления в Яковлевском городском округе в 2022 году</t>
  </si>
  <si>
    <t>подача заявок через муниципальные учреждения</t>
  </si>
  <si>
    <t>Регистрация обращений</t>
  </si>
  <si>
    <t>https://www.yamal.kp.ru/online/news/4306062/</t>
  </si>
  <si>
    <t>Предложения граждан, обладающих активным избирательным правом, депутатам Думы Георгиевского городского округа Ставропольского края</t>
  </si>
  <si>
    <t>Личный прием депутатов</t>
  </si>
  <si>
    <t xml:space="preserve">да** 
</t>
  </si>
  <si>
    <t>20 идей поступило</t>
  </si>
  <si>
    <t>порядка 300</t>
  </si>
  <si>
    <t>На сайте «Живём на Севере» принимались идеи жителей. Были поданы самые разные инициативы, от строительства и ремонта объектов в селах до благоустройства территорий и организации социально-культурных мероприятий.</t>
  </si>
  <si>
    <t>Посредствам информационного портала "Живем на Севере" - https://xn--80adblbabq1bk1bi8r.xn--p1ai/cozyYamal/about</t>
  </si>
  <si>
    <t>Предложения собирались на портале "Живем на Севере". Итоги сбора идей сохраняются в административной панели модератора, после завершения отбора третьи лица не имеют доступа к разделу.</t>
  </si>
  <si>
    <t>Информационный ресурс "Живём на Севере"</t>
  </si>
  <si>
    <t>подача идей осуществляется через портал "Живём на Севере"</t>
  </si>
  <si>
    <t xml:space="preserve"> Информационно-телекоммуникационная сеть Интернет "Живем на Севере", в разделе «Уютный Ямал» https://xn--80adblbabq1bk1bi8r.xn--p1ai/</t>
  </si>
  <si>
    <t>Информационный портал "Живем на Севере" - Предлагай!, регистрация заявок</t>
  </si>
  <si>
    <t xml:space="preserve">Портал «Живём на Севере» </t>
  </si>
  <si>
    <t>опрос</t>
  </si>
  <si>
    <t>поступление проектов на адрес электронной почты tvoybudget@tyumen-city.ru</t>
  </si>
  <si>
    <t>путем голосования</t>
  </si>
  <si>
    <t>https://ok.ru/profile/531681201290/statuses/153441776734346</t>
  </si>
  <si>
    <t>http://admekaterinovka.ru/initsiativnye-proekty/,   https://gazetaschk.ru/132818.html</t>
  </si>
  <si>
    <t>Прием заявок в электронном виде</t>
  </si>
  <si>
    <t>Обращения граждан в личные сообщения в официальные группы   в соц.сети, вкл. Группы Управ/ТОС, обращения в городские управы, на общегородском портале "Мой Череповец"</t>
  </si>
  <si>
    <t>заявки на официальный адрес электронной почты Администрации городского округа "Город Архангельск"</t>
  </si>
  <si>
    <t>45 учащихся</t>
  </si>
  <si>
    <t>В рамках школьного партисипаторного бюджетирования  - участие фиксировалось путем подсчетов бюллетеней</t>
  </si>
  <si>
    <t>Протокол проектных предложений, предложенных горожанам</t>
  </si>
  <si>
    <t>регистрация  в журнале входящей корреспонденции</t>
  </si>
  <si>
    <t>ящики для сбора анкет</t>
  </si>
  <si>
    <t>подсчет анкет</t>
  </si>
  <si>
    <t>да (для сбора анкет) см. п.13.1</t>
  </si>
  <si>
    <t>да** 
отдельный ящик для сбора был размещен в Мэрии города (пр-кт Строителей,2) , глава управы, председатель ТОС, депутат по округу  в течение года ведет активную работу и собирает предложения с жителей, в т.ч. поступающие через обращения граждан в мэрию города и Череповецкую городскую Думу, депутатам для дальнейшего формирования общего перечня инициатив и включения в Программу развития округов. Ведется прием через официальные группы Управ/ТОС в соц.сетях</t>
  </si>
  <si>
    <t>Ящики для сбора идей</t>
  </si>
  <si>
    <t xml:space="preserve"> заявка</t>
  </si>
  <si>
    <t>не применимо</t>
  </si>
  <si>
    <t>600  человек</t>
  </si>
  <si>
    <t>1. Протокол конференции ТОС № 9 от 28.03.2021 № 21/1 (проект "Спортивная площадка "Черный мыс");
2. Протокол конференции ТОС № 9 от 28.03.2021 № 21/2 (проект "Детско-подростковая площадка "Черный Мыс");
3. Протокол конференции ТОС № 1 от 22.08.2021  (проект "Веревочный комплекс в п.Снежный")</t>
  </si>
  <si>
    <t>протокол собрания (конференции) ТОС</t>
  </si>
  <si>
    <t xml:space="preserve">1. Протокол собрания граждан №6 от 11.05.2022 года
2. Сбор мнений жителей микрорайона по ул. Липяговская о поддержке
инициативного проекта пугем сбора подписньх листов;
</t>
  </si>
  <si>
    <t>Протокол собрания граждан по вопросам осуществления территориального общественного самоуправления</t>
  </si>
  <si>
    <t>Комитет образования Администрации Крестецкого муниципального района объявил о сборе документов для участия в проекте в бумажном виде</t>
  </si>
  <si>
    <t>протокол собрания/подписные листы</t>
  </si>
  <si>
    <t>Ведение протокола собрания</t>
  </si>
  <si>
    <t>лист регистрации участников</t>
  </si>
  <si>
    <t>Заявление о внесении инициативного проекта</t>
  </si>
  <si>
    <t>Представитель инициативной группы председатель ТОС</t>
  </si>
  <si>
    <t>Протокол инициативной группы</t>
  </si>
  <si>
    <t>https://grigorevskaia.krasnodar.ru/poselenie/initsiativnye-proety/</t>
  </si>
  <si>
    <t xml:space="preserve">комиссии во внутригородских районов </t>
  </si>
  <si>
    <t>инициативные группы</t>
  </si>
  <si>
    <t>протокол, видео-фото фиксация</t>
  </si>
  <si>
    <t>проведение собрания жителей, сбор подписных листов</t>
  </si>
  <si>
    <t xml:space="preserve">Протокол собрания граждан об участии в конкурсном отборе  проекта местных инициатив муниципальных образований Краснодарского края,  Журавское сельское поселение Кореновского района, подписные листы.
</t>
  </si>
  <si>
    <t xml:space="preserve">ТОС комитет №1 с. Новопавловка, ТОС комитет № 2 с. Кулешовка </t>
  </si>
  <si>
    <t>Завяки принимались только от органов ТОС</t>
  </si>
  <si>
    <t xml:space="preserve">Протокол конференции/собрания </t>
  </si>
  <si>
    <t>Протоколы</t>
  </si>
  <si>
    <t>Протокол собрания, лист регистрации</t>
  </si>
  <si>
    <t>протокол схода граждан, инициативная заявка</t>
  </si>
  <si>
    <t>Протоколы собраний ТОС</t>
  </si>
  <si>
    <t xml:space="preserve"> да</t>
  </si>
  <si>
    <t xml:space="preserve">В конкурсную комиссию было заявлено 6 проектов, все проекты были рассмотрены на собрании граждан, в которых приняло участие 206 человек </t>
  </si>
  <si>
    <t xml:space="preserve">Всего более 100 встреч (обсуждение выдвижения инициатив, обсуждение проектно-сметной документации, контроль реализации), количество участников - более 1000. </t>
  </si>
  <si>
    <t>525.</t>
  </si>
  <si>
    <t>В результате собрания было подано 10 заявок(идей)</t>
  </si>
  <si>
    <t xml:space="preserve">Во всех населенных пунктах муниципального округа авторы проектов встретились с жителями и рассказали им о своих идеях, ответили на вопросы земляков. </t>
  </si>
  <si>
    <t>https://vk.com/vpriuralye?w=wall-173311244_3726  https://vk.com/vpriuralye?w=wall-173311244_3760               https://vk.com/public205570005?w=wall-205570005_106          https://vk.com/iapriuralye?w=wall-150214082_21334</t>
  </si>
  <si>
    <t>В каждой образовательной организации создаются инициативные группы (количество инициативных групп зависит от численности обучающихся в ОУ). В рамках школьного партисипаторного бюджетирования каждая инициативная группа разрабатывает свой проект, который выносится на общешкольное голосование</t>
  </si>
  <si>
    <t>Фотофиксация, протоколы</t>
  </si>
  <si>
    <t>https://vk.com/@-193603247-shkolnoe-iniciativnoe-budzhetirovanie-2021  https://vk.com/wall-189302525?q=бюджетирование</t>
  </si>
  <si>
    <t>регистрационные, подписные листы</t>
  </si>
  <si>
    <t>Протокол собрания граждан (инициативной группы)</t>
  </si>
  <si>
    <t>На открытии проектного офиса представители общественных организаций предложили несколько идей https://vk.com/salekhard_adm?w=wall-118907081_27942;
Протоколы встреч (патрисипаторное бюджетирование)</t>
  </si>
  <si>
    <t>https://vk.com/public188912037</t>
  </si>
  <si>
    <t>https://vk.com/public183840176?w=wall-183840176_1752
https://ok.ru/group/60701864427563/topic/154321549171499
https://ok.ru/group/60701864427563/topic/154535610063659
https://vk.com/public183840176?w=wall-183840176_1851</t>
  </si>
  <si>
    <t>Протокол собрания граждан, трудовых коллективов</t>
  </si>
  <si>
    <t xml:space="preserve">Протокол № 1 от 20.01.2021 создания инициативной группы и рассмотрения вопроса о выдвижении инцииативного проекта "Цифровая лига Сургута (Digital league of Surgut - DLS)" </t>
  </si>
  <si>
    <t>Объекты для участия в конкурсе определяются жителями (инициативными группами) и органами местного самоуправления городского и сельских поселений Нефтеюганского района. Протоколом собрания населения утверждается состав инициативной группы, оформляется лист регистрации участников собрания (Ф.И,О. адрес, подпись, дата)</t>
  </si>
  <si>
    <t>Выдвижение проектных инициатив было закреплено протоколами общественных собраний</t>
  </si>
  <si>
    <t>https://disk.yandex.ru/d/xyVA5QUgcXwf9g</t>
  </si>
  <si>
    <t>Решение об участии в конкурсном отборе поддержки Проектов на территории муниципального образования «Завьяловский район», выбор объектов и отбор Проектов осуществляются на собраниях жителей.
Собрание жителей может выбрать как один, так и несколько проектов местных инициатив, одного или нескольких представителей инициативных групп. К заявке прилагается протокол и фотофиксация собрания</t>
  </si>
  <si>
    <t xml:space="preserve">12 проектов выдвинуты инициативными группами граждан </t>
  </si>
  <si>
    <t>собрания собственников жилья</t>
  </si>
  <si>
    <t>Протокол собраний граждан о выдвижении инициативных проектов</t>
  </si>
  <si>
    <t>протокол от 09.07.2021 списки</t>
  </si>
  <si>
    <t>протокол о создании инициативной группы</t>
  </si>
  <si>
    <t>Протокол собрания граждан об участии в конкурсном отборе инициативных проектов развития территорий Кочубеевского муниципального округа,основанных на инициативном бюджетировании. https://rutube.ru/video/82553ea2690c13582b67e36de45dd9ca/</t>
  </si>
  <si>
    <t>Список граждан, присутствовавших на собрании (содержащий фамилии и инициалы граждан,  личные подписи)</t>
  </si>
  <si>
    <t xml:space="preserve">встречи с гражданами на собраниях для  обсуждение выдвигаемых проектных идей </t>
  </si>
  <si>
    <t>выдвижение проектных идей инициативной группой</t>
  </si>
  <si>
    <t>Протокол собрания граждан многоквартирного дома № 30 по улице Ленина г.Ревды о рассмотрении инициативного проекта</t>
  </si>
  <si>
    <t xml:space="preserve">Протокол собрания  граждан и подписные листы, подтверждающие поддержку инициативного проекта жителями сельского поселения. </t>
  </si>
  <si>
    <t xml:space="preserve">Протокол собрания  граждан и подписные листы, подтверждающие поддержку инициативного проекта жителями сельского поселения. 
</t>
  </si>
  <si>
    <t xml:space="preserve">Протокол собрания граждан и подписные листы, подтверждающие поддержку инициативного проекта жителями сельского поселения. </t>
  </si>
  <si>
    <t xml:space="preserve">Протокол собрания граждан и подписные листы, подтверждающие поддержку инициативного проекта жителями сельского поселения.   </t>
  </si>
  <si>
    <t xml:space="preserve">протокол собрания граждан и подписные листы, подтверждающие поддержку инициативного проекта жителями муниципального района </t>
  </si>
  <si>
    <t>Постановление администрации сельского поселения исаклы от 05.09.2021г. №119а "О созыве конференции граждан (собрании делегатов) села Исаклы сельского поселения Исаклы муниципального района Исаклиинский Самарской области;  https://isakli.ru/documents/priobretenie-konteynerov-dlya-skladirovaniya-tbo/119-a-ot-05-09-2021-goda-o-sozyve-konferentsii-gra../                                                       Протокол собрания граждан от 23.09.2021г.: https://isakli.ru/documents/priobretenie-konteynerov-dlya-skladirovaniya-tbo/protokol-konteynery/</t>
  </si>
  <si>
    <t>Постановление администрации сельского поселения исаклы от 05.09.2021г. №119а "О созыве конференции граждан (собрании делегатов) села Исаклы сельского поселения Исаклы муниципального района Исаклиинский Самарской области;  https://isakli.ru/documents/priobretenie-i-ustanovka-derevyannoy-gorki-teremok/119-a-ot-05-09-2021-goda-o-sozyve-konferentsii-gra/                                                              Протокол собрания граждан от 23.09.2021г.: https://isakli.ru/documents/priobretenie-i-ustanovka-derevyannoy-gorki-teremok/protokol-sobraniya-zhiteley-ot-23-09-2021g/</t>
  </si>
  <si>
    <t>Обсуждение, подомовой обход</t>
  </si>
  <si>
    <t>Протокол общего собрания жителей многоквартирного дома/уличного пространства</t>
  </si>
  <si>
    <t>заявка</t>
  </si>
  <si>
    <t>журнал регистрации заявок</t>
  </si>
  <si>
    <t xml:space="preserve">Инициативный проект до его внесения в Администрацию городского округа Похвистнево подлежит рассмотрению на собрании или конференции граждан, в том числе на собрании или конференции граждан по вопросам осуществления территориального общественного самоуправления, в целях:
1) обсуждения инициативного проекта;
2) определения его соответствия интересам жителей муниципального образования или его части;
3) целесообразности реализации инициативного проекта;
4) принятия соответственно собранием или конференцией граждан решения о поддержке инициативного проекта. 
При этом возможно рассмотрение нескольких инициативных проектов на одном собрании или на одной конференции граждан.
Собрание граждан, на котором рассматривается инициативный проект, считается правомочным, если в нем приняло участие не менее 3 процентов из числа граждан, достигших шестнадцатилетнего возраста и проживающих на соответствующей части территории муниципального образования
</t>
  </si>
  <si>
    <t xml:space="preserve">Протоколы собрания или конференции граждан, подтверждающие поддержку инициативного проекта жителями УГО или его части в соответствии с п. 5 раздела III Решениz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
</t>
  </si>
  <si>
    <t xml:space="preserve">протокол № 1 заседания общественной комиссии по проведению общественных обсуждений </t>
  </si>
  <si>
    <t>Протоколы собраний инициативных групп</t>
  </si>
  <si>
    <t xml:space="preserve">Протокол собрания инициативной группы граждан. П. 3.7 решения Пермской городской Думы от 26.03.2019 № 64 </t>
  </si>
  <si>
    <t>https://tu.orb.ru/documents/other/132826/</t>
  </si>
  <si>
    <t>Выдвижение проектных предложений проводится на классных собраниях обучающихся 8-11 классов</t>
  </si>
  <si>
    <t>протокол инициативной группы</t>
  </si>
  <si>
    <t>собрание граждан в центре села для обсуждения благоустройство территории СДК с. Новосултангулово</t>
  </si>
  <si>
    <t>http://school-test1.ucoz.com/index/arkhiv_quot_shkolnyj_bjudzhet_2022_quot/0-363;
http://school2-mednogo.ucoz.ru/index/proekt_quot_shkolnyj_bjudzhet_quot/0-185 ;
https://medgimn.ru/news/7229.html;
http://school5medn.ucoz.ru/index/shkolnyj_bjudzhet_2022/0-88;
https://school7medn.ucoz.ru/index/3_ehtap_realizacii_proekta/0-474;
https://blyavtamak.orbschool.ru/?section_id=19</t>
  </si>
  <si>
    <t>протокол собрания граждан о поддержке инициативного проекта</t>
  </si>
  <si>
    <t>протоколы заседания школьных советов</t>
  </si>
  <si>
    <t>Протоколы собрания граждан о выдвижении инициативного проекта</t>
  </si>
  <si>
    <t>заседание бюджетной комиссии по рассмотрению представленных проектов</t>
  </si>
  <si>
    <t>Протокол общего собрания</t>
  </si>
  <si>
    <t>https://dzhankoy.rk.gov.ru/uploads/txteditor/dzhankoy/attachments//d4/1d/8c/d98f00b204e9800998ecf8427e/phpWoZ2Od_Протокол%20№1%20собрания%20инициативной%20группы.pdf</t>
  </si>
  <si>
    <t>протокол собраний</t>
  </si>
  <si>
    <t>Входящая корреспонденция, направлен Инициативный проект "Установка в парке культуры и отдыха малых архитектурных форм"</t>
  </si>
  <si>
    <t xml:space="preserve">Протокол собрания инициативной группы граждан </t>
  </si>
  <si>
    <t>протокол и видеофиксация</t>
  </si>
  <si>
    <t>http://адм-тамань.рф/images/SMI/proekt/Пост%20335%20от%2007.10.2022%20согласит%20комиссия.pdf</t>
  </si>
  <si>
    <t>http://admsennaya.krd.eis1.ru/media/2022/03/22/1295341633/jpg2pdf_69.pdf</t>
  </si>
  <si>
    <t>собрание инициативной группы и граждан</t>
  </si>
  <si>
    <t>собрание жителей</t>
  </si>
  <si>
    <t>текс</t>
  </si>
  <si>
    <t>Очные встречи обсуждение граждан</t>
  </si>
  <si>
    <t>фотофиксация,  сходы, обсуждения</t>
  </si>
  <si>
    <t>протокол общего собрания граждан</t>
  </si>
  <si>
    <t xml:space="preserve">Протокол собрания граждан об участии в конкурсном отборе проектов местных инициатив муниципальных образований Краснодарского края 
</t>
  </si>
  <si>
    <t>виофиксация  Объявления (unarokovo.ru)</t>
  </si>
  <si>
    <t>протоколы собраний граждан пгт. Синдор, с. Серегово, пст. Ляли, пст. Иоссер, г. Емвы</t>
  </si>
  <si>
    <t>ведение протоколов</t>
  </si>
  <si>
    <t>Протоколы встреч рабочей комиссии</t>
  </si>
  <si>
    <t>https://светлый.рф/remont-dvorov-obshhee-delo/</t>
  </si>
  <si>
    <t>протокол собрание граждан</t>
  </si>
  <si>
    <t>Протокол предварительного собрания, листы регистрации</t>
  </si>
  <si>
    <t xml:space="preserve">Внутри каждой участвующей школы проводится выдвижение и обсуждение предварительных проектных идей на собраниях учащихся 7-11 классов. На общешкольном собрании страшеклассников проводится представление проектных идей и выбор одного проектного предложения от школы для участия в городском этапе. Общешкольное собрание протоколируется, а протокол публикуется на официальном сайте учебного заведения. </t>
  </si>
  <si>
    <t xml:space="preserve">нет  </t>
  </si>
  <si>
    <t>заседание Общественной муниципальной комиссии МР "Сыктывдинский" об итогах голосования по народным инициативам МР "Сыктывдинский" , подлежащих реализации в течение 2022 года.</t>
  </si>
  <si>
    <t>67 человек</t>
  </si>
  <si>
    <t>2500 человек</t>
  </si>
  <si>
    <t>2022г (31) 2023г (11)</t>
  </si>
  <si>
    <t>сбор подписей (указывались Ф.И.О, паспортные данные, телефон)</t>
  </si>
  <si>
    <t>Инициаторы проекта при внесении инициативного проекта в Администрацию Ямальского района прикладывают к нему подписные листы, либо результаты опроса граждан, подтверждающие поддержку инициативного проекта жителями муниципального образования или его части.</t>
  </si>
  <si>
    <t>Заполненные горожанами анкеты</t>
  </si>
  <si>
    <t>Сбор проектных идей проводился в форме  сбора подписей (подписные листы)</t>
  </si>
  <si>
    <t xml:space="preserve"> Онлайн голосование за проекты ИБ на портале «Живем на Севере» </t>
  </si>
  <si>
    <t>Протокол об итогах сбора подписей граждан в поддержку инициативного проекта</t>
  </si>
  <si>
    <t>Подать заявку можно в один из проектных офисов
Проведение опросов среди школьников</t>
  </si>
  <si>
    <t>подписаные листы</t>
  </si>
  <si>
    <t>Протокол сбора подписей</t>
  </si>
  <si>
    <t>подписные листы, анкетирование</t>
  </si>
  <si>
    <t>Опрос населения на сайте администрации Кондинского района http://www.admkonda.ru/rezul-taty-oprosov.html</t>
  </si>
  <si>
    <t>Сбор подписей среди жителей городского поселения Мортка</t>
  </si>
  <si>
    <t>http://lugovoikonda.ru/tinybrowser/files/2021/rasporygeniy/protokol-sbora-podpisey.doc</t>
  </si>
  <si>
    <t>протокол сбора подписей</t>
  </si>
  <si>
    <t>Сбор подписей. Подписные листы внесены в Администрацию города вместе с инициативными проектами "Цифровая лига Сургута (Digital league of Surgut - DLS)", "ТОС в каждый двор"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t>
  </si>
  <si>
    <t>https://berezovo.ru/inform/165998/, https://vk.com/berezovoinfo?w=wall-180205481_7177, сбор подписей</t>
  </si>
  <si>
    <t>Число анкет, лист регистрации граждан</t>
  </si>
  <si>
    <t>https://admlangepas.ru/open-budget/proactive-budgeting/information-about-implementation-of-projects-initiative-budgeting/</t>
  </si>
  <si>
    <t>https://www.dumamegion.ru/laws/resheniya/detail.php?ID=9642 https://www.dumamegion.ru/laws/resheniya/detail.php?ID=9643 https://www.dumamegion.ru/laws/resheniya/detail.php?ID=9644 https://www.dumamegion.ru/laws/resheniya/detail.php?ID=9645 https://www.dumamegion.ru/laws/resheniya/detail.php?ID=9646</t>
  </si>
  <si>
    <t>https://disk.yandex.ru/i/fM7X8foiRA52Vg</t>
  </si>
  <si>
    <t>Протокол собрания граждан по вопросу о поддержке и выдвижении инициативного проекта жителями и (или) подписные листы</t>
  </si>
  <si>
    <t>подписные листы в поддержку инициативного проекта</t>
  </si>
  <si>
    <t>опрос граждан</t>
  </si>
  <si>
    <t>списки</t>
  </si>
  <si>
    <t>опросные листы</t>
  </si>
  <si>
    <t>Анкеты</t>
  </si>
  <si>
    <t>Протокол собрания граждан об участии в конкурсном отборе инициативных проектов развития территорий Кочубеевского муниципального округа,основанных на инициативном бюджетировании.</t>
  </si>
  <si>
    <t>опрос граждан, сбор подписей, анкетирование</t>
  </si>
  <si>
    <t>Для фиксирования участия граждан в опросе по поддержки инициативного проекта использовались подписные листы, по форме установленной решением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</si>
  <si>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анкеты, опросные листы</t>
  </si>
  <si>
    <t>протокол результата опроса, скриншоты свода с результатами голосования с интернет- сайта, анкеты</t>
  </si>
  <si>
    <t>сбор заявок на участие через Анкеты в группе Проекта в социальной сети "Вконтакте"</t>
  </si>
  <si>
    <t>подписные листы, протокол об итогах сбора подписей граждан в поддержку инициативного проекта</t>
  </si>
  <si>
    <t>подпись в подписном листе</t>
  </si>
  <si>
    <t>платформа ПОС</t>
  </si>
  <si>
    <t>подписной лист</t>
  </si>
  <si>
    <t>Представляется подписные листы, с указанием наименования проекта, стоимости проекта в котором каждый гражданин по порядку указывает Ф.И.О, дата рождения, адрес регистации, контактный телефон, подпись и дата подписания листа</t>
  </si>
  <si>
    <t>опрос граждан путем заполнения опросного листа</t>
  </si>
  <si>
    <t>опросный лист</t>
  </si>
  <si>
    <t>анкетирование граждан</t>
  </si>
  <si>
    <t>проведение опросов</t>
  </si>
  <si>
    <t>письменный опрос жителей</t>
  </si>
  <si>
    <t>Опросы в социальных сетях    https://ok.ru/profile/591032699691/statuses/154959471680299   https://vk.com/kormilovkakmcb</t>
  </si>
  <si>
    <t xml:space="preserve">опрос обучающихся </t>
  </si>
  <si>
    <t>Сбор подписей, составление итогового протокола по инициативному проекту</t>
  </si>
  <si>
    <t>протокол рассмотрения инициативного проекта</t>
  </si>
  <si>
    <t>Обсуждение инициативного проекта с гражданами, определение его соответствия интересам жителей и целесообразности реализации инициативного проекта . Поддержан подписями  граждан. Листы опроса граждан.</t>
  </si>
  <si>
    <t>Опрос и сбор подписей   граждан участников голосования</t>
  </si>
  <si>
    <t>http://admsennaya.krd.eis1.ru/media/2021/01/26/1244256108/Reshenie_91_ot_22.01.2021_g._poryadok_vy_yavleniya_mneniya_grazhdan.pdf</t>
  </si>
  <si>
    <t>Подписной лист</t>
  </si>
  <si>
    <t>Подворовойобход, подписные листы</t>
  </si>
  <si>
    <t>Подворовой обход подписные листы</t>
  </si>
  <si>
    <t>Подписной лист, опрос граждан</t>
  </si>
  <si>
    <t xml:space="preserve">социологический опрос </t>
  </si>
  <si>
    <t>реестр подписей граждан</t>
  </si>
  <si>
    <t>реестр подписей, фотофиксация</t>
  </si>
  <si>
    <t>подворовой обход</t>
  </si>
  <si>
    <t>устный опрос в ходе схода граждан</t>
  </si>
  <si>
    <t>Реестр подписей граждан</t>
  </si>
  <si>
    <t>В городе были установлены 10 ящиков для сбора анкет. На сайте МУ "УЖКХ"администрации МОГО "Ухта"  и на сайте администрации МОГО "Ухта"была размещена информация о возможности дать предложения по народным инициативам с заполнением анкет.</t>
  </si>
  <si>
    <t>анкета</t>
  </si>
  <si>
    <t>проведение анкетирования среди населения</t>
  </si>
  <si>
    <t>анкетирование, ящики для сбора анкет</t>
  </si>
  <si>
    <t>Реестры подписей в поддержку народных инициатив</t>
  </si>
  <si>
    <t>http://sosnogorsk.org/news/9997/?sphrase_id=19953</t>
  </si>
  <si>
    <t>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2022 года</t>
  </si>
  <si>
    <t>Ящик для сбора анкет был  установлен в Центре культуры с.Койгородок по адресу: улица Мира, дом 2.</t>
  </si>
  <si>
    <t>https://kortkeros-r11.gosweb.gosuslugi.ru/glavnoe/administratsiya/struktura/otdel-organizatsionnoy-i-kadrovoy-raboty/</t>
  </si>
  <si>
    <t>письма , реестры подписей в поддержку проектов</t>
  </si>
  <si>
    <t xml:space="preserve">В протоколе заседание счетной комиссии муниципального образования городского округа "Инта" от 17.05.2022 </t>
  </si>
  <si>
    <t xml:space="preserve">Сбор анкет в администрациях сельских поселений </t>
  </si>
  <si>
    <t>указано в заявках</t>
  </si>
  <si>
    <t>Протокол об итогах сбора подписей, подписные листы</t>
  </si>
  <si>
    <t>https://vk.com/video-186108534_456239992?list=c00328f21a03e76cd2</t>
  </si>
  <si>
    <t>анкетирование населения в период с 18 по 25 апреля 2022 года</t>
  </si>
  <si>
    <t xml:space="preserve">     </t>
  </si>
  <si>
    <t>12 человек</t>
  </si>
  <si>
    <t>47 (открытие проектного офиса, анкетирование, раздача листовок о проекте, организация общественных обсуждений, организация и проведение очного голосования за инициативы)</t>
  </si>
  <si>
    <t>15 (участие в агитации, оказание консультативной поддержки жителям)</t>
  </si>
  <si>
    <t>90 человек
https://lbt.yanao.ru/documents/active/8685/;
https://lbt.yanao.ru/documents/active/26515/</t>
  </si>
  <si>
    <t>8 (помощь в организации голосования за проекты инициативного бюджетирования)</t>
  </si>
  <si>
    <t>6 (сбор и обработка информации)</t>
  </si>
  <si>
    <t>15 волонтеров, в задачи которых входит индивидуальное обучение пожилых людей работе на компьюторе, компьютерной грамотности.</t>
  </si>
  <si>
    <t>15 (участие в проведении голосования, опросах)</t>
  </si>
  <si>
    <t>На проект "Народный бюджет-ТОС" 250 чел., это жители города, представители ТОС, бизнеса, МКУ "Молодежный центр", "Молодая гвардия" (отделение в г. Череповце)</t>
  </si>
  <si>
    <t>До 15 человек - члены подростково-молодёжного клуба «Тимуровец», активные жители. Предложение идеи пректа, проведение субботников, текущий ремонт спуска на начальном этапе, спил аварийных деревьев.</t>
  </si>
  <si>
    <t>100 (выполнение работ)</t>
  </si>
  <si>
    <t>12.4</t>
  </si>
  <si>
    <t>По проекту "Городские управы" - в управлении по развитию городских территорий - 22  шт.ед., в "Центре городские управы" - 52 шт.ед.</t>
  </si>
  <si>
    <t>не финансируется</t>
  </si>
  <si>
    <t>Финансирование не требуется. Офис работает в течение месяца. Прием заявок ведут волонтеры.</t>
  </si>
  <si>
    <t>Местный бюджет</t>
  </si>
  <si>
    <t>не требует финансирования</t>
  </si>
  <si>
    <t>Средства местного бюджета муниципального образования</t>
  </si>
  <si>
    <t>В рамках текущего финансирования деятельности орган местного самоуправления, ответственного за реализацию практики в муниципальном образовании - управления общественных связей Администрации города Салехарда</t>
  </si>
  <si>
    <t xml:space="preserve">бюджет Березовского района </t>
  </si>
  <si>
    <t>Местный бюджет, Грант Губернатора Ханты-Мансийского автономного округа-Югра для ресурсных центров</t>
  </si>
  <si>
    <t xml:space="preserve">Городской бюджет (Муниципальная программа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2022-2024 годы»
</t>
  </si>
  <si>
    <t>Бюджет городского округа Спасск-Дальний</t>
  </si>
  <si>
    <t>бюджет МО Сорочинский ГО</t>
  </si>
  <si>
    <t xml:space="preserve">местный бюдет </t>
  </si>
  <si>
    <t>муниципальный бюджет</t>
  </si>
  <si>
    <t>средства городского бюджета</t>
  </si>
  <si>
    <t>Бюджет Яковлевского городского округа</t>
  </si>
  <si>
    <t>1.  https://selkup.yanao.ru/documents/active/106983/;
2.  https://za-nas-zakon.ru/doc/ob-utverzhdenii-polozheniya-o-poryadke-vydvizheniya-vneseniya-obsuzhdeniya-rassmotreniya-initsiativnyh-proektov-i-provedeniya-ih-konkursnogo-otbora/;
3.  не размещено;
4.  https://selkup.yanao.ru/documents/active/186972/</t>
  </si>
  <si>
    <t>https://www.puradm.ru/one-doc/12513</t>
  </si>
  <si>
    <t>https://tasu.ru/ekonomika-i-finansy/initsiativnoe-byudzhetirovanie/normativno-pravovye-akty/normativno-pravovye-akty-2021-goda/</t>
  </si>
  <si>
    <t>http://приуральскийрайон.рф/upload/iblock/292/3q1ta26zufm3exjln8uzrarez6jmfpuf/2022.02.22_n09.docx</t>
  </si>
  <si>
    <t>https://admmuji.yanao.ru/documents/active/253497/</t>
  </si>
  <si>
    <t>https://nadym.yanao.ru/documents/active/131380/</t>
  </si>
  <si>
    <t>https://www.gubadm.ru/activity/14305/</t>
  </si>
  <si>
    <t>https://muravlenko.yanao.ru/documents/active/248972/</t>
  </si>
  <si>
    <t xml:space="preserve">https://budget.depfinnbr.ru/initsiativnoe-byudzhetirovanie/proekt-ritm  
https://admnoyabrsk.ru/obshchestvo/ritm </t>
  </si>
  <si>
    <t>https://nur.yanao.ru/documents/active/107772/</t>
  </si>
  <si>
    <t>https://lbt.yanao.ru/about/structure/1549/</t>
  </si>
  <si>
    <t>https://salekhard.yanao.ru/documents/active/100771/</t>
  </si>
  <si>
    <t>https://cloud.mail.ru/public/xfLs/hC8YqxVpT</t>
  </si>
  <si>
    <t xml:space="preserve">https://spasskd.ru/images/files/2023/ago/04/reshenie_dumy_ot_29012021__2-npa_ob_utverzhdenii_poryadka_realizacii_proektov_iniciativnogo_byudzhetirovaniya.docx </t>
  </si>
  <si>
    <t>http://sorochinsk56.ru/assets/files/2017-POSTANOVLENIYA/12/%D0%A0-2145--20.12.2017.pdf</t>
  </si>
  <si>
    <t>http://бузулук-право.рф/node/4713</t>
  </si>
  <si>
    <t>https://buzuluk.orb.ru/documents/active/89748/</t>
  </si>
  <si>
    <t>https://admnvrsk.ru/dokumenty/dokumenty-gorodskoy-dumy/reshenija-gorodskoj-dumy/reshenie-gorodskoy-dumy-188-ot-24-12-2021-o-vnesenii-izmeneniy-v-reshenie-gorodskoy-dumy-munitsipaln/</t>
  </si>
  <si>
    <t>https://gvardeysk.gov39.ru/files/dokumentu/normativnue-pravovue-aktu/2021-reshenia-soveta/52_18_02_2021_sd.docx</t>
  </si>
  <si>
    <t>https://cherinfo-doc.ru/documents/reshenie-cherepoveckoj-gorodskoj-dumy-ot-29.01.2021-7-ob-utverzhdenii-polozheniya-ob-iniciativnyh-proektah-na-territorii-goroda-cherepovca, https://cherinfo-doc.ru/documents/postanovlenie-merii-goroda-cherepovca-ot-18.06.2019-2883-o-proekte-narodnyj-byudzhet-tos, https://cherinfo-doc.ru/documents/postanovlenie-merii-goroda-cherepovca-ot-01.12.2021-4630-o-priznanii-utrativshimi-silu-postanovlenij-merii-goroda, https://cherinfo-doc.ru/documents/postanovlenie-merii-goroda-cherepovca-ot-27.01.2021-254-ob-utverzhdenii-polozheniya-ob-upravlenii-po-razvitiyu-gorodskih-territorij-merii-goroda</t>
  </si>
  <si>
    <t>https://yakovgo.gosuslugi.ru/netcat_files/282/2650/Postanovlenie_191_ot_19.04.2022_g..pdf</t>
  </si>
  <si>
    <t>https://www.arhcity.ru/?page=2865/2
https://www.arhcity.ru/?page=26/15372</t>
  </si>
  <si>
    <t>https://www.arhcity.ru/?page=2373/6</t>
  </si>
  <si>
    <t>Проектный офис "Уютный Ямал"</t>
  </si>
  <si>
    <t xml:space="preserve">Проектный офис «Уютный Ямал» </t>
  </si>
  <si>
    <t>Сектор проектной работы управления внутренней политики Администрации города Лабытнанги</t>
  </si>
  <si>
    <t>проектный отдел муниципального автономного учреждения "Березовский медиацентр"</t>
  </si>
  <si>
    <t>МУНИЦИПАЛЬНОЕ АВТОНОМНОЕ УЧРЕЖДЕНИЕ НЕФТЕЮГАНСКОГО РАЙОНА "КОМПЛЕКСНЫЙ МОЛОДЕЖНЫЙ ЦЕНТР "ПЕРСПЕКТИВА"</t>
  </si>
  <si>
    <t>Муниципальное казенное учреждение "Дом общественных организаций"</t>
  </si>
  <si>
    <t xml:space="preserve">Муниципальная конкурсная комиссия инициативного бюджетирования городского округа Спасск-Дальний </t>
  </si>
  <si>
    <t>Координационно - контрольный орган в сфере управления проектной деятельностью, обеспечивающий организацию системы управления проектной деятельностью администрации Сорочинского городского округа</t>
  </si>
  <si>
    <t xml:space="preserve">Муниципальное казенное учреждение "Новороссийский городской общественный центр" муниципального образования город Новороссийск </t>
  </si>
  <si>
    <t>Центр общественных инициатив МБУ ЦК и Д Гвардейский муниципальный округ Калининградской области</t>
  </si>
  <si>
    <t>по проекту "Народный бюджет-ТОС" функции возложены на управление по работе с общественностью мэрии (орган мэрии без прав юридического лица) (далее - УРСО)
по проекту "Городские управы" - управление по развитию городских территорий мэрии, центр "Городские управы" МКУ "Центр по защите населения и территорий от чрезвычайных ситуаций". В целом за проектную деятельность в мэрии города отвечает и курирует вопросы связанные с ней  - Управление проектной деятельности мэрии</t>
  </si>
  <si>
    <t>Наименование и юридический статус проектного центра</t>
  </si>
  <si>
    <t>Центра -нет. Методологическая, организационная и консультационная помощь оказывается финансовым отделом администрации Бугурусланского района</t>
  </si>
  <si>
    <t xml:space="preserve">да. Управление проектной деятельности мэрии, Управление по  развитию городских   территорий мэрии, Управление по работе с общественностью мэрии </t>
  </si>
  <si>
    <t>Организация сопровождения практики ИБ</t>
  </si>
  <si>
    <t>https://rosstat.gov.ru/storage/mediabank/Chisl_nasel_RF_MO_01-01-2022.xlsx</t>
  </si>
  <si>
    <t>https://tumstat.gks.ru/ofs_demp_ynao</t>
  </si>
  <si>
    <t>https://www.gks.ru/scripts/db_inet2/passport/pass.aspx?base=munst71&amp;r=71948000</t>
  </si>
  <si>
    <t>https://rosstat.gov.ru/vpn_popul</t>
  </si>
  <si>
    <t>https://tumstat.gks.ru/storage/mediabank/Численость%20населения%20ЯНАО%20на%20начало%202017-2023%20года.xlsx</t>
  </si>
  <si>
    <t>https://tumstat.gks.ru/ofstat_ynao</t>
  </si>
  <si>
    <t>https://rosstat.gov.ru/compendium/document/13282; https://invest.yanao.ru/municipalities/labitnangi/</t>
  </si>
  <si>
    <t xml:space="preserve">https://72.rosstat.gov.ru/ofs_demp_ynao
</t>
  </si>
  <si>
    <t>http://hmrn.ru/raion/ekonomika/ser/passport_socio_economic_situation/index.php</t>
  </si>
  <si>
    <t>http://nvraion.ru/ekonomika-i-finansy/chislennost/</t>
  </si>
  <si>
    <t>https://www.admsr.ru/region/population/</t>
  </si>
  <si>
    <t>https://города-россия.рф/sity_id.php?id=133</t>
  </si>
  <si>
    <t>http://www.gks.ru/free_doc/new_site/bd_munst/munst.htm</t>
  </si>
  <si>
    <t>https://www.gks.ru/scripts/db_inet2/passport/table.aspx?opt=718161572022</t>
  </si>
  <si>
    <t>https://www.gks.ru/scripts/db_inet2/passport/table.aspx?opt=718161512022</t>
  </si>
  <si>
    <t>https://www.gks.ru/scripts/db_inet2/passport/table.aspx?opt=718161602022</t>
  </si>
  <si>
    <t>https://города-россия.рф/sity_id.php?id=72</t>
  </si>
  <si>
    <t>https://rosstat.gov.ru/folder/12781</t>
  </si>
  <si>
    <t xml:space="preserve">https://72.rosstat.gov.ru/ofs_demp_hmao </t>
  </si>
  <si>
    <t>https://admmegion.ru/city/economika/socpass/index.php?ELEMENT_ID=365309</t>
  </si>
  <si>
    <t>https://habstat.gks.ru/storage/mediabank/Численность%20населения%20Хабаровского%20края%20по%20муниципальным%20образованиям%20на%201%20января%202022%20года.pdf</t>
  </si>
  <si>
    <t>https://stavstat.gks.ru/folder/28386</t>
  </si>
  <si>
    <t>источник статистики - похозяйственные книги</t>
  </si>
  <si>
    <t>численность населения на 01.01.2022 согласно информации, предоставленной от РОССТАТ письмо № вд-29-09/6409-др от 22.11.2022</t>
  </si>
  <si>
    <t>Управление Федеральной службы государственной статистики по Северо-Кавказскому федеральному округу</t>
  </si>
  <si>
    <t>https://www.gks.ru/scripts/db_inet2/passport/table.aspx?opt=77250002022</t>
  </si>
  <si>
    <t>https://stavstat.gks.ru/folder/28386#</t>
  </si>
  <si>
    <t>Управление Федеоальной службы государственной статистики по Северо-Кавказкому федеральному округу, Ставропольский край</t>
  </si>
  <si>
    <t>http://курский-округ.рф/statisticheskaya-informaciya.html</t>
  </si>
  <si>
    <t>https://rosstat.gov.ru/storage/mediabank/chisl_МО_Site_01-01-2022.xlsx</t>
  </si>
  <si>
    <t>https://rosstat.gov.ru/folder/12781#</t>
  </si>
  <si>
    <t>https://bdex.ru/naselenie/stavropolskiy-kray/n/apanasenkovskiy/</t>
  </si>
  <si>
    <t>численность населения городского округа Ревда на 01.01.2022 по данным Свердловскстата                                                                                                 https://admrevda.ru/ekonomika/2587-itogi-sotsialno-ekonomicheskogo-razvitiya-gorodskogo-okruga-revda.html</t>
  </si>
  <si>
    <t>https://docs.yandex.ru/docs/view?url=ya-browser%3A%2F%2F4DT1uXEPRrJRXlUFoewruMK9qdWWSI4tb5pvE1AAAl1mrAg0BGqEi2eRznCIZz6YrPktRWoBZ1X7SQI9u1dMWNjdqz44eaBXVjavKqTc9c8lQm5KKTrNVuJSR3wvTkilqlk-9bE3e9MCVN5OIma7qQ%3D%3D%3Fsign%3Dv90LNKcW6Zy3DOGqXViu5FSDt9TGlyHCOouD47p_Xok%3D&amp;name=Числ_%20МО_%202023.xlsx&amp;nosw=1</t>
  </si>
  <si>
    <t>https://gks.ru/dbscripts/munst/munst65/DbInet.cgi</t>
  </si>
  <si>
    <t>https://sverdl.gks.ru/</t>
  </si>
  <si>
    <t xml:space="preserve">https://www.gks.ru/scripts/db_inet2/passport/table.aspx?opt=657710002022 </t>
  </si>
  <si>
    <t>https://sbor.ru/economy/soceconrazv/inform</t>
  </si>
  <si>
    <t>https://samarastat.gks.ru/population</t>
  </si>
  <si>
    <t>https://www.gks.ru/scripts/db_inet2/passport/table.aspx?opt=366244802022</t>
  </si>
  <si>
    <t>https://63.rosstat.gov.ru/</t>
  </si>
  <si>
    <t>https://samarastat.gks.ru/population#</t>
  </si>
  <si>
    <t xml:space="preserve">https://samarastat.gks.ru/ </t>
  </si>
  <si>
    <t>https://samarastat.gks.ru/</t>
  </si>
  <si>
    <t>https://www.gks.ru/scripts/db_inet2/passport/table.aspx?opt=366164082022</t>
  </si>
  <si>
    <t>Данные Росстата</t>
  </si>
  <si>
    <t>Территориальный орган Федеральной службы государственной статитстики по Самарской области (Самарастат). Муниципальный контракт на оказание информационных услуг по предоставлению статистической информации сверх Федерального плана статистических работ в 2022 году от 27.12.2021 № 8.</t>
  </si>
  <si>
    <t>На основе информации Территориального органа федеральной службы государственной статистики "Самарастат"</t>
  </si>
  <si>
    <t>https://www.gks.ru/scripts/db_inet2/passport/table.aspx?opt=367270002021</t>
  </si>
  <si>
    <t>https://otradny.org/%20populatijn-census</t>
  </si>
  <si>
    <t>http://www.gks.ru/scripts/db_inet2/passport/table.aspx?opt=57230002022
https://adm-ussuriisk.ru/municipal_legal_acts/documentsView.php?documentId=1119140&amp;documentSection=&amp;parent=1114572</t>
  </si>
  <si>
    <t>http://mo-lgo.ru/index.php</t>
  </si>
  <si>
    <t xml:space="preserve">https://primstat.gks.ru/storage/mediabank/NXRqUAEK/%D0%A7%D0%B8%D1%81%D0%BB%D0%B5%D0%BD%D0%BD%D0%BE%D1%81%D1%82%D1%8C%20%D0%93%D0%9E%20%D0%B8%20%D0%9C%D0%A0%20%D0%BD%D0%B0%20%D0%BD%D0%B0%D1%87%D0%B0%D0%BB%D0%BE%20%D0%B3%D0%BE%D0%B4%D0%B0_2021.xlsx   </t>
  </si>
  <si>
    <t>https://25.rosstat.gov.ru/storage/mediabank/%D0%A7%D0%B8%D1%81%D0%BB%D0%B5%D0%BD%D0%BD%D0%BE%D1%81%D1%82%D1%8C%20%D0%93%D0%9E,%20%D0%9C%D0%9E%20%D0%B8%20%D0%9C%D0%A0%20%D0%BD%D0%B0%20%D0%BD%D0%B0%D1%87%D0%B0%D0%BB%D0%BE%20%D0%B3%D0%BE%D0%B4%D0%B0.xlsx</t>
  </si>
  <si>
    <t>https://permstat.gks.ru/folder/33429</t>
  </si>
  <si>
    <t>Территориальный орган Федеральной службы государственной статистики по Пермскому раю</t>
  </si>
  <si>
    <t>https://pnz.gks.ru/demography</t>
  </si>
  <si>
    <t>по данным статистических данных</t>
  </si>
  <si>
    <t>http://www.gks.ru/scripts/db_inet2/passport/munr.aspx?base=munst53</t>
  </si>
  <si>
    <t>https://rosstat.gov.ru/folder/12781   ; https://orenstat.gks.ru/folder/26298</t>
  </si>
  <si>
    <t>https://rosstat.gov.ru/folder/12781 ; http://xn--80adxbrbeal.xn--p1ai/?page_id=2910   ; https://rosstat.gov.ru/folder/12781</t>
  </si>
  <si>
    <t>https://gks.ru/dbscripts/munst/munst53/DBInet.cgi</t>
  </si>
  <si>
    <t>http://gks.ru/dbscripts/munst/munst53/DBInet.cgi</t>
  </si>
  <si>
    <t>https://orenstat.gks.ru/storage/document/document_statistic_collection/2022-12/30/%D0%95%D0%B6%D0%B5%D0%B3%D0%BE%D0%B4%D0%BD%D0%B8%D0%BA_2022.pdf</t>
  </si>
  <si>
    <t>https://orenstat.gks.ru/folder/38557</t>
  </si>
  <si>
    <t>https://www.gks.ru/scripts/db_inet2/passport/table.aspx?opt=536114312022;
https://www.gks.ru/scripts/db_inet2/passport/table.aspx?opt=536114342022;
https://www.gks.ru/scripts/db_inet2/passport/table.aspx?opt=536114192022;
https://www.gks.ru/scripts/db_inet2/passport/table.aspx?opt=536114362022;
https://www.gks.ru/scripts/db_inet2/passport/table.aspx?opt=536114022022;
https://www.gks.ru/scripts/db_inet2/passport/table.aspx?opt=536114132022</t>
  </si>
  <si>
    <t>https://www.gks.ru/scripts/db_inet2/passport/table.aspx?opt=536114132022;
https://www.gks.ru/scripts/db_inet2/passport/table.aspx?opt=536114102022;
https://www.gks.ru/scripts/db_inet2/passport/table.aspx?opt=536114312022</t>
  </si>
  <si>
    <t xml:space="preserve">https://docs.yandex.ru/docs/view?url=ya-browser%3A%2F%2F4DT1uXEPRrJRXlUFoewruGz3Cf5VPFlncMStIG68rTflSemK4YuPCR2Xt4OfV3kbfSCncb9mLzGckrVgzqkUCC-H62SMwiH2x0MX1fQMW8IgTw9-3i7SHsBTouAzzTeJSI4cy-sXKbEkMXwpLhXjDg%3D%3D%3Fsign%3D4LjOIl_D1hkYA1zm_wtRcE7U65wZSpVKBEwMGGEUAEo%3D&amp;name=Численность%20населения%20муниципальных%20образований%20Оренбургской%20области%20на%201%20января%202022%20года.docx&amp;nosw=1 </t>
  </si>
  <si>
    <t>https://www.gks.ru/scripts/db_inet2/passport/pass.aspx?base=munst53&amp;r=53604000</t>
  </si>
  <si>
    <t xml:space="preserve">https://www.gorodmednogorsk.ru/economic/adm-oe-info.html
Постановление администрации города Медногорска от 10.10.2022 №1231-па "О прогнозе социально-экономического развития муниципального образования город Медногорск на 2023 год и плановый период 2024 и 2025 годов"  (официальный сайт администрации г. Медногорска/Экономика/Социально-экономическое развитие МО/ Социально-экономическое развитие МО г. Медногорск в 2023 году) </t>
  </si>
  <si>
    <t>https://orenstat.gks.ru/storage/document/document_statistic_collection/2022-06/12/Муниципальные%20образования%20на%201%20января%202022%20года.pdf</t>
  </si>
  <si>
    <t>https://buzuluk.orb.ru/documents/active/119556/</t>
  </si>
  <si>
    <t>https://docs.yandex.ru/docs/view?url=ya-browser%3A%2F%2F4DT1uXEPRrJRXlUFoewruKowq88nTeEXyEZWn9KwfxkAy-LavOl08XPC9YZ3IUCxPWmmzeewtz6dETVye0oAIBnHCW7PSc8AL210vFj9edRWNRXi_OxHBHOkBKglSYTTn5L3cfAKjoUD6usZJBCcyg%3D%3D%3Fsign%3DwW6vuODUrD-CmmSyRhkKpYb_6Mse4wgmXGQ3tssZyw0%3D&amp;name=chisl_MO-2021.xlsx&amp;nosw=1</t>
  </si>
  <si>
    <t>https://55.rosstat.gov.ru/population</t>
  </si>
  <si>
    <t>https://55.rosstat.gov.ru/storage/mediabank/chisl_MO-2021.xlsx</t>
  </si>
  <si>
    <t>https://orenstat.gks.ru/folder/135151</t>
  </si>
  <si>
    <t>https://www.gks.ru/scripts/db_inet2/passport/table.aspx?opt=496281542022</t>
  </si>
  <si>
    <t>https://www.gks.ru/scripts/db_inet2/passport/table.aspx?opt=496064132022</t>
  </si>
  <si>
    <t>https://www.gks.ru/scripts/db_inet2/passport/table.aspx?opt=227370002022</t>
  </si>
  <si>
    <t>https://www.gks.ru/scripts/db_inet2/passport/table.aspx?opt=226370002022</t>
  </si>
  <si>
    <t>https://borcity.ru/okrug/okrug_info.php</t>
  </si>
  <si>
    <t>https://nizhstat.gks.ru/folder/33271
https://www.gks.ru/scripts/db_inet2/passport/table.aspx?opt=225070002022</t>
  </si>
  <si>
    <t>https://www.gks.ru/scripts/db_inet2/passport/table.aspx?opt=227210002022</t>
  </si>
  <si>
    <t>https://habstat.gks.ru/folder/23590</t>
  </si>
  <si>
    <t>https://habstat.gks.ru</t>
  </si>
  <si>
    <t>https://82.rosstat.gov.ru/storage/mediabank/Среднегодовая%20на%20сайт%202022(2).pd</t>
  </si>
  <si>
    <t>https://crimea.gks.ru/folder/179764</t>
  </si>
  <si>
    <t>https://sverdl.gks.ru/storage/mediabank/TwCtEIIi/2021.zip</t>
  </si>
  <si>
    <t>19606 жителей проживает в Сухобузимском районе | Сельская жизнь (selo-life.ru)</t>
  </si>
  <si>
    <t>http://www.admse.ru/upload/iblock/a92/oxg028k3a7ukc8ju1x22ddfwb0qdt5iu.xls</t>
  </si>
  <si>
    <t xml:space="preserve">https://krasstat.gks.ru/folder/27812 </t>
  </si>
  <si>
    <t>https://divnogorsk.gosuslugi.ru/</t>
  </si>
  <si>
    <t xml:space="preserve">согласно данным похозяйственного учета численность жителей станицы Гривенской </t>
  </si>
  <si>
    <t>https://23.rosstat.gov.ru/storage/mediabank/Ocenka22(3).htm</t>
  </si>
  <si>
    <t>http://admrogovskaya.ru/</t>
  </si>
  <si>
    <t>http://adm-nezaymanovskaya.ru/index.php</t>
  </si>
  <si>
    <t>по данным Ростата (Тамань/Волна)</t>
  </si>
  <si>
    <t>Данные похозяйственного учета</t>
  </si>
  <si>
    <t>похозяйственные книги</t>
  </si>
  <si>
    <t>https://www.temryuk.ru/administratsiya/ukaz-prezidenta-607/</t>
  </si>
  <si>
    <t>https://23.rosstat.gov.ru/folder/55805</t>
  </si>
  <si>
    <t>https://ru.wikipedia.org/wiki/%D0%A1%D0%B5%D0%B2%D0%B5%D1%80%D1%81%D0%BA%D0%BE%D0%B5_%D1%81%D0%B5%D0%BB%D1%8C%D1%81%D0%BA%D0%BE%D0%B5_%D0%BF%D0%BE%D1%81%D0%B5%D0%BB%D0%B5%D0%BD%D0%B8%D0%B5</t>
  </si>
  <si>
    <t>https://23.rosstat.gov.ru/</t>
  </si>
  <si>
    <t>https://23.rosstat.gov.ru/storage/mediabank/Ocenka22.htm</t>
  </si>
  <si>
    <t>статистика</t>
  </si>
  <si>
    <t>Управление Федеральной службы государственной статистики по Краснодарскому краю и Республики Адыгея.https://krsdstat.gks.ru/</t>
  </si>
  <si>
    <t>ИС "Единое окно" Минсельхоза</t>
  </si>
  <si>
    <t>https://ru.wikipedia.org/wiki/%D0%91%D1%83%D1%80%D0%B0%D0%BA%D0%BE%D0%B2%D1%81%D0%BA%D0%B8%D0%B9_(%D0%9A%D1%80%D0%B0%D1%81%D0%BD%D0%BE%D0%B4%D0%B0%D1%80%D1%81%D0%BA%D0%B8%D0%B9_%D0%BA%D1%80%D0%B0%D0%B9)#cite_note-2022AA-1</t>
  </si>
  <si>
    <t>https://krsdstat.gks.ru Управление федеральной службы государственной статистики по Краснодарскому краю и республике Адыгеи (Краснодарстат)</t>
  </si>
  <si>
    <t>https://www.chernigovskaya.ru/docs/otchet/отчет%202023%20ГОТОВЫЙ%201.docx</t>
  </si>
  <si>
    <t>ru.wikipedia.org</t>
  </si>
  <si>
    <t>https://www.gks.ru/scripts/db_inet2/passport/table.aspx?opt=877250002022</t>
  </si>
  <si>
    <t>https://11.rosstat.gov.ru/population</t>
  </si>
  <si>
    <t>https://11.rosstat.gov.ru/</t>
  </si>
  <si>
    <t>https://www.gks.ru/scripts/db_inet2/passport/table.aspx?opt=8764400020222023</t>
  </si>
  <si>
    <t>https://www.gks.ru/scripts/db_inet2/passport/table.aspx?opt=876480002022</t>
  </si>
  <si>
    <t>по данным Комистат на 01.01.2022</t>
  </si>
  <si>
    <t>Оценка численности населения Республики Коми по муниципальным образованиям и столице на 1 января 2022-2023гг. (с учетом итогов Всероссийской переписи населения 2020 года)
 ( https://11.rosstat.gov.ru/population )</t>
  </si>
  <si>
    <t>Письмо Комистат  
№ СБ-Т11-01/1694-МС от 31.03.2023</t>
  </si>
  <si>
    <t>Территориальный орган Федеральной службы Государственной статистики по Республики Коми</t>
  </si>
  <si>
    <t>Территориальный орган Федеральной службы государственной статистики по Республике Коми https://komi.gks.ru/population</t>
  </si>
  <si>
    <t>https://11.rosstat.gov.ru/vpn2020</t>
  </si>
  <si>
    <t>https://www.gks.ru/dbscripts/munst/munst87/DBInet.cgi</t>
  </si>
  <si>
    <t>https://43.rosstat.gov.ru/main_indicators</t>
  </si>
  <si>
    <t>https://40.rosstat.gov.ru/storage/mediabank/табл+5(1).pdf</t>
  </si>
  <si>
    <t>https://www.statdata.ru/naselenie/kaliningradskoi-oblasti</t>
  </si>
  <si>
    <t>https://www.gks.ru/dbscripts/munst/munst27/DBInet.cgi</t>
  </si>
  <si>
    <t>https://cherepovec-r19.gosweb.gosuslugi.ru/</t>
  </si>
  <si>
    <t xml:space="preserve">Территориальный орган Федеральной службы государственной статистики по Владимирской области </t>
  </si>
  <si>
    <t>число граждан, определяется по данным Федеральной службы статистики</t>
  </si>
  <si>
    <t>Информация Белгородстата</t>
  </si>
  <si>
    <t>https://belg.gks.ru/</t>
  </si>
  <si>
    <t>https://gubkinadm.gosuslugi.ru/netcat_files/41/297/Pasport_GGO_na_01.01.2023.pdf</t>
  </si>
  <si>
    <t>по данным Белгородстата</t>
  </si>
  <si>
    <t>https://02.rosstat.gov.ru/storage/mediabank/CHislennost-naseleniya-po-municipalnym-rajonam-i-gorodskim-okrugam-Respubliki-%20Bashkortostan-na-1-yanvarya-2022-g-s-uchetom-VPN-2020.pdf</t>
  </si>
  <si>
    <t>3,675 (МО Кумакский сельсовет, МО Будамшинский сельсовет, МО Караганский сельсовет, МО Чапаевский сельсовет)</t>
  </si>
  <si>
    <t>2,679 (справка администрации Тенгинского сельского поселения Усть-Лабинского района от 01.02.2022 г. № 190, выданная на основании данных из похозяйственных книг )</t>
  </si>
  <si>
    <t>2,237 (сведения Росстата)</t>
  </si>
  <si>
    <t>5,305 (справка администрации Кирпильского сельского поселения Усть-Лабинского района от 03.02.2022 г. № 73, выданная на основании данных из похозяйственных книг )</t>
  </si>
  <si>
    <t>1,330 (справка администрации Ленинского сельского поселения Усть-Лабинского района от 14.03.2022 г. № 172, выданная на основании данных из похозяйственных книг )</t>
  </si>
  <si>
    <t>2607 (справка администрации Кирпильского сельского поселения Усть-Лабинского района от 21.01.2022 г. № 22, выданная на основании данных из похозяйственных книг )</t>
  </si>
  <si>
    <t>1,6 (по данным похозяйственных книг Урупского с/п)</t>
  </si>
  <si>
    <t>1.688</t>
  </si>
  <si>
    <t>24575 человек Краевая статистика</t>
  </si>
  <si>
    <t>9,4 Сборник федеральной статистической службы "Оценка численности населения по муниципальным образованиям Краснодарского края"</t>
  </si>
  <si>
    <t>0.265 (справка Администрациии  Пшехского сельского поселения)</t>
  </si>
  <si>
    <t>5,4 тыс. человек</t>
  </si>
  <si>
    <t xml:space="preserve">17304 (Оценка численности населения Республики Коми по муниципальным образованиям и столице (с учетом итогов Всероссийской переписи населения 2020 года)
</t>
  </si>
  <si>
    <t>на 01.01.2022-21,635; среднегодовая  численость населения за 2022 год-21,36</t>
  </si>
  <si>
    <t>28542.</t>
  </si>
  <si>
    <t>Расчетная среднегодовая численность населения по данным департамента экономического развития Администрации городского округа "Город Архангельск" за 2022 год 304,8 тыс. человек</t>
  </si>
  <si>
    <t>Общее количество граждан, проживавших в муниципальном образовании на 1 января 2022 года, или средняя численность за год. Указать источник статистики о количестве жителей</t>
  </si>
  <si>
    <t>проект "Бюджетная инициатива граждан" - 95,12%
Школьное партисипаторное бюджетирование - 100%</t>
  </si>
  <si>
    <t>0,31% (данные об общем количестве жителей получены из информации Территориального органа Федеральной службы гос.статистики по Приморскому краю)</t>
  </si>
  <si>
    <t>1,04 %</t>
  </si>
  <si>
    <t>100 (похозяйственные книги)</t>
  </si>
  <si>
    <t>39,2 % Сборник федеральной статистической службы "Оценка численности населения по муниципальным образованиям Краснодарского края"</t>
  </si>
  <si>
    <t>100  (справка Администрациии  Пшехского сельского поселения)</t>
  </si>
  <si>
    <t>50%, сведения похозяйственного учета</t>
  </si>
  <si>
    <t>12.6%</t>
  </si>
  <si>
    <t>20.9 %</t>
  </si>
  <si>
    <t>0,2 (Расчетная среднегодовая численность населения по данным департамента экономического развития Администрации городского округа "Город Архангельск" за 2022 год 304,8 тыс. человек)</t>
  </si>
  <si>
    <t>4,75 % (Расчетная среднегодовая численность населения по данным департамента экономического развития Администрации городского округа "Город Архангельск" за 2022 год 304,8 тыс. человек)</t>
  </si>
  <si>
    <t>Доля благополучателей от общего количества жителей муниципального образования. Указать источник статистиски о количестве жителей</t>
  </si>
  <si>
    <t>форма № 00-1 "Сведения об организации, осуществляющей образовательную деятельность по образовательным программам начального общего, основного общего, среднего общего образования"</t>
  </si>
  <si>
    <t>http://gorod-noyabrsk89.yanao.ru/duma/solutions</t>
  </si>
  <si>
    <t>http://admkuma.ru/polozhenie-o-provedenii-konkursnogo-otbora-proektov-narodnyy-byudzhet-v-gorodskom-poselenii-kuminskiy.html</t>
  </si>
  <si>
    <t>https://www.georgievsk.ru/mestnye-initsiativy/budjetirovanie/1895_22_06_2021.doc</t>
  </si>
  <si>
    <t>http://abgosk.ru/finansy/initsiativnoe-byudzhetirovanie/normativno-pravovaya-baza/normativno-pravovaya-baza.php</t>
  </si>
  <si>
    <t>Методика расчета отсутствует</t>
  </si>
  <si>
    <t>https://kadm63.ru/Selo/Chetyrovka/NPA_Sobr_Pred/R_SP_SP_Chetirovka_44_15-06-2021.pdf</t>
  </si>
  <si>
    <t>https://mmal-11.samgd.ru/acts/decisions/76333/</t>
  </si>
  <si>
    <t>http://chernovka.kinel-cherkassy.ru/wp-content/uploads/2021/07/Решение№-26-1-от-23.07.2021.doc</t>
  </si>
  <si>
    <t>http://adm-timashevo.ru/images/resheniya/2021/resh_9-1_ot_27.07.21-1.doc</t>
  </si>
  <si>
    <t>http://sadgorod.kinel-cherkassy.ru/wp-content/uploads/2021/07/Решение-7-1-от-12.07.2021-Об-утверждения-положения-о-инициировании-и-реализации-инициативных-проектов-на-территории-сельского-поселения.docx</t>
  </si>
  <si>
    <t>https://podgornoe.kinel-cherkassy.ru/wp-content/uploads/2021/07/Реш-10-1-решения-Положение-об-инициировании.docx</t>
  </si>
  <si>
    <t>http://novyekluchi.kinel-cherkassy.ru/wp-content/uploads/2021/08/Решение-по-инциированию-10-1Новые-Ключи.doc</t>
  </si>
  <si>
    <t>http://mukhanovo.kinel-cherkassy.ru/?page_id=930</t>
  </si>
  <si>
    <t>http://krotovka.kinel-cherkassy.ru/images/files/Reshenie_19-2_ot_23.08.2021.pdf</t>
  </si>
  <si>
    <t>http://gorka.kinel-cherkassy.ru/?p=4625</t>
  </si>
  <si>
    <t>https://admkinel-cherkassy.ru/2021/08/18/%d1%80%d0%b5%d1%88%d0%b5%d0%bd%d0%b8%d0%b5-%e2%84%96-19-3-%d0%be%d1%82-12-08-2021-%d0%be%d0%b1-%d1%83%d1%82%d0%b2%d0%b5%d1%80%d0%b6%d0%b4%d0%b5%d0%bd%d0%b8%d0%b8-%d0%bf%d0%be%d0%bb%d0%be%d0%b6/</t>
  </si>
  <si>
    <t>http://kabanovka.kinel-cherkassy.ru/?p=7952</t>
  </si>
  <si>
    <t>http://erzovka.kinel-cherkassy.ru/?p=8935</t>
  </si>
  <si>
    <t>http://berezniki.ucoz.ru/index/reshenija_2021_god/0-164</t>
  </si>
  <si>
    <t>http://kcherk.samgd.ru/acts/decisions/79325/</t>
  </si>
  <si>
    <t>https://25.rosstat.gov.ru/</t>
  </si>
  <si>
    <t>https://krasnogvardfo.ru/assets/files/%D0%9D%D0%B0%D1%80%D0%BE%D0%B4%D0%BD%D1%8B%D0%B9%20%D0%B1%D1%8E%D0%B4%D0%B6%D0%B5%D1%82/1-itogi-narodnyij-byudzhet-2022.rar</t>
  </si>
  <si>
    <t>https://adamfin.ru/assets/files/1oldfile/Postanovlenie_13.03.2021_175-p-Narodnyy-byudzhet.PDF</t>
  </si>
  <si>
    <t>https://omsukchan-adm.ru/inova_block_documentset/document/330471/</t>
  </si>
  <si>
    <t>Листы опроса граждан (прилагаются)</t>
  </si>
  <si>
    <t xml:space="preserve"> отсутствует</t>
  </si>
  <si>
    <t>По данным похозяйственного учета</t>
  </si>
  <si>
    <t>https://severskoe.sevadm.ru/about/initsiativnye-proekty/?ELEMENT_ID=29184</t>
  </si>
  <si>
    <t>http://www.admnovomysh.ru/images/resheniya/2021/resh_18.2_ot_19.01.21.doc</t>
  </si>
  <si>
    <t>?</t>
  </si>
  <si>
    <t xml:space="preserve">https://www.priluzie.ru/ftpgetfile.php?id=32861 </t>
  </si>
  <si>
    <t>Территориальный орган Федеральной службы государственной статистики по Республике Коми https://komi.gks.ru/population                                                                  Управление образования АМР "Княжпогостский", Управление культуры и спорта АМР "Княжпогостский"</t>
  </si>
  <si>
    <t>https://www.kaluga-gov.ru/obshchestvo/initsiativnye-proekty/pravovaya-baza/2743/</t>
  </si>
  <si>
    <t>https://35.rosstat.gov.ru/storage/mediabank/%D0%9E%D1%86%D0%B5%D0%BD%D0%BA%D0%B0%20%D1%87%D0%B8%D1%81%D0%BB%D0%B5%D0%BD%D0%BD%D0%BE%D1%81%D1%82%D0%B8%20%D0%BD%D0%B0%2001.01.2023(2).htm</t>
  </si>
  <si>
    <t>Об утверждении Положения об инициировании и реализации инициативных проеков в муниципальном образовании "Судогодский район"</t>
  </si>
  <si>
    <t>В связи с тем, что на территории всех населенных пунктов муниципального округа, за исключением д. Харампур, реализованы значимые инициативные проекты, то жители этих населенных пунктов признаются благополучателями. Учащиеся МБОУ "ШИООО" Д. ХАРАМПУР принимали участие в проекте школьного партисипаторного бюджетирования и признаются благополучателями</t>
  </si>
  <si>
    <t>Численность населения района без учета межселенной территории</t>
  </si>
  <si>
    <t>В связи с тем, что реализовано 20 инициатив, благополучателями считается все население Ямальского района. В рамках школьного партисипаторного бюджетирования - благополучателями являются школьники с 1 по 11 класс.</t>
  </si>
  <si>
    <t>Количество жителей, проживающих на территории населенных пунктов, в которых были реализованы проекты инициативного бюджетирования;
Количество учащихся в образовательных учреждениях, в которых реализовывался проект школьное партисипаторное бюджетирование</t>
  </si>
  <si>
    <t>Все жители города, так как инициативы затрагивают все возврастные слои населения</t>
  </si>
  <si>
    <t>так как 7 инициатив - это крупные общегородские мероприятия (количество благополучателей каждого события - около 3 900 - 4 000 человек), благополучателями считается население города Муравленко в целом. Реализованные проекты были направлены на улучшение образовательной среды школ города</t>
  </si>
  <si>
    <t>Согласно территориальному разделению, установленному ст.2 пункт 7  "Положения о порядке выдвижения, внесения, обсуждения, рассмотрения инициативных проектов и проведения их конкурсного отбора" утв. РГД № 165-Д от 22.10.2020</t>
  </si>
  <si>
    <t>Благополучателями являются жители г. Новый Уренгой и жители р-на Лимбяяха</t>
  </si>
  <si>
    <t>Определялось среднестатистическое количество жителей города, которые имеют возможность использовать результаты проекта для отдыха, образования, занятия спортом и т.д.</t>
  </si>
  <si>
    <t xml:space="preserve">Информация предоставляется инициаторами в заявках на участие в конкурсном отборе: жители и гости города. Общее количество учащихся в общеобразовательных организациях для партисипаторного бюджетирования. </t>
  </si>
  <si>
    <t>число жителей деревни,села</t>
  </si>
  <si>
    <t>Учащиеся СОШ 5-11 классов, на базе которой реализуется проект (181 чел.), занимающиеся по программам дополнительного образования в сфере искусств 5-18 лет (290 чел.), участники реализации проекта (50 чел.), занимающиеся единоборствами взрослые  дети пос. Солнеяный (659 чел.).</t>
  </si>
  <si>
    <t>справки управляющих компаний о количестве проживающих в близлижайших домах граждан; реестр малого и среднего предпринимательства; среднее количество поситителей стрит-ритейла в месяц</t>
  </si>
  <si>
    <t xml:space="preserve">Идея реализации инициативного проекта была поддержана  населением  для обеспечения пожарной безопасности населенных пунктов плотно прилегающих к лесному массиву населенного пункта. Сбор подписей инициативной группой проходил по организациям и домам жителей.  Отчет о сборе подписей  был предоставлен на итоговом собрании граждан. </t>
  </si>
  <si>
    <t>Благополучатели от реализации проектов расчитываются путем сложения благополучателей по всем проектам деленным на количество проектов. Расчет проводится на основании постановления администрации городского поселения Куминский от 22.09.2017 года № 273 «О конкурсном отборе проектов "Народный бюджет" в городском поселении Куминский»</t>
  </si>
  <si>
    <t xml:space="preserve">Согласно данных Морткинской СОШ                       404 учеников школы, в т.ч. 58 учеников в возрасте 16+
- 800 родителей учеников
- 102 педагога и работника школы
</t>
  </si>
  <si>
    <t xml:space="preserve">В связи с отсуствием методитки число благополучателей от реализации проектов расчитываются путем сложения благополучателей </t>
  </si>
  <si>
    <t xml:space="preserve">Количество благополучателей сформировано из количества пассажиров водного транспорта (информация перевозчика), провожающих и встречающих, транзитных пассажиров, а также людей проживающих в непосредственной близости к объекту инициативного бюджетирования.
</t>
  </si>
  <si>
    <t>данные органов местного самоуправления</t>
  </si>
  <si>
    <t>Запрашивается численность учащихся в учебных заведениях и жителей микрорайона.</t>
  </si>
  <si>
    <t>все активные жители городского поселения Березово. Расчет осуществляется на основании численности населения проживающего на данной территории. Количество благополучателей/общее количество граждан*100%</t>
  </si>
  <si>
    <t>При предоставлении проекта на конкурсный отбор проектов в Заявке указывается количество  благополучателей</t>
  </si>
  <si>
    <t>Общее количество благополучателей подсчитывается исходя из заявок  со стороны инциаторов проектов на реализацию инциативных платежей, получивших финансовую поддержку со стороны муниципального образования</t>
  </si>
  <si>
    <t>Запрос в РКЦ о количестве зарегистрированных жильцов в домах, входящих в границы ТОС</t>
  </si>
  <si>
    <t>по данным инициативной группы, методика отсутствует</t>
  </si>
  <si>
    <t>Количество благополучателей инициаторы проектов расчитывают самостоятельно и указывают их число в инициативных проектах</t>
  </si>
  <si>
    <t>удвоенное количество собственников в МКД, участвовавших в проектах</t>
  </si>
  <si>
    <t>количество  посетителей библиотеки</t>
  </si>
  <si>
    <t xml:space="preserve">При благоустройстве тротуара к Вечному огню в парковой зоне площади Ленина в селе Степное Степновского муниципального округа Ставропольского края, благополучателями инициативного проекта стали все жители села Степное в колличестве 6374 человек, согласно похозяйственным книгам, которые ведутся сотрудниками Степновского территориального отдела администрации Степновского муниципального округа Ставропольского края. Помимо этого, село Степное является районным центром Степновского района Ставропольского края. Поэтому благополучателями будут являться и жители близжайших населённых пунктов: с. Богдановка, с. Варениковское, пос. Верхнестепной, с. Иргаклы, с. Ольгино, с. Соломенское и др. Учитывая, что население всего Степновского муниципального округа составляет 20 128 человек, то (20128-6374)Х 50%+6374=13251 чел. </t>
  </si>
  <si>
    <t>Численность населения в населённых пунктах</t>
  </si>
  <si>
    <t>Количество граждан, проживающих на улице (участках улиц), на которой реализован проект</t>
  </si>
  <si>
    <t>при подсчете благополучателей - жителей части городского округа Постановление Правительства СК от 04.05.2006 №63-п (с изменениями); при подчете благополучателей - жителей части населенного пункта количество жителей определяется с учетом количества индивидуальных жилых домов и квартир, в том числе и в многоквартирном доме.</t>
  </si>
  <si>
    <t>Указано количество жителей пос. Щелкан, в котором был реализован инициативный проект</t>
  </si>
  <si>
    <t>Решением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предусмотрено, что одним из критерием оценки инициативного проекта  является "Количество прямых благополучателей от реализации инициативного проекта".  Данные о количестве благополучателях отражаются в инициативном проекте предоставляемом инициативной группой на конкурсный отбор.</t>
  </si>
  <si>
    <t>реализация проектов осуществлялась на территориях небольших населенных пунктов, поэтому благополучателями являются все жители проживающие на этих территориях</t>
  </si>
  <si>
    <t>Количество избирателей зарегистрированных в микрорайоне; количество обучающихся в образовательных учреждениях в микрорайоне</t>
  </si>
  <si>
    <t>количество человек, проживающих на близлежащей территории</t>
  </si>
  <si>
    <t>Согласно внесенных в администрацию иниативных проектов</t>
  </si>
  <si>
    <t>без методики подсчета</t>
  </si>
  <si>
    <t xml:space="preserve">Ввиду специфики реализованного инициативного проекта (помимо детских игровых элементов, площадка оборудована уличными тренажерами), к числу благополучателей отнесены все граждане, постоянно проживающие в поселке Правоберезовском городского округа город-курорт Кисловодск, на территории которого реализован инициативный проект. </t>
  </si>
  <si>
    <t>путем сбора подписей</t>
  </si>
  <si>
    <t>За благополучателей принимается общее количество жителей проживающих на территории реализации инициативного проекта.</t>
  </si>
  <si>
    <t>Метод подсчета количества благополучателей указывается в инициативном проекте, подготовленном инициативной группой граждан</t>
  </si>
  <si>
    <t>Количество граждан обладающих активным избирательным правом на избирательном округе, на территории которого реализуется инициативный проект</t>
  </si>
  <si>
    <t>При подсчете благополучателей учитывается территория на которой будет реализован инициативный проект, общее количество жителей проживающие на указанной территории</t>
  </si>
  <si>
    <t>Количество потенциальных благополучателей - жители, проживающих в многоквартирном доме № 30 по ул. Ленина</t>
  </si>
  <si>
    <t>численность постоянного населения Качканарского городского округа согласно официальным статистическим данным на 01.01.2022</t>
  </si>
  <si>
    <t>Количество посетителей учреждений, количество жителей территории города, являющиеся благополучателями</t>
  </si>
  <si>
    <t xml:space="preserve">Количество благополучателей рассчитывается в зависимости от пропускной способности объекта и от количества запланированных мероприятий </t>
  </si>
  <si>
    <t>Для расчета показателя использовались данные Управления Федеральной службы государственной статистики по Свердловской области и Курганской области о численности населения муниципального образования Алапаевское, сформированной по итогам Всероссийской переписи населения 2020 года, по состоянию на 01.10.2021 года</t>
  </si>
  <si>
    <t>В рачете количества благополучателей учитывались все жители, проживающие на территории населенных пунктов, на которых реализовывалась практика</t>
  </si>
  <si>
    <t>количество благополучателей формируется из количества людей, посещающих объекты и использующих объекты общественной инфраструктуры</t>
  </si>
  <si>
    <t xml:space="preserve">Общее количество граждан  поддерживших реализацию инициативных проектов </t>
  </si>
  <si>
    <t xml:space="preserve">п.п.3.21-3.25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
</t>
  </si>
  <si>
    <t>п.п.3.21-3.25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t>
  </si>
  <si>
    <t xml:space="preserve">п.п.3.21-3.25   Положения  о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
</t>
  </si>
  <si>
    <t>п.п.3.21-3.25   Положения  об   инициировании и реализации инициативных проектов</t>
  </si>
  <si>
    <t xml:space="preserve">п.п.3.21-3.25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t>
  </si>
  <si>
    <t xml:space="preserve">п.п.3.21-3.25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
</t>
  </si>
  <si>
    <t xml:space="preserve">п.п.3.21-3.25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
</t>
  </si>
  <si>
    <t xml:space="preserve">п.п.3.21-3.25  Положения  об инициировании и реализации инициативных проектов
</t>
  </si>
  <si>
    <t>п.п. 3.21-3.25  Положения об инициировании и реализации инициативных проектов сельского поселения Кинель-Черкассы муниципального района Кинель-Черкасский Самарской области</t>
  </si>
  <si>
    <t>п.п. 3.21-3.25  Положения об инициировании и реализации инициативных проектов сельского поселения Кабановка Кинель-Черкасского района Самарской области</t>
  </si>
  <si>
    <t>п.п.3.21-3.25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t>
  </si>
  <si>
    <t>п.п.3.21-3.25   Положения  об инициировании и реализации инициативных проектов</t>
  </si>
  <si>
    <t xml:space="preserve">п.п.3.21-3.25   Положения  об инициировании и реализации инициативных проектов
</t>
  </si>
  <si>
    <t>пп.3.21-3.25 Положения об инициировании и реализации инициативных проектов на территории муниципального района Кинель-Черкасский Самарской области</t>
  </si>
  <si>
    <t>4,459 (Численность благополучателей равна численности граждан, проживавших в сельском поселении Исаклы на 01.01.2022г.)</t>
  </si>
  <si>
    <t>Количество жителей в домах победивших проектов</t>
  </si>
  <si>
    <t>Благополучатели =сумма жителей домов, образующих благоустроенную по проекту дворовую территорию + жители домов всего квартала, в случае благоустройства общественного пространства (8100=4300+3800)</t>
  </si>
  <si>
    <t>По числу жителей прилегающих многоквартирных домов, имеющих детей</t>
  </si>
  <si>
    <t>количество жителей, проживающих на благоустроенных территориях</t>
  </si>
  <si>
    <t>Количество участников в подписном листе</t>
  </si>
  <si>
    <t xml:space="preserve">Количество участников в голосовании по отбору победителей </t>
  </si>
  <si>
    <t>Методика отсутствует. Подсчет количества благополучателей ведется по количеству людей воспользовавшихся услугой/приобритаемым оборудованием/принивших участие в мероприятиии/посетивших мероприятие</t>
  </si>
  <si>
    <t>На основании отчетов по проектам ( прилагаемые документы, фотографии, списки, отзывы благополучателей)</t>
  </si>
  <si>
    <t>Количество жителей населенных пунктов, где были реализованы проекты</t>
  </si>
  <si>
    <t>Подсчет благополучателей проектов инициативного бюджетирования осуществлялся исходя из количества граждан, проживающих в сельских  населенных пунктах, на территории которых  реализованы инициативные проекты. (Письмо Приморскстата от 20.09.2022 № 7-28-02/246-МС о численности населения в разрезе населенных пунктов Уссурийского городского округа  прилагается)</t>
  </si>
  <si>
    <t>Расчет количества прямых благополучателей - ИП " Асфальтирование дорожек МБДОУ № 16,": количество воспитанников - 140 чел, родителей -210 чел, персонал -44 чел. Итого 394 чел.; ИП "Да будет свет! (освещение ЦРМ)": освещен участок ул. Колхозная, на котором расположены магазин,  остановка общественного транспорта, используемые жителями всего микрорайона ЦРМ, численностью 1500 чел. ИП "Светлая Суворовская": освещена ул. Суворовская  с населением 900 чел.</t>
  </si>
  <si>
    <t>методика отсутствует</t>
  </si>
  <si>
    <t>Охват граждан определяется территориальным органом исходя из числа жителей близлежащей территории и срока эксплуатации объекта.</t>
  </si>
  <si>
    <t>Количество благополучателей определено исходя из общей численности населения муниципального образования</t>
  </si>
  <si>
    <t>Подсчет жителей, проживающих на определенной территории</t>
  </si>
  <si>
    <t xml:space="preserve">В реализации проектов приняли участие жители 30-ти многоквартирных жилых домов города Пензы, в которых проживает 12000  человек (Данные взяты из открытых источников на портале ГИС ЖКХ, паспорт МКД). 2000  человек - это косвенные благополучатели, которые пользуются результатами гранта (жители соседних МКД в рамках проектов благоустройтса детских площадок, внутриквартальных дорог и тротуаров). </t>
  </si>
  <si>
    <t>без методики подсчета благополучателей</t>
  </si>
  <si>
    <t>Благополучатели являются дети дошкольного и школьного возраста Троицкого сельсовета Тюльганского района Оренбургской области</t>
  </si>
  <si>
    <t>В количество благополучателей включены учащиеся поданных проектов МБОУ "Благдарновская СОШ", МБОУ "Болдыревская СОШ" и МБОУ "Ташлинская СОШ", а также учтены родители учащихся  МБОУ "Благдарновская СОШ", МБОУ "Болдыревская СОШ", которые могут пользоваться результатами реализованных проектов.</t>
  </si>
  <si>
    <t>Учащиеся МАОУ " Первомайская СОШ"</t>
  </si>
  <si>
    <t>отсутствует методика</t>
  </si>
  <si>
    <t>количество жителей, получающих водоснабжение по замененному водопроводу;</t>
  </si>
  <si>
    <t>количество жителей в домах, где проводится благоустройство территории и количество жителей в с. Андреевка где проведен ремонт ограды кладбища</t>
  </si>
  <si>
    <t xml:space="preserve">Количество благополучателей рассчитывается в зависимости от реализуемого проекта, учитываются данные статистики </t>
  </si>
  <si>
    <t>Количество благополучателей рассчитывается в зависимости от реализуемого проекта, учитываются данные статистики и похозяйственной книги</t>
  </si>
  <si>
    <t>Прямой подсчет граждан, непосредственно пользующиеся объектами реализованного проекта</t>
  </si>
  <si>
    <t>все дети села являются благополучателями, проект направлен обустройство детской площадки</t>
  </si>
  <si>
    <t xml:space="preserve"> благополучателями являются все жители села,  проект направлен на социнфраструктуру </t>
  </si>
  <si>
    <t>количество учащихся школы в которой был реализован проект</t>
  </si>
  <si>
    <t xml:space="preserve">доля благополучателей в общей численности населения:
количество начисляемых баллов равно доле благополучателей в общей
численности населения, процентов;
в случае если численность благополучателей превосходит численность населения, начисляется 100 баллов;
</t>
  </si>
  <si>
    <t>общее количество обучающихся в школе</t>
  </si>
  <si>
    <t>Общее количество учащихся в образовательных учреждениях системы общего образования города Медногорска в 2022 году</t>
  </si>
  <si>
    <t>жители города Гая</t>
  </si>
  <si>
    <t>Количество обучающихся в муниципальных общеобразовательных организациях</t>
  </si>
  <si>
    <t>количество проживающих граждан в районе реализации проектов</t>
  </si>
  <si>
    <t>На территории, где реализован проект находится около 50 мест захоронений, у каждого места около 10 родственников</t>
  </si>
  <si>
    <t xml:space="preserve">При подсчете благополучателей учитывается средняя годовая численность обучающихся и образовательного учреждения  МАОУ СШ п.Кулотино к общей численности населения, проживающего в муниципальном образовании </t>
  </si>
  <si>
    <t>Благополучателями являются обучающиеся общеобразовательных школ: МАОУ "Любытинская средняя школа"-392 чел., МАОУ "Неболчская средняя школа"-275 чел., МАОУ "Зарубинская основная школа"-50 чел.</t>
  </si>
  <si>
    <t xml:space="preserve">При подсчете благополучателей учитывается средняя годовая численность обучающихся и педагогов образовательного учреждения МАОУ «СОШ №2» к общей численности населения, проживающего в муниципальном образовании </t>
  </si>
  <si>
    <t xml:space="preserve">Количество обучающихся 5-ти школ-победителей конкурсного отбора проектов "Школьный бюджет", которые могут пользоваться образовательными пространствами, оборудованием и т.д. </t>
  </si>
  <si>
    <t>Спортивная мини площадка, рассположена на территории образовательной организации. Находиться на территории образовательной оранизации могут только дети школьного и дошкольного возраста. По статичтическому отчету ОО-1 на 01.10.2022 года количество детей в школе составляет - 77 человек, 21 чел. -воспитанники дошкольного отделения МАОУ СОШ д. Волок Итого могут посещать площадку 98 человек</t>
  </si>
  <si>
    <t>Проведение опроса граждан и сбора подписей благополучателей, проживающих на территориях, и имеющих непосредственное отношение к проектам</t>
  </si>
  <si>
    <t>Осуществляется путем подсчета количества обучающихся в общеобразовательных организациях</t>
  </si>
  <si>
    <t>Подсчет благополучателей определяется как произведение количества домов, расположенных на участке дорги, на среднее количество человек, проживающих в данных домах</t>
  </si>
  <si>
    <t xml:space="preserve">Количество постоянно проживающих граждан
</t>
  </si>
  <si>
    <t>Общее количество прямых благополучателей определяется исходя от количества жителей, проживающих в п.Омсукчан</t>
  </si>
  <si>
    <t xml:space="preserve">Сведения о численности благополучателей, проживающих на территории реализации инициативного проекта берутся в Управляющей компании </t>
  </si>
  <si>
    <t>Не требуется</t>
  </si>
  <si>
    <t>Основываясь на опросе жителей близлежащих домов</t>
  </si>
  <si>
    <t>Методические рекомендации, разработанные департаментом внутренней политики администрации Краснодарского края</t>
  </si>
  <si>
    <t>Всего жителей ст. Старощербиновской</t>
  </si>
  <si>
    <t xml:space="preserve">Всего жителей с. Екатериновка </t>
  </si>
  <si>
    <t>критерии оценки</t>
  </si>
  <si>
    <t>Удельный вес населения, получающего выгоду от реализации инициативных проектов (прямых благополучателей) - (количество благополучателей / количество зарегистрированных граждан * 100%)</t>
  </si>
  <si>
    <t>на основании этно-социального мониторинга.</t>
  </si>
  <si>
    <t>согласно похозяйственным книгам Незаймановского сельского поселения № 1-5.</t>
  </si>
  <si>
    <t>справка из похозяйственной книги учета</t>
  </si>
  <si>
    <t>Похозяйственный учет</t>
  </si>
  <si>
    <t>Справка из похозяйственного учета поселения</t>
  </si>
  <si>
    <t xml:space="preserve">благополучателями являются жители прилегающих кварталов, сведения о жителях получены из похозяйственных книг и данных председателей квартальных комитетов </t>
  </si>
  <si>
    <t>это жители дома или близлежащих домов, которые регулярно приводят детей на детскую площадку.</t>
  </si>
  <si>
    <t xml:space="preserve">На основаниии поданных заявок инициативными группами, где указывается количество проживающих людей на территории реализации инициативного проекта. </t>
  </si>
  <si>
    <t xml:space="preserve">расчёт исходит из колличества жителей домов, расположенные в непосредственной близости </t>
  </si>
  <si>
    <t>адресная книга</t>
  </si>
  <si>
    <t>определение от общего количества жителей МО город Краснодар городской Думы Краснодара от 24.06.2021 № 15 п.1 "Об утвержденее порядка реализации инициатативных проектов на территории муниципального образования город Краснодар"</t>
  </si>
  <si>
    <t>количество благополучателей определяется согласно данных Сборника федеральной статистической службы "Оценка численности населения по муниципальным образованиям Краснодарского края": подсчитывается количество жителей, проживающих в населенных пунктах, в которых реализуются проекты</t>
  </si>
  <si>
    <t>колличество благополучателей проектов инициативного бюджетирования/общее колличество граждан, проживающих на территории поселения в 2022 году*100%</t>
  </si>
  <si>
    <t>количество граждан которые будут использовать объект после благоустройства</t>
  </si>
  <si>
    <t>Общее количество жителей поселения</t>
  </si>
  <si>
    <t>несовершеннолетние жители станицы Дядьковской Кореновского района в возрасте от 6 до 12 лет, посещающие детскую площадку по ул. Низовая, 52</t>
  </si>
  <si>
    <t>Общее количество граждан, проживающих в станице</t>
  </si>
  <si>
    <t>Общее число жителей</t>
  </si>
  <si>
    <t>используется формула: количество благополучателей проектов ИБ/общее количество граждан, проживающих в субъекте в 2022 году*100%</t>
  </si>
  <si>
    <t>Определение территории благоустройства и использование книг похозяйственного учета</t>
  </si>
  <si>
    <t>Количество благополучателей определено согласно протоколу общего собрания граждан поддержавших проектную идею имеющая приоритетное значение для жителей станицы</t>
  </si>
  <si>
    <t>средне-арифметический расчет</t>
  </si>
  <si>
    <t>численность постоянного населения хутора Фадеевский</t>
  </si>
  <si>
    <t xml:space="preserve">Количество жителей проживающих в тоий территории или части территории в которой реализуется проект инициативного бюджетирования согласно данным похозяйственных книг. </t>
  </si>
  <si>
    <t xml:space="preserve">Количество граждан, которые проживают на территории реализации народных инициатив и получат пользу от проектов </t>
  </si>
  <si>
    <t>население живущее в части проектов, гости</t>
  </si>
  <si>
    <t xml:space="preserve">На территории сельского поселения «Выльгорт» по состоянию на 01.01.2022 года зарегистрированы 13 539 человек, из них 1713 человек — в районе малоэтажной застройки. </t>
  </si>
  <si>
    <t>Благополучателями результатов реализации народных инициатив в 2022 году являются все жители сельских поселений,на территории которых реализовывались проекты, поэтому в расчете использованы статистические данные количества проживающих на этих территориях гражан на 01.01.2022 года:Визинга-6850 чел.,Палауз -140,Заозерье-341,Куниб-1333,Визиндор-527,Куратово- 685. Общее количество благополучателей составляет 9876 чел.</t>
  </si>
  <si>
    <t>Прямые благополучатели - жители  улиц, на  которых проведен комплекс работ по повышению  безопасности дорожного движения пешеходов,  и косвенные - жители города и района.</t>
  </si>
  <si>
    <t xml:space="preserve">Подсчет благополучателей, как сумма числа жителей поселений ГП "Кожва"(3379), СП "Каджером"(1815), СП "Озерный"(958), СП "Приуральское"(382),  (домов, улиц, дворов)на территории которых реализуются проекты,  учащиеся школ МОУ СОШ №49 (509), МОУ "Гимназия №1"(715) </t>
  </si>
  <si>
    <t>Методика расчета описана в Решениие Совета муниципального района "Прилузский" от 23.04.2021 г. №VI-07/11 "Об инициативных проектах в муниципальном районе «Прилузский» Республики Коми"</t>
  </si>
  <si>
    <t xml:space="preserve">Все жители ГО «Вуктыл», так как данные проекты носят общий характер </t>
  </si>
  <si>
    <t>как в проектах "Народный бюджет"</t>
  </si>
  <si>
    <t>При подсчете благополучателей использованы данные Комистата о проживающих в поселении (проекты по ремонту освещения) и данные курирующих органов администрации МР "Княжпогостский" о числе посетителей учреждений образования, культуры и спорта в 2022 году</t>
  </si>
  <si>
    <t>Одна четвертая часть населения МОГО "Инта"</t>
  </si>
  <si>
    <t xml:space="preserve">Расчет ведется индивидуально по каждому проекту </t>
  </si>
  <si>
    <t>Количество благополучателей указано в заявках</t>
  </si>
  <si>
    <t>численность благополучателей складывается их тех, кто непосредственно или косвенно получит пользу от реализации проекта</t>
  </si>
  <si>
    <t>доля благополучателей от общего количества граждан проживающих в муниципальном образовании</t>
  </si>
  <si>
    <t>численность благополучаталей складывается из тех, кто непосредственно или косвенно получит пользу от реализации проекта</t>
  </si>
  <si>
    <t>количество прямых благополучателей,участников проектов(жители поселков разных возрастных групп)</t>
  </si>
  <si>
    <t>Суммируется численность жителей микрорайона, а также близлежащих к зоне благоустройства домов</t>
  </si>
  <si>
    <t xml:space="preserve">Общее количество жителей города Череповца, так как объекты находятся в открытом и  равном доступе для всех жителей города </t>
  </si>
  <si>
    <t>Опрос жителей, проживающих на территории района города, где расположен источник</t>
  </si>
  <si>
    <t>количество жителей, проживающих в домах, на определенной постановлением администрации района части территории, заинтересорванных в реализации инициативного проета</t>
  </si>
  <si>
    <t>Прямой подсчет</t>
  </si>
  <si>
    <t>число граждан, прожиающих в населенных пунктах</t>
  </si>
  <si>
    <t>Общая численность жителей в населенных пунктах в которых находятся победители конкурса "Лучшая практика общественного самоуправления в Яковлевском городском округе в 2022 году"</t>
  </si>
  <si>
    <t>количество жителей сел, где реализовались проекты</t>
  </si>
  <si>
    <t>Для подсчета благополучателей использованы данные заявок</t>
  </si>
  <si>
    <t>Сведения по данным конкурсных заявок, предусматривающих численность населения на территории реализуемого проекта, а также количество  благополучателей с учетом прямых благополучателей и косвенных (жителей соседних улиц, общественных территорий)</t>
  </si>
  <si>
    <t>для подсчета благополучателей использованы данные  заявок</t>
  </si>
  <si>
    <t>Подсчет благополучателей осуществлен по данным конкурсных заявок</t>
  </si>
  <si>
    <t>Количество благополучателей определено исходя из данных, указанных в заявке на участие в проекте, которая была реализована в 2022 году</t>
  </si>
  <si>
    <t>Количество благополучателей определено исходя из данных, указанных в заявках на участие в проекте, содержащих инициативы, которые были реализованы в 2022 году</t>
  </si>
  <si>
    <t>Проект "Бюджетная инициатива граждан" - 64,082
Школьное партисипаторное бюджетирование - 2,913</t>
  </si>
  <si>
    <t>1.672</t>
  </si>
  <si>
    <t>7,758 ( https://11.rosstat.gov.ru/population )</t>
  </si>
  <si>
    <t>301,04 (численность жителей города, которые могут пользоваться результатами реализованных на территории города проектов, так как данные данные пространства (скверы, Александровская набережная, дворы Соляной парк, Музей Природы) находятся в открытом и равном доступе для всех горожан)</t>
  </si>
  <si>
    <t>3.6.</t>
  </si>
  <si>
    <t>Количество граждан, на удовлетворение потребностей которых направлены проекты, профинансированные в 2022 году</t>
  </si>
  <si>
    <t>число; сумма ячеек Е31:Е51</t>
  </si>
  <si>
    <t>Другое (опишите _________________ )</t>
  </si>
  <si>
    <t>Крупные инфраструктурные проекты (мосты, плотины, водоемы)</t>
  </si>
  <si>
    <t>Проекты ЖКХ, ремонт многоквартирных домов</t>
  </si>
  <si>
    <t>Места массового отдыха населения и объекты организации благоустройства</t>
  </si>
  <si>
    <t>9 (реализовано 7)</t>
  </si>
  <si>
    <t>1(без проведения конкурсных процедур для финансирования)</t>
  </si>
  <si>
    <t>7 заявок</t>
  </si>
  <si>
    <t>Конкурс не проводился</t>
  </si>
  <si>
    <t>32 заявки</t>
  </si>
  <si>
    <t>143 заявки на благоустройство поданных в 2020 году</t>
  </si>
  <si>
    <t>2 заявки</t>
  </si>
  <si>
    <t>Количество проектных идей, которые были выдвинуты гражданами в ходе первичных встреч, анкетирования, через интернет или другим способом, если такая статистика велась</t>
  </si>
  <si>
    <t>0,02%</t>
  </si>
  <si>
    <t>2.7%</t>
  </si>
  <si>
    <t>Доля указанных бюджетных средств в общем объеме расходов бюджета муниципального образования на 2023 год</t>
  </si>
  <si>
    <t>3.369</t>
  </si>
  <si>
    <t>4,7 млн руб.</t>
  </si>
  <si>
    <t>Объем бюджетных ассигнований из бюджета муниципального образования, которые запланированы в рамках практики на реализацию проектов в 2023 году</t>
  </si>
  <si>
    <t>Планы финансирования практики из бюджета муниципального образования на 2023 год</t>
  </si>
  <si>
    <t>Не проводилась</t>
  </si>
  <si>
    <t>непроводилась</t>
  </si>
  <si>
    <t>https://www.puradm.ru/one-doc/12590
п. 1.3 Порядка выдвижения, внесения, обсуждения, рассмотрения инициативных проектов, а также проведения их конкурсного отбора на территории Пуровского района, утвержденного постановление Администрации Пуровского района от 29.04.2021 № 223-ПА "О реализации инициативных проектов на территории Пуровского района"</t>
  </si>
  <si>
    <t>https://yam.yanao.ru/documents/active/256110/</t>
  </si>
  <si>
    <t xml:space="preserve">Пункты 5.4, 10.2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 (далее - Порядок), подпункты 6.1-6.4 пункта 6 приложения 1 к Порядку. </t>
  </si>
  <si>
    <t>https://lbt.yanao.ru/documents/active/83650/</t>
  </si>
  <si>
    <t>http://www.shugur.ru/documents/1396.html</t>
  </si>
  <si>
    <t xml:space="preserve"> http://www.admkonda.ru/documents/16785.html</t>
  </si>
  <si>
    <t>https://www.n-vartovsk.ru/documents/dumaReshenie/#DOCTYPE=dumaReshenie&amp;Y=2021&amp;M=2</t>
  </si>
  <si>
    <t>https://admlangepas.ru/open-budget/proactive-budgeting/legal-regulation2870/municipal-legal-acts5266/reshenie-ot-25-dekabrya-2020-g-160/</t>
  </si>
  <si>
    <t>1) https://budget.uray.ru/iniciativnoe-bjudzhetirovanie-v-rf/opisanie-proektov-2022/;   2) https://budget.uray.ru/iniciativnoe-bjudzhetirovanie-v-rf/otchety-o-realizacii-2022/</t>
  </si>
  <si>
    <t>https://trunovskiy26raion.ru/mestnoe-samoupravlenie/duma-trunovskogo-munitsipalnogo-okruga/resheniya-dumy/?PAGEN_1=7&amp;SIZEN_1=20</t>
  </si>
  <si>
    <t>https://www.angosk.ru/attachments/article/10123/955%20%D0%BA%D0%BE%D0%BC%D0%B8%D1%81%D1%81%D0%B8%D1%8F_%D0%BE%D1%82%D0%B1%D0%BE%D1%80%20%D0%BA%D0%BE%D0%BD%D0%BA%D1%83%D1%80%D1%81%D0%BD.%D0%BF%D1%80%D0%BE%D0%B5%D0%BA%D1%82%D0%BE%D0%B2.pdf</t>
  </si>
  <si>
    <t xml:space="preserve">http://krasnogvardeiskoe.info/sites/krasnogvardeiskoe.info/files/of/userfiles/file/sovet%20kmr/obnarodovanie/2021/%D0%A0%D0%B5%D1%88%D0%B5%D0%BD%D0%B8%D0%B5%20%   E2%84%96%20114%20%D0%BE%D1%82%2024.02.2021%20%D0%B3..doc   </t>
  </si>
  <si>
    <t>https://www.adm-grsk.ru/sobranie-deputatov/resheniya-soveta/resheniya-2021/reshenie-ot-22-04-2021-g-37-o-nekotorykh-voprosakh-realizatsii-initsiativnykh-proektov-na-territorii-grachevskogo-munitsipalnogo-okruga-stavropolskogo-kraya</t>
  </si>
  <si>
    <t>https://www.georgievsk.ru/mestnye-initsiativy/failes/2180_proekt.doc</t>
  </si>
  <si>
    <t xml:space="preserve">http://www.andropovskiy.ru/images/Downloads/Iniciativ_proekt/Pravovaya_baza/2021/June/1.3/решение%20совета%20амо%20ск%20от%2031%20марта%202021%20г.%20№10-100-1.doc </t>
  </si>
  <si>
    <t>http://kuibishevskiy.gordumasamara.ru/wp-content/uploads/2021/02/%D0%A0%D0%B5%D1%88%D0%B5%D0%BD%D0%B8%D0%B5-%D0%BE%D1%82-16.02.2021-%E2%84%9635.pdf</t>
  </si>
  <si>
    <t>http://www.pohgor.ru/economyka/strategiya-razvitiya-2030/npa/</t>
  </si>
  <si>
    <t>https://xn----7sbbnwghl2bjadrdc.xn--p1ai/deyatelnost/resheniya-dumy/7727/</t>
  </si>
  <si>
    <t>https://dalmdr.ru/node/4932</t>
  </si>
  <si>
    <t>п. 8.8.4, 8.9.3 решения Пермской городской Думы от 26.03.2019 № 64</t>
  </si>
  <si>
    <t>http://fin-or.ru/ckfinder/userfiles/files/%D0%BF%D0%BE%D1%81%D1%82%D0%B0%D0%BD%D0%BE%D0%B2%D0%BB%D0%B5%D0%BD%D0%B8%D0%B5%201694%20%D0%BF%20%D0%BE%D1%82%2003_09_2021.pdf</t>
  </si>
  <si>
    <t>https://finotdnovoorsk.ru/assets/files/2021/458-p-ot-04.06.2021.pdf</t>
  </si>
  <si>
    <t>https://grach-rf.orb.ru/upload/uf/783/Narodnyy_byudzhet_2022.rar</t>
  </si>
  <si>
    <t>http://pp-bz.ru/legal-acts/1078</t>
  </si>
  <si>
    <t>https://orenburg.ru/documents/other/63573/</t>
  </si>
  <si>
    <t>https://perovskoe.rk.gov.ru/ru/document/show/2092</t>
  </si>
  <si>
    <t>https://divnogorsk.gosuslugi.ru/ofitsialno/dokumenty/arhiv-dokumentov/arhiv-resheniy-gorodskogo-soveta/resheniya-gorodskogo-soveta-2021-god/postanovleniya-2021_604.html</t>
  </si>
  <si>
    <t>http://kirpilskoesp.ru/files/%D0%98%D0%BD%D0%B8%D1%86%D0%B8%D0%B0%D1%82%D0%B8%D0%B2%D0%BD%D0%BE%D0%B5%20%D0%B1%D1%8E%D0%B4%D0%B6%D0%B5%D1%82%D0%B8%D1%80%D0%BE%D0%B2%D0%B0%D0%BD%D0%B8%D0%B5/%D0%9F%D0%BE%D1%81%D1%82%D0%B0%D0%BD%D0%BE%D0%B2%D0%BB%D0%B5%D0%BD%D0%B8%D0%B5%20%E2%84%961%20%D0%BE%D1%82%2011.01.2021.pdf</t>
  </si>
  <si>
    <t>https://адм-родниковская.рф/documents/1930.html</t>
  </si>
  <si>
    <t>https://internet.garant.ru/#/document/401407438/paragraph/1/doclist/5772/1/0/0/%D1%80%D0%B5%D1%88%D0%B5%D0%BD%D0%B8%D0%B5%20%D0%B3%D0%BE%D1%80%D0%BE%D0%B4%D1%81%D0%BA%D0%BE%D0%B9%20%D0%94%D1%83%D0%BC%D1%8B%20%D0%9A%D1%80%D0%B0%D1%81%D0%BD%D0%BE%D0%B4%D0%B0%D1%80%D0%B0%20%D0%BE%D1%82%2024.06.2021%20%E2%84%96%2015%20%D0%BF.1:2</t>
  </si>
  <si>
    <t>https://oktpos.ru/документы/reshenija/решения-2021.html</t>
  </si>
  <si>
    <t>http://xn----7sbbaibk7avopm4b4o.xn--p1ai/documents/1615.html</t>
  </si>
  <si>
    <t>https://www.avito.ru/kaliningrad/predlozheniya_uslug/raschistka_uchastka._vyravnivanie_756927939</t>
  </si>
  <si>
    <t>https://cherinfo.ru/nb, https://cherinfo-doc.ru/decree/90821-postanovlenie-merii-goroda-cerepovca-ot-19102017-no-5027-ob-utverzdenii-municipalnoj-programmy-formirovanie-sovremennoj-gorodsko</t>
  </si>
  <si>
    <t>трудовое участие (использование строительных материалов, оборудования, инструмента, уборка мусора, осуществление собственными силами благоустройства и иное участие)</t>
  </si>
  <si>
    <t>В целях определения размера неоплачиваемого вклада населения и благотворителей, инициаторы из утвержденного перечня позиций сметного расчета, определяющего стоимость реализации инициативного проекта, самостоятельно выбирают позиции (виды работ, применяемые оборудование и материалы), которые будут реализованы силами инициаторов, и представляют сведения об этих позициях в составе приложенных к заявлению документов для подсчета их стоимости.</t>
  </si>
  <si>
    <t xml:space="preserve">Трудовой вклад, предоставление безвозмездно материалов и оборудования и т.д. (п. 4.3.4 Положения о реализации ИП в Тазовском районе). Произведена калькуляция стоимости услуг. </t>
  </si>
  <si>
    <t>Дополнительные средства для реализации проекта в денежной или неденежной форме могут быть представлены спонсорскими организациями или гражданами. Предоставление этих взносов должно быть подтверждено соответствующими гарантийными письмами, договорами или протоколами собраний граждан.</t>
  </si>
  <si>
    <t>пункт 12.5.раздела XII "Реализация инициативных проектов может обеспечиваться также в форме добровольного имущественного и (или) трудового участия заинтересованных лиц. Объем такого участия оценивается в денежной форме по действующим ставкам, тарифам и нормам".</t>
  </si>
  <si>
    <t xml:space="preserve">Порядок участия инициаторов проекта в софинансировании инициативных проектов, реализация инициативных проектов
1. Объем денежных средств инициаторов проекта вносимых в целях софинансирования реализации инициативного проекта (далее - средства инициаторов, инициативные платежи), составляет не менее 0,1 процента от стоимости данного проекта. 
Реализация инициативных проектов может обеспечиваться также в форме добровольного имущественного и (или) трудового участия заинтересованных лиц.
</t>
  </si>
  <si>
    <t>Инициативные платежи – денежные средства граждан, индивидуальных 
предпринимателей и образованных в соответствии с законодательством Российской Федерации 
юридических лиц, уплачиваемые на добровольной основе и зачисляемые в соответствии с 
Бюджетным кодексом Российской Федерации в бюджет муниципального образования 
(далее - местный бюджет) в целях реализации конкретных инициативных проектов</t>
  </si>
  <si>
    <t>Добровольное имущественное участие, трудовое участие</t>
  </si>
  <si>
    <t>трудовой вклад, предоставление безвозмездно материалов и оборудования и др.</t>
  </si>
  <si>
    <t>Финансирование проектов конкурса осуществляется за счет средств бюджета Ханты-Мансийского района, бюджетов сельских поселений Ханты-Мансийского района, населения сельских поселений Ханты-Мансийского района, индивидуальных предпринимателей и юридических лиц.</t>
  </si>
  <si>
    <t>Установка праздничных светодиодных фигур в общественных местах, консолей, панно на здания администрации, культурных учреждений, украшение улиц населенных пунктов</t>
  </si>
  <si>
    <t>Трудовое участие со стороны граждан в реализации инициативных проектов.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(коммерческое предложение, прайс-лист).</t>
  </si>
  <si>
    <t>Неоплачиваемый труд</t>
  </si>
  <si>
    <t>нефинансовый вклад со стороны граждан вносился в виде  трудозатрат - безвозмездного оказания помощи при реализации проекта инициативного бюджетирования. Расчет трудозатрат был расчитан с учетом установленной минимальной оплаты труда</t>
  </si>
  <si>
    <t>Постановление администрации сельского поселения Шугур 
от 17 мая 2019 года №46 "О конкурсном отборе проектов 
"Народный бюджет" в сельском поселении Шугур"</t>
  </si>
  <si>
    <t xml:space="preserve">Уровень софинансирования инициативного проекта гражданами
от 20 % стоимости инициативного проекта 5
от 15 % до 20 % стоимости инициативного проекта 4
от 10 % до 15 % стоимости инициативного проекта 3
от 5 % до 10 % стоимости инициативного проекта 2
до 5 % от стоимости инициативного проекта 1
Уровень софинансирования инициативного проекта юридическими лицами, в том числе социально-ориентированными некоммерческими организациями и индивидуальными предпринимателями
от 20 % стоимости инициативного проекта или софинансирование социально-ориентированными некоммерческими организациями от 5% стоимости инициативного проекта  5
от 15 % до 20 % стоимости инициативного проекта 4
от 10% до 15 % стоимости инициативного проекта 3
от 5 % до 10 % стоимости инициативного проекта 2
до 5 % от стоимости инициативного проекта 1
</t>
  </si>
  <si>
    <t xml:space="preserve">Посадка саженцев деревьев, уборка территории от мусора, разбор старого хоккейного корта, пейнтбольной площадки </t>
  </si>
  <si>
    <t xml:space="preserve">Членами инициативной группы и неравнодушными гражданами были выполнены работы по разбору старого деревянного настила. ООО СП «Айтур»  была предоставлена техника для вывоза мусора после реализации инициативного проекта. </t>
  </si>
  <si>
    <t xml:space="preserve">Членами инициативной группы и неравнодушными гражданами были выполнены работы по уборке строительного мусора после реализации проекта. Членами инициативной группы и неравнодушными гражданами была выполнена надпись на тротуаре #вИнициативеБудущееЮгры, коллективом детского сада «Красная шапочка» была оказана помощь, по покосу травы и выкорчёвыванию кустарников.
ООО Акцент была предоставлены дорожная краска для изготовления надписи #вИнициативеБудущееЮгры, Кондинским филиалом АО «ЮРЕСК» была предоставлена техника для вывоза кустарников и мусора после реализации инициативного проекта.  
</t>
  </si>
  <si>
    <t>Трудовое участие со стороны граждан, предусмотрено решением Думы города Нижневартовска от 26.02.2021 № 717 "О Положении о реализации инициативных проектов в городе Нижневартовске". Финансовая оценка не проводилась.</t>
  </si>
  <si>
    <t xml:space="preserve">1. Нефинансовый вклад в рамках реализации инициативного проекта "Спортивная площадка "Черный мыс"":
- проведены работы по очистке (уборке) территории, определенной под инициативный проект (договор от 13.10.2022 № 20);
- организовано предоставление бесплатного доступа к сети интернет по WIFI для посетителей спортивной площадки.
2. Нефинансовый вклад в рамках реализации инициативного проекта "Детско-подростковая площадка "Черный Мыс":
- проведены работы по очистке (уборке) территории, определенной под инициативный проект (договор от 13.10.2022 № 21);
- организовано предоставление бесплатного доступа к сети интернет по WIFI для посетителей спортивной площадки.
3. Нефинансовый вклад в рамках реализации инициативного проекта "Веревочный комплекс в п. Снежный" - проведены работы по очистке территории земельного участка, определенного под инициативный проект (договор от 01.07.2022 № 12).
4. Нефинансовый вклад в рамках реализации инициативного проекта "Цифровая лига Сургута (Digital league of Surgut - DLS)":
 - по договору от 01.08.2022 № 14 оказаны дизайнерские услуги по разработке макета полиграфической и сувенирной продукции;
- по договору от 01.08.2022 № 15 оказаны услуги ведущего по проведению мероприятия.
В рамках имущественного участия передан ноутбук по договору от 01.08.2022 № 13.
5.  Нефинансовый вклад в рамках реализации инициативного проекта "ТОС в каждый двор":
- по договору от 01.08.2022 № 16 проведены работы по санитарной очистке прилегающей территории, скашиванию травы (поросли) возле памятника, сбору скошенной травы (поросли), удалению песка и пыли с плиточного покрытия возле памятника;
- по договору от 11.08.2022 № 17 оказаны услуги по работе главного судьи и медицинской сестры при проведении соревнований по мини-футбола среди дворовых команд города Сургута «Чемпионы нашего двора»;
- по договору от 05.10.2022 № 22 оказаны услуги по посадке саженцев на «Рябиновой аллее ТОС».
Финансовая оценка нефинансового вклада в соответствии с НПА не производится.
</t>
  </si>
  <si>
    <t>Уборка прилегающей территории, озеленение, выкос травы и сорняков, полив клумб, демонтаж старого оборудования, погрузо-разгрузочные работы, контроль за сохранностью оборудования и малых архитектурных форм</t>
  </si>
  <si>
    <t>Решение думы города Лангепаса от 25.12.2020 №160</t>
  </si>
  <si>
    <t>проведение, субботника, уборка строительного мусора, озеленение</t>
  </si>
  <si>
    <t>на безвозмездной основе принимали участие в выполнении работ по подготовке территорий к благоустроительным работам (уборке от мусора, выравнивании грунта),  осуществляли художественное оформление городских территорий (озеленение и цветочное оформление в летний период, установку снежных и ледяных фигур - в зимний), проводили мероприятия культурной и образовательной направленности в рамках реализуемых проектов, осуществляли информационное сопровождение хода реализации проектов, за счет собственных средств обеспечено художественное оформление, сценический реквизит,  приобретение национального костюма,  оплачено участие в концертной программе артистов из республик Башкортостан и Республики Татарстан. Методика определения стоимости нефинансового вклада отсутствует.</t>
  </si>
  <si>
    <t>Неденежный вклад граждан (добровольное имущественное участие, трудовое участие), Неденежный вклад юридических лиц, индивидуальных предпринимателей (добровольное имущественное участие, трудовое участие)</t>
  </si>
  <si>
    <t>Добровольное имущественное и (или) трудовое участие заинтересованных лиц</t>
  </si>
  <si>
    <t>добровольное имущественное и трудовое участие - финансовая оценка осуществлялась в соотвтетсвии с гарантийными письмами, предусматривающими формы трудового участия и стоимости услуг, бокументы бухгалтерского учета.</t>
  </si>
  <si>
    <t>Реализация инициативных проектов может обеспечиваться также в форме добровольного имущественного и (или) трудового участия заинтересованных лиц. Финансовая оценка вклада осуществляется на основании Гарантийного письма и Акта о приемке вклада в реализацию инициативного проекта.</t>
  </si>
  <si>
    <t>Безвозмездный труд в стоимостном выражении</t>
  </si>
  <si>
    <t>безвозмедный труд населения</t>
  </si>
  <si>
    <t>трудовое участи: помощь в уборке актового зала и наведения чистоты</t>
  </si>
  <si>
    <t>Предусмотрено в форме добровольного имущественного и (или) трудового участия лиц</t>
  </si>
  <si>
    <t>Трудовое участие граждан</t>
  </si>
  <si>
    <t>трудовое участие, предоставление техники и материалов в соответствии с гарантийными письмами</t>
  </si>
  <si>
    <t>Реализация инициативных проектов может обеспечиваться в форме добровольного имущественного и(или) трудового участия заинтересованных лиц.</t>
  </si>
  <si>
    <t>Вклад организаций и других внебюджетных источников в реализацию проекта в нефинансовой форме (выполнение неоплачиваемых работ, выделение материалов и оборудования и др. формы), имущественное и (или) трудовое участие населения в реализации проекта</t>
  </si>
  <si>
    <t xml:space="preserve">Инициаторы проекта вправе принимать участие в реализации инициативных проектов, в том числе в форме добровольного имущественного и (или) трудового участия в соответствии с Порядком выдвижения, внесения, обсуждения, рассмотрения инициативных проектов, а также проведения их конкурсного отбора на территории Благодарненского городского округа Ставропольского края, утвержденным решением Совета депутатов Благодарненского городского округа Ставропольского края
от 24 марта 2021 года № 405 (с изменением, внесенным решением Совета депутатов Благодарненского городского округа Ставропольского края от 08 июля 2021 года № 431) 
 </t>
  </si>
  <si>
    <t xml:space="preserve">безвозмедное оказание работ, в соответствии с гарантийными письмами </t>
  </si>
  <si>
    <t>добровольное имущественное и (или) трудовое участие заинтересованных лиц</t>
  </si>
  <si>
    <t>Неденежный вклад граждан (добровольное имущественное участие, трудовое участие), юридических лиц, индивидуальных предпринимателей (добровольное имущественное участие, трудовое участие)</t>
  </si>
  <si>
    <t>имущественное участие инициатора проекта в виде предоставления малой архитектурной формы при реализации проекта, методика финансовой оценки — стоимость изготовления малой архитектурной формы в соответствии с договором</t>
  </si>
  <si>
    <t>привлечение рабочей силы  за счет жителей поселения, и привлечение техники за счет предприятия, находящихся на территории поселения</t>
  </si>
  <si>
    <t>Уборка территории, использование техники и материалов</t>
  </si>
  <si>
    <t>установка детской площадки.</t>
  </si>
  <si>
    <t>трудовое, имущественное участие</t>
  </si>
  <si>
    <t xml:space="preserve">В соответствии с п. 3.20. решения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одним из критериев конкурсного отбора инициативных проектов является планируемое имущественное и (или) трудовое участие заинтересованных лиц в реализации инициативного проекта.                                       
При этом количество баллов, присваиваемых инициативному проекту по данному критерию,  в части имущественного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имущественного участия заинтересованных лиц в реализации инициативного проекта количество баллов, присваиваемых инициативному проекту по критерию, составляет 0 баллов.
Количество баллов, присваиваемых инициативному проекту по критерию, в части трудового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трудового участия заинтересованных лиц в реализации инициативного проекта количество баллов, присваиваемых инициативному проекту по критерию, в части трудового участия составляет 0 баллов.
</t>
  </si>
  <si>
    <t xml:space="preserve">Имущественное и трудовое участие  граждан предусмотрено решением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 При направлении инициативных проектов Инициаторы указывают конкретные виды имущества, которые предполагается использовать при реализации инициативного проекта и 
конкретные виды работ, которые предполагается выполнить при реализации инициативного проекта
</t>
  </si>
  <si>
    <t>Приложение № 1 к решению думы Дальнереченского муниципального района от 24.02.2022г. №227-МНПА "Перечень критериев оценки инициативных проектов и их бальное значение" подпункт 6.2 "Вклад населения в реализацию инициативного проекта в не денежной форме (трудовое, имущественное участие)": предусмотрен - 10 баллов; не предусмотрен - 0 баллов.</t>
  </si>
  <si>
    <t>Трудовое и имущественное участие. Документы, подтверждающие обязательства по финансовому, имущественному и (или) трудовому обеспечению инициативного проекта заинтересованных лиц, в виде гарантийных писем</t>
  </si>
  <si>
    <t>работы по озеленению территории</t>
  </si>
  <si>
    <t>трудовое участие заинтересованных лиц</t>
  </si>
  <si>
    <t>форма добровольного имущественного и (или) трудового участия заинтересованных лиц</t>
  </si>
  <si>
    <t>трудовое участие со стороны граждан, помощь со стороны КФХ техникой</t>
  </si>
  <si>
    <t>Вклад населения в реализацию проекта в  неденежной форме (выполнение неоплаченных работ,выделение материалов и оборудования и др. формы)-5 баллов;Вклад организаций и других внебюджетных источников в реализацию проекта в  неденежной форме (выполнение неоплаченных работ,выделение материалов и оборудования и др. формы)-5 баллов</t>
  </si>
  <si>
    <t>вклад населения, организаций и других внебюджетных источников в реализацию проекта в не денежной форме (неоплачиваемый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t>
  </si>
  <si>
    <t>уборка придомовой территории после проведения ремонтных работ, уборка территории кладбища после установки изгороди</t>
  </si>
  <si>
    <t>вклад населения, организаций и других внебюджетных источников в реализацию проекта в неденежной форме (неоплачиваемый труд, материалы и другие формы)</t>
  </si>
  <si>
    <t xml:space="preserve">обкос травы, очиска </t>
  </si>
  <si>
    <t>трудовое участие со стороны граждан,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t>
  </si>
  <si>
    <t>демонтаж оконных блоков</t>
  </si>
  <si>
    <t>Предусмотрено любая форма добровольного имущественного и (или) трудового участия заинтересованных лиц (п 1.8)</t>
  </si>
  <si>
    <t>Выкорчевывание деревьев, кронирование, вывоз строительного мусора, обустройство водоотлива, изготовление скамеек, снятие слоя растительного грунта и т.д.</t>
  </si>
  <si>
    <t>Оказание помощи техникой  (бульдозеры, экскаватор) депутат Волокского сельского поселения,  ООО "Агроволок". Оказание помощи в приобритении спортивного оборудования  - Крестьянское хозяйство "Гелетей"</t>
  </si>
  <si>
    <t>Трудовое участие граждан, индивидуалных предпринимателей, организаций культуры и спорта городского округа Семеновский и Молодежной палаты при Совете депутатов городского округа Семеновский (проведение субботников, культурно-массовых мероприятий, волонтерской деятельности, направленной на развитие массового спорта, охрану окружающей среды и сохранение культурных традиций)</t>
  </si>
  <si>
    <t xml:space="preserve">Об утверждении положения о порядке выдвижения, внесения, обсуждения, рассмотрения инициативных проектов, а также проведения их конкурсного отбора </t>
  </si>
  <si>
    <t>подготовка площадки (очистка территории, отсыпка песком), разгрузка и установка оборудования</t>
  </si>
  <si>
    <t>Имущественное и трудовое участие в реализации инициативного проекта инициаторов</t>
  </si>
  <si>
    <t>Имущественное и (или) трудовое участие заинтересованных лиц в реализации инициативного проекта.
Высадка зеленых насаждений на территории благоустройства детской спортивно-игровой площадки "На Нагорной".</t>
  </si>
  <si>
    <t>Трудовое участие населения, в части проведения очистки прилегающей территории и проведение работ, связанные с ее озеленением</t>
  </si>
  <si>
    <t>трудовое участие граждан, не финансовый вклад физических лиц заключается в уборке территории, покосе сорной растительности, вырубке порослей, проведении субботников</t>
  </si>
  <si>
    <t>Реализация инициативных проектов может обеспечиваться также в форме добровольного имущественного и (или) трудового участия заинтересованных лиц.</t>
  </si>
  <si>
    <t>Предполагается трудовое участие
жителей хутора в реализации Про-
екта, а именно, участие в разгру-
зочно-погрузочных работах, пла-
нировка грунта.</t>
  </si>
  <si>
    <t>планировка территории под остановки</t>
  </si>
  <si>
    <t>Трудовое участие населения - при реализации проекта участие при проведении работ по покосу травы, опилу деревьев по периметру стадиона, покраске спортивных сооружений расположенных на территории стадиона</t>
  </si>
  <si>
    <t xml:space="preserve">Бальная шкала оценки инициативных проектов. Вклад в реализацию инициативного проекта со стороны физических и (или) юридических лиц в неденежной форме (материалы и другие формы) (минимальный и максимальный уровень не устанавливается): 
a) в случае, если объем вклада составляет меньше 5% от общей стоимости проекта, количество начисляемых баллов составляет 15 баллов; 
б) в случае, если уровень вклада составляет 5% и более, то количество начисленных баллов составляет 20 баллов; 
в) при отсутствии вклада баллы не начисляются.
</t>
  </si>
  <si>
    <t>трудовое участие граждан, подготовительные работы, которые не учитываются в смете основных работ</t>
  </si>
  <si>
    <t xml:space="preserve">Предоставление жителями, индивидуальными предпринимателями, юридическими лицами расходов на материалы либо трудозатраты (с документальным подтверждением стоимости материалов либо выполненных трудозатрат) - Решение городской Думы муниципального образования город Новороссийск от 20.04.2021 № 97 
</t>
  </si>
  <si>
    <t xml:space="preserve">трудовое участие </t>
  </si>
  <si>
    <t xml:space="preserve"> трудовое участие</t>
  </si>
  <si>
    <t>пункт 4 статьи 13 решения городской Думы Краснодара от 24.06.2021 № 15 п.1 "Об утверждении порядка реализации инициатативных проектов на территории муниципального образования город Краснодар"</t>
  </si>
  <si>
    <t>Финансовое участие. Трудовое участие, материалы и другие формы</t>
  </si>
  <si>
    <t>Решение Совета Ивановского сельского поселения Красноармейского района от 18 декабря 2020 года № 12/3 "Об утверждении Порядка реализации инициативных проектов 
в Ивановском сельском поселении Красноармейского района"</t>
  </si>
  <si>
    <t>вклад не предусмотрен</t>
  </si>
  <si>
    <t>уборка строительного мусора, наведение санитарного порядка по окончанию работ</t>
  </si>
  <si>
    <t xml:space="preserve">Посадка деревьев в парковой зоне </t>
  </si>
  <si>
    <t>Трудовая форма, помошь в проведении работ, выполнение части работ, финансовая оценка не проводится.</t>
  </si>
  <si>
    <t>трудовое участие, методика финансовой оценки отсутствует</t>
  </si>
  <si>
    <t>опилка деревьев, уборка, окос травы.</t>
  </si>
  <si>
    <t>вырубка неперспективной поросли,разравнивание песка,подготовка оснований для установки спортивно-игровых комплексов, приобретение строительных материалов</t>
  </si>
  <si>
    <t xml:space="preserve">Вовлечение бизнеса/ИП, общественности, заинтересованных жителей города в реализуемые городом проекты, через обсуждение  Программ развития округов , предложений/инициатив граждан, взаимодействие с главами управ, председателями ТОС, депутатами, руководством города, в т.ч. через Совет предпринимателей города (собирается ежемесячно на постоянной основе, новое направление) и Агентство городского развития </t>
  </si>
  <si>
    <t>Предоставление техники, безвозмездный труд</t>
  </si>
  <si>
    <t>Вклад в виде субботников и предоставление техники</t>
  </si>
  <si>
    <t>нет утвержденной методики оценки</t>
  </si>
  <si>
    <t>не размещено</t>
  </si>
  <si>
    <t>Да. Но в тоже время бизнес и общественность активно помогают городу в реализации городских проектов (высадка деревьев, установка арт-объектов, благоустройство скверов, установка малых архитектурных форм  и прочее)</t>
  </si>
  <si>
    <t>В случае если такой вклад не предусмотрен НПА, ответ «нет»</t>
  </si>
  <si>
    <t>9,5%</t>
  </si>
  <si>
    <t>7.E.2.</t>
  </si>
  <si>
    <t>0,02</t>
  </si>
  <si>
    <t>7.E.1.</t>
  </si>
  <si>
    <t>-%</t>
  </si>
  <si>
    <t>разделение на средства граждан и средства юридических лиц отсуствует</t>
  </si>
  <si>
    <t xml:space="preserve">0,000*
Следует отметить, что велось  активное взаимодействие с гражданами и бизнесом по оказанию содействия в реализации социально-значимых инициатив и проектов для города, таким образом они вносят свой вклад в благоустройство и развитие территории. Например, высадка деревьев, цветов на улицы и  в скверы от бизнеса и жителей, детские площадки,арт-объекты и др.  Также бизнес проводит грантовые конкурсы, в которых принимают участие территориальные общественные самоуправления для развития своих территорий. Реализация проекта позволяет учитывать потребности учреждений социальной сферы города. </t>
  </si>
  <si>
    <t xml:space="preserve">средства софинансирования со стороны юридических лиц </t>
  </si>
  <si>
    <t>не предусмотрено постановлением администрации города Хабаровска от 15 апреля 2021 г. N 1368 "Об организации и проведении конкурса социально значимых инициатив (проектов) среди территориального общественного самоуправления"</t>
  </si>
  <si>
    <t>7.С.2.</t>
  </si>
  <si>
    <t>0,000*</t>
  </si>
  <si>
    <t>1.12%</t>
  </si>
  <si>
    <t>Доля указанных бюджетных ассигнований в бюджете муниципального образования на 2022 год</t>
  </si>
  <si>
    <t>7.B.3.</t>
  </si>
  <si>
    <t>90,5%</t>
  </si>
  <si>
    <t xml:space="preserve">Объем бюджетных ассигнований из бюджета муниципального образования на финансирование проектов в 2022 году </t>
  </si>
  <si>
    <t>бюджетные ассигнования на реализацию проектов из бюджета муниципального образования</t>
  </si>
  <si>
    <t>Общий объем средств, направленных из различных источников на финансирование проектов  (показатель рассчитывается автоматически)</t>
  </si>
  <si>
    <t>Общая стоимость проектов ИБ, инициативных проектов в 2022 году</t>
  </si>
  <si>
    <t>1. Управление жизнеобеспечения Администрации села Красноселькуп;
2. Администрация села Толька
1.МОУ КСОШ «Радуга»;
2. МОШИ «Толькинская общеобразовательная школа-интернат среднего (полного) общего образования;
2. МОШИ «Раттовская общеобразовательная школа-интернат основного общего образования имени Сергея Иванович Ирикова»</t>
  </si>
  <si>
    <t>Администрация села Самбург, Администрация села Халясавэй
МКУ "УГХ", МКУ "УКХ Б И ТО",  МКУ "УМХ И ОДОМС", МКУ "УПРАВЛЕНИЕ ГОРОДСКОГО ХОЗЯЙСТ, МАУ СШ "ХЫЛЬМИК", МБОУ "ООШ № 2" П. ХАНЫМЕЙ, МБОУ "СОШ № 1" Г. ТАРКО-САЛЕ, МБОУ "СОШ № 1" П. ПУРОВСК, МБОУ "СОШ № 1" П. ХАНЫМЕЙ, МБОУ "СОШ № 2" П.Г.Т. УРЕНГОЙ, МБОУ "СОШ № 2" С. СЫВДАРМА, МБОУ "СОШ № 3" Г. ТАРКО-САЛЕ, МБОУ "СОШ №1" П.Г.Т.УРЕНГОЙ ПУРОВСКОГО РАЙОНА, МБОУ "СОШ №2" Г.ТАРКО-САЛЕ, МБОУ "ШИООО" Д. ХАРАМПУР, МБОУ "ШИООО" С. ХАЛЯСАВЭЙ, МБОУ "ШИСОО" Г. ТАРКО-САЛЕ, МБОУ "ШИСОО" С. САМБУРГ, МБУ КСК "УРЕНГОЕЦ", МБУК ПРИКМ</t>
  </si>
  <si>
    <t>Управление по обеспечению жизнедеятельности поселка Тазовский Администрации Тазовского района, МБУ "Комфорт", МКОУ Антипаютинская школа-интернат, МБОУ Тазовская средняя общеобразовательная школа, МКОУ Газ-Салинская средняя общеобразовательная школа, МКОУ Гыданская школа-интернат среднего общего образования им. Н.И. Яптунай, МКОУ Тазовская школа-интернат среднего общего образования, МКОУ Находкинская школа-интернат начального общего образования</t>
  </si>
  <si>
    <t>Департамент коммунального хозяйства и транспорта Администрации  Ямальского района; Департамент образования Администрации  Ямальского района; Управление культуры и молодежной политики Администрации Ямальского района; Управление физической культуры и спорта Администрации Ямальского района;общеобразовательные организации Ямальского района</t>
  </si>
  <si>
    <t>МБУК "Приуральская централизованная клубная система", МБУ "Районный молодежный центр"</t>
  </si>
  <si>
    <t xml:space="preserve">МБУ "Шурышкарская централизованная клубная система", МБОУ "Мужевская средняя общеобразовательная школа имени Н.В.Архангельского", МБОУ "Горковская средняя общеобразовательная", МБОУ  "Овгортская школа-интернат среднего общего образования", МБОУ "Азовская средняя образовательная школа "Образовательно-воспитательный центр",  МБОУ "Восяховская средняя образовательная школа "Образовательный центр", МБОУ "Горковская специальная (коррекционная) общеобразователная школа-интернат для обучающихся, воспитанников с ограниченными возможностями здоровья", МОУ "Социокультурный центр" с.Лопхари", МБОУ  "Шурышкарская средняя общеобразовательная школа "Образовательный центр", МБОУ "Питлярская средняя общеобразовательная школа "Образовательный центр" </t>
  </si>
  <si>
    <t>Администрация Надымского района (ПБС - Муниципальное учреждение "Управление капитального строительсво и капитального ремонта"),
Управление культуры Администрации Надымского района (получатель субсидии на иные цели-Филиал МБУК «Надымская РКС» - КДЦ п. Пангоды, ДК "Юбилейный"),
Территориальный орган Администрации Надымского района Администрация поселка Ягельный,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поселка Лонгъюган,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поселка Приозерный,
Департамент образования Администрации Надымского района, получатели субсидии на иные цели (Школьное партисипаторное бюджетирование):
 - МОУ "СОШ № 1 с углубленным изучением отдельных предметов г.Надым"
 - МОУ "СОШ № 2 г.Надыма"
 - МОУ "СОШ № 3 г.Надыма"
 - МОУ "СОШ № 4 г.Надыма"
 - МОУ "СОШ № 5 г.Надыма"
 - МОУ "СОШ № 6  с углубленным изучением отдельных предметов г.Надым"
 - МОУ "СОШ № 9 г.Надыма"
 - МОУ "Гимназия г.Надыма"
 - МОУ "СОШ № 1 п.Пангоды"
 - МОУ "Ягельная СОШ"
 - МОУ "Приозерная СОШ"
 - МОУ "Заполярная СОШ"
 - МОУ "Правохеттинская СОШ"
 - МОУ "Лонгъюганская СОШ"
 - МОУ "Норинская начальная обшеобразовательная школа"
 - МОУ "Школа-интернат среднего общего образования с. Ныда"
 - МОУ "Школа-интернат среднего общего образования с. Кутопьюган"
 - МОУ "Центр образования"</t>
  </si>
  <si>
    <t>МКУ "УОС", МБУ Центральня клубная система", МБОУ «Лицей» г. Губкинского, МБОУ «ООШ №6», МБОУ «СОШ № 7», МБОУ «СКОШ», МБОУ «Школа им. Ярослава Василенко», МБОУ «СОШ №2», МБОУ «СОШ №9», МБОУ «СОШ №1», МБОУ «ООШ №3», МАОУ СОШ № 4.</t>
  </si>
  <si>
    <t>Управление жилищно- коммунального хозяйства; МКУ "Управление коммунального заказа"; МАДОУ "ДС "Олененок"; МАОУ"Школа "1 им. В.И. Муравленко";  МАОУ "Школа №2";  МАОУ "Школа № 3 им. А.И. Покрышкина";  МАОУ "Школа № 4"; МАОУ "Школа № 5";  МАОУ "Школа № 6"; МАОУ "Многопрофильный лицей";  МАУДО "Центр детского творчества";   МАУДО "Центр технического творчества";  МАОУ "Прогимназия "Эврика"; МБУ ДО ДМШ;  МБУ ДО ДХШ; МБУ ДО ДШИ;  МБУ МКМИ; МАУК ЦКС; МБУК ЦБС; МАУДО "СШ "Арктика".</t>
  </si>
  <si>
    <t>Управление жилищно-коммунального хозяйства, транспорта, энергетики и связи
Управление по физической культуре и спорту Администрации города Ноябрьска
Управление по делам семьи и молодежи Администрации города Ноябрьска</t>
  </si>
  <si>
    <t>МКУ "Управление муниципального хозяйства", общеобразовательные учреждения</t>
  </si>
  <si>
    <t>1. Муниципальное учреждение "Управление культуры Администарции города Лабытнанги"/Муниципальное автономное учреждение культуры «Городской краеведческий музей», муниципальное автономное учреждение культуры Дом культуры "Сияние севера";                                                                                                                                                                                                                                                                                                                                                                     2.  Муниципальное учреждение "Управление образования Администарции города Лабытнанги"/Муниципальное автономное общеобразовательное учреждение «Средняя общеобразовательная школа № 1», Муниципальное бюджетное общеобразовательное учреждение «Средняя общеобразовательная школа № 3 с углубленным изучением отдельных предметов», Муниципальное автономное общеобразовательное учреждение начальная школа п. Харп, Муниципальное автономное общеобразовательное учреждение «Средняя общеобразовательная школа № 5», Муниципальное автономное общеобразовательное учреждение «Средняя общеобразовательная школа № 8», Муниципальное автономное общеобразовательное учреждение Гимназия города Лабытнанги, Муниципальное автономное общеобразовательное учреждение Школа п.Харп;                                                                                                                                                                                            3. Муниципальное учреждение "Управление физической культуры, спорта, молодежной политики и туризма Администрации города Лабытнанги"/Муниципальное автономное учреждение "Молодёжный центр города Лабытнанги";                                                                                                                                                                                                                                                                                                                                                                                                          4. Муниципальное учреждение "Управление жилищно-коммунального хозяйства и транспорта Администрации города Лабытнанги"/Муниципальное учреждение "Дирекция по обеспечению деятельности в сфере жилищно-коммунального хозяйства".</t>
  </si>
  <si>
    <t>Муниципальное автономное образовательное учреждение "Средняя образовательная школа №1 имени Героя Советского Союза И.В. Королькова";
муниципальное бюджетное образовательное учреждение "Средняя образовательная школа №2";
муниципальное бюджетное образовательное учреждение "Средняя образовательная школа №3";
муниципальное бюджетное образовательное учреждение "Средняя образовательная школа №4";
муниципальное бюджетное образовательное учреждение "Средняя образовательная школа №6";
муниципальное автономное образовательное учреждение "Обдорская гимназия";
муниципальное казенное учреждение "Салехардская дирекция единого заказчика"</t>
  </si>
  <si>
    <t>сельские поселения Ханты-Мансийского района</t>
  </si>
  <si>
    <t xml:space="preserve">администрация Нижневартовского района </t>
  </si>
  <si>
    <t>МАУ "ЦДТ", МБОУ ДО "Белоярская ДШИ", МАУ "РУСС"</t>
  </si>
  <si>
    <t>Департамент жилищно-коммунального хозяйства администрации города Нефтеюганска; Департамент муниципального имущества</t>
  </si>
  <si>
    <t>администрация сельского поселения Леуши</t>
  </si>
  <si>
    <t>Администрация сельского поселения Шугур</t>
  </si>
  <si>
    <t>Администрация городского поселения Куминский</t>
  </si>
  <si>
    <t>Управление капитального строительства Кондинского района</t>
  </si>
  <si>
    <t>Администрация городского поселения Луговой</t>
  </si>
  <si>
    <t>Администрация городского поселения Кондинское</t>
  </si>
  <si>
    <t>администрация городского поселения Междуреченский</t>
  </si>
  <si>
    <t>администрация Кондинского района</t>
  </si>
  <si>
    <t>Муниципальные учреждения в сфере образования,
муниципальное казенное учреждение "Управление капитального строительства города Нижневартовска"</t>
  </si>
  <si>
    <t>МБУ "ЦСП "Сибирский легион", МКУ "Казна городского хозяйства", МКУ "Наш город", МКУ "Управление капитального строительства"</t>
  </si>
  <si>
    <t>Администрация городского поселения Березово</t>
  </si>
  <si>
    <t>Департамент образования Нефтеюганского района, Департамент культуры и спорта Нефтеюганского района</t>
  </si>
  <si>
    <t>Муниципальные  автономные учреждения</t>
  </si>
  <si>
    <t>МКУ «Управление капитального строительства и жилищно-коммунального комплекса»</t>
  </si>
  <si>
    <t>администрация, МКУ "Управление жилищно-коммунального хозяйства города Урай", МКУ "Управление градостроительства, землепользования и природопользования города Урай", МАУ "Культура"</t>
  </si>
  <si>
    <t xml:space="preserve">ТОС «Подсолнух»
ТОС «Джамбула 25»
ТОС «Зеленый сквер на Прогрессивной»
ТОС «Запарина, 160»
ТОС «Батарейный 6»
ТОС «Перспектива»
ТОС «Трехгорный 50»
ТОС «Трубный»
ТОС «Лазо 13»
ТОС «Трехгорный»
ТОС «Маленькая Европа»
ТОС «Максим»
ТОС «Эврика»
ТОС «Бриз»
ТОС «Лазо 9»
ТОС «Аэро-Сити»
ТОС «Север 20»
ТОС «Наш Дом»
ТОС «Слободка»
ТОС «Переулок Облачный»
ТОС «Амурский»
ТОС «ОазисПром»
ТОС «Краснореченский 22»
ТОС «Мухина, 7А»
ТОС «Надежда»,
ТОС «Осетинская 1б»
ТОС «Содружество 135»
</t>
  </si>
  <si>
    <t>Териториальное общественное самоуправление "Виктория", Териториальное общественное самоуправление "Маяк", Териториальное общественное самоуправление "Уютный двор"</t>
  </si>
  <si>
    <t>МКУ "Комитет по информатизации города Тюмени",
МКУ "Служба заказчика по благоустройству Ленинского административного округа города Тюмени",
МКУ "Служба заказчика по благоустройству Центрального административного округа города Тюмени",
МКУ  "Служба заказчика по благоустройству Калининского административного округа города Тюмени",
департамент культуры Администарции города Тюмени,
департамент образования Администарции города Тюмени,
департамент по спорту и молодежной политике Администрации города Тюмени</t>
  </si>
  <si>
    <t>Администрация города Уварово</t>
  </si>
  <si>
    <t>муниципальное казенное учреждение культуры "Межпоселенчекая централизованная библиотечная система"</t>
  </si>
  <si>
    <t>Администрация Степновского муниципального округа Ставропольского края</t>
  </si>
  <si>
    <t>Муниципальное учреждение "Управление городского хозяйства, транспорта и связи администрации города Пятигорска"</t>
  </si>
  <si>
    <t>Муниципальное казенное учреждение "ЖКХ И благоустройства" Предгорного муниципального округа Ставропольского края</t>
  </si>
  <si>
    <t>Управление муниципального хозяйства администрации Петровского городского округа Ставропольского края</t>
  </si>
  <si>
    <t xml:space="preserve"> Управление муниципального хозяйства администарции Петровского городского округа Ставрпольского края, Управление по делам территорий администрации Петрвоского городского окрцуга Ставропльского края, МКУ "Светлоградский городской стадион". МКОУ СОШ №13</t>
  </si>
  <si>
    <t>ТО АНМО СК п. Щелкан</t>
  </si>
  <si>
    <t>Территориальные отделы администрации Новоалександровского городского округа Ставропольского края</t>
  </si>
  <si>
    <t>Управление по делам территорий администрации Нефтекумского городского округа Ставропольского края</t>
  </si>
  <si>
    <t>Муниципальное бюджетное общеобразовательное учреждение гимназия № 9 города Невинномысска</t>
  </si>
  <si>
    <t>отдел образования, физической культуры и спорта администрации  города Лермортова</t>
  </si>
  <si>
    <t xml:space="preserve">Администрация Курского муниципального округа Ставропольского края, территориальные отделы  администрация Курского муниципального округа Ставропольского края </t>
  </si>
  <si>
    <t>Лад-Балковское территориальное управление, Преградненское  территориальное управление, Покровское территориальное управление, Новомихайловское территориальное управление</t>
  </si>
  <si>
    <t>Кочубеевский территориальный отдел администрации Кочубеевского муниципального округа Ставропольского края</t>
  </si>
  <si>
    <t>Управление городского хозяйства администрации города-курорта Кисловодска</t>
  </si>
  <si>
    <t xml:space="preserve">территориальные отделы администрации Кировского городского округа Ставропольского края </t>
  </si>
  <si>
    <t>Управление по работе с территориями Ипатовского городского округа Ставропольского края; Отдел образования Ипатовского городского округа Ставропольского края</t>
  </si>
  <si>
    <t xml:space="preserve">Администрация Изобильненского городского округа Ставропольского края, МБОУ "Средняя общеобразовательная школа №1" ИГО СК, МБОУ "Средняя общеобразовательная школа №3" ИГО СК, МКОУ "Средняя общеобразовательная школа № 4" ИГО СК, МКОУ "Средняя общеобразовательная школа № 9" ИГО СК, МБОУ "Средняя общеобразовательная школа №8 имени А.В. Грязнова" ИГО СК,МКДОУ "Детский сад №26", МКУ "Передовой сельский дом культуры" </t>
  </si>
  <si>
    <t>Старомарьевское территориальное управление администрации Грачевского муниципального округа Ставропольского края</t>
  </si>
  <si>
    <t xml:space="preserve">
Управление жилищно-коммунального хозяйства администрации Георгиевского городского округа Ставропольского края;
Управление по делам территорий администрации Георгиевского городского округа Ставропольского края;
Муниципальное дошкольное образовательное учреждение "Детский сад № 45 "Красная шапочка" города Георгиевска";
Муниципальное бюджетное учреждение"Спортивно-развлекательный комплекс"
</t>
  </si>
  <si>
    <t>Управление жилищно-коммунального хозяйства администрации Георгиевского городского округа Ставропольского края;
Управление по делам территорий администрации Георгиевского городского округа Ставропольского края</t>
  </si>
  <si>
    <t>управление по делам территорий администрации Благодарненского городского округа Ставропольского края, управление образования и молодежной политики администрации Благодарненского городского округа Ставропольского края</t>
  </si>
  <si>
    <t>1. Территориальный отдел села Белые Копани администрации Апанасенковского муниципального округа Ставропольского края;  2.Территориальный отдел села Дивного администрации Апанасенковского муниципального округа Ставропольского края;          3. Территориальный отдел села Манычского администрации Апанасенковского муниципального округа Ставропольского края</t>
  </si>
  <si>
    <t>АДМИНИСТРАЦИЯ АНДРОПОВСКОГО МУНИЦИПАЛЬНОГО ОКРУГА СТАВРОПОЛЬСКОГО КРАЯ
 МБОУ СОШ №14 имени Ф.Г.Буклова с. Курсавка
МБУК Воровсколесский СДК
МБУК Солуно-Дмитриевский СДК
МБУК Султанский СДК
ВОДОРАЗДЕЛЬНЫЙ ТЕРРИТОРИАЛЬНЫЙ ОТДЕЛ АДМИНИСТРАЦИИ АНДРОПОВСКОГО МУНИЦИПАЛЬНОГО ОКРУГА СТАВРОПОЛЬСКОГО КРАЯ
КРАСНОЯРСКИЙ ТЕРРИТОРИАЛЬНЫЙ ОТДЕЛ АДМИНИСТРАЦИИ АНДРОПОВСКОГО МУНИЦИПАЛЬНОГО ОКРУГА СТАВРОПОЛЬСКОГО КРАЯ
КРЫМГИРЕЕВСКИЙ ТЕРРИТОРИАЛЬНЫЙ ОТДЕЛ АДМИНИСТРАЦИИ АНДРОПОВСКОГО МУНИЦИПАЛЬНОГО ОКРУГА СТАВРОПОЛЬСКОГО КРАЯ
КУРШАВСКИЙ ТЕРРИТОРИАЛЬНЫЙ ОТДЕЛ АДМИНИСТРАЦИИ АНДРОПОВСКОГО МУНИЦИПАЛЬНОГО ОКРУГА СТАВРОПОЛЬСКОГО КРАЯ
ЯНКУЛЬСКИЙ ТЕРРИТОРИАЛЬНЫЙ ОТДЕЛ АДМИНИСТРАЦИИ АНДРОПОВСКОГО МУНИЦИПАЛЬНОГО ОКРУГА СТАВРОПОЛЬСКОГО КРАЯ</t>
  </si>
  <si>
    <t>Александровский территориальный отдел администрации Александровского муниципального округа Ставропольского края</t>
  </si>
  <si>
    <t>ООО "Антек"</t>
  </si>
  <si>
    <t>МКУ "Управление ЖКХ и энергетики" городского округа Красноуральск</t>
  </si>
  <si>
    <t>муниципальные учреждения</t>
  </si>
  <si>
    <t>МБУ ДО ДЮЦ "Юность", МБУ ДО "ЦВР "Социум", МБУ ДО "ДЮЦ", МАУ ДО ДЮЦ "Спутник", МБДОУ - детский сад комбинированного вида № 510, МАОУ Гимназия № 202 "Менталитет", МБДОУ - детский сад № 19, МАОУ СОШ № 143, МАОУ СОШ № 50, МАОУ СОШ № 140 с углубленным изучением отдельных предметов, МБДОУ - детский сад № 77, МАОУ СОШ №10 с углубленным изучением отдельных предметов, МБДОУ - детский сад № 37, МАДОУ - детский сад № 38, МАОУ Гимназия № 210 "Корифей", МАОУ лицей №110, МАДОУ - детский сад № 555, МАОУ Гимназия № 205 "Театр", МБДОУ - детский сад № 476, МАОУ СОШ № 44, МАДОУ № 552, МАОУ гимназия №39 "Французская гимназия", МАДОУ детский сад  № 147, МАОУ СОШ № 59, МАУК ЦК "Урал", МНАОУК "Гимназия "Арт-Этюд", МБУК ДО "Екатеринбургская детская школа искусств № 10", МБУК ДО "ЕДМШ № 16", МАУК КДЦ "На Варшавской", МБУК ДО ЕДТШ, МБУК ДО ДхорШ № 1, МБУК ДО ЕДШИ № 2, МБУК ДО "ЕДШИ № 14 имени Г.В.Свиридова", МАУК "ЦКиИ "Верх-Исетский", МАУК "КЗЦ "Стрела", МАУК ДО "ДМШ № 7 имени С.В.Рахманинова", МАУК "КДЦ "Дружба", МБУК "ЦК "Горный Щит", МБУ СШ "Юность", МБУ СШОР горных видов спорта, МБУ СШ "Виктория", МАУ "СОК "Калининец"</t>
  </si>
  <si>
    <t>получатели бюджетных ассигнований</t>
  </si>
  <si>
    <t>муниципальные учреждения, сельские/поселковая администрация</t>
  </si>
  <si>
    <t>всегда казенное, бюджетное или автономное учреждение Сосновоборского городского округа в зависимости от направления инициативы</t>
  </si>
  <si>
    <t>Сельские поселения</t>
  </si>
  <si>
    <t>Администрация сельского поселения Старопохвистнево муниципального района Похвистневский Самарской области</t>
  </si>
  <si>
    <t>Администрация сельского поселения Малое Ибряйкино муниципального района Похвистневский Самарской области</t>
  </si>
  <si>
    <t>Администрация сельского поселения  Красные Ключи муниципального района Похвистневский Самарской области</t>
  </si>
  <si>
    <t>Юридические лица</t>
  </si>
  <si>
    <t>Администрация сельского поселения Черновка муниципального района Кинель-Черкасский Самарской области</t>
  </si>
  <si>
    <t>Администрация сельского поселения Тимашево муниципального района Кинель-Черкасский Самарской области</t>
  </si>
  <si>
    <t>Администрация сельского поселения Садгород муниципального района Кинель-Черкасский Самарской области</t>
  </si>
  <si>
    <t>Администрация сельского поселения Подгорное муниципального района Кинель-Черкасский Самарской области</t>
  </si>
  <si>
    <t>Администрация сельского поселения Новые Ключи муниципального района Кинель-Черкасский Самарской области</t>
  </si>
  <si>
    <t>Администрация сельского поселения Муханово муниципального района Кинель-Черкасский Самарской области</t>
  </si>
  <si>
    <t>Администрация сельского поселения Кротовка муниципального района Кинель-Черкасский Самарской области</t>
  </si>
  <si>
    <t>Администрация сельского поселения Красная Горка муниципального района Кинель-Черкасский Самарской области</t>
  </si>
  <si>
    <t>Муниципального бюджетного учреждения «Культурно-досуговый центр сельского поселения Кинель-Черкассы муниципального района Кинель-Черкасский Самарской области»</t>
  </si>
  <si>
    <t xml:space="preserve">Администрация Кинель-Черкасского района </t>
  </si>
  <si>
    <t>Администрация сельского поселения Кабановка  муниципального района Кинель-Черкасский Самарской области</t>
  </si>
  <si>
    <t>Администрация сельского поселения Ерзовка муниципального района Кинель-Черкасский Самарской области</t>
  </si>
  <si>
    <t>Администрация сельского поселения Березняки муниципального района Кинель-Черкасский Самарской области</t>
  </si>
  <si>
    <t>Администрация сельского поселения Александровка муниципального района Кинель-Черкасский Самарской области</t>
  </si>
  <si>
    <t>Администрация Кинель-Черкасского района</t>
  </si>
  <si>
    <t>Муниципальное бюджетное учреждение муниципального района Кинель-Черкасский Самарской области "Районный дом культуры"</t>
  </si>
  <si>
    <t>ООО "АЙСИН"</t>
  </si>
  <si>
    <t>ИП Булеков Павел Викторович</t>
  </si>
  <si>
    <t>Администрация сельского поселения Большое Микушкино</t>
  </si>
  <si>
    <t xml:space="preserve"> МКУ "Департамент строительства администрации городского округа Чапаевск"</t>
  </si>
  <si>
    <t>ООО «ПРОМСТРОЙСЕРВИС", ООО "ААС-СТРОЙ", ООО "Гранитная мастерская"</t>
  </si>
  <si>
    <t>ИП Толстов П.Г., ООО "УК "Ответственные люди",ООО "СитиМаф",ООО УК "Многоквартирные дома",ООО УК "РОМС",ООО "УК "Самарская Лука",ООО "ГЭК",ИП Беляева Г.А.,ООО УК "Тилит",ООО "Здоровый Двор",ООО "СПК-Перспектива",ООО "Эксплуатация МКД",ИП Волков Е.В.</t>
  </si>
  <si>
    <t>Администрация Самарского внутригородского района городского округа Самара</t>
  </si>
  <si>
    <t>Подрядная организация</t>
  </si>
  <si>
    <t xml:space="preserve">Администрация Куйбышевского внутригородского района городского округа Самара </t>
  </si>
  <si>
    <t>Муниципальное бюджетное учреждение "Красноглинское"</t>
  </si>
  <si>
    <t>МБУ "Красноглинское"</t>
  </si>
  <si>
    <t>1. зарегистрированные общественные, некоммерческие организации, осуществляющие свою деятельность на территории городского округа Похвистнево;
2. инициативная группа численностью не менее 3 и не более 10 граждан, достигших шестнадцатилетнего возраста и проживающих на территории городского округа Похвистнево; 
3. общественные советы микрорайонов, Глава администрации посёлка Октябрьский.</t>
  </si>
  <si>
    <t>социально ориентированные некоммерческие организации и физические лица</t>
  </si>
  <si>
    <t>МБОУ лицей № 82 п.Каменоломни, МБОУ гимназия № 20 п.Каменоломни, МБУЗ ЦРБ Октябрьского района, Администрация Каменоломненского городского поселения.</t>
  </si>
  <si>
    <t>Управление по работе с территориями администрации Уссурийского городского округа, Управление образования и молодежной политики администрации  Уссурийского городского округа, Управление культуры администрацииУссурийского городского округа</t>
  </si>
  <si>
    <t>Администрация Лесозаводского городского округа</t>
  </si>
  <si>
    <t>МОБУ "Средняя общеобразовательная школа с.Ракитное" Дальнереченского муниципального района</t>
  </si>
  <si>
    <t>Администрация городского округа Спасск-Дальний</t>
  </si>
  <si>
    <t>МКУ "Управление строительства и капитального ремонта г. Артема"</t>
  </si>
  <si>
    <t>Территориальный орган или функциональный орган администрации города Перми, к компетенции которых относится решение вопросов местного значения или иных вопросов</t>
  </si>
  <si>
    <t>Исполнитель муниципального контракта</t>
  </si>
  <si>
    <t>Управление культуры,Администрация города,МКУ "ОКТУ г.Березники"</t>
  </si>
  <si>
    <t>Администрация Верещагинского городского округа Пермского края</t>
  </si>
  <si>
    <t>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</si>
  <si>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Администрация МО Бакаевский сельсовет</t>
  </si>
  <si>
    <t>Администрация муниципального образования Курманаевский сельсовет Курманаевского района Оренбургской области</t>
  </si>
  <si>
    <t>Администрация муниципального образования Кутушинский сельсовет Курманаевского района Оренбургской области</t>
  </si>
  <si>
    <t>Школы тюльганского района</t>
  </si>
  <si>
    <t>сельские поселения</t>
  </si>
  <si>
    <t xml:space="preserve">Администрация МО Светлый сельсовет </t>
  </si>
  <si>
    <t>МАОУ " Первомайская средняя общеобразовательная школа"</t>
  </si>
  <si>
    <t>МБОУ Чебеньковская СОШ; МБОУ Нижнепавловская СОШ; МБОУ  Ленинская СОШ</t>
  </si>
  <si>
    <t>муниципальные образования сельских поселений, находящихся на территории муниципального образования Оренбургский район</t>
  </si>
  <si>
    <t>Муниципальные образования Новоорского района Оренбургской области (поссовет, сельсоветы)</t>
  </si>
  <si>
    <t>Школы Бузулукского айона</t>
  </si>
  <si>
    <t>Бюджеты сельских поселений</t>
  </si>
  <si>
    <t>подведомственные учреждения МКУ "Отдел культуры администрации Бугурусланского района" Оренбургской области</t>
  </si>
  <si>
    <t>муиципальное образование сельсовета</t>
  </si>
  <si>
    <t>Администрация Новосултангуловского сельсовета Асекеевского района Оренбургской области</t>
  </si>
  <si>
    <t>МБОУ Добринская СОШ</t>
  </si>
  <si>
    <t>Администрация Александровского сельсовета</t>
  </si>
  <si>
    <t>Администрация МО Новопавловский сельсовет, Администрация МО Федоровский сельсовет</t>
  </si>
  <si>
    <t>бюджеты муниципальных образований сельских поселений</t>
  </si>
  <si>
    <t xml:space="preserve">территориальный отдел «Еленовский» </t>
  </si>
  <si>
    <t>МБОУ «Целинная  основная общеобразовательная школа»</t>
  </si>
  <si>
    <t xml:space="preserve">МБОУ "2 - Михайловская СОШ имени Николая Синева" Сорочинского городского округа </t>
  </si>
  <si>
    <t>Управление строительства и дорожного хозяйства администрации города Оренбурга</t>
  </si>
  <si>
    <t>Образовательные учреждения системы общего образования города</t>
  </si>
  <si>
    <t>МБУ "Городской молодежный цетр"</t>
  </si>
  <si>
    <t>Управление градообразования и капитального строительства города Бузулука</t>
  </si>
  <si>
    <t>школы города Бузулука</t>
  </si>
  <si>
    <t>Управление градообразования и капитального строительства города Бузулука, Управление жилищно- коммунального хозяйства и транспорта администрации города Бузулука</t>
  </si>
  <si>
    <t>Бюджетное учреждение города Омска "Управление дорожного хозяйства и благоустройства", бюджетное учреждение города Омска "Спортивный город"</t>
  </si>
  <si>
    <t xml:space="preserve">Муниципальное учреждение культуры Кормиловского муниципального района "Кормиловская межпоселенческая центральная библиотека";
Муниципальное бюджетное общеобразовательное учреждение Кормиловского муниципального района "Немировская средняя общеобразовательная школа";
Муниципальное дошкольное образовательное учреждение "Кормиловский детский сад №3 "Юбилейный"
</t>
  </si>
  <si>
    <t>Администрация Иваново-Мысского сельского поселения Тевризского муниципального района</t>
  </si>
  <si>
    <t>Муниципальное казенное учреждение муниципального образования "город Бугуруслан" "Управление городского хозяйства"</t>
  </si>
  <si>
    <t>МАОУ СШ п. Кулотино</t>
  </si>
  <si>
    <t>Общеобразовательные организации</t>
  </si>
  <si>
    <t>Муниципальное автономное общеобразовательное учреждение "Средняя общеобразовательная школа №2"</t>
  </si>
  <si>
    <t>Образовательные организации - победители конкурсного отбора проектов "Школьный бюджет"</t>
  </si>
  <si>
    <t xml:space="preserve">образовательные организации </t>
  </si>
  <si>
    <t>Подрядные организации</t>
  </si>
  <si>
    <t xml:space="preserve">МАОУ СШ №1, МАОУ СШ № 2 , МАОУ СШ № 3, МАОУ Гимназия №4, МАОУ СШ №5, МАОУ Лицей №7, МАОУ СШ № 8, МАОУ Афонинская СШ, МБОУ Запрудновская СШ, МБОУ Большемокринская СШ, </t>
  </si>
  <si>
    <t>МБУ "Управление благоустройства городского округа г. Бор"</t>
  </si>
  <si>
    <t>МБУ "Управление благоустройства городского округа г. Бор", МКУ "ЦЕНТР ОБЕСПЕЧЕНИЯ И СОДЕРЖАНИЯ ТЕРРИТОРИИ ПАМЯТЬ ПАРИЖСКОЙ КОММУНЫ".</t>
  </si>
  <si>
    <t>МБУ "Управление благоустройства городского округа г. Бор",МКУ "ЯМНОВСКИЙ ЦЕНТР ОБЕСПЕЧЕНИЯ И СОДЕРЖАНИЯ ТЕРРИТОРИИ"</t>
  </si>
  <si>
    <t>Управление городского хозяйства и проектной деятельности администрации Богородского муниципального округа Нижегородской области</t>
  </si>
  <si>
    <t>МАУ "Город спорта"</t>
  </si>
  <si>
    <t>Управление жилищно-коммунального хозяйства и градостроительства администрации Омсукчанского городского округа</t>
  </si>
  <si>
    <t>МБУК "Межпоселенческая централизованная библиотечная ситема"</t>
  </si>
  <si>
    <t>УЖК и ЖХ администрации города Джанкоя</t>
  </si>
  <si>
    <t>Администрация Перовского сельского поселения Симферопольского района Республики Крым</t>
  </si>
  <si>
    <t>МОУ города Джанкоя</t>
  </si>
  <si>
    <t>Администрация Крутихинского сельсовета, Администрация Мясниковского сельсовета, Администрация Нижнеярского сельсовета</t>
  </si>
  <si>
    <t>Муниципальные казенные и бюджетные учреждения Сухобузимского района, сельсоветы, входящие в состав Сухобузимсого района</t>
  </si>
  <si>
    <t>Муниципальное казенное учреждение "Служба заказчика-застройщика Северо-Енисейского района"</t>
  </si>
  <si>
    <t>Поставщики (подрядчики, исполнители) по муниципальным контрактам,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</si>
  <si>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ООО "Парус"  ИНН 2446010592</t>
  </si>
  <si>
    <t>администрация Старощербиновского сельского поселения Щербиновского района</t>
  </si>
  <si>
    <t>Администрация Екатериновского сельского поселения Щербиновского района</t>
  </si>
  <si>
    <t>Администрация Тенгинского сельского поселения Усть-Лабинского района</t>
  </si>
  <si>
    <t>Администрация Железного сельского поселения Усть-Лабинского района</t>
  </si>
  <si>
    <t>Администрация Кирпильского сельского поселения Усть-Лабинского района</t>
  </si>
  <si>
    <t>Администрация Ленинского сельского поселения Усть-Лабинского района</t>
  </si>
  <si>
    <t>Администрация Двубратского сельского поселения Усть-Лабинского района</t>
  </si>
  <si>
    <t xml:space="preserve">Администрация Роговского сельского поселения </t>
  </si>
  <si>
    <t>Администрация Незаймановского сельского поселения Тимашевского района</t>
  </si>
  <si>
    <t>Администрация Таманского сельского поселения Темрюкского района</t>
  </si>
  <si>
    <t xml:space="preserve">Администрация Краснострельского сельского поселения Темрюкского района </t>
  </si>
  <si>
    <t>Запорожское сельское поселение</t>
  </si>
  <si>
    <t>Администрация Голубицкого сельского поселения Темрюкского района</t>
  </si>
  <si>
    <t>Администрация Сенного сельского поселения</t>
  </si>
  <si>
    <t xml:space="preserve">Администрации внутригородских районов муниципального образования городской округ город-курорт Сочи Краснодарского края </t>
  </si>
  <si>
    <t>Администрация Львовского сельского поселения Северского района</t>
  </si>
  <si>
    <t xml:space="preserve">исполнитель работ по договору </t>
  </si>
  <si>
    <t>Администрация муниципального образования город Новороссийск
МКУ "Управление жилищно-коммунального хозяйства"
Управление культуры
Управление образования
Управление физической культуры и спорта
МКУ "Управление по развитию и реконструкции автомобильных дорог"
МКУ "Территориальное управление по взаимодействию админитсрации города с населением"
МКУ "Молодежный центр"
МКУ "Управление строительства"</t>
  </si>
  <si>
    <t>органы ТОС</t>
  </si>
  <si>
    <t>Безводное сельское поселение Курганинского района</t>
  </si>
  <si>
    <t>Курганинское городское поселение Курганинского района</t>
  </si>
  <si>
    <t>Администрация Константиновского сельского поселения Курганинского района</t>
  </si>
  <si>
    <t>Администрация Октябрьского сельского поселения Курганинского района</t>
  </si>
  <si>
    <t>Администрация Родниковского сельского поселения Курганинского района</t>
  </si>
  <si>
    <t>Пригородное сельское поселение Крымского района</t>
  </si>
  <si>
    <t>структурный, функциональный или территориальный орган администрации муниципального образования город Краснодар</t>
  </si>
  <si>
    <t>Администрация Ивановского сельского поселения Красноармейского района</t>
  </si>
  <si>
    <t>Администрация Полтавского сельского поселения Красноармейского района</t>
  </si>
  <si>
    <t>АдминистрацияСергиевского сельского поселения</t>
  </si>
  <si>
    <t>Администрация Раздольненского сельского поселения Кореновского района</t>
  </si>
  <si>
    <t>Администрация Пролетарского сельского поселения Кореновского района</t>
  </si>
  <si>
    <t>Администрация Платнировского сельского поселения Кореновского района</t>
  </si>
  <si>
    <t>администрация Новоберезанского сельского поселения Кореновского района</t>
  </si>
  <si>
    <t xml:space="preserve">Администрация Журавского сельского поселения Кореновского района </t>
  </si>
  <si>
    <t>Администрация Дядьковского сельского поселения Кореновского района</t>
  </si>
  <si>
    <t>администрация Бураковского сельского поселения Кореновского района</t>
  </si>
  <si>
    <t>Администрация Братковского сельского поселения Кореновского</t>
  </si>
  <si>
    <t>Администрация Челбасского сельского поселения Каневского района</t>
  </si>
  <si>
    <t>Бюджет Привольненского сельского поселения Каневского района</t>
  </si>
  <si>
    <t>администрация Кавказского сельского поселения Кавказского района</t>
  </si>
  <si>
    <t>администрация Пшехского сельского поселения Белореченского района</t>
  </si>
  <si>
    <t>Администрация Южненское сельское поселение Белореченского района</t>
  </si>
  <si>
    <t xml:space="preserve">Подрядчик </t>
  </si>
  <si>
    <t>Администрация Новопавловского сельского поселения Белоглинского района</t>
  </si>
  <si>
    <t>Администрация Заветного сельского округа</t>
  </si>
  <si>
    <t>администрация муниципального образования Мостовский район</t>
  </si>
  <si>
    <t>местный бюджет Бесленеевского с/п</t>
  </si>
  <si>
    <t>МОГО "Ухта"</t>
  </si>
  <si>
    <t>Администрация МР Троицко-Печорский</t>
  </si>
  <si>
    <t>Учреждения образования, культуры, спорта, администрации поселений</t>
  </si>
  <si>
    <t>Администрация МО ГО "Усинск", Управление образования администрации МО ГО "Усинск"</t>
  </si>
  <si>
    <t>Муниципальный район "Усть-Цилемский"</t>
  </si>
  <si>
    <t>Администрация МР "Усть-Вымский",Администрация СП "Гам", Администрация ГП "Жешарт", Администрация СП Студенец", Администрация СП "Кожмудор"</t>
  </si>
  <si>
    <t>МО МР "Усть-Куломский"</t>
  </si>
  <si>
    <t>МАУ "Культурно-досуговый центр "Шудлун", МАУК "Центр досуга и кино "Октябрь", МБДОУ "Детский сад №21"</t>
  </si>
  <si>
    <t>Администрация муниципального района "Сыктывдинский"</t>
  </si>
  <si>
    <t>Администрации сельского поселения "Визинга", "Визиндор", "Палауз", "Куратово", Управление культуры АМО МР "Сысольский", Управление образования АМО МР "Сысольский"</t>
  </si>
  <si>
    <t>Администрация МО МР "Сосногорск"</t>
  </si>
  <si>
    <t>Администрация МР "Печора"</t>
  </si>
  <si>
    <t>Управление финансов администрации муниципального района "Прилузский"</t>
  </si>
  <si>
    <t>Муниципальное бюджетное учреждение "Специализированное дорожное управление"</t>
  </si>
  <si>
    <t>Администрация муниципального образования городского округа «Вуктыл»</t>
  </si>
  <si>
    <t>Финансовое управление администрации МР "Койгородский" /Администрация МР "Койгородский"</t>
  </si>
  <si>
    <t>Администрация МО МР "Корткеросский"</t>
  </si>
  <si>
    <t>Управление образования АМР "Княжпогостский", Управление культуры и спорта АМР "Княжпогостский", Управление муниципального хозяйства АМР "Княжпогостский", администрация СП "Серегово"</t>
  </si>
  <si>
    <t>МУНИЦИПАЛЬНОЕ КАЗЕННОЕ УЧРЕЖДЕНИЕ "УПРАВЛЕНИЕ ЖИЛИЩНО-КОММУНАЛЬНЫМ ХОЗЯЙСТВОМ"</t>
  </si>
  <si>
    <t>Администрация муниципального района "Ижемский"</t>
  </si>
  <si>
    <t>Территориальные управления администрации города Кирова</t>
  </si>
  <si>
    <t>Поселения Афанасьевского района Кировской области</t>
  </si>
  <si>
    <t>Администрация муниципального образования "Городское поселение "Город Ермолино"</t>
  </si>
  <si>
    <t>Управление городского хозяйства города Калуги, управление образования города Калуги</t>
  </si>
  <si>
    <t>Администрация сельского поселения "Село Совхоз "Боровский"</t>
  </si>
  <si>
    <t>поселковая администрация сельского поселения "Поселок Детчино"</t>
  </si>
  <si>
    <t>администрация МО</t>
  </si>
  <si>
    <t>МАУ "Служба технического заказчика"</t>
  </si>
  <si>
    <r>
      <t xml:space="preserve">По проекту "Народный бюджет-ТОС", инициативные проекты (общественное пространства в рамках КГС): комитет по управлению имуществом города Череповца, департамент жилищно-коммунального хозяйства мэрии города Череповца в сумме 329,604  млн руб. Далее информация в пунктах 7-11, 13-19 отражена только по указанному проекту.
</t>
    </r>
    <r>
      <rPr>
        <sz val="12"/>
        <color indexed="10"/>
        <rFont val="Calibri"/>
        <family val="2"/>
        <charset val="204"/>
      </rPr>
      <t/>
    </r>
  </si>
  <si>
    <t>Администрация муниципального образования Вязниковский район</t>
  </si>
  <si>
    <t>МКУ Судогодского района "Управление архитектуры и строительства"</t>
  </si>
  <si>
    <t>1) Администрация муниципального образования Гусь-Хрустальный район (муниципальный район) Владимирской области
2) Администрации муниципальных образований (поселений) Гусь-Хрустального района</t>
  </si>
  <si>
    <t>Алешинское сельское поселение Навлинского муниципального района Брянской области, Бяковское сельское поселение Навлинского муниципального района Брянской области, Чичковское сельское поселение Навлинского муниципального района Брянской области</t>
  </si>
  <si>
    <t>ТОС "Садовый" с.Кустовое, Кустовская территория, председатель Батова Виктория Александровна; ТОС "Хуторок" с.Ольховка, Дмитриевская территория, председатель Соловьянова Елена Александровна; староста Андронова Александра Ивановна, х.Шепелевка, Алексеевская территория; ТОС "Веселые ребята" п.Томаровка, Томаровская территория, председатель Жукова Елена Юрьевна; ТОС "Свой дом" с.Бутово, Бутовская территория, председатель Федорова Нина Александровна; староста Шаповалов Виктор Федорович, с.Раково, Завидовская территория</t>
  </si>
  <si>
    <t>ТОС «Молодежный» с. Ржевка, ТОС «Нагорьевский»      с. Нагорье</t>
  </si>
  <si>
    <t>МКУ "Дирекция жилищно-коммунального хозяйства и благоустройства Губкинского городского округа"</t>
  </si>
  <si>
    <t>администрация Борисовского с/п, администрация В-Александровского с/п, администрация Голофеевского с/п, администрация Грушевского с/п, администрация Тишанского с/п , администрация Ст-Ивановского с/п, администрация Погромского с/п, администрация Репьевского с/п администрация Фощеватовского с/п, администрация Шидловского с/п, администрация Ютановского с/п, администрация г.п.пос. Пятницкое</t>
  </si>
  <si>
    <t>администрация г. п. "Поселок Волоконовка",  администрация г. п. "Поселок Пятницкое",  администрация В-Александровского с/п, администрация Голофеевского с/п,    администрация Погромского с/,   администрация Репьевского с/п, администрация Тишанского с/п,  администрация Староивановского с/п,   администрация Фощеватовского с/п, администрация Шидловского с/п, администрация Ютановского с/п</t>
  </si>
  <si>
    <t>администрация В-Александровского с/п, администрация Голофеевского с/п, администрация Борисовского с/п, администрация Тишанского с/п ,администрация Ютановского с/п</t>
  </si>
  <si>
    <t>Администрация Белокодезского сельского поселения,
Администрация Викторопольского сельского поселения,
Администрация городского поселения "Поселок Вейделевка",
Администрация Кубраковского сельского поселения.</t>
  </si>
  <si>
    <t>Департамент транспорта, строительства и городской инфраструктуры Администрации городского округа "Город Архангельск"</t>
  </si>
  <si>
    <t xml:space="preserve">Муниципальное бюджетное общеобразовательное учреждение городского округа "Город Архангельск" "Средняя  школа № 68";
муниципальное бюджетное дошкольное образовательное учреждение городского округа "Город Архангельск" "Детский сад общеразвивающего вида № 94 "Лесовичок";
муниципальное учреждение культуры городского округа "Город Архангельск" "Молодежный культурный центр "Луч";
муниципальное бюджетное дошкольное образовательное учреждение городского округа "Город Архангельск" "Детский сад комбинированного вида № 39 "Солнышко";
муниципальное автономное дошкольное образовательное учреждение городского округа "Город Архангельск" "Детский сад комбинированного  вида № 157 "Сиверко";
муниципальное бюджетное дошкольное образовательное учреждение городского округа "Город Архангельск" "Детский сад № 20 "Земляничка";
муниципальное бюджетное дошкольное образовательное учреждение городского округа "Город Архангельск" "Детский сад комбинированного вида № 66 "Беломорочка".
</t>
  </si>
  <si>
    <t xml:space="preserve">Непосредственный получатель / получатели бюджетных ассигнований </t>
  </si>
  <si>
    <t>Бюджетные ассигнования предусмотрены за счет дотаций, предоставляемых из окружного бюджета местным бюджетам в автономном округе, субсидии за счет муниципального бюджета, сметное финансирование</t>
  </si>
  <si>
    <t>Субсидии бюджетным учреждениям на иные цели; субсидии автономным учреждениям на иные цели; прочая закупка товаров, работ и услуг</t>
  </si>
  <si>
    <t>Субсидии, иные формы (доведенные лимиты бюджетных ассигнований- средства местного бюджета)</t>
  </si>
  <si>
    <t>Средства муниципального округа Ямальский район, субсидии на иные цели</t>
  </si>
  <si>
    <t>Субсидия бюджетным учреждениям на иные цели</t>
  </si>
  <si>
    <t>Субсидии бюджетным учреждениям на иные цели</t>
  </si>
  <si>
    <t>Субсидии бюджетным учреждениям на иные цели ,
бюджетные ассигнования</t>
  </si>
  <si>
    <t>Cметное финансирование, субсидии</t>
  </si>
  <si>
    <t>Доведение бюджетных ассигнований на оказание государственных (муниципальных) услуг (выполнение работ), включая ассигнования на закупки товаров, работ, услуг для обеспечения государственных (муниципальных) нужд</t>
  </si>
  <si>
    <t>ассигнования на закупку товаров, работ, услуг, субсидии на иные цели</t>
  </si>
  <si>
    <t>1.Субсидии бюджетныи и автономным учреждениям на иные цели;                                                                                      2. Субсидии (гранты в форме субсидий) на финансовое обеспечение затрат в связи с производством (реализацией) товаров, выполнением работ, оказанием услуг, не подлежащие казначейскому сопровождению.</t>
  </si>
  <si>
    <t>В форме бюджетных ассигнований муниципальному казенному учреждению "Салехардская дирекция единого заказчика", подведомственному управлению транспорта и городского хозяйства Администрации муниципального образования город Салехард для реализации мероприятий в рамках проекта "Бюджетная инициатива" ("Уютный Ямал")";
в форме субсидий на иные цели, за исключением субсидий на финансовое обеспечение государственного задания на оказание государственных услуг (выполнение работ) для образовательных организаций для реализации мероприятий по партисипаторному бюджетированию в рамках проекта "Бюджетная инициатива" ("Уютный Ямал")".</t>
  </si>
  <si>
    <t>субсидии на иные цели</t>
  </si>
  <si>
    <t>иные</t>
  </si>
  <si>
    <t>иные межбюджетные трансферты из бюджета района, окружной бюджет</t>
  </si>
  <si>
    <t>иные межбюджетные трансферты из федерального и окружного бюджетов, бюджет района</t>
  </si>
  <si>
    <t>средства местного бюджета, гранты из окружного бюджета и бюджета района</t>
  </si>
  <si>
    <t>Иные межбюджетные трансферты из бюджета Кондинского района, средства бюджета поселения</t>
  </si>
  <si>
    <t>Иные межбюджетные трансферты из бюджета Кондинского райна</t>
  </si>
  <si>
    <t>1) бюджетные ассигнования  на обеспечение деятельности муниципальных учреждений по оказанию услуг (выполнению работ), реализации функций;
2)  субсидия муниципальному учреждению на иные цели.</t>
  </si>
  <si>
    <t>Предоставляются иные межбюджетные трансферты из Бюджета Березовского района, но основании заключенных соглашений</t>
  </si>
  <si>
    <t>субсидии на иные цели, прямой закуп у единственного поставщика</t>
  </si>
  <si>
    <t>субсидии,премии, иные формы (закупка товаров, работ (услуг) в рамках 44-ФЗ)</t>
  </si>
  <si>
    <t>грант в форме субсидии</t>
  </si>
  <si>
    <t>гранты в форме субсидии</t>
  </si>
  <si>
    <t>Закупка товаров, работ, услуг для обеспечения муниципальных нужд, субсидия на финансовое обеспечение выполнения муниципального задания</t>
  </si>
  <si>
    <t>финансирование муниципальных программ</t>
  </si>
  <si>
    <t>бюджетные ассигнования</t>
  </si>
  <si>
    <t>Средства бюджета Степновского муниципального округа Ставропольского края</t>
  </si>
  <si>
    <t xml:space="preserve">Бюджетные ассигнования на оказание государственных (муниципальных) услуг (выполнение работ), включая ассигнования на закупки товаров, работ, услуг для обеспечения государственных (муниципальных) нужд
</t>
  </si>
  <si>
    <t>Оплата работ по реализации инициативных проектов осуществляется муниципальным казенным учреждением, подведомственным главному распорядителю</t>
  </si>
  <si>
    <t>прямое распределение средств местного бюджета</t>
  </si>
  <si>
    <t>распределение бюджетных ассигнований</t>
  </si>
  <si>
    <t>В результате перераспределения бюджетных средств между главными распорядителями на основании решения Совета Новоселицкого муниципального округа Ставропольского края</t>
  </si>
  <si>
    <t>Софинансирование за счет средств бюджета Новоалександровского городского округа Ставропольского края</t>
  </si>
  <si>
    <t>Софинансирование за счет средств бюджета Нефтекумского городского округа Ставропольского края</t>
  </si>
  <si>
    <t>субсидия на иные цели</t>
  </si>
  <si>
    <t>Расходы из бюджета  администрации города Лермонтова</t>
  </si>
  <si>
    <t>расходы</t>
  </si>
  <si>
    <t>Лимиты бюджетных обязательств</t>
  </si>
  <si>
    <t>Иная форма</t>
  </si>
  <si>
    <t>Финансирование инициативных проектов из средств бюджета ИГО СК</t>
  </si>
  <si>
    <t>Бюджетные ассигнования предоставляются путем перераспределения в соотвествии с решением Совета Грачевского муниципального округа Ставропольского края</t>
  </si>
  <si>
    <t>Субсидии, иные формы</t>
  </si>
  <si>
    <t>иные формы</t>
  </si>
  <si>
    <t>средства бюджета Апанасенковского муниципального округа Ставропольского края для реализации инициативного проекта</t>
  </si>
  <si>
    <t>1) ассигнования на закупки товаров, работ, услуг для обеспечения государственных (муниципальных) нужд для проектов, реализуемых территориальными отделами администрации Андроповского муниципального округа Ставропольского края;
2) предоставление субсидий бюджетным учреждениям на иные цели, для проектов, реализуемых муниципальными бюджетными учреждениями, подведомственными Отделу культуры администрации Андроповского муниципального округа Ставропольского края, Отделу образования  администрации Андроповского муниципального округа Ставропольского края</t>
  </si>
  <si>
    <t>Собственные средства местного бюджета</t>
  </si>
  <si>
    <t>Бюджетная смета</t>
  </si>
  <si>
    <t>Субсидии на иные цели</t>
  </si>
  <si>
    <t>софинансирование</t>
  </si>
  <si>
    <t>лимиты бюджетных обязательств, субсидии</t>
  </si>
  <si>
    <t xml:space="preserve">* ассигнования в случае казенных учреждений                                                                            * субсидии на иные цели, в случае бюджетных/автономных учреждений  </t>
  </si>
  <si>
    <t>Иные дотации</t>
  </si>
  <si>
    <t>финансирование проекта</t>
  </si>
  <si>
    <t>Иные формы (оплата выполненных работ по договорам)</t>
  </si>
  <si>
    <t>Иные закупки товаров, работ и услуг для обеспечения государственных (муниципальных) нужд</t>
  </si>
  <si>
    <t xml:space="preserve">Иные закупки товаров, работ и услуг для обеспечения государственных (муниципальных) нужд
</t>
  </si>
  <si>
    <t>Иные закупи, работ и услуг для обеспечения государственных(муниципальных) услуг</t>
  </si>
  <si>
    <t>Субсидии бюджетным учреждениям</t>
  </si>
  <si>
    <t>Приобретение основных средств</t>
  </si>
  <si>
    <t>Оказание услуг, выполнение работ</t>
  </si>
  <si>
    <t>Бюджетные ассигнования на оказание муниципальных услуг (выполнение работ), включая ассигнования на закупки оваров, работ, услуг для обеспечения государственных (муниципаьлных) нужд или на предоставление субсидий юридическим лицам (за исключением субсидий государственным (муниципальным) учреждениям), индивидуальным предпринимателям, физическим лицам.</t>
  </si>
  <si>
    <t>Муниципальный контракт</t>
  </si>
  <si>
    <t>иные формы (муниципальный контракт)</t>
  </si>
  <si>
    <t>Бюджетные средства</t>
  </si>
  <si>
    <t>гранты в форме субсидии на реализацию социальных проектов</t>
  </si>
  <si>
    <t xml:space="preserve">Субсидии бюджетным учреждениям на иные цели,заключение контрактов (договоров)  в соответствии с федеральным законодательством в сфере закупок для государственных и муниципальных нужд. </t>
  </si>
  <si>
    <t>По итогам выбора граждан заключены муниципальные контракты в целях реализации инициативных проектов</t>
  </si>
  <si>
    <t>Проведение конкурсных процедур</t>
  </si>
  <si>
    <t>Субсидии и иные формы</t>
  </si>
  <si>
    <t>Бюджетные ассигнования на закупку товаров, работ, услуг</t>
  </si>
  <si>
    <t>гранты в виде субсидий</t>
  </si>
  <si>
    <t>Иные формы(  за счет средств местного бюджета, а также внебюджетных источников)</t>
  </si>
  <si>
    <t>гранты</t>
  </si>
  <si>
    <t>Дотации</t>
  </si>
  <si>
    <t xml:space="preserve">Иные межбюджетные трансферты на поддержку 
мер по обеспечению сбалансированности бюджетов муниципальных образований поселений Новоорского района Оренбургской 
области в рамках проекта Народный бюджет 
</t>
  </si>
  <si>
    <t>прочие дотации</t>
  </si>
  <si>
    <t>Иные субсидии</t>
  </si>
  <si>
    <t>дотация на сбалансированность</t>
  </si>
  <si>
    <t>дотация</t>
  </si>
  <si>
    <t>средства на оплату товаров, работ и услуг, выполняемых физическими и юридическими лицами по государственным или муниципальным контрактам</t>
  </si>
  <si>
    <t>Иная форма (Прямое финансирование ГРБС)</t>
  </si>
  <si>
    <t>Субсидия бюджетному учреждению</t>
  </si>
  <si>
    <t>Иное</t>
  </si>
  <si>
    <t>грант</t>
  </si>
  <si>
    <t>Средства на реализацию проекта  предусмотрены в расходах ГРБС при планировании бюджета (закупка товаров, работ и услуг для обеспечения государственных (муниципальных) нужд)</t>
  </si>
  <si>
    <t>Субсидии бюджетным учреждениям на иные закупки товаров, работ и услуг для обеспечения государственных (муниципальных) нужд</t>
  </si>
  <si>
    <t>Субсидия на иные цели</t>
  </si>
  <si>
    <t xml:space="preserve">проведение ремонтных работ и благоустройство муниципального имущества </t>
  </si>
  <si>
    <t>гранты, субсидии</t>
  </si>
  <si>
    <t>Поселениям района - предоставляются иные межбюджетные трансферты, бюджетным учреждениям - субсидии на иные цели, казенным учреждениям - ассигнования в бюджетной смете</t>
  </si>
  <si>
    <t>Закупка товаров, работ, услуг</t>
  </si>
  <si>
    <t>Бюджетные ассигнования на закупку товаров, работ, услуг для обеспечения государственных (муниципальных) нужд</t>
  </si>
  <si>
    <t>Расходы местного бюджета на реализацию инициативных проектов в рамках непрограммных расходов органа исполнительной власти</t>
  </si>
  <si>
    <t>собственые средства</t>
  </si>
  <si>
    <t>бюджетные ассигнования на закупки товаров, работ, услуг для обеспечения государственных (муниципальных) нужд</t>
  </si>
  <si>
    <t>Финансирование из средств местного бюджета</t>
  </si>
  <si>
    <t>выполнение работ и приобретение материалов в рамках реализации ведомственных целевых программ</t>
  </si>
  <si>
    <t>межбютные трансферты</t>
  </si>
  <si>
    <t>В соответствии с видами расходов согласно Порядка формирования и применения кодов бюджетной классификации РФ, их структуре и принципах (Приказ Минфина РФ от 06.06.2019 №85н)</t>
  </si>
  <si>
    <t>иные формы (заключение договора на проведение работ, включая закупку материалов)</t>
  </si>
  <si>
    <t>Бюджет Безводного сельского поселения</t>
  </si>
  <si>
    <t>Бюджет Курганинского городского поселения</t>
  </si>
  <si>
    <t xml:space="preserve">средства местного бюджета </t>
  </si>
  <si>
    <t>средства местного бюджета</t>
  </si>
  <si>
    <t>средсма местного бюджета</t>
  </si>
  <si>
    <t>бюджет Пригородного сельского поселения Крымского района</t>
  </si>
  <si>
    <t>лимиты бюджетных обязательств</t>
  </si>
  <si>
    <t>инициативные платежи</t>
  </si>
  <si>
    <t>Прочие межбюджетные трансферты, передаваемые бюджетам сельских поселений</t>
  </si>
  <si>
    <t xml:space="preserve">софинансирование за счёт средств местного бюджета, инициативных платежей </t>
  </si>
  <si>
    <t>местный бюджет</t>
  </si>
  <si>
    <t>Прочие межбюджетные трансферты</t>
  </si>
  <si>
    <t>Иные формы</t>
  </si>
  <si>
    <t>Иные (строительство распределительного газапровода низкого давления по ул. Новоселов, пер. Романовский, ул. Ламанова в ст.Кавказской Кавказского района Краснодарского края, строительный контроль по объекту: "строительство распределительного газапровода низкого давления по ул. Новоселов, пер. Романовский, ул. Ламанова в ст.Кавказской Кавказского района Краснодарского края" )</t>
  </si>
  <si>
    <t>собственные доходы</t>
  </si>
  <si>
    <t xml:space="preserve">оплата работ по благоустройству территории </t>
  </si>
  <si>
    <t xml:space="preserve">Иные межбюджетные трансферты на реализацию проекта инициативного бюджетирования </t>
  </si>
  <si>
    <t>Грант</t>
  </si>
  <si>
    <t>субсидии, гранты</t>
  </si>
  <si>
    <t>Гранты</t>
  </si>
  <si>
    <t>грант 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</si>
  <si>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субсидии, иные формы</t>
  </si>
  <si>
    <t>Субсидия на иные цели в соответствии с абзацем вторым пункта 1 статьи 78.1 БК РФ</t>
  </si>
  <si>
    <t>Грант на поощрение муниципальных образований Республики Коми за участие в проекте «Народный бюджет»</t>
  </si>
  <si>
    <t xml:space="preserve">Гранты на поощрение муниципальных образований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Республики Коми </t>
  </si>
  <si>
    <t>бюджетные ассигнования и межбюджетные трансферты</t>
  </si>
  <si>
    <t>Гранты Главы РК в рамках 211 постановления Правительства РК</t>
  </si>
  <si>
    <t>иная форма:
бюджетные ассигнования предусмотрены территориальным управлениям администрации города Кирова в бюджетной смете</t>
  </si>
  <si>
    <t>закупка товаров, работ, услуг</t>
  </si>
  <si>
    <t>средства бюджета</t>
  </si>
  <si>
    <t>Субсидии; бюджетные инвестиции</t>
  </si>
  <si>
    <t>Межбюджетные трансферты на расходы в рамках реализации муниципальной программы, оплата муниципального контракта</t>
  </si>
  <si>
    <t>средства по бюджетной смете казенного учреждения</t>
  </si>
  <si>
    <t>1) Расходы главного распорядителя (администрации района) на цели, определенные собранием граждан
2) Иные межбюджетные трансферты на обеспечение сбалансированности бюджетов муниципальных образований (поселений) района в целях стимулирования органов местного самоуправления, способствующих развитию гражданского общества через добровольные пожертвования</t>
  </si>
  <si>
    <t>Иной межбюджетный трансферт</t>
  </si>
  <si>
    <t>финансирование в рамках бюджетной сметы</t>
  </si>
  <si>
    <t>иная форма</t>
  </si>
  <si>
    <t>Бюджетные ассигнования предоставляются непосредственно муниципальному учреждению в виде субсидии на иные цели</t>
  </si>
  <si>
    <t>1. Управление жизнеобеспечения Администрации села Красноселькуп; Управление образования Администрации Красноселькупского района
2. Администрация села Толька</t>
  </si>
  <si>
    <t>Администрация поселка Пуровск
Администрация поселка Ханымей
Администрация поселка городского типа Уренгой
Администрация села Самбург
Администрация села Халясавэй
Департамент строительства, архитектуры и жилищной политики Администрации Пуровского района
Департамент транспорта, связи и систем жизнеобеспечения Администрации Пуровского района
Управление культуры Администрации Пуровского района
Управление по физической культуре и спорту Администрации Пуровского района
Департамент образования Администрации Пуровского района</t>
  </si>
  <si>
    <t>Управление по обеспечению жизнедеятельности поселка Тазовский Администрации Тазовского района, Департамент образования Администрации Тазовского района</t>
  </si>
  <si>
    <t>Департамент коммунального хозяйства и транспорта Администрации  Ямальского района; Департамент образования Администрации  Ямальского района; Управление культуры и молодежной политики Администрации Ямальского района; Управление физической культуры и спорта Администрации Ямальского района</t>
  </si>
  <si>
    <t>Управление культуры, молодежной политики и спорта Администрации Приуральского района; Департамент жилищно-коммунального комплекса Администрации Приуральского района; Администрация с. Катравож Администрации Приуральского района</t>
  </si>
  <si>
    <t xml:space="preserve"> Управление культуры, спорта, молодёжной политики и туризма Администрации муниципального образования Шурышкарский район 
Управление образования Администрации муниципального образования Шурышкарский район</t>
  </si>
  <si>
    <t>Администрация Надымского района (ПБС - Муниципальное учреждение "Управление капитального строительсво и капитального ремонта"),
Управление культуры  Администрации Надымского района,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поселка Лонгъюган,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поселка Приозерный,
Территориальный орган Администрации Надымского района Администрация поселок Ягельный,
Департамент образования Администрации Надымского района</t>
  </si>
  <si>
    <t>Администрация города Губкинский, Управление культуры г. Губкинского, Управление образования г.Губкинского.</t>
  </si>
  <si>
    <t>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физической культуры и спорта Администрации города Муравленко;  Управление образования Администрации города Муравленко.</t>
  </si>
  <si>
    <t>Департамент строительства и жилищно- коммунального комплекса Администрации города Новый Уренгой, Департамент образования Администрации города Новый Уренгой</t>
  </si>
  <si>
    <t>1. Муниципальное учреждение "Управление культуры Администарции города Лабытнанги";                                                  2. Муниципальное учреждение "Управление образования Администарции города Лабытнанги" (а также в части реализации проектов школьного партисипаторного бюджетирования);                                                      3. Муниципальное учреждение "Управление физической культуры, спорта, молодежной политики и туризма Администрации города Лабытнанги";                                                                                                    4. Муниципальное учреждение "Управление жилищно-коммунального хозяйства и транспорта Администрации города Лабытнанги".</t>
  </si>
  <si>
    <t>Управление транспорта и городского хозяйства Администрации муниципального образования город Салехард;
Департамент образования Администрации муниципального образования город Салехард</t>
  </si>
  <si>
    <t>Департамент строительства, архитектуры и ЖКХ; комитет по финансам администрации Ханты-Мансийского района</t>
  </si>
  <si>
    <t>Управление градостроительства, развития жилищно-коммунального 
комплекса и энергетики администрации района</t>
  </si>
  <si>
    <t xml:space="preserve">1. Администрация Сургутского района.                                                                                                                                                              2. Департамент образования и молодёжной политики администрации Сургутского района.   </t>
  </si>
  <si>
    <t>Администрация Кондинского района</t>
  </si>
  <si>
    <t>Администрация города Нижневартовска, департамент образования администрации города Нижневартовска, департамент по социальной политике администрации города Нижневартовска</t>
  </si>
  <si>
    <t>Администрация города Сургута</t>
  </si>
  <si>
    <t>Администрация Березовского района</t>
  </si>
  <si>
    <t>Администрация города Лангепаса</t>
  </si>
  <si>
    <t>Администрация города Мегион</t>
  </si>
  <si>
    <t>администрация города Урай</t>
  </si>
  <si>
    <t>Администрация города Хабаровска</t>
  </si>
  <si>
    <t>Администрация городского поселения "Город Амурск"Амурского муниципального района Хабаровского края</t>
  </si>
  <si>
    <t>Управление финансов Администрации мунципального образования "Муниципальный округ Завьяловский район Удмуртской Республики"</t>
  </si>
  <si>
    <t>Управа Ленинского административного округа Администрации города Тюмени, 
управа Центрального административного округа Администрации города Тюмени, 
управа Калининского административного округа Администрации города Тюмени,
департамент культуры Администрации города Тюмени,
департамент образования Администрации города Тюмени,
департамент по спорту и молодежной политике Администрации города Тюмени,
Администрация города Тюмени</t>
  </si>
  <si>
    <t>Финансовое управление администрации города Уварово</t>
  </si>
  <si>
    <t>Отдел культуры администрации Труновского мууниципального округа Ставропольского края</t>
  </si>
  <si>
    <t>Управление жилищно-коммунального и дорожного хозяйства администрации Предгорного муниципального округа Ставропольского края</t>
  </si>
  <si>
    <t>Отдел образования администарции Петровскогогородского округа ставропольского края, Управление муниципального хозяйства администарции Петровского городского округа Ставрпольского края, Управление по делам территорий администрации Петрвоского городского окрцуга Ставропльского края, Отдел физической культуры и спорта администрации Петровского городского округа Ставропльского края</t>
  </si>
  <si>
    <t>Территориальный отдел администрации Новоселицкого муниципального округа Ставропольского края в поселкеЩелкан</t>
  </si>
  <si>
    <t>Управление образования администрации г. Невинномысска</t>
  </si>
  <si>
    <t xml:space="preserve">администрации Кировского городского округа Ставропольского края </t>
  </si>
  <si>
    <t>Администрация Изобильненского городского округа Ставропольского края, Отдел образования администрации Изобильненского городского округа Ставропольского края, Передовое территориальное управление администрации Изобильненского городского округа Ставропольского края</t>
  </si>
  <si>
    <t xml:space="preserve">Администрация Георгиевского городского округа Ставропольского края;
Управление образования администрации Георгиевского городского округа Ставропольского края;
Управление жилищно-коммунального хозяйства администрации Георгиевского городского округа Ставропольского края;
Управление по делам территорий администрации Георгиевского городского округа Ставропольского края
</t>
  </si>
  <si>
    <t>финансовое управление администрации Апанасенковского муниципального округа Ставропольского края; территориальные отделы администрации Апанасенковского муниципального округа Ставропольского края</t>
  </si>
  <si>
    <t>701 АДМИНИСТРАЦИЯ АНДРОПОВСКОГО МУНИЦИПАЛЬНОГО ОКРУГА СТАВРОПОЛЬСКОГО КРАЯ
706 ОТДЕЛ ОБРАЗОВАНИЯ АДМИНИСТРАЦИИ АНДРОПОВСКОГО МУНИЦИПАЛЬНОГО ОКРУГА СТАВРОПОЛЬСКОГО КРАЯ
707 ОТДЕЛ КУЛЬТУРЫ АДМИНИСТРАЦИИ АНДРОПОВСКОГО МУНИЦИПАЛЬНОГО ОКРУГА СТАВРОПОЛЬСКОГО КРАЯ
770 ВОДОРАЗДЕЛЬНЫЙ ТЕРРИТОРИАЛЬНЫЙ ОТДЕЛ АДМИНИСТРАЦИИ АНДРОПОВСКОГО МУНИЦИПАЛЬНОГО ОКРУГА СТАВРОПОЛЬСКОГО КРАЯ
773 КРАСНОЯРСКИЙ ТЕРРИТОРИАЛЬНЫЙ ОТДЕЛ АДМИНИСТРАЦИИ АНДРОПОВСКОГО МУНИЦИПАЛЬНОГО ОКРУГА СТАВРОПОЛЬСКОГО КРАЯ
774 КРЫМГИРЕЕВСКИЙ ТЕРРИТОРИАЛЬНЫЙ ОТДЕЛ АДМИНИСТРАЦИИ АНДРОПОВСКОГО МУНИЦИПАЛЬНОГО ОКРУГА СТАВРОПОЛЬСКОГО КРАЯ
776 КУРШАВСКИЙ ТЕРРИТОРИАЛЬНЫЙ ОТДЕЛ АДМИНИСТРАЦИИ АНДРОПОВСКОГО МУНИЦИПАЛЬНОГО ОКРУГА СТАВРОПОЛЬСКОГО КРАЯ
781 ЯНКУЛЬСКИЙ ТЕРРИТОРИАЛЬНЫЙ ОТДЕЛ АДМИНИСТРАЦИИ АНДРОПОВСКОГО МУНИЦИПАЛЬНОГО ОКРУГА СТАВРОПОЛЬСКОГО КРАЯ</t>
  </si>
  <si>
    <t>Администрация городского округа Ревда</t>
  </si>
  <si>
    <t>Администрация городского округа Красноуральск</t>
  </si>
  <si>
    <t>Администрация Качканарского городского округа либо Управление образованием Качканарского городского округа (в зависимости от направления)</t>
  </si>
  <si>
    <t xml:space="preserve">Управление культуры Администрации города Екатеринбурга, Департамент образования Администрации города Екатеринбурга, Управление по физической культуре и спорту Администрации города Екатеринбурга, Администрация Ленинского района города Екатеринбурга, Администрация Железнодорожного района города Екатеринбурга, Администрация Кировского района города Екатеринбурга, Администрация Чкаловского района города Екатеринбурга </t>
  </si>
  <si>
    <t>Администрация Асбестовского городского округа, Управление образованием Асбестовского городского округа</t>
  </si>
  <si>
    <t>Администрация МО Алапаевское, Управление образования Администрации МО Алапаевское, МКУ "Управление культуры МО Алапаевское"</t>
  </si>
  <si>
    <t>В зависимости от направления инициативы. В основном, администрация Сосновоборского городского округа и комитет образования Сосновоборского городского округа</t>
  </si>
  <si>
    <t>Администрация муниципального района Шенталинский</t>
  </si>
  <si>
    <t>Администрация сельского поселения Четыровка муниципального райна Кошкинский Самарской области</t>
  </si>
  <si>
    <t>Администрация сельского поселения Малая Малышевка муниципального района Кинельский Самарской области</t>
  </si>
  <si>
    <t>Комитет по управлению имуществом Кинель-Черкасского района</t>
  </si>
  <si>
    <t xml:space="preserve"> Администрация сельского поселения Исаклы муниципального района Исаклинский Самарской области</t>
  </si>
  <si>
    <t>Администрация муниципального района Исаклинский Самарской области;                    Администрация сельского поселения Исаклы муниципального района Исаклинский Самарской области</t>
  </si>
  <si>
    <t>Администрация муниципального района Исаклинский</t>
  </si>
  <si>
    <t>Департамент городского хозяйства, департамент культуры</t>
  </si>
  <si>
    <t>Администрация Советского внутригородского района городского округа Самара</t>
  </si>
  <si>
    <t>Администрация Промышленного внутригородского района городского округа Самара</t>
  </si>
  <si>
    <t>Администрация Красноглинского внутригородского района городского округа Самара</t>
  </si>
  <si>
    <t>Администрация Кировского внутригородского района городского округа Самара</t>
  </si>
  <si>
    <t xml:space="preserve">Управление по экономике и финансами Администрации городского  округа Похвистнево.                                               </t>
  </si>
  <si>
    <t>Администрация городского округа Отрадный</t>
  </si>
  <si>
    <t>Отдел образования, комитет по управлению муниципальным имуществом, администрация Каменоломненского городского поселения, администрации сельских поселений.</t>
  </si>
  <si>
    <t xml:space="preserve"> Управление по работе с территориями администрации Уссурийского городского округа, Управление образования и молодежной политики администрации  Уссурийского городского округа, Управление культуры администрацииУссурийского городского округа</t>
  </si>
  <si>
    <t>МКУ "Управление народного образования" Дальнереченского муниципального района</t>
  </si>
  <si>
    <t>Администрация Артемовского городского округа</t>
  </si>
  <si>
    <t>Администрация города Перми / управление по вопросам общественного самоуправления и межнациональным отношениям администрации города Перми</t>
  </si>
  <si>
    <t>Администрация города Кудымкара</t>
  </si>
  <si>
    <t>Управление культуры,Управление образования,Администрации города</t>
  </si>
  <si>
    <t>Районный отдел образования администрации Тюльганского района</t>
  </si>
  <si>
    <t>финансовый отдел администрации Тоцкого района</t>
  </si>
  <si>
    <t>МКУ "Отдел образования администрации Первомайского района Оренбургской области"</t>
  </si>
  <si>
    <t xml:space="preserve">Финансовое управление  администрации муниципального образования Оренбургский район </t>
  </si>
  <si>
    <t>Финансовый отдел администрации Новоорского района Оренбургской области</t>
  </si>
  <si>
    <t>Финансовый отдел администрации МО Красногвардейский район</t>
  </si>
  <si>
    <t>финансовый отдел администрации Грачевского района</t>
  </si>
  <si>
    <t>Финансовое управление администрации Бузулукского района Оренбургской области</t>
  </si>
  <si>
    <t>МКУ "Отдел культуры администрации Бугурусланского района" Оренбургской области</t>
  </si>
  <si>
    <t>Финансовый отдел администрации Бугурусланского района Оренбургской области</t>
  </si>
  <si>
    <t>Администрация Асекеевского района</t>
  </si>
  <si>
    <t>Отдел образования администрации Александровского района</t>
  </si>
  <si>
    <t>Финансовый отдел администрациии Александровского района</t>
  </si>
  <si>
    <t>Финансовый отдел администрации Акбулакского района</t>
  </si>
  <si>
    <t>финансовый отдел администрации Адамовского района</t>
  </si>
  <si>
    <t xml:space="preserve">Администрация муниципального образования Ясненский городской округ </t>
  </si>
  <si>
    <t>Отдел образования администрации муниципального образования Ясненский городской округ</t>
  </si>
  <si>
    <t>Управление образования администрации Сорочинского городского округа Оренбургской области</t>
  </si>
  <si>
    <t>Отдел образования администрации г. Медногорска</t>
  </si>
  <si>
    <t>Администрация Гайского городского округа</t>
  </si>
  <si>
    <t xml:space="preserve"> Управление градообразования и капитального строительства города Бузулука</t>
  </si>
  <si>
    <t>Управление образования администрации города Бузулука</t>
  </si>
  <si>
    <t xml:space="preserve"> Управление градообразования и капитального строительства города Бузулука, Управление жилищно- коммунального хозяйства и транспорта администрации города Бузулука</t>
  </si>
  <si>
    <t>Департамент городского хозяйства Администрации города Омска, департамент по делам молодежи, физический культуры и спорта Администрации города Омска</t>
  </si>
  <si>
    <t>Комитет по культуре Администрации Кормиловского муниципального района,
Комитет по образованию Кормиловского муниципального района</t>
  </si>
  <si>
    <t>Администрация Тевризского муниципального района</t>
  </si>
  <si>
    <t>Администрация муниципального образования "город Бугуруслан"</t>
  </si>
  <si>
    <t>Комитет образования Администрации Окуловского муниципального района</t>
  </si>
  <si>
    <t>Комитет образования Администрации Любытинского муниципального района</t>
  </si>
  <si>
    <t>комитет образования Администрации Крестецкого муниципального района</t>
  </si>
  <si>
    <t>Комитет по образованию Администрации Великого Новгорода</t>
  </si>
  <si>
    <t xml:space="preserve">комитет образования Администрации Боровичского муниципального района </t>
  </si>
  <si>
    <t>Администрация городского округа Семеновский</t>
  </si>
  <si>
    <t>Департамент образования администрации Кстовского муниципального округа</t>
  </si>
  <si>
    <t>Управление жилищно-коммунального хозяйства и благоустройства городского округа г.Бор</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</si>
  <si>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Территориальный отдел в п. Память Парижской Коммуны администрации городского округа г. Бор</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</si>
  <si>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Ямновский территориальный отдел администрации городского округа город Бор Нижегородской области</t>
  </si>
  <si>
    <t>Администрация города</t>
  </si>
  <si>
    <t>Администрация Омсукчанского городского округа</t>
  </si>
  <si>
    <t>Управление по вопросам жилищно-коммунального и жилищного хозяйства, благоустройства, экологии, транспорта, капитального строительства администрации города Джанкоя Республики Крым (далее - УЖК и ЖХ администрации города Джанкоя)</t>
  </si>
  <si>
    <t>Отдел образования администрации города Джанкоя Республки Крым</t>
  </si>
  <si>
    <t>Администрация Далматовского района</t>
  </si>
  <si>
    <t>Финансовое управление администрации Сухобузимского района</t>
  </si>
  <si>
    <t>Администрация Северо-Енисейского района</t>
  </si>
  <si>
    <t>Администрация Железнодорожного района в городе Красноярске
Администрация Свердловского района в городе Красноярске
Администрация Советского района в городе Красноярске
Администрация Центрального района в городе Красноярске</t>
  </si>
  <si>
    <t>Администрация города Дивногорска</t>
  </si>
  <si>
    <t>Администрация Гривенского сельского поселения Калининского района</t>
  </si>
  <si>
    <t>Администрация муниципального образования Темрюкский район</t>
  </si>
  <si>
    <t>Администрация Григорьевского сельского поселения Северского района</t>
  </si>
  <si>
    <t>администрация Афипского городского поселения Северского района</t>
  </si>
  <si>
    <t>Администрация Северского сельского поселения</t>
  </si>
  <si>
    <t>Администрация муниципального образования город Новороссийск
Управление культуры
Управление образования
Управление физической культуры и спорта
Управление транспорта и дорожного хозяйства
Отдел по делам молодежи
Управление строительства</t>
  </si>
  <si>
    <t>Администрация Лабинского городского поселения Лабинского района</t>
  </si>
  <si>
    <t>Администрация Новоалексеевского сельского поселения Курганинского района</t>
  </si>
  <si>
    <t>Департамент финансов администрации муниципального образования город Каснодар</t>
  </si>
  <si>
    <t>Администрация Новомышастовского сельского поселения Красноармейского района</t>
  </si>
  <si>
    <t>администрация Октябрьского сельского поселения Красноармейского района</t>
  </si>
  <si>
    <t>Администрация Сергиевского сельского поселения</t>
  </si>
  <si>
    <t>Администрация Привольненского сельского поселения Каневского района</t>
  </si>
  <si>
    <t>администрация Рязанского сельского поселения</t>
  </si>
  <si>
    <t>администрация Первомайского сельского поселения</t>
  </si>
  <si>
    <t xml:space="preserve">Администрация Черниговского сельского поселения </t>
  </si>
  <si>
    <t xml:space="preserve">Администрация муниципального образования город Армавир </t>
  </si>
  <si>
    <t>Администрация Махошевского сельского поселения Мостовского района</t>
  </si>
  <si>
    <t>Администрация Главы РК</t>
  </si>
  <si>
    <t>Администрация МР "Удорский", Администрации поселений, Управление образования, отдел культуры и национальной политики, отдел спорта, физической культуры и туризма</t>
  </si>
  <si>
    <t>Администрация МО ГО "Усинск"</t>
  </si>
  <si>
    <t>Управление культуры администрации МО ГО "Сыктывкар", Управление дошкольного образования администрации МО ГО "Сыктывкар"</t>
  </si>
  <si>
    <t>Финансовое управление АМО МР "Сысольский"</t>
  </si>
  <si>
    <t>Управление городского хозяйства и благоустройства администрации МО ГО "Воркута"</t>
  </si>
  <si>
    <t>Муниципальное образование городской округ «Вуктыл»</t>
  </si>
  <si>
    <t>Администрация муниципального образования городского округа " Инта"</t>
  </si>
  <si>
    <t>Администрация Афанасьевского района Кировской области</t>
  </si>
  <si>
    <t>Управление городского хозяйства города Калуги; управление образования города Калуги</t>
  </si>
  <si>
    <t>управление финансов МО</t>
  </si>
  <si>
    <t>Администрация МО "Светловский городской округ" Калининградской области</t>
  </si>
  <si>
    <t>Комитет по управлению имуществом города Череповца, департамент жилищно-коммунального хозяйства мэрии города Череповца</t>
  </si>
  <si>
    <t>Комитет по управлению муниципальным имуществом и землеустройству администрации МО "Судогодский район"</t>
  </si>
  <si>
    <t>1) Администрация муниципального образования Гусь-Хрустальный район (муниципальный район) Владимирской области
2) Финансовое управление администрации муниципального образования Гусь-Хрустальный район (муниципальный район) Владимирской области</t>
  </si>
  <si>
    <t>Администрация Навлинскогорайона Брянской области</t>
  </si>
  <si>
    <t>Администрация Яковлевского городского округа</t>
  </si>
  <si>
    <t>Администрация Ровеньского района</t>
  </si>
  <si>
    <t xml:space="preserve">Управление жилищно-коммунального комплекса и систем жизнеобеспечения администрации Губкинского городского округа </t>
  </si>
  <si>
    <t xml:space="preserve"> администрация Волоконовского района</t>
  </si>
  <si>
    <t>Администрация Вейделевского района</t>
  </si>
  <si>
    <t>Финансовое управление Администрации муниципального района Стерлибашевский  район Республики Башкортостан</t>
  </si>
  <si>
    <t>Финансовое управление Администрации Миякинский район Республики Башкортостан</t>
  </si>
  <si>
    <t>Финансовое управление Администрации муниципального района Мелеузовский  район Республики Башкортостан</t>
  </si>
  <si>
    <t>Финансовое управление Администрации муниципального района Караидельский район Республики Башкортостан</t>
  </si>
  <si>
    <t>Департамент образования Администрации городского округа "Город Архангельск", управление культуры Администрации городского округа "Город Архангельск"</t>
  </si>
  <si>
    <t>Главный распорядитель бюджетных средств на проекты</t>
  </si>
  <si>
    <t>Администрация муниципального образования Красноселькупский район; Управление образования Администрации Красноселькупского района
Администрация Красноселькупского района</t>
  </si>
  <si>
    <t>Департамента финансов и казначейства Администрации Пуровского района</t>
  </si>
  <si>
    <t>Администрация Тазовского района, Департамент образования Администрации Тазовского района</t>
  </si>
  <si>
    <t>Управление внутренней политики Администрации Ямальского района; Департамент коммунального хозяйства и транспорта Администрации  Ямальского района; Департамент образования Администрации Ямальского района; Управление культуры и молодежной политики Администрации Ямальского района; Управление физической культуры и спорта Администрации Ямальского района</t>
  </si>
  <si>
    <t>Департамент финансов Администрации Приуральского района</t>
  </si>
  <si>
    <t>Администрации муниципального образования Шурышкарский район 
Управление образования Администрации муниципального образования Шурышкарский район</t>
  </si>
  <si>
    <t>Администрация Надымского района</t>
  </si>
  <si>
    <t xml:space="preserve"> Администрация города Муравленко
</t>
  </si>
  <si>
    <t>Департамент финансов Администрации города Ноябрьска</t>
  </si>
  <si>
    <t>Департамент внутренней политики Администрации города Новый Уренгой</t>
  </si>
  <si>
    <t>Управление внутренней политики Администрации города Лабытнанги</t>
  </si>
  <si>
    <t>Администрация города Салехарда;
Департамент образования Администрации города Салехарда</t>
  </si>
  <si>
    <t>Департамент строительства, архитектуры и ЖКХ администрации Ханты-Мансийского района</t>
  </si>
  <si>
    <t xml:space="preserve">Департамент финансов администрации Нижневартовского района       </t>
  </si>
  <si>
    <t>Департамент финансов администрации Сургутского района</t>
  </si>
  <si>
    <t>департамент по делам администрации, департамент экономического развития администрации г.Нефтеюганска</t>
  </si>
  <si>
    <t>Администрация городского поселения Мортка</t>
  </si>
  <si>
    <t>Отдел по вопросам местного самоуправления управления внутренней политики администрации Кондинского района</t>
  </si>
  <si>
    <t>Управление внутренней политики администрации Кондинского района</t>
  </si>
  <si>
    <t>Департамент строительства администрации города Нижневартовска</t>
  </si>
  <si>
    <t>Департамент финансов Администрации города Сургута</t>
  </si>
  <si>
    <t xml:space="preserve">Информационно-аналитический отдел администрации Березовского района </t>
  </si>
  <si>
    <t>Управление по вопросам местного самоуправления и обращениям граждан администрации Нефтеюганского района</t>
  </si>
  <si>
    <t>Управление по работе с общественными объединениями и молодежной политики администрации города Лангепаса</t>
  </si>
  <si>
    <t>Комитет по финансам администрация города Урай</t>
  </si>
  <si>
    <t>Управление по связям с общественностью и работе с молодежью администрации города Хабаровска</t>
  </si>
  <si>
    <t>Администрация города Тюмени (Департамент финансов и налоговой политики Администарции города Тюмени)</t>
  </si>
  <si>
    <t>Администрация Труновского муниципального округа Ставропольского края</t>
  </si>
  <si>
    <t>Администрация Степновского муниципального округа Ставропольского края, финансовое управление администрации Степновского муниципального округа Ставропольского края</t>
  </si>
  <si>
    <t>Управление по делам территорий администрации Предгорного муниципального округа Ставропольского края</t>
  </si>
  <si>
    <t>Финансовое управление администарции Петровского городского округа Ставропольского края, Отдел образования администарции Петровскогогородского округа ставропольского края, Управление муниципального хозяйства администарции Петровского городского округа Ставрпольского края, Управление по делам территорий администрации Петрвоского городского окрцуга Ставропльского края</t>
  </si>
  <si>
    <t>Администрация Новоселицкого муниципального округа Ставропольского края</t>
  </si>
  <si>
    <t>Администрация Новоалександровского городского округа Ставропольского края</t>
  </si>
  <si>
    <t>Администрация Нефтекумского городского округа Ставропольского края</t>
  </si>
  <si>
    <t>Администрация г. Невинномысска</t>
  </si>
  <si>
    <t>Администрация Курского муниципального округа Ставропольского края</t>
  </si>
  <si>
    <t>Отдел дорожного хозяйства, транспорта и капитального строительства администрации Красногвардейского муниципального округа Ставропольского края</t>
  </si>
  <si>
    <t>Администрация Кочубеевского муниципального округа Ставропольского края</t>
  </si>
  <si>
    <t>Администрация города-курорта Кисловодска в лице ее отраслевых (функциональных) и территориальных органов, в сфере деятельности которых предполагается реализация инициативных проектов</t>
  </si>
  <si>
    <t>Администрация Кировского городского округа Ставропольского края</t>
  </si>
  <si>
    <t>Администрация Ипатовского городского округа Ставропольского края</t>
  </si>
  <si>
    <t>Финансовое управление администрации Изобильненского городского округа Ставропольского края</t>
  </si>
  <si>
    <t>Администрация Грачевского муниципального округа Ставропольского края</t>
  </si>
  <si>
    <t>Администрация Георгиевского городского округа Ставропольского края</t>
  </si>
  <si>
    <t>администрация Благодарненского городского округа Ставропольского края</t>
  </si>
  <si>
    <t>финансовое управление администрации Апанасенковского муниципального округа Ставропольского края</t>
  </si>
  <si>
    <t>администрация Андроповского муниципального округа СК (отдел экономического и социального развития)</t>
  </si>
  <si>
    <t>Территориальный отдел администрации Александровского муниципального округа Ставропольского края, с правами юридического лица, ответственный за организацию работы по рассмотрению инициативных проектов, а также проведению их конкурсного отбора.
Отраслевой (функциональный) отдел администрации Александровского муниципального округа Ставропольского края, курирующий соответствующие направления деятельности.
Конкурсная комиссия – коллегиальный орган, образуемый администрацией Александровского муниципального округа Ставропольского края для проведения конкурсного отбора инициативных проектов.</t>
  </si>
  <si>
    <t>Администрация Качканарского городского округа</t>
  </si>
  <si>
    <t>Департамент финансов Администрации города Екатеринбурга</t>
  </si>
  <si>
    <t>Администрация Асбестовского городского округа</t>
  </si>
  <si>
    <t>Администрация МО Алапаевское</t>
  </si>
  <si>
    <t>комитет финансов Сосновоборского городского округа</t>
  </si>
  <si>
    <t>Администрация муниципального района Шенталинский, управление финансами, комитет по управлению имуществом, архитектуры, капитального строительства  и ЖКХ</t>
  </si>
  <si>
    <t>Администрация сельского поселения Красные Ключи муниципального района Похвистневский Самарской области</t>
  </si>
  <si>
    <t xml:space="preserve">Администрация Кинель-Черкасского района 
</t>
  </si>
  <si>
    <t>Администрация сельского поселения Исаклы муниципального района Исаклинский Самарской области</t>
  </si>
  <si>
    <t>Администрация городского округа Чапаевск; МКУ "Департамент строительства администрации городского округа Чапаевск"</t>
  </si>
  <si>
    <t>Администрация городского округа Тольятти</t>
  </si>
  <si>
    <t>Администрация Куйбышевского внутригородского района городского округа Самара</t>
  </si>
  <si>
    <t xml:space="preserve">Кировский район </t>
  </si>
  <si>
    <t>Управление по экономике и финансами Администрации городского округа Похвистнево.                                                                                                                        Отдел по реализации стратегии и общественных проектов.</t>
  </si>
  <si>
    <t>Администрация городского округа Отрадный, МКУ "Дом общественных организаций"</t>
  </si>
  <si>
    <t>Администрация Октябрьского района</t>
  </si>
  <si>
    <t>Финансовое управление администрации Уссурийского городского округа</t>
  </si>
  <si>
    <t>Управление жизнеобеспечения администрации Лесозаводского городского округа</t>
  </si>
  <si>
    <t>Администрация Дальнереченского муниципального района (Управление финансов)</t>
  </si>
  <si>
    <t>Финансовое управление Администрации городского округа Спасск-Дальний</t>
  </si>
  <si>
    <t>Управление дорожной деятельности и благоустройства администрации Артемовского городского округа</t>
  </si>
  <si>
    <t>Администрация города Перми</t>
  </si>
  <si>
    <t>Управление по связям с общественностью и вопросам внутренней политики</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</si>
  <si>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</si>
  <si>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Администрация Ташлинского района</t>
  </si>
  <si>
    <t>Финансовый отдел администрации Первомайского района Оренбургской области</t>
  </si>
  <si>
    <t xml:space="preserve">Управление образования  администрации муниципального образования Оренбургский район </t>
  </si>
  <si>
    <t>муниципальное образование Грачевский район</t>
  </si>
  <si>
    <t>Отдел образования администрации Бузулукского района Оренбургской области</t>
  </si>
  <si>
    <t>Администрация МО Новопавловский сельсовет, Администрация МО Федоровский  сельсовет</t>
  </si>
  <si>
    <t>Отдел образования администрации Адамовского района</t>
  </si>
  <si>
    <t xml:space="preserve">Администрация муниципального образования Ясненский городской округ территориальный отдел «Еленовский» </t>
  </si>
  <si>
    <t>Управление финансов администрации Сорочинского городского округа Оренбургской области</t>
  </si>
  <si>
    <t>Управление экономики и перспективного развития Администрации города Оренбурга</t>
  </si>
  <si>
    <t>Финансовый отдел администрации г. Медногорска</t>
  </si>
  <si>
    <t>Администрации города Бузулука</t>
  </si>
  <si>
    <t>Департамент финансов Администрации города Омска</t>
  </si>
  <si>
    <t>Комитет финансов Администрации Кормиловского муниципального района
Комитет по культуре Администрации Кормиловского муниципального района,
Комитет по образованию Кормиловского муниципального района</t>
  </si>
  <si>
    <t>Финансовый отдел администрации муниципального образования "город Бугуруслан"</t>
  </si>
  <si>
    <t xml:space="preserve">Администрация Окуловского муниципального района </t>
  </si>
  <si>
    <t xml:space="preserve">Комитет образования Администрации Крестецкого муниципального района </t>
  </si>
  <si>
    <t>Управления культуры, молодежной политики и спорта администрации города</t>
  </si>
  <si>
    <t>администрация муниципального образования «Тенькинский городской округ».</t>
  </si>
  <si>
    <t>Финансовое управление администрации города Джанкоя Республики Крым</t>
  </si>
  <si>
    <t>Департамент городского хозяйства администрации города Красноярска</t>
  </si>
  <si>
    <t>Урупское сельское поселение</t>
  </si>
  <si>
    <t>Администрация Сенного сельского поселения Темрюкского района</t>
  </si>
  <si>
    <t>Управление внутренней политики</t>
  </si>
  <si>
    <t>Администрация муниципального образования городской округ город-курорт Сочи Краснодарского края</t>
  </si>
  <si>
    <t>Администрация муниципального образования город Новороссийск</t>
  </si>
  <si>
    <t>Администрация Пригородного сельского поселения</t>
  </si>
  <si>
    <t>Департамент внутренней политики администрации муниципального образования город Краснодар</t>
  </si>
  <si>
    <t>Сергиевское сельское поселение Кореновского района</t>
  </si>
  <si>
    <t>администрация муниципального образования Кореновский район</t>
  </si>
  <si>
    <t>Рязанское сельское поселение</t>
  </si>
  <si>
    <t>Первомайское сельское поселение</t>
  </si>
  <si>
    <t xml:space="preserve">Муниципальное образование г.Армавир </t>
  </si>
  <si>
    <t>Администрация Ярославского сельского поселения Моствоского района</t>
  </si>
  <si>
    <t xml:space="preserve">администрация Унароковского сельского поселения Мостовского района </t>
  </si>
  <si>
    <t>Администрация Бесленеевского с/п</t>
  </si>
  <si>
    <t>Администрация МОГО "Ухта"</t>
  </si>
  <si>
    <t>Администрация МР "Удорский"</t>
  </si>
  <si>
    <t>Администрация муниципального района "Усть-Цилемский"</t>
  </si>
  <si>
    <t>Администрация МР "Усть-Вымский"</t>
  </si>
  <si>
    <t>Администрация МР "Усть-Куломский"</t>
  </si>
  <si>
    <t>Администрация МО ГО "Сыктывкар"</t>
  </si>
  <si>
    <t>Администрация муниципального района "Сысольский"</t>
  </si>
  <si>
    <t>Администрация муниципального района "Прилузский" Республики Коми</t>
  </si>
  <si>
    <t>Администрация МО ГО "Воркута"</t>
  </si>
  <si>
    <t>Администрация муниципального района "Койгородский"</t>
  </si>
  <si>
    <t>Администрация МР"Княжпогостский"</t>
  </si>
  <si>
    <t>Администрация города Кирова</t>
  </si>
  <si>
    <t>Управление по работе с населением на территориях</t>
  </si>
  <si>
    <t>Мэрия города Череповца – организатор проекта</t>
  </si>
  <si>
    <t>финансовое управление администрации МО "Судогодский район"</t>
  </si>
  <si>
    <t>Финансовое управление администрации муниципального образования Гусь-Хрустальный район (муниципальный район) Владимирской области</t>
  </si>
  <si>
    <t>Администрация Губкинского городского округа</t>
  </si>
  <si>
    <t>Администрация муниципального района Стерлибашевский район Республики Башкортостан</t>
  </si>
  <si>
    <t>Администрация муниципального района Миякинский район Республики Башкортостан</t>
  </si>
  <si>
    <t>Администрация муниципального района Мелеузовский район Республики Башкортостан</t>
  </si>
  <si>
    <t>Администрация муниципального района Караидельский район Республики Башкортостан</t>
  </si>
  <si>
    <t>Департамент финансов Администрации городского округа "Город Архангельск"</t>
  </si>
  <si>
    <t>Орган местного самоуправления, ответственный за реализацию практики в муниципальном образовании</t>
  </si>
  <si>
    <t>https://yam.yanao.ru/documents/active/227755/</t>
  </si>
  <si>
    <t>https://admmuji.yanao.ru/documents/other/170350/</t>
  </si>
  <si>
    <t>https://ufmuravlenko.yanao.ru/documents/active/226938/</t>
  </si>
  <si>
    <t>https://www.newurengoy.ru/doc/16234-ob-utverzhdenii-strategii-socialno-ekonomicheskogo-razvitiya-municipalnogo-obrazovaniya-gorod-novyy-urengoy-do-2030-goda.html</t>
  </si>
  <si>
    <t>https://lbt.yanao.ru/documents/active/161622/</t>
  </si>
  <si>
    <t>https://docs.cntd.ru/document/550285222
https://www.salekhard.org/city/socs/strategiya-razvitiya-mo/</t>
  </si>
  <si>
    <t>http://hmrn.ru/raion/ekonomika/ser/strategy/strategy.php</t>
  </si>
  <si>
    <t>https://www.dumasr.ru/docs/resheniya-dumy/?date_from=17.12.2018&amp;date_to=&amp;number=591&amp;name=</t>
  </si>
  <si>
    <t>http://www.admugansk.ru/category/1647?page=3</t>
  </si>
  <si>
    <t>https://www.n-vartovsk.ru/documents/#DOCTYPE=dumaReshenie&amp;DNUM=&amp;DT1=&amp;DT2=&amp;DNAME=&amp;Y=2018&amp;M=5</t>
  </si>
  <si>
    <t>http://admsurgut.ru/files/materials/files/files1/%D0%A1%D1%82%D1%80%D0%B0%D1%82%D0%B5%D0%B3%D0%B8%D1%8F_%D0%B3%D0%BE%D1%80%D0%BE%D0%B4%D0%B0_%D0%B4%D0%BE_2030__%D1%81_%D0%B8%D0%B7%D0%BC_09.11.2021.docx</t>
  </si>
  <si>
    <t>https://berezovo.ru/regulatory/165422/</t>
  </si>
  <si>
    <t>https://admlangepas.ru/economics-and-business/strategic-planning/strategy-for-socio-economic-development/reshenie-ot-26-oktyabrya-2018-g-108/</t>
  </si>
  <si>
    <t>https://www.dumamegion.ru/laws/resheniya/detail.php?ID=7846</t>
  </si>
  <si>
    <t>https://uray.ru/strategiya-razvitiya/obsujdeniya-proekta-perspektivnogo-plana-razvitiya-munitsipalnog/</t>
  </si>
  <si>
    <t>https://g58.tmbreg.ru/socialno-ekonomicheskoe-razvitie-goroda/strategija-goroda-uvarovo.html</t>
  </si>
  <si>
    <t>https://www.novoselickoe.ru/category/okrug/ekonomika/strategicheskoe-planirovanie/strategiya-sotsialno-ekonomicheskogo-razvitiya</t>
  </si>
  <si>
    <t>https://www.angosk.ru/index.php/ekonomika/strategiya-razvitiya/12343-o-vnesenii-izmenenij-v-strategiyu-sotsialno-ekonomicheskogo-razvitiya-ngo-sk-na-period-do-2035-goda-utverzhdennuyu-resheniem-dumy-ngo-sk-ot-12-dekabrya-2019-goda-406</t>
  </si>
  <si>
    <t>http://курский-округ.рф/strategiya-razvitiya-sotcial-no-e-konomicheskogo-razvitiya-do-2035-goda.html</t>
  </si>
  <si>
    <t>https://www.кочубеевский-район.рф/strategiya-sotcial-no-e-konomicheskogo-razvitiya-kochubeevskogo-munitcipal-nogo-okruga-stavropol-skogo-kraya-do-2035-goda.html</t>
  </si>
  <si>
    <t>https://kislovodsk-kurort.org/home/ispolnitelnaia-vlast/upravlenie-po-ekonomike-i-investitsiiam1532965164/strategicheskoe-planirovanie</t>
  </si>
  <si>
    <t>http://kir-portal.ru/strategicheskoe-planirovanie/mun_pr/mun_program.php</t>
  </si>
  <si>
    <t>https://ipatovo26.gosuslugi.ru/deyatelnost/strategicheskoe-planirovanie</t>
  </si>
  <si>
    <t xml:space="preserve"> http://www.abgosk.ru/city/economica/social-economic-development/Strategija_ekonomicheskogo_razvitija/300.docxhttp://www.abgosk.ru/about/dependents/otdel_econom_razvitiya_i_mun_zakupok/15_10112022.docx</t>
  </si>
  <si>
    <t>https://krur.midural.ru/article/show/id/10268</t>
  </si>
  <si>
    <t>https://chapadm.ru/index.php/sektor-ekonomicheskogo-razvitiya-prognozirovaniya-i-analiza/strategicheskoe-planirovanie-razvitiya-gorodskogo-okruga-chapaevsk</t>
  </si>
  <si>
    <t>https://tgl.ru/documentation/obj?obj=32772</t>
  </si>
  <si>
    <t>https://www.samadm.ru/docs/official-publication/31618/</t>
  </si>
  <si>
    <t xml:space="preserve">https://otradny.org/administracziya/ekonjmika1/strategiya </t>
  </si>
  <si>
    <t>https://xn----7sbbnwghl2bjadrdc.xn--p1ai/deyatelnost/resheniya-dumy/10208/</t>
  </si>
  <si>
    <t>http://artemduma.ru/?page_id=2861</t>
  </si>
  <si>
    <t>http://veradmgo.ru/media/project_mo_181/9d/58/8a/03/a9/9a/strategiya-ser-vgo-pk-do-2036-</t>
  </si>
  <si>
    <t>https://www.penza-gorod.ru/line_of_activity/econom/economy/city-development-strategy/</t>
  </si>
  <si>
    <t>https://krasnogvardfo.ru/assets/files/106-post-%E2%84%96-85-p-ot-27.02.2020-finotdel-byudzhetnyij-prognoz-do-2025.docx
https://krasnogvardfo.ru/assets/files/161-byudzhetnyij-prognoz-post-%E2%84%96-58-p-ot-04.02.2022.pdf.pdf</t>
  </si>
  <si>
    <t>https://grach-rf.orb.ru/documents/active/74643/</t>
  </si>
  <si>
    <t xml:space="preserve">https://asfin56.ru/assets/files/271221/9/reshenie-№-50-ob-utverzhdenii-poryadka-realizaczii-ip.docx </t>
  </si>
  <si>
    <t>https://www.aleksandrovka56.ru/munitsipalitet/?ELEMENT_ID=764</t>
  </si>
  <si>
    <t>http://sorochinsk56.ru/index.php?id=519</t>
  </si>
  <si>
    <t>https://orenburg.ru/documents/other/63559/</t>
  </si>
  <si>
    <t>https://gy.orb.ru/upload/uf/2cd/strategy_2012.doc</t>
  </si>
  <si>
    <t>http://okuladm.ru/documents/21052</t>
  </si>
  <si>
    <t>https://adm-krestcy.ru/documents/6103.html</t>
  </si>
  <si>
    <t>http://www.adm.nov.ru/docroot/upload/6155e32d-64ff-4e2f-baa0-61a6b3b18ea2.pdf</t>
  </si>
  <si>
    <t>https://адмдзержинск.рф/documents/Новости/1.Стратегия%20до%202030%20года_30.01.2020.doc</t>
  </si>
  <si>
    <t>https://dzhankoy.rk.gov.ru/document/show/4055        https://dzhankoy.rk.gov.ru/document/show/7743</t>
  </si>
  <si>
    <t>https://dzhankoy.rk.gov.ru/document/show/4055    https://dzhankoy.rk.gov.ru/document/show/7743</t>
  </si>
  <si>
    <t>https://dalmatovo.su/economika/strategiya-planirovaniya/strategiya/7871-o-strategii-sotsialno-ekonomicheskogo-razvitiya-dalmatovskogo-rajona-do-2030-goda.html</t>
  </si>
  <si>
    <t>Справочная правовая система "КонсультантПлюс":
http://www.consultant.ru/</t>
  </si>
  <si>
    <t>http://www.divnogorsk-adm.ru/uploads/files/%D0%A1%D1%82%D1%80%D0%B0%D1%82%D0%B5%D0%B3%D0%B8%D1%8F%20%D0%A1%D0%AD%D0%A0%20%D0%9C%D0%9E%20%D0%B3.%D0%94%D0%B8%D0%B2%D0%BD%D0%BE%D0%B3%D0%BE%D1%80%D1%81%D0%BA%20%D0%B4%D0%BE%202030%20%D0%B3%D0%BE%D0%B4%D0%B0.doc</t>
  </si>
  <si>
    <t>https://www.poltavadm.ru/index.php/ru/pravotvorchestvo/munitsipalnye-pravovye-akty/455-postanovleniya</t>
  </si>
  <si>
    <t>https://www.dyadkovskaya.ru/munitsipalnye-pravovye-akty/ustav-poseleniya/4763-ustav-dyadkovskogo-selskogo-poseleniya-korenovskogo-rajona-2017-god</t>
  </si>
  <si>
    <t>https://cloud.mail.ru/public/2EYX/3HT5tD5kk</t>
  </si>
  <si>
    <t>https://ustvymskij.ru/index.php/upravlenie-ekonomiki/strategii-otchety</t>
  </si>
  <si>
    <t>http://воркута.рф/city/strategic-management/the-strategy-of-socio-economic-development-of-the-constituent-vorkuta/?ELEMENT_ID=18015</t>
  </si>
  <si>
    <t>http://kojgorodok.ru/economy/ctrategiya/</t>
  </si>
  <si>
    <t>http://kortkeros.ru/strategiya-razvitiya-rayona</t>
  </si>
  <si>
    <t>Решение совета МР "Княжпогостский"от 24.09.2021 № 204 - http://www.mrk11.ru/page/investitsii.strategicheskoe_planirovanie/</t>
  </si>
  <si>
    <t>http://www.adminta.ru/city/ekonomika/strategicheskoe-upravlenie/strategiya-sotsialno-ekonomicheskogo-razvitiya.php</t>
  </si>
  <si>
    <t>http://www.admizhma.ru/ru/page/strategiya_razvitiya_rayona.strategiya_sotsialno_ekonomicheskogo_razvitiya_do_2035_goda/</t>
  </si>
  <si>
    <t>https://admermolino.ru/?page_id=7964</t>
  </si>
  <si>
    <t>https://cherinfo-doc.ru/resolution/85077-resenie-cerepoveckoj-gorodskoj-dumy-ot-06122016-no-242-ob-utverzdenii-strategii-socialno-ekonomiceskogo-razvitia-goroda-cerepovc, https://35cherepovets.gosuslugi.ru/glavnoe/uvedomleniya/uvedomleniya_70.html</t>
  </si>
  <si>
    <t>https://yakovgo.gosuslugi.ru/ofitsialno/dokumenty/dokumenty-all-2494_1860.html</t>
  </si>
  <si>
    <t>https://gubkinadm.gosuslugi.ru/ofitsialno/dokumenty/strategicheskoe-planirovanie/</t>
  </si>
  <si>
    <t>Справочная правовая система Консультант Плюс</t>
  </si>
  <si>
    <t>https://vejdelevskij-r31.gosweb.gosuslugi.ru/deyatelnost/napravleniya-deyatelnosti/strategicheskoe-planirovanie/</t>
  </si>
  <si>
    <t xml:space="preserve">https://www.arhcity.ru/?page=2946/1 </t>
  </si>
  <si>
    <t>Подраздел V.Эффективное управление муниципалитетом.                                    Направления эффективного муниципального управления:                                                                                                                                         - - создание условий, способствующих активизации гражданских инициатив, организация сотрудничества органов местного самоуправления с некоммерческими организациями, национальными, религиозными и общественными объединениями Ямальского района;</t>
  </si>
  <si>
    <t>Стратегия отсутствует, однако, все мероприятия закреплены в решении о бюджете и в составе муниципальных программ</t>
  </si>
  <si>
    <t>решение Городской Думы от 25.12.2018 № 207</t>
  </si>
  <si>
    <t>Постановление Администрации города Лабытнанги от 29.12.2016 № 1461 "Об утверждении плана мероприятий по реализации Стратегии социально-экономического развития города Лабытнанги до 2030 года" (с учетом изменений)</t>
  </si>
  <si>
    <t>Решение Городской Думы МО город Салехард от 21.12.2018 №  91 "Об утверждении Стратегии социально-экономического развития муниципального образования город Салехард до 2030 года"</t>
  </si>
  <si>
    <t>ХАНТЫ-МАНСИЙСКИЙ АВТОНОМНЫЙ ОКРУГ – ЮГРА
ХАНТЫ-МАНСИЙСКИЙ РАЙОН</t>
  </si>
  <si>
    <t>Решение Думы Сургутского района от 17.12.2018 № 591 "Об утверждении стратегии социально-экономического развития Сургутского района до 2030 года"</t>
  </si>
  <si>
    <t>Решение Думы города от 31.10.2018 №483 "Об утверждении Стратегии социально-экономического развития муниципального образования город Нефтеюганск на период до 2030 года"</t>
  </si>
  <si>
    <t xml:space="preserve">Решение Думы города Нижневартовска от 25.05.2018 №349 "О Стратегии социально-экономического развития города Нижневартовска до 2030 года"
</t>
  </si>
  <si>
    <t>Решение Думы города № 718-V ДГ от 08.06.2015 "О стратегии социально-экономического развития муниципального образования городской округ город Сургут на период до 2030 года" (с изменениями от 09.11.2021 № 15-VII ДГ)</t>
  </si>
  <si>
    <t>Муниципальная программа "Развитие гражданского общества в Березовском районе", Подпрограмма 1 «Создание условий для развития гражданских инициатив», целевые показатели</t>
  </si>
  <si>
    <t>Решение Думы города Лангепаса от «26» октября 2018 г. №108 «Об утверждении Стратегии социально-экономического развития муниципального образования городской округ город Лангепас на период до 2030 года и плана мероприятий по её реализации»</t>
  </si>
  <si>
    <t>Решение Думы города Мегиона от 27.09.2019 №375
«О cтратегии социально-экономического развития городского округа город Мегион на период до 2035 года»</t>
  </si>
  <si>
    <t xml:space="preserve"> Стратегия социально-экономического развития муниципального образования городской округ город Урай до 2020 года и на период до 2030 года</t>
  </si>
  <si>
    <t>Решение Хабаровской городской Думы от 31 января 2017 г. № 488 "Об утверждении Стратегии социально-экономического развития городского округа "Город Хабаровск" на период до 2030 года"</t>
  </si>
  <si>
    <t>Решение Уваровского городского Совета народных депутатов Тамбовской области №34 от 24 декабря 2020 года</t>
  </si>
  <si>
    <t xml:space="preserve">Стратегия социально-экономического развития Новоселицкого муниципального округа Ставропольского края до 2035 года
</t>
  </si>
  <si>
    <t>Решения Думы Нефтекумского городского округа Ставропольского края от 13 декабря 2022 года № 39 "О внесении изменений в Стратегию социально-экономического развития Нефтекумского городского округа Ставропольского края на период до 2035 года, утвержденную решением Думы Нефтекумского городского округа Ставропольского края от 12 декабря 2019 года № 406"</t>
  </si>
  <si>
    <t>Стратегия социально-экономического развития  Курского муниципального округа Ставропольского края до 2035 года, утвержденная решением совета Курского муниципального района Ставропольского края от 26.09.2019 №144</t>
  </si>
  <si>
    <t>Стратегия социально-экономического развития Кочубеевского муниципального округа Ставропольского края до 2035 года</t>
  </si>
  <si>
    <t>Стратегия социально-экономического развития города-курорта Кисловодска до 2035 года, утверждена Законом Ставропольского края  от 12.02.2020 № 27-кз</t>
  </si>
  <si>
    <t>Стратегия развития Кировского городского округа</t>
  </si>
  <si>
    <t xml:space="preserve">
Стратегия социально-экономического развития Ипатовского городского округа Ставропольского края до 2035 года</t>
  </si>
  <si>
    <t>Решение Совета депутатов Благодарненского городского округа Ставропольского края первого созыва  № 300 от 27 декабря 2019 года "Об утверждении Стратегии социально-экономического развития", решение Совета депутатов Благодарненского городского округа Ставропольского края второго созыва № 15 от 10 ноября 2022 года "О внесении изменений в Стратегию социально-экономического развития Благодарненского городского округа Ставропольского края на период до
2035 года, утвержденную решением Совета депутатов Благодарненского
городского округа Ставропольского края от 27 декабря 2019 года № 300"</t>
  </si>
  <si>
    <t>В стадии согласования с Министерством экономического развития СК</t>
  </si>
  <si>
    <t>Стратегия социально-экономического развития городского округа Красноуральск на период до 2035 года.</t>
  </si>
  <si>
    <t>Решение Думы городского округа Чапаевск от 30.11.2015 №22 "Об утверждении стратегии социально-экономического развития городского округа Чапаевск Самарской области на период до 2030 года"</t>
  </si>
  <si>
    <t>Решение Думы городского округа Тольятти от 25.01.2019 № 131 "О стратегии социально-экономического развития городского округа Тольятти на период до 2030 года"</t>
  </si>
  <si>
    <t xml:space="preserve">Постановление Администрации Кировского внутригородского района городского округа Самара от 19.08.2022 №51 О поддержке инициативного проекта проекта "Доорога знаний" в 2022 году </t>
  </si>
  <si>
    <t xml:space="preserve">Постановление от 01.07.2021 №48 Администрации Кировского внутригородского района </t>
  </si>
  <si>
    <t>Решение Думы городского округа Похвистнево Самарской области шестого созыва от 24.10.2018 №44-277 "Об утверждении стратегии социально-экономического развития городского округа Похвистнево на период до 2030 года"</t>
  </si>
  <si>
    <t>Стратегия социально-экономического развития городского округа Отрадный Самарской области до 2023 года</t>
  </si>
  <si>
    <t>Решение Собрания депутатов Октябрьского района от 21.12.2018 № 162</t>
  </si>
  <si>
    <t>Решение Думы Уссурийского городского округа 
от 29 ноября 2022 г. N 757-НПА
 "О  Стратегии социально-экономического развития Уссурийского городского округа Приморского края на период до 2035 года"
-</t>
  </si>
  <si>
    <t>Решение Думы Артемовского городского округа от 17.08.2017 № 865 "Об утверждении Стратегии социально-экономического развития Артемовского городского округа на 2017 - 2023 годы"</t>
  </si>
  <si>
    <t>Решение Пермской городской Думы от 25.03.2014 № 55 "Об утверждении Концепции поддержки социально ориентированных некоммерческих организаций, осуществляющих деятельность на территории города Перми"</t>
  </si>
  <si>
    <t>Решение Думы Верещагинского городского округа Пермского края от 23.12.2021 № 47/421</t>
  </si>
  <si>
    <t>Постановление Администрации города Пензы от 29.09.2017 N 1808 "Об утверждении стратегии социально-экономического развития города Пензы до 2030 года"</t>
  </si>
  <si>
    <t>Постановление от 27.02.2020 № 85-п "Об утверждении бюджетного прогноза муниципального образования  Красногвардейский район на долгосрочный период до 2025 года" в редакции постановления от 04.02.2022 №58-п</t>
  </si>
  <si>
    <t>Решение Совета депутатов МО Грачевский район от 15.11.2011 № 90-рс "Об утверждении стратегии развития Грачевского района до 2020 года и на период до 2030 года"</t>
  </si>
  <si>
    <t>Об утверждении порядка реализации инициативных проектов в муниципальном образовании «Асекеевский район» Об утверждении порядка реализации инициативных проектов в муниципальном образовании «Асекеевский район»</t>
  </si>
  <si>
    <t>Создание системы разработки, отбора и реализации общественных инициатив.</t>
  </si>
  <si>
    <t xml:space="preserve">Решение Оренбургского городского Совета №232 от 06.09.2011 "Об утверждении «Стратегии социально-экономического развития города Оренбурга до 2030 года»" </t>
  </si>
  <si>
    <t>Стратегия социально-экономического развития муниципального образования город Гай до 2020 г. и перспективу до 2030 г.</t>
  </si>
  <si>
    <t>Стратегия социально-экономического развития Окуловского муниципального района Новгородской области до 2030 года</t>
  </si>
  <si>
    <t>решение Думы Крестецкого муниципального района от 28.12.2020 №47 "Об утверждении Стратегии Социально-экономического развития Крестецкого муниципального района до 2030 года"</t>
  </si>
  <si>
    <t>Стратегия социально-экономического развития Великого Новгорода на период до 2030 года</t>
  </si>
  <si>
    <t xml:space="preserve">Решение городской Думы от 30.01.2020 № 830 "Стратегия социально-экономического развития городского округа город Дзержинска Нижегородской области до 2030 года" (задача 2 пункт 4.1 раздел 4 ). </t>
  </si>
  <si>
    <t>1. Решение Джанкойского городского совета от 23 ноября 2018 года № 1003 "Об утверждении Стратегии социально-экономического развития муниципального образования городской округ Джанкой Республики Крым на период до 2030 года"                                                                                                                              2. Решение Джанкойского городского совета от 30 сентября 2022 года № 458 «О внесении изменений в решение Джанкойского городского совета от 23.11.2018 № 1003 «Об утверждении Стратегии социально-экономического развития муниципального образования городской округ Джанкой Республики Крым на период до 2030 года»</t>
  </si>
  <si>
    <t xml:space="preserve">Решение Джанкойского городского совета от 23 ноября 2018 года № 1003 "Об утверждении Стратегии социально-экономического развития муниципального образования городской округ Джанкой Республики Крым на период до 2030 года" </t>
  </si>
  <si>
    <t>Решение Далматовской районной Думы от 30 ноября 2018 года № 276 "О Стратегии социально-экономического развития Далматовского района до 2030 года"</t>
  </si>
  <si>
    <t>Решение Красноярского городского Совета депутатов от 18.06.2019 № 3-42 "О стратегии социально-экономического развития города Красноярска до 2030 года"</t>
  </si>
  <si>
    <t>СТРАТЕГИЯ СОЦИАЛЬНО-ЭКОНОМИЧЕСКОГО РАЗВИТИЯ МУНИЦИПАЛЬНОГО ОБРАЗОВАНИЯ ГОРОД ДИВНОГОРСК
ДО 2030 ГОДА (увеличение числа горожан, реализовавших свои инициативы в разнообразных направлениях культурно-досуговой сфере)</t>
  </si>
  <si>
    <t>Решение городской Думы муниципального образования город Новороссийск от 16.07.2019 № 437 (ред. от 26.04.2022) "Об утверждении Стратегии социально-экономического развития муниципального образования город Новороссийск до 2030 года"</t>
  </si>
  <si>
    <t>Постановление администрации Полтавского сельского поселения "Об утверждении прогноза социально-экономического развития Полтавского сельского поселения Красноармейского района на 2021-2024 годы"</t>
  </si>
  <si>
    <t>Устав Дядьковского сельского поселения Кореновского района</t>
  </si>
  <si>
    <t>Решение Совета от 17.12.2020 № 60 "Об утверждении Положения реализации инициативных проектов на территории  Пшехского сельского поселения Белореченского района"</t>
  </si>
  <si>
    <t>Стратегия социально - экономического развития МО МР "Удорский" на период до 2035 года, утвержденная решением Совета МО МР "Удорский" от 07.09.2020 №45-1</t>
  </si>
  <si>
    <t>Стратегия социально-экономического развития муниципального образования муниципального района "Усть-Вымский" на период до 2035 года, утвержденная решением Совета МР "Усть-Вымский" от 28.04.2021г. №09/7-94</t>
  </si>
  <si>
    <t>Постановление администрации сельского поселения "Выльгорт" от 3 ноября 2020 года № 11/457 "Об утверждении Прогноза социально-экономического развития муниципального образования сельского поселения "Выльгорт" муниципального   образования муниципального района "Сыктывдинский" Республики Коми на 2021-2023 годы"</t>
  </si>
  <si>
    <t>Стратегия социально-экономического развития муниципального образования муниципального района «Сосногорск» на период до 2035 года, утвержденная Решением Совета муниципального района «Сосногорск» от 24.03.2021 № VI-28</t>
  </si>
  <si>
    <t>Решение Совета МО городского округа "Воркута" от 22.06.2020 N 764 "Об утверждении Стратегии социально-экономического развития муниципального образования городского округа "Воркута" на период до 2035 года"</t>
  </si>
  <si>
    <t>Стратегия социально-экономического развития муниципального образования муниципального района "Койгородский" на период до 2035 года</t>
  </si>
  <si>
    <t>Стратегия  социально-экономического развития муниципального образования муниципального района «Корткеросский» на период до 2035 года</t>
  </si>
  <si>
    <t>Стратегии социально-экономического Развития муниципального района «Княжпогостский» на период до 2035 года</t>
  </si>
  <si>
    <t>Решение Совета МО городского округа «Инта» от 25.12.2020 N IV-4/1 «Об утверждении Стратегии социально-экономического развития муниципального образования городского округа «Инта» на период до 2035 года»</t>
  </si>
  <si>
    <t>СТРАТЕГИЯ СОЦИАЛЬНО-ЭКОНОМИЧЕСКОГО РАЗВИТИЯ МУНИЦИПАЛЬНОГО ОБРАЗОВАНИЯ МУНИЦИПАЛЬНОГО РАЙОНА «ИЖЕМСКИЙ» НА ПЕРИОД ДО 2035 ГОДА</t>
  </si>
  <si>
    <t>Муниципальная программа "Развитие жилищной и коммунальной инфраструктуры города Ермолино"</t>
  </si>
  <si>
    <t>Решение Череповецкой городской Думы от 06.12.2016 №242 "Об утверждении Стратегии социально-экономического развития города Череповца до 2022 года "Череповец город возможностей". В настоящее время идет разработка Стратегии социально-экономического развития муниципального образования «Город Череповец» на период до 2035 года, прошла процедуру согласования, сейчас находится на стадии общественного обсуждения.</t>
  </si>
  <si>
    <t>Стратегия социально-экономического развития</t>
  </si>
  <si>
    <t>Стратегия социально-экономического развития Губкинского городского округа утверждена решением Совета депутатов Губкинского городского округа от 31 декабря 2008г. № 2 "О Стратегии социально-экономического развития Губкинского городского округа на период до 2025 года" (в редакции решений Совета депутатов от 29 декабря 2014 года №3, от 30 августа 2017 года №18-нпа, от 13 апреля 2018 года №5-нпа)</t>
  </si>
  <si>
    <t xml:space="preserve">Стратегия социально-экономического развития муниципального района "Волоконовский район" Белгородской области на период до 2025 года
</t>
  </si>
  <si>
    <t>Стратегия социально-экономического развития муниципального района «Вейделевский район» на период до 2025 года</t>
  </si>
  <si>
    <t>Решение Архангельской городской Думы от 30 ноября 2022 года №598 "Об утверждении Стратегии социально-экономического развития городского округа " Город Архангельск" на период до 2035 года".</t>
  </si>
  <si>
    <t xml:space="preserve">Стратегия развития муниципального образования,  где закреплены мероприятия ИБ, инициативных проектов </t>
  </si>
  <si>
    <t>https://yam.yanao.ru/documents/active/256104/
https://yam.yanao.ru/documents/active/256108/
https://yam.yanao.ru/documents/active/256102/
https://yam.yanao.ru/documents/active/256105/</t>
  </si>
  <si>
    <t>http://приуральскийрайон.рф/upload/iblock/d0c/27f19eicy5oa8emd80dehb8zw3e04qwa/2022.01.24_n38.doc
http://приуральскийрайон.рф/upload/iblock/a16/55w6he5h3r94ak3rj1vxcct3g87j1sp2/2022.01.12_n12.docx   
http://приуральскийрайон.рф/upload/iblock/42b/1sch9xg990fogdmtg8v8lk6xmutuvipo/2022.01.21_n36.doc</t>
  </si>
  <si>
    <t>http://gasu.gov.ru/sp/sp-stratdocs/rest/file/download/454068601
http://gasu.gov.ru/sp/sp-stratdocs/rest/file/download/454248503</t>
  </si>
  <si>
    <t>https://nadym.yanao.ru/documents/active/161227/
https://nadym.yanao.ru/documents/active/161347/</t>
  </si>
  <si>
    <t>https://www.gubadm.ru/documents/all/</t>
  </si>
  <si>
    <t xml:space="preserve">https://gorod-noyabrsk89.testportal.yanao.ru/documents/active/225346/ </t>
  </si>
  <si>
    <t>https://www.newurengoy.ru/doc/12900-ob-utverzhdenii-municipalnoy-programmy-municipalnogo-obrazovaniya-gorod-novyy-urengoy-blagoustroystvo-i-razvitie-transportnogo-kompleksa-na-territorii-municipalnogo-obrazovaniya-gorod-novyy-urengoy.html, https://www.newurengoy.ru/doc/8727-ob-utverzhdenii-municipalnoy-programmy-municipalnogo-obrazovaniya-gorod-novyy-urengoy-razvitie-gorodskogo-hozyaystva-na-2014-2016-gody.html, https://www.newurengoy.ru/doc/8705-ob-utverzhdenii-municipalnoy-programmy-razvitie-sistemy-obrazovaniya-na-2014-2016-gody.html</t>
  </si>
  <si>
    <t>https://dflbt.yanao.ru/documents/other/253954/</t>
  </si>
  <si>
    <t>https://www.salekhard.org/normativno-pravovye-akty/postanovleniya-administratsii/31392/
https://www.salekhard.org/normativno-pravovye-akty/postanovleniya-administratsii/31558/</t>
  </si>
  <si>
    <t>http://hmrn.ru/raion/ekonomika/ser/socio_economic_programm/programms/perechen-munitsipalnykh-programm-na-2022-2024-gody-vstupaet-v-silu-s-01-01-2022-goda-.php?clear_cache=Y</t>
  </si>
  <si>
    <t>http://nvraion.ru/ekonomika-i-finansy/social-economic-district/munitsipalnye-programmy/programm-rayona-na-2014-2020/</t>
  </si>
  <si>
    <t>1. https://www.admsr.ru/legislation/adm/npa/?date_DATE_ACTIVE_FROM_1=&amp;date_DATE_ACTIVE_FROM_2=&amp;date_pf%5BNAME%5D=%FD%F4%F4%E5%EA%F2%E8%E2%ED%EE%F1%F2%E8+%F3%EF%F0%E0%E2%EB%E5%ED%E8%FF+%EC%F3%ED%E8%F6%E8%EF%E0%EB%FC%ED%FB%EC%E8+%F4%E8%ED%E0%ED%F1%E0%EC%E8&amp;date_pf%5BNOMER%5D=&amp;set_filter=%CF%EE%E8%F1%EA&amp;set_filter=Y
2. https://www.admsr.ru/legislation/adm/npa/?date_DATE_ACTIVE_FROM_1=&amp;date_DATE_ACTIVE_FROM_2=&amp;date_pf%5BNAME%5D=%D1%F3%F0%E3%F3%F2%F1%EA%EE%E3%EE+%F0%E0%E9%EE%ED%E0+%22%CE%E1%F0%E0%E7%EE%E2%E0%ED%E8%E5+%D1%F3%F0%E3%F3%F2%F1%EA%EE%E3%EE+%F0%E0%E9%EE%ED%E0%22&amp;date_pf%5BNOMER%5D=&amp;set_filter=%CF%EE%E8%F1%EA&amp;set_filter=Y
3. https://www.admsr.ru/legislation/adm/npa/?date_DATE_ACTIVE_FROM_1=&amp;date_DATE_ACTIVE_FROM_2=&amp;date_pf%5BNAME%5D=%D1%F3%F0%E3%F3%F2%F1%EA%EE%E3%EE+%F0%E0%E9%EE%ED%E0+%AB%D4%E8%E7%E8%F7%E5%F1%EA%E0%FF+%EA%F3%EB%FC%F2%F3%F0%E0%2C+%F1%EF%EE%F0%F2+%E8+%F2%F3%F0%E8%E7%EC+%D1%F3%F0%E3%F3%F2%F1%EA%EE%E3%EE+%F0%E0%E9%EE%ED%E0%BB&amp;date_pf%5BNOMER%5D=&amp;set_filter=%CF%EE%E8%F1%EA&amp;set_filter=Y
4.https://www.admsr.ru/legislation/adm/npa/?date_DATE_ACTIVE_FROM_1=&amp;date_DATE_ACTIVE_FROM_2=&amp;date_pf%5BNAME%5D=%D1%F3%F0%E3%F3%F2%F1%EA%EE%E3%EE+%F0%E0%E9%EE%ED%E0+%AB%CA%F3%EB%FC%F2%F3%F0%E0+%D1%F3%F0%E3%F3%F2%F1%EA%EE%E3%EE+%F0%E0%E9%EE%ED%E0%BB&amp;date_pf%5BNOMER%5D=&amp;set_filter=%CF%EE%E8%F1%EA&amp;set_filter=Y</t>
  </si>
  <si>
    <t>http://www.admugansk.ru/read/36662 ; http://www.admugansk.ru/read/36660</t>
  </si>
  <si>
    <t>нормативные - правовые акты размещены на сайте администрации Кондинского района/ раздел городские и сельские поселения/Леуши/бюджет/муниципальные программы</t>
  </si>
  <si>
    <t xml:space="preserve">http://shugur.ru/blagoustroystvo-munitcipal-nogo-obrazovaniya-sel-skoe-poselenie-shugur-na-2020-2026-gody.html </t>
  </si>
  <si>
    <t xml:space="preserve">http://www.admkonda.ru/munitcipal-nye-programmy-na-2019-2022-gody.html </t>
  </si>
  <si>
    <t>Постановление №186 от 30.10.2020( вн.изменения постановление №61 от 22.03.2021, №163 от 14.07.2021, №223/1 от 05.10.2021,№296 от 24.12.2021)</t>
  </si>
  <si>
    <t>http://lugovoikonda.ru/munitcipal-nye-programmy-2019-2025-godov-i-na-period-do-2030-goda.html</t>
  </si>
  <si>
    <t>http://admkonda.ru/kondinskoe-tcelevye-programmy.html</t>
  </si>
  <si>
    <t>http://www.admkonda.ru/tinybrowser/files/dokumenty/postanovleniya/2022/akt/2241-ot-28.12.2017-akt-redakciya-na-15.08.2022.docx.rar</t>
  </si>
  <si>
    <t>http://admkonda.ru/adm-programmy.html</t>
  </si>
  <si>
    <t>http://budget.admsurgut.ru/budget/319176050</t>
  </si>
  <si>
    <t>https://admlangepas.ru/programs-and-competitions/program/municipal/the-municipal-program/the-municipal-program-the-municipal-formation-of-the-urban-okrug-of-the-city-of-langepas-with-effect/to-support-and-develop-public-initiatives-and-socially-oriented-non-profit-organizations/; https://admlangepas.ru/programs-and-competitions/program/municipal/the-municipal-program/the-municipal-program-the-municipal-formation-of-the-urban-okrug-of-the-city-of-langepas-with-effect/the-development-of-physical-culture-and-sports/</t>
  </si>
  <si>
    <t>https://admmegion.ru/gov/laws/index.php?ELEMENT_ID=369346</t>
  </si>
  <si>
    <t>https://uray.ru/strategiya-razvitiya/municipalnye-programmy/</t>
  </si>
  <si>
    <t>https://khv27.ru/administration/structural-units/upravlenie-po-svyazyam-s-obshchestvennostyu-i-smi/dokumenty/</t>
  </si>
  <si>
    <t>https://www.tyumen-city.ru/vlast/administration/struktura-administracii-goroda-tumeni/departaments/departament/napravleniya/municipalynieprogrammi/</t>
  </si>
  <si>
    <t>https://g58.tmbreg.ru/assets/files/%D0%BC%D1%83%D0%BD.-%D0%BF%D1%80%D0%BE%D0%B3%D1%80%D0%B0%D0%BC%D0%BC%D1%8B/2022/%D0%9F%D0%9E%D0%A1%D0%A225%20%D0%9E%D0%B1%D0%B5%D1%81%D0%BF%D0%B5%D1%87%D0%B5%D0%BD%D0%B8%D0%B5%20%D0%B6%D0%B8%D0%BB%D1%8C%D1%91%D0%BC.doc, https://g58.tmbreg.ru/assets/files/VedProgr/2015/POST2228-programma-dorogi.doc</t>
  </si>
  <si>
    <t>https://pyatigorsk.org/filesarhiv/docs?FilesarhivSearch%5Binner_id%5D=3535&amp;FilesarhivSearch%5Btitle%5D=&amp;FilesarhivSearch%5Btypeid%5D=&amp;FilesarhivSearch%5Bcatid%5D=&amp;FilesarhivSearch%5Bcreated%5D=</t>
  </si>
  <si>
    <t>https://pmosk.ru/archives/3503</t>
  </si>
  <si>
    <t>http://petrgosk.ru/ekonomika/ekonomicheskoe-razvitie/munitsipalnye-programmy-petrovskogo-gorodskogo-okruga-stavropolskogo-kraya-/munitsipalnye-programmy-2021-2026-gg/razvitie-transportnoy-sistemy-i-obespechenie-bezopasnosti-dorozhnogo-dvizheniya/index.php</t>
  </si>
  <si>
    <t>http://petrgosk.ru/ekonomika/ekonomicheskoe-razvitie/munitsipalnye-programmy-petrovskogo-gorodskogo-okruga-stavropolskogo-kraya-/munitsipalnye-programmy-2021-2026-gg/</t>
  </si>
  <si>
    <t>http://newalexandrovsk.ru/finansy-i-byudzhet/reshenie-o-byudzhete/reshenie-soveta-57521/</t>
  </si>
  <si>
    <t>https://www.angosk.ru/index.php/munitsipalnye-programmy/7469-munitsipalnaya-programma-razvitie-zhilishchno-kommunalnogo-khozyajstva-i-uluchshenie-zhilishchnykh-uslovij-2</t>
  </si>
  <si>
    <t>https://nevadm.ru/economy/socialeconomy/serprogramm/</t>
  </si>
  <si>
    <t>http://курский-округ.рф/documents/2673.html</t>
  </si>
  <si>
    <t>https://www.кочубеевский-район.рф/</t>
  </si>
  <si>
    <t>https://kislovodsk-kurort.org/deiatelnost/normativno-pravovye-akty/postanovlenie_10/postanovlenie-295-ot-17032022</t>
  </si>
  <si>
    <t>http://kir-portal.ru/strategicheskoe-planirovanie/mun_pr/blagoustroistvo/blagoustroystvo/17_02_23.pdf</t>
  </si>
  <si>
    <t>http://ipatovo.org/userfiles/file/2019/aprel/636_ob_utverzhdenii_pravil_malyh_sel.zip
http://ipatovo.org/userfiles/file/2020/dekabr/postanovlenie_ot_17_dekabrya_2020_g__1699.doc
http://ipatovo.org/userfiles/file/2020/dekabr/1705.rar</t>
  </si>
  <si>
    <t>http://izobadmin.ru/taxonomy/term/345</t>
  </si>
  <si>
    <t>https://www.georgievsk.ru/about/admin/economics/strateg/munitsipal-programmy_2019-2024.php</t>
  </si>
  <si>
    <t>http://www.abgosk.ru/city/economica/municipal-programs/razvitie-zhkkh-i-dorozhnoy-infrastruktury.php  http://www.abgosk.ru/city/economica/municipal-programs/razvitie-obrazovaniya.php</t>
  </si>
  <si>
    <t>http://www.andropovskiy.ru/images/Downloads/raznoe/form_komf_gorod_sredi/2021/программа2.pdf</t>
  </si>
  <si>
    <t>https://aleksadmin.ru/ekonomika/programmy-razvitiya/programmy-okruga/2021-2026/komfortny-usloviy-prozhivaniya/</t>
  </si>
  <si>
    <t>https://asbestadm.ru/economy/munitsipalnyie-programmyi/obrazovanie/2022/  https://asbestadm.ru/economy/munitsipalnyie-programmyi/kultura/2022/  https://asbestadm.ru/economy/munitsipalnyie-programmyi/selskie/2022/</t>
  </si>
  <si>
    <t>http://staropohvistnevo.ru/poisk.php?</t>
  </si>
  <si>
    <t>https://malibrykino.ru/category/docs/postanov/</t>
  </si>
  <si>
    <t>https://kraskluchi.ru/documents/order/</t>
  </si>
  <si>
    <t>https://kadm63.ru/Selo/Chetyrovka/NPA/P_SP_Chetirovka_71_30-12-2021.pdf</t>
  </si>
  <si>
    <t xml:space="preserve">http://www.kinel.ru/tselevye-programmy-selskikh-poselenijj/malaja-malyshevka / </t>
  </si>
  <si>
    <t>http://chernovka.kinel-cherkassy.ru/wp-content/uploads/2023/03/30-23-Благоустройство-Черновка.doc</t>
  </si>
  <si>
    <t>http://adm-timashevo.ru/images/postanovleniya/2018/post_53_ot_25.04.18.zip</t>
  </si>
  <si>
    <t>http://sadgorod.kinel-cherkassy.ru/wp-content/uploads/2021/12/Постановление-№-134-от-21.12.21-Благо-во-Садгород.doc</t>
  </si>
  <si>
    <t>https://podgornoe.kinel-cherkassy.ru/wp-content/uploads/2023/03/Пост-27-Изменения-благоуст-Подгорное-.doc</t>
  </si>
  <si>
    <t>http://novyekluchi.kinel-cherkassy.ru/wp-content/uploads/2019/02/пост.благоустр.-1.doc</t>
  </si>
  <si>
    <t>http://mukhanovo.kinel-cherkassy.ru/?page_id=203</t>
  </si>
  <si>
    <t>http://krotovka.kinel-cherkassy.ru/images/files/blagoustroystvo_Krotovka.doc</t>
  </si>
  <si>
    <t xml:space="preserve">http://gorka.kinel-cherkassy.ru/?p=3809 </t>
  </si>
  <si>
    <t>https://kinel-cherkassy.ru/attachments/article/39069/%D0%9F%D0%BE%D1%81%D1%82%D0%B0%D0%BD%D0%BE%D0%B2%D0%BB%D0%B5%D0%BD%D0%B8%D0%B5%20%D0%BE%D1%82%2002.12.2022%20%E2%84%96%201288.docx</t>
  </si>
  <si>
    <t>https://www.kinel-cherkassy.ru/index.php/dokumenty/ofitsialnoe-opublikovanie/37533-postanovlenie-administratsii-kinel-cherkasskogo-rajona-ot-29-06-2022-677</t>
  </si>
  <si>
    <t>http://kabanovka.kinel-cherkassy.ru/?p=9558</t>
  </si>
  <si>
    <t xml:space="preserve">http://erzovka.kinel-cherkassy.ru/?p=2396 </t>
  </si>
  <si>
    <t xml:space="preserve">http://berezniki.ucoz.ru/index/municipalnye_programmy/0-41 </t>
  </si>
  <si>
    <t>http://aleksandrovka.kinel-cherkassy.ru/wp-content/uploads/2022/12/Постановление-№96-от-02.12.22-изм-в-пр.Благоустройство-Александровка-22.11.doc</t>
  </si>
  <si>
    <t>https://www.kinel-cherkassy.ru/index.php/dokumenty/ofitsialnoe-opublikovanie/39924-postanovlenie-administratsii-kinel-cherkasskogo-rajona-ot-06-02-2023-65</t>
  </si>
  <si>
    <t>https://www.kinel-cherkassy.ru/index.php/dokumenty/ofitsialnoe-opublikovanie/40258-postanovlenie-administratsii-kinel-cherkasskogo-rajona-ot-21-03-2023-260</t>
  </si>
  <si>
    <t>https://www.kinel-cherkassy.ru/index.php/dokumenty/ofitsialnoe-opublikovanie/39858-postanovlenie-administratsii-kinel-cherkasskogo-rajona-ot-10-02-2023-89</t>
  </si>
  <si>
    <t>https://isakli.ru/documents/priobretenie-konteynerov-dlya-skladirovaniya-tbo/164-27-12-2021-o-vnesen-izmenen-v-zhkkh../</t>
  </si>
  <si>
    <t>https://isakli.ru/documents/priobretenie-i-ustanovka-derevyannoy-gorki-teremok/164-27-12-2021-o-vnesen-izmenen-v-zhkkh/</t>
  </si>
  <si>
    <t>https://tgl.ru/documentation/obj?obj=29117                          https://tgl.ru/documentation/obj?obj=32482</t>
  </si>
  <si>
    <t>http://kirovskiy.gordumasamara.ru/ustav-kirovskogo-vnutrigorodskogo-rajona/?doing_wp_cron=1649222951.5339250564575195312500</t>
  </si>
  <si>
    <t>http://www.pohgor.ru/documents/municipal-programm/predpisanija_38.html</t>
  </si>
  <si>
    <t>https://otradny.org/upload/iblock/7bc/7bc175f2c67dda090fca1003efa1e173.rar</t>
  </si>
  <si>
    <t>https://adm-ussuriisk.ru/ob_okruge/kompleksnoe_razvitie_selskikh_territoriy_ussuriyskogo_gorodskogo_okruga_na_2020_2024_gody/
https://adm-ussuriisk.ru/ob_okruge/razvitie_kultury_i_iskusstva_ussuriyskogo_gorodskogo_okruga_na_2017_2021_gody/
https://adm-ussuriisk.ru/ob_okruge/razvitie_sistemy_obrazovaniya_ussuriyskogo_gorodskogo_okruga_na_2016_2022_gody/</t>
  </si>
  <si>
    <t>Документ: Об утверждении муниципальной программы «Формирование современной городской среды на территории Лесозаводского городского округа» на 2021-2027 годы (mo-lgo.ru)</t>
  </si>
  <si>
    <t>https://dalmdr.ru/sites/default/files/download/Finansi/resdumi/2022/%D0%A0%D0%B5%D1%88%D0%B5%D0%BD%D0%B8%D0%B5%20%D0%94%D1%83%D0%BC%D1%8B%20%D0%BE%D1%82%2022.12.2022%20%E2%84%96%20333-%D0%9C%D0%9D%D0%9F%D0%90.zip</t>
  </si>
  <si>
    <t>https://sd-pravo.ru/npa/files/npa/7008.docx</t>
  </si>
  <si>
    <t>http://www.artemokrug.ru/otdely_i_upravleniya/detail.php?ID=1887&amp;sphrase_id=41705</t>
  </si>
  <si>
    <t>http://admkud.ru/Doc/2022/11012022/4.pdf</t>
  </si>
  <si>
    <t>https://adm-brz.ru/deyatelnost/razvitie-sfery-kultury/</t>
  </si>
  <si>
    <t>http://veradmgo.ru/economy/socialeconomy/serprogramm/</t>
  </si>
  <si>
    <t>https://tu.orb.ru/activity/21506/</t>
  </si>
  <si>
    <t>http://fintotsk.ru/file/download/1628</t>
  </si>
  <si>
    <t>http://fin-or.ru/content/dokumenty-6</t>
  </si>
  <si>
    <t>http://fin-or.ru/ckfinder/userfiles/files/Постановление%201932-п.pdf</t>
  </si>
  <si>
    <t>https://krasnogvardfo.ru/assets/files/%D0%9C%D1%83%D0%BD%D0%B8%D1%86%D0%B8%D0%BF%D0%B0%D0%BB%D1%8C%D0%BD%D1%8B%D0%B5%20%D0%BF%D1%80%D0%BE%D0%B3%D1%80%D0%B0%D0%BC%D0%BC%D1%8B/1-na-sajt.rar</t>
  </si>
  <si>
    <t>https://grach-rf.orb.ru/activity/17136/</t>
  </si>
  <si>
    <t>http://pp-bz.ru/legal-acts/2603</t>
  </si>
  <si>
    <t>http://pp-bz.ru/legal-acts/2425</t>
  </si>
  <si>
    <t xml:space="preserve">https://www.asfin56.ru/assets/files/2022/8.1/vnesenie-izmenenij-v-921-p-2022-.doc </t>
  </si>
  <si>
    <t>https://aleksandrovka56.ru/munitsipalitet/?ELEMENT_ID=8926&amp;lang=ru</t>
  </si>
  <si>
    <t>https://disk.yandex.ru/d/G4_51Lpc60p5MA</t>
  </si>
  <si>
    <t>http://sorochinsk56.ru/assets/files/2022-Postanovlenie/12/1870-P.pdf</t>
  </si>
  <si>
    <t>https://orenburg.ru/activity/15194/</t>
  </si>
  <si>
    <t>https://документ.городмедногорск.рф/index.php/mpostanovleniya-administratsii-goroda-2022/item/2983-postanovlenie-1516-pa-ot-22-12-2022</t>
  </si>
  <si>
    <t>https://gy.orb.ru/upload/uf/c88/Postanovlenie-1000_pA_2019.doc; https://gy.orb.ru/upload/uf/ffe/Postanovlenie-1000_pA_2019.doc</t>
  </si>
  <si>
    <t>http://бузулук-право.рф/node/5771</t>
  </si>
  <si>
    <t xml:space="preserve">http://xn----8sbbgwsg2agk1abb.xn--p1ai/node/5934 </t>
  </si>
  <si>
    <t>http://бузулук-право.рф/node/5771;
http://бузулук-право.рф/node/5778</t>
  </si>
  <si>
    <t>Официальный сайт Администрации города Омска
https://admomsk.ru/web/guest/progress/budget/open/programs/archive2014-2024/comfort
https://admomsk.ru/web/guest/progress/budget/open/programs/archive2014-2024/sport</t>
  </si>
  <si>
    <t>https://kormil.omskportal.ru/omsu/kormil-3-52-223-1/etc/CelevProgrammy</t>
  </si>
  <si>
    <t>https://bugadmin.orb.ru/documents/active/?nav-documents=page-18</t>
  </si>
  <si>
    <t>http://okuladm.ru/documents/16853</t>
  </si>
  <si>
    <t>https://komobrlub.edusite.ru/p4aa1.html</t>
  </si>
  <si>
    <t>http://komobrkrr.edusite.ru/magicpage.html?page=32018</t>
  </si>
  <si>
    <t>https://docs.semenov.nnov.ru/open/?nd=816838795&amp;searchType=phrase&amp;query=2911</t>
  </si>
  <si>
    <t>https://kstovo.52gov.ru/documents/active/95775/</t>
  </si>
  <si>
    <t>https://borcity.ru/authority/mp_akt.php</t>
  </si>
  <si>
    <t>http://bg-adm.ru./?id=8074</t>
  </si>
  <si>
    <t>https://адмдзержинск.рф/ekonomika-i-imushchestvo/ekonomika/strategicheskoe-planirovanie/munitsipalnye-programmy/razvitie-fizicheskoy-kultury-i-sporta-v-gorodskom-okruge-gorod-dzerzhinsk/</t>
  </si>
  <si>
    <t>https://omsukchan-adm.ru/inova_block_documentset/document/370896/</t>
  </si>
  <si>
    <t xml:space="preserve">1. https://dzhankoy.rk.gov.ru/document/show/4564                              2. https://dzhankoy.rk.gov.ru/document/show/7335    </t>
  </si>
  <si>
    <t>https://dalmatovo.su/images/post30_16.01.20.pdf</t>
  </si>
  <si>
    <t xml:space="preserve">https://suhobuzimo.ru/docs/id1816.html </t>
  </si>
  <si>
    <t>http://www.admse.ru/upload/iblock/8e8/l92hk7ufw9r96jod9qynv59w3gt7x603.docx</t>
  </si>
  <si>
    <t>http://starscherb.ru/2021/Munic_program/339_ot_24.12.2021.doc</t>
  </si>
  <si>
    <t>http://admekaterinovka.ru/category/normotvorcheskaya-deyatelnost/postanovleniya/2021/</t>
  </si>
  <si>
    <t>https://docs.yandex.ru/docs/view?url=ya-browser%3A%2F%2F4DT1uXEPRrJRXlUFoewruPNABXGcVGJK17pSXyvF7bTAWrl9ra4KpDLxxoLbd1XCTsEoHHp6zASqJFkn09lA9lXXhPBQcc4TDBg8LBtGKNldv8qPP3abCEmOTAXU-u3ku-69zlbNdJybhXA_CTFbqA%3D%3D%3Fsign%3DCL8xB0_GqpNZMSSNMX9Y1ux5b3VPUcisxWdwUQi07dE%3D&amp;name=П%20%20№%2059%20от%2030.07.2021г.%20Программа%20Благоустройство.doc&amp;nosw=1</t>
  </si>
  <si>
    <t>http://zheleznoe-sp.ru/load/iniciativnoe_bjudzhetirovanie/dokumenty/blagoustrojstvo_territorii_zheleznogo_selskogo_poselenija/99-1-0-1346</t>
  </si>
  <si>
    <t>https://docs.yandex.ru/docs/view?url=ya-browser%3A%2F%2F4DT1uXEPRrJRXlUFoewruDnM-POcH77EIURgPU5OVJY5wVw3J5uNd408Rf4tVHvRAVEewQDrCER-duWFBa5IqJO7nnt71fdHaxNchCQKurO-MxpHoMw1YeGefPAI_47cEhxzj8YaINLiZp9V2e5KWA%3D%3D%3Fsign%3DqI3bchw6waLbeKGq3NCilVIjMreq6Hgd2p7BpAfOTKM%3D&amp;name=Пост%20114%20МП%20%20Проведение%20мероприятий%20по%20благоустройствуо%20территории%20на%202022.doc&amp;nosw=1</t>
  </si>
  <si>
    <t>http://leninskoesp.ru/pages/tselevye-programmy</t>
  </si>
  <si>
    <t>http://adm-nezaymanovskaya.ru/images/%D0%BC%D1%83%D0%BD%D0%B8%D1%86%D0%B8%D0%BF%D0%B0%D0%BB%D1%8C%D0%BD%D0%B0%D1%8F%20%D0%BF%D1%80%D0%BE%D0%B3%D1%80%D0%B0%D0%BC%D0%BC%D0%B0%20%D0%B1%D0%BB%D0%B0%D0%B3%D0%BE%D1%83%D1%81%D1%82%D1%80%D0%BE%D0%B9%D1%81%D1%82%D0%B2%D0%BE.pdf</t>
  </si>
  <si>
    <t>http://адм-тамань.рф/index.php?option=com_attachments&amp;task=download&amp;id=2446</t>
  </si>
  <si>
    <t>http://admsennaya.krd.eis1.ru/perechen_program_2022</t>
  </si>
  <si>
    <t>https://admkrasnostrelskaya.ru/index.php?id=29&amp;page=celprog</t>
  </si>
  <si>
    <t>http://golubitskoe.ru/%D0%B4%D0%BE%D0%BA%D1%83%D0%BC%D0%B5%D0%BD%D1%82%D1%8B/postanovlenija/%D0%BF%D0%BE%D1%81%D1%82%D0%B0%D0%BD%D0%BE%D0%B2%D0%BB%D0%B5%D0%BD%D0%B8%D1%8F-2022.html</t>
  </si>
  <si>
    <t>https://sochi.ru/gorodskaya-vlast/normativno-pravovyye-akty/?filter_npa%5Bcontent%5D=&amp;filter_npa%5Bnumber%5D=&amp;filter_npa%5Btype%5D=&amp;filter_npa%5Bdate_from%5D=&amp;filter_npa%5Bdate_to%5D=</t>
  </si>
  <si>
    <t>http://www.lspadmin.ru/images/Postanovleniya/2022/post_206_ot_29.12.22.doc</t>
  </si>
  <si>
    <t>https://severskoe.sevadm.ru/normotvorchestvo/munitsipalnye-programmy/?ELEMENT_ID=28924</t>
  </si>
  <si>
    <t>https://www.labinsk-city.ru/ru/doc/munitsipalnye-i-vedomstvennye-tselevye-programmy/?sphrase_id=2906</t>
  </si>
  <si>
    <t>http://безводное.рф/documents/1334.html</t>
  </si>
  <si>
    <t>https://gorod-kurganinsk.ru/upload/iblock/87a/fx7336gnp6q12ity86ecgzvon9648oq3/868%20%D0%BE%D1%82%2014.10.2022.pdf</t>
  </si>
  <si>
    <t>https://xn----7sbgmnkdubbgfcqtgegc.xn--p1ai/documents/1896.html</t>
  </si>
  <si>
    <t>http://октябрьское-адм.рф/documents/389.html</t>
  </si>
  <si>
    <t>https://xn----7sbbhib2aqbonkeww0u.xn--p1ai/documents/2576.html</t>
  </si>
  <si>
    <t>https://новоалексеевская.рф/documents/620.html</t>
  </si>
  <si>
    <t>http://www.admnovomysh.ru/images/postanovleniya/2020/post_220_ot_18.12.2020.docx</t>
  </si>
  <si>
    <t>http://xn----7sbbaibk7avopm4b4o.xn--p1ai/munitcipal-nye-programmy-ivanovskogo-sel-skogo-poseleniya-krasnoarmeyskogo-rayona-na-2021-2026-gody.html</t>
  </si>
  <si>
    <t>№ 322 от 25.08.2017 (в редакции от 30.12.2021 № 341; от 27.12.2022 № 327) ,https://www.poltavadm.ru/index.php/ru/pravotvorchestvo/munitsipalnye-pravovye-akty/455-postanovleniya</t>
  </si>
  <si>
    <t>https://razdolnaya-adm.ru/normativnye-dokumenty/2013-12-31-08-39-47/postanovleniya-2021/postanovlenie-172-ot-22-12-2021-goda-ob-utverzhdenii-vedomstvennoj-tselevoj-programmy-realizatsiya-initsiativnykh-proektov-v-razdolnenskom-selskom-poselenii-korenovskogo-rajona-na-2022-god</t>
  </si>
  <si>
    <t>https://proletarskoe.ru/images/phocagallery/2021/post-2021-N-175.doc</t>
  </si>
  <si>
    <t>http://www.platnirovskaja.ru/f_docs/rokvl21i4hdc/postanovlenie-administratsii-platnirovskogo-selskogo-poseleniya-korenovskogo-rayona-ot-24112022-g--258-ob-utverjdenii-vedomstvennoy-tselevoy-programmyi-realizatsiya-initsiativnyih-proektov-v-platnirovskom-selskom-poselenii-korenovskogo-rayona-na-2022.html</t>
  </si>
  <si>
    <t>https://zhuravskaja.ru/images/docs/2022/07/post2022_111.doc</t>
  </si>
  <si>
    <t>https://dyadkovskaya.ru/munitsipalnye-pravovye-akty/postanovleniya/postanovleniya-2021/11451-postanovlenie-ot-16-12-2021-g-206-ob-utverzhdenii-vedomstvennoj-tselevoj-programmy-realizatsiya-initsiativnykh-proektov-v-dyadkovskom-selskom-poselenii-korenovskogo-rajona-na-2022-god-2</t>
  </si>
  <si>
    <t>https://disk.yandex.ru/i/pELIk2qfIWxV6w</t>
  </si>
  <si>
    <t>https://челбасская.рф/wp-content/uploads/2023/04/----155-ot-20.10.2020-MP-Razvitie-ZHKH.doc</t>
  </si>
  <si>
    <t>https://www.adm-kavkaz.ru/munitsipalnye-pravovye-akty/munitsipalnye-programmy/arkhiv/aktualnye-redaktsii-2022-god/6746-postanovlenie-ot-23-12-2022-g-366-o-vnesenii-izmenenij-v-postanovlenie-administratsii-kavkazskogo-selskogo-poseleniya-kavkazskogo-rajona-ot-13-noyabrya-2014-goda-482-ob-utverzhdenii-munitsipalnoj-programmy-razvitie-toplivno-energeticheskogo-kompleksa</t>
  </si>
  <si>
    <t>https://пшехское.рф/dokumenty/programmy/39112/?sphrase_id=28428</t>
  </si>
  <si>
    <t>https: // armavir.3nv.ru</t>
  </si>
  <si>
    <t>http://udora.info/ekonomika-rajona/sp-i-mp/3151-munitsipalnye-programmy-mo-mr-udorskij</t>
  </si>
  <si>
    <t>https://usinsk.gosuslugi.ru/deyatelnost/napravleniya-deyatelnosti/ekonomika-i-predprinimatelstvo/sotsialno-ekonomicheskoe-razvitie/munitsipalnye-programmy/</t>
  </si>
  <si>
    <t>https://disk.yandex.ru/i/yLKKaasAeGiPEg,https://ustvymskij.ru/index.php/upravlenie-po-organizatsionnoj-rabote/postanovleniya/postanovleniya-2020</t>
  </si>
  <si>
    <t>www.сысола-адм.рф/area/12-1674_19.pdf, www.сысола-адм.рф/area/12_1697_r.pdf, www.сысола-адм.рф/area/12-1719.pdf</t>
  </si>
  <si>
    <t>http://воркута.рф/about/str/department-of-economy/munitsipalnye-programmy-2022-goda/files/%D0%9F%D0%BE%D1%81%D1%8270.pdf</t>
  </si>
  <si>
    <t>https://kojgorodok.ru/economy/ctrategiya/munitsipalnyie-programmyi/</t>
  </si>
  <si>
    <t>https://kortkeros-r11.gosweb.gosuslugi.ru/glavnoe/ob-okruge/munitsipalnye-programmy-mo-mr-kortkerosskiy-2022-2025/</t>
  </si>
  <si>
    <t>Муниципальная программа "Развитие образования в Княжпогостском районе", утверждена постановлением АМР "Княжпогостский" от 30.12.2020 № 743; Муниципальная программа "Развитие отрасли "Культура" в Княжпогостском районе", утверждена постановлением АМР "Княжпогостский" от 25.12.2020 № 734</t>
  </si>
  <si>
    <t>http://www.adminta.ru/city/ekonomika/strategicheskoe-upravlenie/munitsipalnye-programmy/obshchestvennye-obsuzhdeniya/14101/</t>
  </si>
  <si>
    <t>https://киров.рф/upload/medialibrary/710/uf821n0hq6j15ykgmn3sq579rgc00s55/для%20публикации.pdf</t>
  </si>
  <si>
    <t>Информация в интернете не размещалась</t>
  </si>
  <si>
    <t>https://www.kaluga-gov.ru/uprava/munitsipalnye-programmy/perechen-programm/grazhdanskaya-initsiativa/</t>
  </si>
  <si>
    <t>https://admdetchino.ru/2022/11/12887/</t>
  </si>
  <si>
    <t>https://gvardeysk.gov39.ru/files/dokumentu/normativnue-pravovue-aktu/2018-postanovlenia/1565_21122018.rar</t>
  </si>
  <si>
    <t>https://светлый.рф/postanovlenie-№-1179-ot-29-12-2022-g/</t>
  </si>
  <si>
    <t xml:space="preserve">https://cherinfo-doc.ru/documents/postanovlenie-merii-goroda-cherepovca-ot-26.10.2021-4132-ob-utverzhdenii-municipalnoj-programmy-osucshestvlenie-byudzhetnyh-investicij-v-socialnuyu-kommunalnuyu-transportnuyu-infrastruktury-i-kapitalnyj-remont-obektov-municipalnoj-sobstvennosti-
https://cherinfo-doc.ru/decree/90821-postanovlenie-merii-goroda-cerepovca-ot-19102017-no-5027-ob-utverzdenii-municipalnoj-programmy-formirovanie-sovremennoj-gorodsko
https://cherinfo-doc.ru/documents/postanovlenie-merii-goroda-cherepovca-ot-28.10.2021-4149-ob-utverzhdenii-municipalnoj-programmy-razvitie-zhilicshno-kommunalnogo-hozyajstva-goroda-cherepovca-na-2022-2024-gody
</t>
  </si>
  <si>
    <t>http://www.adm-vyaz.ru/tinybrowser/files/administratciya/postanovleniya/2022/12_3/P_1593_22.doc</t>
  </si>
  <si>
    <t xml:space="preserve">https://admsud.ru/kontrolno-ekonomicheskoe-upravlenie/otdel-ekonomiki-i-selskogo-hozyaystva/municipalnye-programmy/perechen-municipalnyh-programm/3237-reestr-municipalnyh-programm-na-2017-g.html#here
</t>
  </si>
  <si>
    <t>https://yakov-go.ru/media/site_platform_media/2021/7/5/postanovlenie--121-ot-05032021-g.pdf</t>
  </si>
  <si>
    <t>https://rovenkiadm.gosuslugi.ru/deyatelnost/proekty-i-programmy-rovenskogo-rayona/razvitie-obschestvennogo-samoupravleniya/</t>
  </si>
  <si>
    <t>https://volokonovskij-r31.gosweb.gosuslugi.ru/deyatelnost/napravleniya-deyatelnosti/strategicheskoe-planirovanie/munitsipalnye-programmy/dokumenty-10_3817.html</t>
  </si>
  <si>
    <t>Непрограммная часть бюджета</t>
  </si>
  <si>
    <t>https://vejdelevskij-r31.gosweb.gosuslugi.ru/deyatelnost/munitsipalnye-programmy/programma-13/</t>
  </si>
  <si>
    <t>https://www.arhcity.ru/?page=1906/1</t>
  </si>
  <si>
    <t>Муниципальная программа «Развитие образования»</t>
  </si>
  <si>
    <t xml:space="preserve">1.Постановление Администрации муниципального образования Ямальский район от 01.11.2019 №885 "Развитие физической культуры и спорта";               2.Постановление Администрации муниципального образования Ямальский район от 01.11.2019 № 891 "Основные направления развития культуры";   3.Постановление Администрации муниципального образования Ямальский район от 31.10.2019 года № 872 "Обеспечение качественными услугами жилищно-коммунального хозяйства";                       4.Постановление Администрации муниципального образования Ямальский район от 01.11.2019 года № 887 "Развитие образования";  </t>
  </si>
  <si>
    <t>Муниципальная  программа муниципального округа Приуральский район ЯНАО "Основные направления развития культуры", муниципальная программа муниципального округа Приуральский район Ямало-Ненецкого автономного округа "Обеспечение качественными услугами жилищно-коммунального хозяйства", муниципальная программа муниципального округа Приуральский район Ямало-Ненецкого автономного округа «Развитие основных направлений молодежной политики, туризма, организации отдыха и оздоровления детей и молодежи»</t>
  </si>
  <si>
    <t xml:space="preserve">1. Муниципальная программа "Основные направления развития культуры и молодежной политики"   2. Муниципальная программа "Развитие жилищно-коммунального комплекса и транспортной инфраструктуры"
2. Муниципальная программа "Развитие системы образования"     </t>
  </si>
  <si>
    <t>Постановление Администрации Надымского района от 25.12.2020 № 237-пк «Об утверждении муниципальной программы муниципального округа Надымский район Ямало-Ненецкого автономного округа «Обеспечение качественными услугами жилищно-коммунального хозяйства» (с изменениями); Постановление Администрации Надымского района от 11.12.2020 № 145-пк "Об утверждении муниципальной программы муниципального округа Надымский район Ямало-Ненецкого автономного округа "Основные направления развития культуры"(с изменениями).</t>
  </si>
  <si>
    <t>Постановление Администрации города от 20 декабря 2017 года № 2483 «Об утверждении муниципальной программы  «Формирование городской среды и развитие транспортной инфраструктуры»
Постановление Администрации города Губкинского от 16 января 2020 года № 33 "Об утверждении муниципальной программы "Развитие культуры"
Постановление Администрации города Губкинского от 27 января 2020 года № 80 «Об утверждении муниципальной программы «Развитие физической культуры и спорта»
Постановление Администрации города Губкинского от 22 ноября 2013 года № 2911 «Об утверждении муниципальной программы «Развитие образования»</t>
  </si>
  <si>
    <t>1. Муниципальная программа "Развитие образования"; 2. Муниципальная программа "Основные направления развития культуры муниципального образования"; 3. Муниципальная программа "Молодежь города Муравленко"; 4. Муниципальная программа "Благоустройство территории города"; 5. Муниципальная программа "Развитие туризма на территории муниципального образования город Муравленко"; 6.Муниципальная программа "Безопасность дорожного движения"</t>
  </si>
  <si>
    <t>Муниципальная программа "Повышение уровня здоровья и безопасности условий жизни населения города Ноябрьска", Муниципальная программа "Развитие молодежной политики" , Муниципальная программа "Сохранение и развитие культуры города Ноябрьска", Муниципальная программа "Развитие физической культуры и спорта, формирование здорового образа жизни населения в городе Ноябрьске", Муниципальная программа "Повышение уровня жизнеобеспечения муниципального образования город Ноябрьск"</t>
  </si>
  <si>
    <t>МП "Благоустройство и развитие транспортного комплекса на территории муниципального образования город Новый Урегой", утверждена постановлением от 03.09.2021 № 367 "О внесении изменений в постановление Администрации города Новый Уренгой от 30.10.2017 № 356 (в редакции постановления Администрации города Новый Уренгой от 13.05.2022 №183), МП "Развитие городского хозяйства" утверждена постановлением от 30.06.2022 №252 "Овнесении изменений в постановление Администрации города Новый Уренгой от 01.11.2013 № 362, МП "Дети и молодежь. Развитие гражданского общества", утверждена постановлением от 30.06.2022 №252 " О внесении изменений в постановление Администрации города Новый Уренгой от 01.11.2013 №362, МП "Развитие системы образования, утверждена постановлением Администрации города Новый Уренгой от 31.10.2013 № 361</t>
  </si>
  <si>
    <t>Постановление Администрации города Лабытнанги от 12.05.2022 № 719 "Об утверждении детализированного перечня мероприятий на 2022 год направления «Реализация проектов местных инициатив населения муниципального образования городской округ город Лабытнанги Ямало-Ненецкого автономного округа» 
муниципальной программы муниципального образования городской округ город Лабытнанги Ямало-Ненецкого автономного округа «Поддержка местных инициатив», утверждённой постановлением Администрации города Лабытнанги от 25.12.2019 № 1717"</t>
  </si>
  <si>
    <t>Постановление Администрации МО город Салехард от 14.06.2022 г. № 1477 "Об утверждении муниципальной программы "Обеспечение благоустройства территории города и охрана окружающей среды" на 2022 - 2026 годы";
Постановление Администрации МО город Салехард от 28.06.2022 г. № 1658 "Об утверждении муниципальной программы муниципального образования город Салехард "Развитие образования" на 2022 - 2026 годы"</t>
  </si>
  <si>
    <t>Муниципальная программа "Благоустройство населенных пунктов Ханты-Мансийского района на 2022-2025 годы", утвержденной постановлением администрации Ханты-Мансийского района от 14.12.2021 №338</t>
  </si>
  <si>
    <t>Постановление администрации Нижневартовского района от 26.10.2018 № 2452 "Об утверждении муниципальной программы "Жилищно-коммунальный комплекс и городская среда в Нижневартовском районе"</t>
  </si>
  <si>
    <t>1. Постановление администрации Сургутского района от 19.01.2021 № 149-нпа "Об утверждении муниципальной программы Сургутского района "Повышение эффективности управления муниципальными финансами";
2. Постановление администрации Сургутского района от 18.01.2021 № 137-нпа "Об утверждении муниципальной программы Сургутского района "Образование Сургутского района".
3. Постановление администрации Сургутского района от 22.01.2023 № 198-нпа "Об утверждении муниципальной программы Сургутского района «Физическая культура, спорт и туризм Сургутского района».
4.  Постановление администрации Сургутского района от 19.01.2023 № 143-нпа "Об утверждении муниципальной программы Сургутского района «Культура Сургутского района»</t>
  </si>
  <si>
    <t>"Развитие жилищно-коммунального комплекса и повышение энергетической эффективности в городе Нефтеюганске"; "Социально-эконочисекое развитие города Нефтеюганска"</t>
  </si>
  <si>
    <t xml:space="preserve">муниципальная 
программа «Создание условий для комфортного 
проживания жителей сельского поселения Леуши 
на 2020 - 2025 годы и на период до 2030 года» утвержденная Постановлением администрации сельского поселения Леуши  от 30.12.2019 № 262 "О 
муниципальная программа «Создание условий для комфортного  проживания жителей сельского поселения Леуши на 2020 - 2025 годы и на период до 2030 года» </t>
  </si>
  <si>
    <t xml:space="preserve">Муниципальная программа
«Благоустройство муниципального образования 
сельское поселение Шугур на 2020-2026 годы» 
</t>
  </si>
  <si>
    <t xml:space="preserve">муниципальная программа «Развитие транспортной системы  Кондинского района на 2019-2025 годы и на период до 2030 года», утвержденная постановлением администрации Кондинского района от 22 октября 2018 года № 2058
</t>
  </si>
  <si>
    <t>"Создание и условие для комфортного проживания жителей городского поселения Мортка на 2021-2025 годы и на период до 2030 года" Подпрограмма Прочее Благоустройство</t>
  </si>
  <si>
    <t>Муниципальная программа «Развитие дорожного и жилищного хозяйства, благоустройство муниципального образования городское поселение Луговой на 2019-2025 годы и на период до 2030 года»</t>
  </si>
  <si>
    <t>Благоустройство муниципального образования городское поселение Кондинское на 2019 – 2025 годы и на период до 2030 года</t>
  </si>
  <si>
    <t>Формирование комфортной городской среды в Кондинском районе на 2018-2024 годы</t>
  </si>
  <si>
    <t>Муниципальная программа Развитие гражданского общества в Кондинском районе на 2019-2025 годы и на период до 2030 года, утвержденная постановлением администрации Кондинсколго района от 29.10.2018 №2132</t>
  </si>
  <si>
    <t xml:space="preserve">Постановление администрации города Нижневартовска от 17.09.2014 № 1858 "Об утверждении муниципальной программы "Развитие образования города Нижневартовска", Постановление администрации города Нижневартовска от 02.10.2017 №1474 "Об утверждении муниципальной программы "Формирование современной городской среды в муниципальном образовании город Нижневартовск". </t>
  </si>
  <si>
    <t>1) Постановление Администрации г. Сургута от 13 декабря 2013 г. N 8974 
"Об утверждении муниципальной программы "Молодежная политика Сургута на период до 2030 года";
2) Постановление Администрации г. Сургута от 29 декабря 2017 г. N 11725 
"Об утверждении муниципальной программы "Формирование комфортной городской среды на период до 2030 года";
3) Постановление Администрации г. Сургута от 12 декабря 2013 г. N 8954 
"Об утверждении муниципальной программы "Развитие гражданского общества в городе Сургуте на период до 2030 года"</t>
  </si>
  <si>
    <t xml:space="preserve">Муниципальная программа "Развитие гражданского общества в Березовском районе", Подпрограмма 1 «Создание условий для развития гражданских инициатив». </t>
  </si>
  <si>
    <t xml:space="preserve">Муниципальная программа "Поддержка и развитие общественных инициатив и социально ориентированных некоммерческих организаций"; Муниципальная программа "Развитие физической культуры и спорта"
</t>
  </si>
  <si>
    <t xml:space="preserve">постановление администрации города от 25.12.2018 № 2862 «Об утверждении муниципальной программы «Формирование современной городской среды города Мегиона на 2019 – 2025 годы» </t>
  </si>
  <si>
    <t xml:space="preserve">муниципальные программы «Развитие жилищно-коммунального комплекса и
повышение энергетической эффективности в городе Урай» на 2019-2030 годы, "Культура города Урай" </t>
  </si>
  <si>
    <t>Муниципальная программа городского округа "Город Хабаровск" «Развитие гражданского общества в городском округе «Город Хабаровск» на 2021 - 2030 годы, утверждена постановлением администрации города Хабаровска от 31.01.2018 № 3046</t>
  </si>
  <si>
    <t>"Развитие образования в городе Тюмени на 2021-2026 годы",
"Развитие культуры и искусства в городе Тюмени на 2021-2026 годы",
"Реализация молодежной политики в городе Тюмени "Молодежь Тюмени" на 2021-2026 годы",
"Развитие благоустройства и охраны окружающей среды в городе Тюмени на 2021-2026 годы"</t>
  </si>
  <si>
    <t>муниципальная программа "Обеспечение доступным и комфортным жильем и коммунальными услугами граждан г. Уварово Тамбовской области ", утвержденная постановлением администрации города Уварово от 17.12.2013г. № 2221, и муниципальная программа "Формирование комфортной городской среды в городе Уварово", утвержденная постановлением администрации города Уварово от 30.03.2018 №325 , муниципальная программа "Совершенствования и развития сети автомобильных дорог города Уварово Тамбовской области на 2014 - 2016 годы и на период до 2020 года", утвержденная 18.12.2013г.</t>
  </si>
  <si>
    <t>Муниципальная программа города-курорта Пятигорска "Развитие жилищно-коммунального хозяйства, градостроительства, строительства и архитектуры"</t>
  </si>
  <si>
    <t>Муниципальная программа Предгорного муниципального округа Ставропольского края «Управление финансами и имуществом»</t>
  </si>
  <si>
    <t>Муниципальная программа Петровского городского округа Ставропольского края «Развитие транспортной системы и обеспечение безопасности дорожного движения»</t>
  </si>
  <si>
    <t>"Развитие жилищно-комунального хозяйства", "Социальное развитие" "Развитие транспортной системы и обеспечение безопасности дорожного движения" "Развитие образования"</t>
  </si>
  <si>
    <t>Муниципальная программа Новоселицкого муниципального округа СК "Осуществление местного самоуправления в Новоселицком муниципальном округе Ставропольского края" подпрограмма "Благоустройство территории Новоселицком муниципальном округе Ставропольского края"</t>
  </si>
  <si>
    <t>«Благоустройство населенных пунктов Новоалександровского района и улучшение условий проживания населения»</t>
  </si>
  <si>
    <t>Муниципальная программа Нефтекумского городского округа Ставропольского края "Развитие жилищно-коммунального хозяйства и улучшение жилищных условий"</t>
  </si>
  <si>
    <t>муниципальная программа "Развитие образования в городе Невинномысске", утвержденная постановлением администрации города Невинномысска от 15.11.2019 N 2137</t>
  </si>
  <si>
    <t>Муниципальная программа Курского муниципального округа Ставропольского края "Формирование современной городской среды"</t>
  </si>
  <si>
    <t>Непрограммные мероприятия</t>
  </si>
  <si>
    <t>Муниципальная программа "Благоустройство населенных пунктов и формирование современной городской среды на территории Кочубеевского муниципального округа Ставропольского края"</t>
  </si>
  <si>
    <t>Муниципальная программ "Развитие жилищно-коммунального хозяйства", подпрограмма "Благоустройство города-курорта Кисловодска"</t>
  </si>
  <si>
    <t>Муниципальная программа благоустройства територии Кировского городского округа</t>
  </si>
  <si>
    <t>Муниципальная программа "Малое село Ипатовского городского округа Ставропольского края"- Постановление АИГО СК от 11 апреля 2019г №636
Муниципальная программа "Развитие транспортной системы и обеспечение безопасности дорожного движения Ипатовского городского округа Ставропольского края" - Постановление АИГО СК от 17 декабря 2020 г №1699;
Муниципальная программа "Развитие образования в Ипатовском городском округе Ставропольского края" - Постановление АИГО СК от 18 декабря 2020 г №1705;</t>
  </si>
  <si>
    <t xml:space="preserve">Постановление администрации Изобильненского городского округа Ставропольского края от 24 декабря 2020 г. № 1852 Об утверждении муниципальной программы Изобильненского городского округа Ставропольского края «Развитие образования», Постановление администрации Изобильненского городского округа Ставропольского края от 30 декабря 2020 г. № 1894 Об утверждении муниципальной программы Изобильненского городского округа Ставропольского края «Развитие транспортной системы и обеспечение безопасности дорожного движения», Постановление администрации Изобильненского городского округа Ставропольского края от 30 декабря 2020 г. № 1888 Об утверждении муниципальной программы Изобильненского городского округа Ставропольского края «Сохранение и развитие культуры»
</t>
  </si>
  <si>
    <t>Муниципальная программа Георгиевского городского округа Ставропольского края «Развитие муниципального образования и повышение открытости администрации Георгиевского городского округа Ставропольского края»</t>
  </si>
  <si>
    <t>Муниципальная программа Георгиевского городского округа Ставропольского края "Развитие жилищно-коммунального и дорожного хозяйства, благоустройство Георгиевского городского округа Ставропольского края"</t>
  </si>
  <si>
    <t xml:space="preserve">постановление администрации Благодарненского городского округа Ставропольского края от 30 декабря 2021 года № 1446 "Об утверждении муниципальной программы Благодарненского городского округа Ставропольского края "Развитие жилищно-коммунального хозяйства и дорожной инфраструктуры" на 2022 год и плановый период 2023-2024 годов", дата вступления в силу 01.01.2022г.  Постановление администрации Благодарненского городского округа Ставропольского края от 14 февраля 2022 года № 140  "О внесении изменений в постановление администрации Благодарненского городского округа Ставропольского края от 30 декабря 2021 года № 1446 "Об утверждении муниципальной программы Благодарненского городского округа Ставропольского края "Развитие жилищно-коммунального хозяйства и дорожной инфраструктуры" на 2022 год и плановый период 2023-2024 годов", Постановление администрации Благодарненского городского округа Ставропольского края от 14 февраля 2022 года № 165  "О внесении изменений в постановление администрации Благодарненского городского округа Ставропольского края от 30 декабря 2021 года № 1446 "Об утверждении муниципальной программы Благодарненского городского округа Ставропольского края "Развитие жилищно-коммунального хозяйства и дорожной инфраструктуры" на 2022 год и плановый период 2023-2024 годов"    </t>
  </si>
  <si>
    <t>Подпрограмма «Инициативные проекты граждан» муниципальной программы «Формирование современной городской среды»</t>
  </si>
  <si>
    <t>Муниципальная программа Александровского муниципального округа Ставропольского края "Создание комфортных условий проживания населения"</t>
  </si>
  <si>
    <t>"Развитие системы образования в Асбестовском городском городском округе до 2024 года", "Развитие культуры в Асбестовском городском округе до 2024 года", "Комплексное развитие сельских территоий Асбестовского городского округа до 2024 года"</t>
  </si>
  <si>
    <t>Муниципальная Программа «Реализация мероприятий по поддержке общественного проекта развития территории сельского поселения Старопохвистнево», утвержденная постановлением от 03.08.2020 №75</t>
  </si>
  <si>
    <t>Муниципальная Программа «Реализация мероприятий по поддержке общественного проекта развития территории сельского поселения Малое ибряйкино», утвержденная постановлением от 03.08.2020 №78</t>
  </si>
  <si>
    <t>Муниципальная Программа «Реализация мероприятий по поддержке общественного проекта развития территории сельского поселения Красные Ключи», утвержденная постановлением от 31.07.2020 №50</t>
  </si>
  <si>
    <t>30.12.2021 г. №71</t>
  </si>
  <si>
    <t xml:space="preserve"> «Поддержка местных инициатив в сельском поселении Малая Малышевка муниципальном районе Кинельский Самарской области на 2021-2025 годы»</t>
  </si>
  <si>
    <t>Муниципальная программа "Благоустройство сельского поселения Черновка муниципального района Кинель-Черкасский Самарской области" на 2019-2027 годы</t>
  </si>
  <si>
    <t>Муниципальная программа "Благоустройство территории сельского поселения Тимашево муниципального района Кинель-Черкасский Самарской области" на 2019-2027 годы</t>
  </si>
  <si>
    <t>Муниципальная программа «Благоустройство территории сельского поселения Садгород муниципального района Кинель-Черкасский Самарской области» на 2019-2027 годы</t>
  </si>
  <si>
    <t>Муниципальная программа "Благоустройство территории сельского поселения Подгорное Кинель-Черкасского района Самарской области"</t>
  </si>
  <si>
    <t>Муниципальная программа "Благоустройство территории сельского поселения Новые Ключи Кинель-Черкасского района Самарской области» на 2019-2027 годы</t>
  </si>
  <si>
    <t>Муниципальная программа «Благоустройство территории сельского поселения Муханово Кинель-Черкасского района Самарской области» на 2018-2026 годы</t>
  </si>
  <si>
    <t>Муниципальная программа "Благоустройство сельского поселения Кротовка муниципального района Кинель-Черкасский Самарской области" на 2019-2027 годы</t>
  </si>
  <si>
    <t xml:space="preserve"> Муниципальная программа «Благоустройство территории сельского поселения Красная Горка Кинель-Черкасского района Самарской области» на 2018-2026 годы</t>
  </si>
  <si>
    <t>Муниципальная программа  "Развитие культуры, молодежной политики, физической культуры и спорта на территории сельского поселения Кинель-Черкассы муниципального района Кинель-Черкасский Самарской области" на 2019-2027 годы</t>
  </si>
  <si>
    <t>Муниципальная программа "Благоустройство населенных пунктов сельского поселения Кинель-Черкассы муниципального района Кинель-Черкасский Самарской области" на 2019-2027 годы</t>
  </si>
  <si>
    <t>Муниципальная программа "Благоустройство территории сельского поселения Кабановка муниципального района Кинель-Черкасский Самарской области" на 2019-2027 годы</t>
  </si>
  <si>
    <t>Муниципальная программа "Благоустройство территории сельского поселения Ерзовка муниципального района Кинель-Черкасский Самарской области" на 2019-2027 годы</t>
  </si>
  <si>
    <t>Муниципальная программа"Благоустройство территории сельского поселения Березняки Кинель-Черкасского района Самарской области" на 2019-2027 годы</t>
  </si>
  <si>
    <t xml:space="preserve"> Муниципальная программа "Благоустройство территории сельского поселения Александровка муниципального района Кинель-Черкасский Самарской  области" на 2019-2027 годы</t>
  </si>
  <si>
    <t>Муниципальная программа "Улучшение экологической ситуации на территории Кинель-Черкасского района Самарской области" на 2016-2027 годы</t>
  </si>
  <si>
    <t>Муниципальная программа "Комплексные меры по профилактике правонарушений и преступлений на территории Кинель-Черкасского района Самарской области" на 2019-2027 годы</t>
  </si>
  <si>
    <t>Муниципальная программа "Сохранение и развитие культуры Кинель-Черкасского района Самарской области на 2022-2027 годы</t>
  </si>
  <si>
    <t>Постановление администрации сельского поселения исаклы от 27.12.2021г. №164 "О внесении изменений в муниципальную Программа администрации сельского поселения "Развитие жилищно-коммунального хозяйства на территории сельского поселения Исаклы муниципального района Исаклинский Самарской области на 2019 -2024 годы"</t>
  </si>
  <si>
    <t xml:space="preserve">Постановление администрации городского округа Тольятти от 24.03.2015 № 905-п/1 "Об утверждении муниципальной программы "Благоустройство территории городского округа Тольятти на 2015 - 2024 годы";   Постановление администрации городского округа Тольятти Самарской области от 21.09.2018 № 2799-п/1 "Об утверждении муниципальной программы "«Культура Тольятти на 2019-2023 годы»"
</t>
  </si>
  <si>
    <t>Устав Кировского внутригородского района г.о.Самара</t>
  </si>
  <si>
    <t xml:space="preserve">Муниципальная программа «Поддержка общественных инициатив граждан и социально ориентированных некоммерческих организаций в городском округе Похвистнево» на 2016-2025 годы, утвержденной постановлением Администрации городского округа Похвистнево от 16.10.2015 №1505. </t>
  </si>
  <si>
    <t xml:space="preserve">Муниципальная программа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2022-2024 годы»
</t>
  </si>
  <si>
    <t>Муниципальные программы: "Комплексное развитие сельских территорий", "Обеспечение качественными жилищно-коммунальными услугами"</t>
  </si>
  <si>
    <t xml:space="preserve">МП "Комплексное развитие сельских территорий Уссурийского городского округа на 2020-2024 годы, МП "Развитие культуры и искусства Уссурийского городского округа на 2017-2024 годы", МП "Развитие системы обрпазования Уссурийского городского округа на 2022-2027 годы", </t>
  </si>
  <si>
    <t>Формирование современной городской среды на территории Лесозаводского городского округа на 2021-2027 годы</t>
  </si>
  <si>
    <t>Муниципальная программа Дальнереченского муниципального района "Развитие образования на территории Дальнереченского муниципального района на 2020-2024 годы"</t>
  </si>
  <si>
    <t>Муниципальная  программа "Благоустройство территории городского округа Спасск-Дальний на 2021-2024 годы", Подпрограмма «Благоустройство городского округа Спасск-Дальний»</t>
  </si>
  <si>
    <t>Постановление администрации Артемовского городского округа от 28.12.2017 № 1622-па  «Об утверждении муниципальной программы «Формирование современной городской среды Артемовского городского округа»</t>
  </si>
  <si>
    <t>Постановление администрации г. Перми от 18.10.2021 № 887 "Об утверждении муниципальной программы "Общественное согласие"</t>
  </si>
  <si>
    <t>Обеспечение взаимодействия общества и власти на территории муниципального образования "Городской округ- город Кудымкар", утверждена постанолвением администарции города Кудымкара от 28.01.2020 № 64-01-04</t>
  </si>
  <si>
    <t>Муниципальная программа "Развитие сферы культуры"</t>
  </si>
  <si>
    <t>Муниципальная программа "Взаимодействие общества и власти"</t>
  </si>
  <si>
    <t>Постановление администрации города Пензы от 03.10.2019 N 1915 "Об утверждении муниципальной программы "Развитие территориального общественного самоуправления в городе Пензе и поддержка местных инициатив на 2020 - 2026 годы"</t>
  </si>
  <si>
    <t>Муниципальная программа "Устойчивое развитие территории муниципального образования Бакаевский сельсовет Северного района Оренбургской области на 2021-2026 годы"</t>
  </si>
  <si>
    <t>Муниципальная программа "Устойчивое развитие территории муниципального образования Курманаевский сельсовет Курманаевского района Оренбургской области на 2019-2024 годы"</t>
  </si>
  <si>
    <t>Муниципальная программа "Устойчивое развитие территории муниципального образования Кутушинский сельсовет Курманаевского района Оренбургской области на 2019-2024 годы"</t>
  </si>
  <si>
    <t>Муниципальная программа «Развитие системы образования Тюльганского Района на 2021 - 2026 годы»</t>
  </si>
  <si>
    <t>Муниципальная программа «Управление муниципальными финансами и муниципальным долгом Тоцкого района»</t>
  </si>
  <si>
    <t>"Развитие системы образования Ташлинского района Оренбургской области" на 2019-2024 годы  
Подпрограмма "Развитие общего образования в Ташлинском районе"</t>
  </si>
  <si>
    <t xml:space="preserve">"Развитие дошкольного образования, общего образования, дополнительного образования в сфере общего развития Первомайского района Оренбургской области" </t>
  </si>
  <si>
    <t>постановление администрации муниципального образования Оренбургский район от 10.10.2018 № 2002-п «Об утверждении муниципальной программы «Развитие системы образования Оренбургского района» на 2019 -2024 годы»( с изменениями и дополнениями)</t>
  </si>
  <si>
    <t>постановление  администрации муниципального образования Оренбургский район от 01.10.2018 № 1932-п «Об утверждении муниципальной программы «Управление муниципальными финансами и муниципальным долгом муници-пального образования Оренбургский район» на 2019-2024 годы»( с изменениями и дополнениями)</t>
  </si>
  <si>
    <t xml:space="preserve">Постановление от 15.10.2018 № 621-п Об утверждении муниципальной программы «Управление муниципальными финансами и муниципальным долгом муниципального образования
Красногвардейский район»
</t>
  </si>
  <si>
    <t>Постановление от 14.11.2018 №641п</t>
  </si>
  <si>
    <t>Постановление администрации Бузулукского района от 16.12.2022г. №1344-п «Об утверждении муниципальной программы «Развитие системы образования Бузулукского района»</t>
  </si>
  <si>
    <t>Постановление администрации Бузулукского района от 17.12.2018г. №1510-п «Об утверждении муниципальной программы "Управление муниципальными  финансами и муниципальным  долгом Бузулукского районУправление муниципальными  финансами и муниципальным  долгом Бузулукского район"» (с изменениями и дополнениями от 23.03.2022г №232-п)</t>
  </si>
  <si>
    <t>Организация муниципального управления в муниципальном образовании "Асекеевский район"</t>
  </si>
  <si>
    <t>МП "Управление муниципальными финансами и муниципальным долгом"</t>
  </si>
  <si>
    <t>Управление муниципальными финансами Акбулакского района Оренбургской области</t>
  </si>
  <si>
    <t>Постановление от 16.05.2022 №741-п №Об утверждении муниципальной программы "Развития образования на территории муниципального образования Ясненский городской округ"</t>
  </si>
  <si>
    <t>Муниципальная программа "Развитие системы образования в Сорочинском городском округе Оренбургской области"</t>
  </si>
  <si>
    <t>Муниципальная программа "Комплексное развитие жилищно-коммунального хозяйства, благоустройства и реализация жилищной политики на территории муниципального образования "город Оренбург"</t>
  </si>
  <si>
    <t>Муниципальная программа "Развитие системы образования города Медногорска на 2019–2024 годы"</t>
  </si>
  <si>
    <t xml:space="preserve"> «Молодежь Гайского городского округа»</t>
  </si>
  <si>
    <t>Муниципальная программа «Развитие  жилищно-коммунального и дорожного хозяйства, градостроительства, строительства и архитектуры в городе Бузулуке»</t>
  </si>
  <si>
    <t>Муниципальная программа «Образование города Бузулука»</t>
  </si>
  <si>
    <t xml:space="preserve">Муниципальная программа «Развитие  жилищно-коммунального и дорожного хозяйства, градостроительства, строительства и архитектуры в городе Бузулуке» Подпрограмма  «Развитие сети автомобильных дорог  в городе Бузулуке» , Муниципальная программа  «Комплексное благоустройство территории и создание комфортных условий для проживания населения города Бузулука», Подпрограмма  «Комплексное благоустройство территории города Бузулука»    </t>
  </si>
  <si>
    <t>Постановление Администрации города Омска от 5 октября 2017 года № 1099-п "Об утверждении муниципальной программы города Омска "Формирование комфортной городской среды", Постановление Администрации города Омска от 14 октября 2013 года № 1169-п "Об утверждении муниципальной программы города Омска "Развитие физической культуры, спорта и молодежной политики"</t>
  </si>
  <si>
    <t>Муниципальная программа Кормиловского муниципального района Омской области "Развитие социально-культурной сферы Кормиловского муниципального района на 2021-2026 годы"</t>
  </si>
  <si>
    <t xml:space="preserve">Муниципальная программа Иваново-Мысского сельского поселения Тевризского муниципального района Омской области
"Развитие экономического потенциала и социально-культурной сферы"  (2021-2027 годы) </t>
  </si>
  <si>
    <t>Муниципальная программа "Комфортная городская среда" муниципального образования "город Бугуруслан"</t>
  </si>
  <si>
    <t>"Развитие образования в Окуловском муниципальном районе до 2026 года"</t>
  </si>
  <si>
    <t>Муниципальная программа "Развитие образования  Любытинского муниципального  района на 2014-2024 годы", утверждена постановлением Администрации Любытинского муниципального района от 25.01.2022 №65, Постановление Администрации Любытинского муниципального района от 01.02.2023 г. №86 "Об утверждении муниципальной программы Любытинского муниципального района "Развитие образования Любытинского муниципального района на 2019-2026 годы"</t>
  </si>
  <si>
    <t>Постановление Администрации Крестецкого муниципального района от 17.02.2020 №165 "Об утверждении муниципальной программы "Развития образования в Крестецком муниципальном районе до 2026 года"</t>
  </si>
  <si>
    <t>Муниципальная программа Великого Новгорода "Развитие муниципальной системы образования Великого Новгорода" на 2017-2025 годы</t>
  </si>
  <si>
    <t>Постановление администрации городского округа Семеновский Нижегородской области от 17.11.2017 № 2911 "Об утверждении муниципальной программы "Комплексное благоустройство и развитие дорожного хозяйства городского округа Семеновский Нижегородской области на 2018-2022 годы"</t>
  </si>
  <si>
    <t>Муниципальная программа "Развитие образования Кстовского муниципального округа" от 14.12.2022 №3610</t>
  </si>
  <si>
    <t>Муниципальная программа "Развитие сферы жилищно-коммунального хозяйства городского округа г. Бор", утвержденная постановлением администрации городского округа г. Бор от 08.11.2016 № 5214(в редакции Пост.№ 1890 от 29.03.2023)</t>
  </si>
  <si>
    <t>Муниципальная программа "Содержание и развитие дорожного хозяйства городского округа г. Бор", утвержденная постановлением администрации городского округа г. Бор от 08.11.2016 № 5215 (в редакции Пост.№ 1889 от 29.03.2023г.)</t>
  </si>
  <si>
    <t>Муниципальная программа "Развитие дорожного хозяйства Богородского муниципального округа Нижегородской области", Муниципальная программа "Улучшение качества жизни и обеспечение безопасности жителей Богородского муниципального округа Нижегородской области"</t>
  </si>
  <si>
    <t>Постановление администрации города Дзержинска от 15.12.2021 № 3814 "Об утверждении муниципальной  программы "Развитие физической культуры, спорта и молодежной политики" (с изменениями от 13.01.2023 №35).</t>
  </si>
  <si>
    <t>Муниципальная программа "Благоустройство территории Омсукчанского городского округа"</t>
  </si>
  <si>
    <t>«Поддержка общественных инициатив, содействие укреплению институтов гражданского общества в Тенькинском городском округе Магаданской области на 2021-2023 год»</t>
  </si>
  <si>
    <t>Постановление администрации города Джанкоя Республики Крым от 10.06.2019 № 275 "Об утверждении муниципальной программы городского округа Джанкой Республики Крым "Поддержка местных инициатив бюджетирования" (с изменениями)</t>
  </si>
  <si>
    <t>Постановление Администрации Далматовского района от 16 января 2020 г. № 30 "Об утверждении муниципальной программы Далматовского района "Комплексное развитие сельских территорий Далматовского района"</t>
  </si>
  <si>
    <t>Постановление администрации Сухобузимского района от 30.09.2013 №813-п "Об утверждении муниципальной программы Сухобузимского района "Управление муниципальными финансами", подпрограмма "Софинансирование гражданской инициативы"</t>
  </si>
  <si>
    <t>постановление администрации Северо-Енисейского района от 21.10.2013 № 514-п "Об утверждении муниципальной программы "Развитие местного самоуправления"</t>
  </si>
  <si>
    <t>Постановление администрации города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 на 2018–2024 годы"</t>
  </si>
  <si>
    <t>Непрограммные расходы</t>
  </si>
  <si>
    <t>Постановление админстрации Старощербиновского сельского поселения Щербиновского района от 14 октября 2019 г. № 357
«Об утверждении муниципальной программы Старощербиновского сельского поселения Щербиновского района "Комплексное развитие жилищно-коммунального хозяйства, энергосбережение и повышение энергетической эффективности Старощербиновского сельского поселения Щербиновского района"</t>
  </si>
  <si>
    <t>Постановление администрации Екатериновского сельского поселения Щербиновского района от 27 октября 2020 г. № 145 «Об утверждении муниципальной программы Екатериновского сельского поселения Щербиновского района «Комплексное развитие жилищно-коммунального хозяйства, энергосбережение и повышение энергетической эффективности Екатериновского сельского поселения Щербиновского района» (с изменениями от 23.11.2022 г. № 144)</t>
  </si>
  <si>
    <t>Постановление Администрации Тенгинского сельского поселения Усть-Лабинского района 
№ 59 от 30.07.2021 «Об утверждении ведомственной целевой программы Благоустройство территории Тенгинского сельского поселения Усть-Лабинского района на 2021-2023 год»</t>
  </si>
  <si>
    <t xml:space="preserve">Постановление № 59 от 23.04.2021 г. “О внесении изменение в постановление администрации Железного сельского поселения Усть-Лабинского района от 18 декабря 2020 года» № 144 « Об утверждении муниципальной программы Железного сельского поселения Усть-Лабинского района «Благоустройство территории Железного сельского поселения»” </t>
  </si>
  <si>
    <t>Постановление администрации Кирпильского сельского поселения Усть-Лабинского района от 18.10.2021 года №114 "Об утверждении муниципальной программы "Проведение мероприятий по благоустройству территорий поселения"</t>
  </si>
  <si>
    <t>№118 от 15.11.2021 Об утверждении ведомственной целевой программы «Проведение мероприятий по благоустройству территории Ленинского сельского поселения Усть-Лабинского района в  2022 году»</t>
  </si>
  <si>
    <t>от 08.11.2021 г. №239 "Об утверждении ведомственной целевой программы "Проведение мероприятий в рамках благоустройства территории Двубратского сельского поселения Усть-Лабинского района" на 2022 год</t>
  </si>
  <si>
    <t xml:space="preserve">Постановление администрации Роговского сельского поселения Тимашевского района от 21 декабря 2020 г. № 120
 «Об утверждении муниципальной программы  Роговского сельского поселения Тимашевского района «Благоустройство территории»  
на 2021-2023 годы" (в редакции от 02.11.2022 г.№ 147)
</t>
  </si>
  <si>
    <t xml:space="preserve">Муниципальная программа
Незаймановского сельского поселения Тимашевского района «Благоустройство территории Незаймановского сельского поселения Тимашевского района», утвержденная постановлением администрации Незаймановского сельского поселения Тимашевского райна от 18.04.2022 г. №25/1 "О внесении изменений в постановление администрации Незаймановского сельского поселения Тимашевского района от 29 декабря 2021 года № 145 «Об утверждении  муниципальной  программы Незаймановского сельского поселения Тимашевского района «Благоустройство территории Незаймановского сельского поселения Тимашевского района»
</t>
  </si>
  <si>
    <t>Постановление №456 от 12.12.22г. Администрации Таманского сельского поселения Темрюкского района "О внесении изменений в постановление администрации Таманского 
сельского поселения Темрюкского района от 9 сентября 2021 года № 246 
«Об утверждении муниципальной программы «Благоустройство 
территории Таманского сельского поселения Темрюкского района»</t>
  </si>
  <si>
    <t>Постановление №164 от 18.10.2021 Об утверждении муниципальной программы Сенного сельского поселения Темрюкского района «Благоустройство территории Сенного сельского поселения Темрюкского района»</t>
  </si>
  <si>
    <t>Муниципальная программа Краснострельского сельского поселения Темрюкского района "Развитие жилищно-коммунального хозяйства Краснострельского сельского поселения Темрюкского района" (постановление № 192 от 29.10.2021)</t>
  </si>
  <si>
    <t xml:space="preserve">Постановление администрации Запорожского сельского поселений Темрюкского района от 09.03.2022 № 45 "О внесении измененй в постановление администрации Запорожского сельского поселения Темрюкского района от 01.11.2021 № 190 "Об утверждении муниципальной программы "Благоустройство территории Запорожского сельского поселения Темрюкского района" </t>
  </si>
  <si>
    <t xml:space="preserve">Постановление администрации ГСП ТР от 25.02.2022 №30 "О внесении изменений в постановление администрации Голубицкого сельского поселения Темрюкского района от 8 октября 2014 года № 322 «Об утверждении муниципальной программы 
Голубицкого сельского поселения Темрюкского района «Развитие жилищно-коммунального хозяйства»
</t>
  </si>
  <si>
    <t>Муниципальная программа муниципального образования городской округ город-курорт Сочи Краснодарского края "Благоустройство территории города Сочи"</t>
  </si>
  <si>
    <t xml:space="preserve">от 16.01.2023 №  5 "Об утверждении муниципальной программы «Развитие инициативного бюджетирования в Григорьевском  сельском поселении Северского района на 2023 год»
</t>
  </si>
  <si>
    <t>Постановление администрации Львовского сельского поселения Северского района от 10.11.2020 № 124 "Об утверждении муниципальной программы "Благоустройство территории Львовского сельского поселения Северского района" на 2021 - 2023 годы"</t>
  </si>
  <si>
    <t>Постановление №386 от 02.11.2020
Об утверждении муниципальной программы Северского сельского поселения Северского района "Молодежь Северского сельского поселения" на 2021-2023 годы</t>
  </si>
  <si>
    <t>Постановление администрации муниципального образования город Новороссийск от 7 сентября 2018 года N 3560 "Об утверждении муниципальной программы "Развитие образования в городе Новороссийске на 2019 - 2024 годы" администрации муниципального образования город Новороссийск"
Постановление администрации муниципального образования город Новороссийск от 30 декабря 2016 года N 11003 "Об утверждении муниципальной программы муниципального образования город Новороссийск "Комплексное развитие городского хозяйства на территории муниципального образования город Новороссийск на 2017 - 2019 годы" 
Постановление администрации муниципального образования город Новороссийск от 26 сентября 2017 года N 7624 "Об утверждении муниципальной программы "Молодежь Новороссийска на 2018 - 2020 годы"
Постановление администрации муниципального образования город Новороссийск от 26 сентября 2017 года N 7624 "Об утверждении муниципальной программы "Молодежь Новороссийска на 2018 - 2020 годы"
Постановление администрации муниципального образования город Новороссийск от 25.12.2020 N 6500 "Об утверждении муниципальной программы "Социальная поддержка отдельных категорий населения муниципального образования город Новороссийск на 2021 - 2023 годы"
Постановление администрации муниципального образования город Новороссийск от 04.02.2020 N 560 (ред. от 17.09.2020) "Об утверждении муниципальной программы "Развитие транспортной системы муниципального образования город Новороссийск на 2020 - 2024 годы"</t>
  </si>
  <si>
    <t>«Социальная поддержка граждан, социально ориентированных некоммерческих организаций и поддержка деятельности органов территориального общественного самоуправления Лабинского городского поселения Лабинского района на 2020-2022 годы»</t>
  </si>
  <si>
    <t>постановление администрации Безводного сп № 109 от 28.09.2022 г.</t>
  </si>
  <si>
    <t>О внесении изменений в постановление администрации Курганинского городского поселения Курганинского района от 12 октября 2018 года № 931 «Об утверждении муниципальной программы Курганинского городского поселения Курганинского района «Социально-экономическое и территориальное развитие Курганинского городского поселения Курганинского района на 2019-2025 годы»</t>
  </si>
  <si>
    <t xml:space="preserve">Постановление администрации Константиновского сельского поселения от 20 октября 2021 года № 151   Об утверждении муниципальной программы «Социально-экономическое и территориальное развитие Константиновского сельского поселения Курганинского района на 2022-2024 годы» </t>
  </si>
  <si>
    <t>Постановление администрации Октябрьского сельского поселения Курганинского района №117 от 25 октября 2021г. "Об утверждении муниципальной программы
«Социально-экономическое и территориальное развитие Октябрьского сельского поселения Курганинского района 
на 2022-2024 годы»</t>
  </si>
  <si>
    <t>Постановление администрации Родниковского сельского поселения от 29 октября 2021 года № 158 «Об утверждении муниципальной программы Родниковского сельского поселения «Развитие культуры в Родниковском сельском поселении Курганинского района на 2022-2024 годы» с изменениями</t>
  </si>
  <si>
    <t>«Социально-экономическое и территориальное развитие Новоалексеевского сельского поселения Курганинского района» на 2022-2024 годы</t>
  </si>
  <si>
    <t>Социально-экономическое и территориальное развитие Пригородного сельского поселения</t>
  </si>
  <si>
    <t>в случае принятия проекта уполномоченным органом, мероприятие по реализации проекта включается в программу уполномоченного органа после выделения бюджетных средств городской Думой Краснодара</t>
  </si>
  <si>
    <t>Постановление администрации Новомышастовского сельского поселения Красноармейского района от 10.12.2020 г. № 220 «Об утверждении муниципальной программы «Благоустройство населенных пунктов Новомышастовского сельского поселения Красноармейского района на 2021-2023 годы»</t>
  </si>
  <si>
    <t>Муниципальная программа Ивановского сельского поселения Красноармейского района «Местное самоуправление и содействие развитию гражданского общества»</t>
  </si>
  <si>
    <t>Муниципальная программа Полтавского сельского поселения Красноармейского района «Формирование современной городской среды Полтавского сельского поселения Красноармейского района»</t>
  </si>
  <si>
    <t>ведомственная целевая программа " Реализация 
инициативных проектов в Раздольненском 
сельском поселении Кореновского района на 2022 год</t>
  </si>
  <si>
    <t>Реализация инициативных проектов в Пролетарском сельском поселении Кореновского района на 2022 год</t>
  </si>
  <si>
    <t>Постановление администрации платнировского сельского поселения Кореновского района от 24.11.2022 г. № 258 «Об утверждении ведомственной целевой программы «Реализация инициативных проектов в Платнировском сельском поселении Кореновского района на 2022 год»</t>
  </si>
  <si>
    <t>Реализация инициативных проектов в Журавском сельском поселении Кореновского района на 2022 год</t>
  </si>
  <si>
    <t xml:space="preserve">Постановление администрации Дядьковского сельского поселения Кореновского района от 16.12.2021 № 206 "Об утверждении ведомственной целевой программы «Реализация инициативных проектов в Дядьковском  сельском поселении Кореновского района на 2022 год»
</t>
  </si>
  <si>
    <t>Реализация инициативных проектов в муниципальном образовании Кореновский район на 2022-2024 годы</t>
  </si>
  <si>
    <t>от 20 октября 2020 года № 155</t>
  </si>
  <si>
    <t>муниципальная программа "Развитие топливно-энергетического комплекса", подпрограмма "Газификация Кавказского сельского поселения Кавказского района на 2015-2022 годы", утверждена постановлением администрации Кавказского сельского поселения Кавказского района от 13.11.2014 г. № 482 (с изменениями)</t>
  </si>
  <si>
    <t>№82 от30.09.2021</t>
  </si>
  <si>
    <t>Постановление от 10.11.2021г № 188 "Об утверждении ведомственной целевой программы Пшехского сельского поселения Белореченского района "Дорожная деятельность в отношении дорог общего пользования""</t>
  </si>
  <si>
    <t>№26 от 09.02.22, №28 от 09.02.2022</t>
  </si>
  <si>
    <t>25 октября 2021 года № 91 «Об утверждении ведомственной целевой  программы
  Черниговского сельского поселения Белореченского района «Благоустройство территории»»</t>
  </si>
  <si>
    <t xml:space="preserve">                                                                                                                                                                                     "Организация благоустройства и санитарного содержания территорий                                                                                                   муниципального образования  город Армавир" от  15.10.2021 года  №1877</t>
  </si>
  <si>
    <t xml:space="preserve">Постановление от 31.10.2022 г. №155 "Об утверждении муниципальной программы Ярославского сельского поселения Мостовского района «Региональная политика и развитие гражданского общества», постановление от 30.10.2019 г. №139 "Об утверждении муниципальной программы Ярославского сельского поселения Мостовского района 
«Развитие жилищно-коммунального хозяйства»
</t>
  </si>
  <si>
    <t>Муниципальная программа Унароковского сельского поселения "Развитие жилищно -коммунального хозяйства"</t>
  </si>
  <si>
    <t xml:space="preserve">«Развитие жилищно-коммунального хозяйства» </t>
  </si>
  <si>
    <t xml:space="preserve">Постановление администрации № 57 от 14.10.2021г.О внесении изменений в постановление администрации Бесленеевского сельского поселения Мостовского района № 66 от 12 ноября 2019 года   «Об утверждении муниципальной программы Бесленеевского сельского поселения Мостовского района «Развитие жилищно-коммунального хозяйства Бесленеевского сельского поселения Мостовского района» на 2020-2022 годы </t>
  </si>
  <si>
    <t>МП "Создание условий для развития социальной сферы" , "Развитие дорожной и транспортной системы", Развитие физической культуры и спорта". "Развитие культуры", "Развитие образования", "Развитие экономики"</t>
  </si>
  <si>
    <t>Муниципальная программа " Развитие образования"; Муниципальная программа "Развитие физической культуры и спорта"; Муниципальная программа "Жильё и жилищно-коммунальное хозяйство"</t>
  </si>
  <si>
    <t>"Содержание и развитие муниципального хозяйства", "Управление муниципальным имуществом"</t>
  </si>
  <si>
    <t>Муниципальная программа МО МР "Усть-Вымский" "Развитие образования, постановление администрации МР "Усть-Вымский" от 29.12.2020 № 1013. Муниципальная программа  МО МР "Усть-Вымский" " Развитие физической культуры и спорта", постановление администрации МР "Усть-Вымский" от 30.12.2020 № 1049</t>
  </si>
  <si>
    <t>Постановление администрации муниципального от 30 июля 2021 г. № 7/945 "Об утверждении Порядка реализации народных инициатив в
муниципальном районе «Сыктывдинский» в редакции постановлений № 4/339 от 07.04.2022, № 5/453 от 06.05.2022</t>
  </si>
  <si>
    <t>"Развитие образования", "Развитие культуры",Жилье и жилищно-коммунальное хозяйство"</t>
  </si>
  <si>
    <t>Муниципальная программа муниципального образования городского поселения «Сосногорск» «Развитие городского поселения «Сосногорск», утвержденная постановлением администрации МР «Сосногорск» от  12.02.2020 № 267 «Об утверждении муниципальной программы муниципального образования городского поселения «Сосногорск» «Развитие городского поселения «Сосногорск».</t>
  </si>
  <si>
    <t>Постановление администрации муниципального образования городского округа "Воркута" от 26.12.2020 N 1605 "Об утверждении муниципальной программы муниципального образования городского округа "Воркута" "Повышение комфортности проживания граждан на территории МО ГО "Воркута"</t>
  </si>
  <si>
    <t>Развитие строительства и жилищно-коммунального комплекса, энергосбережение и повышение энергоэффективности, Формирование современной городской среды, Развитие транспортной системы</t>
  </si>
  <si>
    <t>Муниципальная программа "Развитие транспортной системы в МО МР "Койгородский"</t>
  </si>
  <si>
    <t>Постановление от 26.11.2021 №1756 "Об утверждении муниципальной программы муниципального образования муниципального района «Корткеросский» «Развитие образования»"; Постановление от 26.11.2021 №1757 "Об утверждении муниципальной программы муниципального образования муниципального района «Корткеросский» «Развитие культуры и туризма»"; Постановление от 26.11.2021 №1755 "Об утверждении муниципальной программы «Развитие физической культуры и спорта; Постановление от 26.11.2021 №1753 "«Об утверждении муниципальной программы муниципального образования муниципального 
района «Корткеросский» «Развитие жилищно-коммунального хозяйства муниципального района «Корткеросский»" муниципального образования муниципального района «Корткеросский»"</t>
  </si>
  <si>
    <t xml:space="preserve">Муниципальная программа "Развитие жилищного строительства и жилищно-коммунального хозяйства в Княжпогостском районе", утверждена постановлением АМР "Княжпогостский" от 19.01.2021 № 23;                                                                            Муниципальная программа "Развитие отрасли "Физическая культура и спорт в Княжпогостском районе", утверждена постановлением АМР "Княжпогостский" от 23.10.2020 № 641; </t>
  </si>
  <si>
    <t>Постановление администрации МОГО "Инта" от 21.12.2021 N 12/2202 "Об утверждении муниципальной программы муниципального образования городского округа "Инта" "Жилищно-коммунальное хозяйство и развитие транспортной системы"</t>
  </si>
  <si>
    <t>Муниципальная программа «Развитие
муниципального управления в муниципальном образовании «Город Киров»
в 2020 – 2030 годах</t>
  </si>
  <si>
    <t>Муниципальная программа "Развитие коммунальной и жилищной инфраструктуры в Афанасьевском районе"</t>
  </si>
  <si>
    <t>Развитие жилищной и коммунальной инфраструктуры города Ермолино</t>
  </si>
  <si>
    <t>Муниципальная программа муниципального образования «Город Калуга» «Гражданская инициатива»</t>
  </si>
  <si>
    <t>Муниципальная программа "Реализация проектов развития общественной инфраструктуры муниципальных образований, основанных на местных инициативах"</t>
  </si>
  <si>
    <t>Поддержка местных инициатив в муниципальном образовании сельское поселение "Поселок Детчино" на 2022-2024 годы</t>
  </si>
  <si>
    <t>Постановление администрации муниципального образования «Гвардейский городской округ» от 21 декабря 2018 года № 1565 «Об утверждении муниципальной программы муниципального образования «Гвардейский муниципальный округ Калининградской области» «Развитие гражданского общества»</t>
  </si>
  <si>
    <t>Постановление администрации муниципального образования "Светловский городской округ" Калининградской области от 29.12.2022 г. № 1179 "О внесении изменений и дополнений в Муниципальную программу «Формирование современной городской среды» на 2018-2024 годы, утв. постановлением администрации МО «Светловский городской округ» № 1322 от 29.12.2017 г. (в действующей ред. постановления)"</t>
  </si>
  <si>
    <t>Постановление мэрии города Череповца от 26.10.2021 №4132 "Об утверждении муниципальной программы "Осуществление бюджетных инвестиций в социальную, коммунальную, транспортную инфраструктуры и капитальный ремонт объектов муниципальной собственности города Череповца" на 2022 - 2025 годы"
Постановление мэрии города Череповца  от 19.10. 2017 № 5027
"Об утверждении муниципальной программы "Формирование современной городской среды муниципального образования "Город Череповец" на 2018 - 2022 годы"
Постановление мэрии города Череповца от 28.10.2021 №4149 "Об утверждении муниципальной программы "Развитие жилищно-коммунального хозяйства города Череповца" на 2022 - 2024 годы"</t>
  </si>
  <si>
    <t>Постановление администрации района от 16.12.2019 № 1402 «Об утверждении муниципальной программы «Благоустройство  на  территории муниципального образования город Вязники» (с изменениями № 1593 от 30.12.2022)</t>
  </si>
  <si>
    <t>Муниципальная программа "Дорожное хозяйство Судогодского района"</t>
  </si>
  <si>
    <t>Постановление администрации Навлинского района Брянской области от 30.12.2021 № 834</t>
  </si>
  <si>
    <t>Муниципальная программа "Развитие общественного самоуправления на территории Яковлевского городского округа"</t>
  </si>
  <si>
    <t>Постановление администрации Ровеньского района от 19 декабря 2018 года №628 "Об утверждении муниципальной программы "Развитие общественного самоуправления в Ровеньском районе""</t>
  </si>
  <si>
    <t>Развитие общественного самоуправления на территории Волоконовского района</t>
  </si>
  <si>
    <t>Программа Вейделевского района "Развитие общественного самоуправления в Вейделевском районе", утвержденная постановлением администрации Вейделевского района Белгородской обл. от 24.12.2018 года N 285</t>
  </si>
  <si>
    <t>ВЦП "Развитие городского хозяйства на территории городского округа "Город Архангельск"</t>
  </si>
  <si>
    <t>ВЦП "Развитие образования на территории городского округа "Город Архангельск", ВЦП "Культура городского округа "Город Архангельск"</t>
  </si>
  <si>
    <t>Муниципальная программа (программы), где закреплены мероприятия ИБ, инициативных проектов</t>
  </si>
  <si>
    <t>https://yam.yanao.ru/documents/active/256113/</t>
  </si>
  <si>
    <t>https://admmuji.yanao.ru/documents/active/199673/
https://admmuji.yanao.ru/documents/active/206427/</t>
  </si>
  <si>
    <t>https://muravlenko.yanao.ru/activity/27372/?filter%5Bdocuments%5D%5Bsection%5D=15</t>
  </si>
  <si>
    <t xml:space="preserve">http://gorod-noyabrsk89.yanao.ru/search/165-%D0%94   
    https://admnoyabrsk.ru/obshchestvo/ritm </t>
  </si>
  <si>
    <t xml:space="preserve">https://nur.yanao.ru/documents/active/107772/, https://www.newurengoy.ru/uploads/files/2020-03/1584596719_104-ot-18-03-2020.pdf   </t>
  </si>
  <si>
    <t>https://www.salekhard.org/normativno-pravovye-akty/resheniya-gorodskoy-dumy/23850/
https://www.salekhard.org/normativno-pravovye-akty/resheniya-gorodskoy-dumy/26253/</t>
  </si>
  <si>
    <t>http://hmrn.ru/duma/docduma/104/</t>
  </si>
  <si>
    <t xml:space="preserve">http://nvraion.ru/ekonomika-i-finansy/initsiativnoe-byudzhetirovanie/ ; http://admlariak.ru/documents/3111.html </t>
  </si>
  <si>
    <t>https://dumasr.ru/docs/resheniya-dumy/?date_from=21.05.2021&amp;date_to=&amp;number=1130-%D0%BD%D0%BF%D0%B0&amp;name=</t>
  </si>
  <si>
    <t>http://www.admugansk.ru/category/1917?page=17</t>
  </si>
  <si>
    <t>http://admkonda.ru   нормативные - правовые акты размещены на сайте администрации Кондинского района/ раздел городские и сельские поселения/Леуши/бюджет/народный бюджет</t>
  </si>
  <si>
    <t xml:space="preserve">http://www.shugur.ru/documents/1868.html </t>
  </si>
  <si>
    <t>http://admkuma.ru/documents/3140.html</t>
  </si>
  <si>
    <t>http://lugovoikonda.ru/tinybrowser/files/2020/-172-rassmotreniya-iniciativnyh-proektov.doc</t>
  </si>
  <si>
    <t>http://admkonda.ru/documents/17169.html</t>
  </si>
  <si>
    <t>http://www.admkonda.ru/normativno-pravovye-akty-nb-mejd.html</t>
  </si>
  <si>
    <t>http://admkonda.ru/nb-normativnye-dokumenty.html</t>
  </si>
  <si>
    <t xml:space="preserve">https://admsurgut.ru/files/materials/%D0%B2%D0%BB%D0%BE%D0%B6%D0%B5%D0%BD%D0%B8%D1%8F%20%D0%9C%D0%BE%D1%80%D0%BE%D1%85%D0%BE%D0%B2%D0%B0%20%D0%9B%D0%9E/%D0%A0%D0%B5%D1%88%D0%B5%D0%BD%D0%B8%D0%B5_%D0%94%D1%83%D0%BC%D1%8B_%D0%B3_%D0%A1%D1%83%D1%80%D0%B3%D1%83%D1%82%D0%B0_%D0%A5%D0%B0%D0%BD%D1%82%D1%8B_%D0%9C%D0%B0%D0%BD%D1%81%D0%B8%D0%B9%D1%81%D0%BA%D0%BE%D0%B3%D0%BE_%D0%B0%D0%B2%D1%82%D0%BE%D0%BD%D0%BE%D0%BC%D0%BD%D0%BE%D0%B3%D0%BE_%D0%BE%D0%BA%D1%80%D1%83%D0%B3%D0%B0_%D0%AE%D0%B3%D1%80%D1%8B_%D0%BE%D1%82_22_%D0%B4%D0%B5%D0%BA%D0%B0%D0%B1%D1%80%D1%8F_2.pdf
</t>
  </si>
  <si>
    <t>https://berezovo.ru/regulatory/3383?q=%D0%BE%D0%BF%D1%80%D0%B5%D0%B4%D0%B5%D0%BB%D0%B5%D0%BD%D0%B8%D0%B5+%D1%82%D0%B5%D1%80%D1%80%D0%B8%D1%82%D0%BE%D1%80%D0%B8%D0%B9&amp;daterange=</t>
  </si>
  <si>
    <t>http://www.admoil.ru/duma/resheniya/2020/563.docx http://www.admoil.ru/duma/resheniya/2021/640.docx</t>
  </si>
  <si>
    <t>https://www.dumamegion.ru/laws/resheniya/detail.php?ID=8681</t>
  </si>
  <si>
    <t>https://budget.uray.ru/municipalnye-pravovye-akty-2/</t>
  </si>
  <si>
    <t xml:space="preserve">https://zav-18.gosuslugi.ru/netcat_files/144/1077/207.pdf </t>
  </si>
  <si>
    <t>http://www.tyumendoc.ru/docs/dokumenty-tgd/view-9479</t>
  </si>
  <si>
    <t>https://pyatigorsk.org/filesarhiv/docs?FilesarhivSearch%5Binner_id%5D=8-66+%D0%A0%D0%94&amp;FilesarhivSearch%5Btitle%5D=&amp;FilesarhivSearch%5Btypeid%5D=&amp;FilesarhivSearch%5Bcatid%5D=&amp;FilesarhivSearch%5Bcreated%5D=</t>
  </si>
  <si>
    <t>https://pmosk.ru/archives/5711</t>
  </si>
  <si>
    <t>http://petrgosk.ru/vestnik-petrovskogo-gorodskogo-okruga/25%20%D0%BE%D1%82%2004.06.2021.pdf;                                        http://petrgosk.ru/initsiativnye-proekty/dokumenty/normativno-pravovye-akty-/index.php; http://petrgosk.ru/vestnik-petrovskogo-gorodskogo-okruga/25%20%D0%BE%D1%82%2004.06.2021.pdf;                                        http://petrgosk.ru/initsiativnye-proekty/dokumenty/normativno-pravovye-akty-/index.php;http://petrgosk.ru/vestnik-petrovskogo-gorodskogo-okruga/%E2%84%96%2029%20%D0%BE%D1%82%2002%2007%202021.pdf  ;                 http://petrgosk.ru/initsiativnye-proekty/dokumenty/normativno-pravovye-akty-/index.php</t>
  </si>
  <si>
    <t>https://www.novoselickoe.ru/sovet-deputatov/resheniya-soveta-okruga/resheniya-2022/reshenie-ot-17-06-2022-g-411-ob-opredelenii-chasti-territorii-v-novoselitskom-munitsipalnom-okruge-stavropolskogo-kraya-na-kotoroj-mogut-realizovyvatsya-initsiativnye-proekty-v-2022-2023-godakh</t>
  </si>
  <si>
    <t>https://www.angosk.ru/index.php/duma-ngo-sk/normotvorchestvo-2/resheniya-dumy-ngo-sk/2021/8065-reshenie-590-ob-utverzhdenii-polozheniya-ob-initsiativnom-byudzhetirovanii-v-neftekumskom-gorodskom-okruge-stavropolskogo-kraya</t>
  </si>
  <si>
    <t>http://nevadm.ru/communal/gkh/mestnyie-initsiativyi/</t>
  </si>
  <si>
    <t>http://lermsk.ru/инвестиционный%20паспорт/Развитие%20города/Инициативное_бюджетирование/index.php</t>
  </si>
  <si>
    <t>http://курский-округ.рф/documents/2813.html</t>
  </si>
  <si>
    <t xml:space="preserve">http://krasnogvardeiskoe.info/sites/krasnogvardeiskoe.info/files/of/userfiles/file/sovet%20kmr/obnarodovanie/2021/%D0%A0%D0%B5%D1%88%D0%B5%D0%BD%D0%B8%D0%B5%20%   E2%84%96%20114%20%D0%BE%D1%82%2024.02.2021%20%D0%B3..doc   http://krasnogvardeiskoe.info/sites/krasnogvardeiskoe.info/files/of/userfiles/file/sovet%20kmr/obnarodovanie/2021/%D0%A0%D0%B5%D1%88%D0%B5%D0%BD%D0%B8%D0%B5%20% </t>
  </si>
  <si>
    <t>https://www.кочубеевский-район.рф/dokumenty.htm</t>
  </si>
  <si>
    <t>http://kir-portal.ru/duma/doc/345_23.03.2021.doc</t>
  </si>
  <si>
    <t>http://ipatovo.org/userfiles/file/2021/fevral/resheniya/reshenie_16_poryadka_vyd_rassm__inic_proektov.doc
http://ipatovo.org/userfiles/file/2021/fevral/resheniya/reshenie_17_poryadka_opredeleniya_territorii.doc
http://ipatovo.org/userfiles/file/2021/fevral/resheniya/reshenie_18_poryadka_mneniya_grazh_putem_oprosa.doc
http://ipatovo.org/userfiles/file/2021/dekabr/resheniya/reshenie_183_izmen__poryadok_inic_proek.doc</t>
  </si>
  <si>
    <t xml:space="preserve">http://izobduma.ru/resheniya-dumy-gorodskogo-okruga/2021-2/ </t>
  </si>
  <si>
    <t>http://www.georgievsk.ru/duma/reshen/2021/826-67.doc
http://www.georgievsk.ru/duma/reshen/2021/827-67.doc
http://www.georgievsk.ru/duma/reshen/2021/828-67.doc</t>
  </si>
  <si>
    <t>http://www.georgievsk.ru/duma/reshen/469-24.doc
https://georgievsk.ru/duma/reshen/2022/998-91.doc
https://georgievsk.ru/duma/reshen/2021/873-73.doc
https://georgievsk.ru/duma/reshen/2022/996-90.doc</t>
  </si>
  <si>
    <t>https://aamrsk.ru/deyatelnost/initsiativnoe-byudzhetirovanie/initsiativnye-proekty/dokumenty.php</t>
  </si>
  <si>
    <t xml:space="preserve">http://www.andropovskiy.ru/images/Downloads/Iniciativ_proekt/Pravovaya_baza/2021/June/1.3/решение%20совета%20амо%20ск%20от%2031%20марта%202021%20г.%20№10-100-1.doc   </t>
  </si>
  <si>
    <t>1 .https://aleksadmin.ru/initsiativnoe-byudzhetirovanie/mestnye-praktiki/normativno-pravovye-akty   
2. https://aleksadmin.ru/initsiativnoe-byudzhetirovanie/mestnye-praktiki/normativno-pravovye-akty                                                                                                            3. https://aleksadmin.ru/initsiativnoe-byudzhetirovanie/mestnye-praktiki/normativno-pravovye-akty
4. https://aleksadmin.ru/initsiativnoe-byudzhetirovanie/mestnye-praktiki/normativno-pravovye-akty</t>
  </si>
  <si>
    <t>https://alapaevskoe.ru/article/show/id/10222</t>
  </si>
  <si>
    <t>Газета "Сельские вести поселения Красные Ключи"</t>
  </si>
  <si>
    <t xml:space="preserve">https://mmal-11.samgd.ru/acts/decisions/76333/ </t>
  </si>
  <si>
    <t>http://berezniki.ucoz.ru/admu/4/resh.sp_15-1_ot_16.08.2021..doc</t>
  </si>
  <si>
    <t>https://isakli.ru/documents/priobretenie-konteynerov-dlya-skladirovaniya-tbo/40-a-ot-25-12-2020-po-po-ib../</t>
  </si>
  <si>
    <t>https://isakli.ru/documents/priobretenie-i-ustanovka-derevyannoy-gorki-teremok/40-a-ot-25-12-2020-po-po-ib/</t>
  </si>
  <si>
    <t>https://mikushkino.ru/documents/decision/detail.php?id=1347075</t>
  </si>
  <si>
    <t>https://sgpress.ru/pdf_archive;http://sovadmsamara.ru</t>
  </si>
  <si>
    <t>https://promadm.ru/allfiles/202302/Reshenie_ot-1675753937-JpsfO.docx</t>
  </si>
  <si>
    <t>https://www.samadm.ru/docs/official-publication</t>
  </si>
  <si>
    <t xml:space="preserve">http://pohgor.samgd.ru/acts/decisions/77554/   </t>
  </si>
  <si>
    <t>https://otradny.org/upload/iblock/6e5/6e5df4460e11f37c28f56b712082eb20.rar</t>
  </si>
  <si>
    <t>https://dalmdr.ru/node/3678</t>
  </si>
  <si>
    <t xml:space="preserve">https://spasskd.ru/images/files/2021/raznoe/0617/reshenie_dumy_2-npa_o_poryadke_realizacii_proektov_iniciativnogo_byudzhetirovaniya.docx </t>
  </si>
  <si>
    <t>https://www.gorodperm.ru/upload/pages/1006875/2023/Reshenije_PGD_ot_26.03.2019_N_64.docx</t>
  </si>
  <si>
    <t>http://www.admkud.ru/duma/r2021/21.pdf</t>
  </si>
  <si>
    <t>http://veradmgo.ru/inova_block_documentset/document/340513/</t>
  </si>
  <si>
    <t>http://fintotsk.ru/file/download/1668</t>
  </si>
  <si>
    <t>светлый-с-с.рф</t>
  </si>
  <si>
    <t>http://fin-or.ru/ckfinder/userfiles/files/%D0%9F%D0%BE%D1%81%D1%82%D0%B0%D0%BD%D0%BE%D0%B2%D0%BB%D0%B5%D0%BD%D0%B8%D0%B5%20983%D0%BF%20%D0%BE%D1%82%2019052021(1).pdf;   http://fin-or.ru/content/dokumenty-5</t>
  </si>
  <si>
    <t>https://krasnogvardfo.ru/assets/files/%D0%91%D1%8E%D0%B4%D0%B6%D0%B5%D1%82/4-aktualnaya-redakcziya-noyabr-2022.rar</t>
  </si>
  <si>
    <t>https://bugraifo.orb.ru/upload/uf/4a1/Reshenie.pdf</t>
  </si>
  <si>
    <t>https://www.gorodmednogorsk.ru/fin/budgot.html</t>
  </si>
  <si>
    <t>Официальный сайт Администрации города Омска
https://admomsk.ru/web/guest/progress/pilot</t>
  </si>
  <si>
    <t>https://kormil.omskportal.ru/omsu/kormil-3-52-223-1/etc/inbudg</t>
  </si>
  <si>
    <t>https://omskportal.ru/npa?id=/omsu/tevr-3-52-255-1/ivanovo-myisskoe/2022/04/12/010</t>
  </si>
  <si>
    <t>https://bugadmin.orb.ru/council/solutions/?nav-documents=page-7</t>
  </si>
  <si>
    <t>http://okuladm.ru/documents/21583</t>
  </si>
  <si>
    <t>https://docs.semenov.nnov.ru/open/?nd=816854427&amp;searchType=phrase&amp;query=63; https://docs.semenov.nnov.ru/open/?nd=816854428&amp;searchType=phrase&amp;query=64; https://docs.semenov.nnov.ru/open/?nd=816854429&amp;searchType=phrase&amp;query=65; https://docs.semenov.nnov.ru/open/?nd=495909339&amp;searchType=phrase&amp;query=72; https://docs.semenov.nnov.ru/open/?nd=495909351&amp;searchType=phrase&amp;query=6</t>
  </si>
  <si>
    <t>http://bg-adm.ru./?p__doc_act=1553&amp;p__doc_status=&amp;p__search_date1=10.12.2020&amp;p__search_date2=10.12.2020&amp;p__doc_number=&amp;p__search_text2=&amp;p__search_rules=0&amp;send=Поиск&amp;action=process&amp;id=495&amp;form_name=form_495</t>
  </si>
  <si>
    <t>http://www.dumadzr.ru/index.php?id_page=6&amp;id_catalog=6200 http://www.dumadzr.ru/index.php?id_page=6&amp;id_catalog=6201 http://www.dumadzr.ru/index.php?id_page=6&amp;id_catalog=6202 http://www.dumadzr.ru/index.php?id_page=6&amp;id_catalog=6203 http://www.dumadzr.ru/index.php?id_page=6&amp;id_catalog=6204</t>
  </si>
  <si>
    <t>https://dzhankoy.rk.gov.ru/uploads/txteditor/dzhankoy/attachments//d4/1d/8c/d98f00b204e9800998ecf8427e/phpgZYxU7_189.pdf</t>
  </si>
  <si>
    <t>http://finupr.dalmatovo.su/images/finupr/reshenie_dumi_112_2021.zip</t>
  </si>
  <si>
    <t>http://www.admse.ru/upload/iblock/8b7/reshenie-_-14_3-ot-02.11.2020-ob-initsiativnykh-proektakh.doc</t>
  </si>
  <si>
    <t>http://starscherb.ru/2020/Iniciati_proekt/rs_ot_06.11.2020_8.docx</t>
  </si>
  <si>
    <t>https://admekaterinovka.ru/2020/12/23948/, https://admekaterinovka.ru/2020/12/23952/</t>
  </si>
  <si>
    <t>https://docs.yandex.ru/docs/view?url=ya-browser%3A%2F%2F4DT1uXEPRrJRXlUFoewruJH4B9W8zb8TcREf3RHdiNaJYg9Hra0kcgt1QFvqsIuOlsVjSYhHZrXH_t_tJy7pZqFWdXwQdv9KOg2KF1OvCpYu6DG0x6tnutFVby9ggWsqoVgYzk6T3UaQwy1OdAjm3w%3D%3D%3Fsign%3DOYvf3es530c9gqgVaEyVfAMun96W4jeoGWngGOuZdtc%3D&amp;name=Реш%202%20по%20ИБ.doc&amp;nosw=1</t>
  </si>
  <si>
    <t>http://zheleznoe-sp.ru/publ/normativnye_pravovye_akty/reshenija/reshenie_soveta_zheleznogo_selskogo_poselenija_ot_14_12_2021_g_1_protokol_42/3-1-0-668</t>
  </si>
  <si>
    <t>https://kirpilskoesp.ru/files/Инициативное%20бюджетирование/Решение%20от%2008.12.20%20№3%20пр.21%20поселения%20Порядок%20по%20ИБ.pdf</t>
  </si>
  <si>
    <t>https://docs.yandex.ru/docs/view?url=ya-browser%3A%2F%2F4DT1uXEPRrJRXlUFoewruBrgecxFqdzOn5Pgx_YJ8GbXgN6ZQH64LF8epIIFrRV-PhBGGnVdRvIaEruwwEgSZfRNWvZKVzl4WsX3wSk5q5Ap67yLVS9g7h1gL4Lu_zaYw-1lLq3XmUyzS_vX6uvfBQ%3D%3D%3Fsign%3D0Rpp0Lhsmm8RX33JRuoUVUNLhXp_2daQ6B30ABd6dKA%3D&amp;name=Р%203%20П%2031%20_25.12.2020.doc&amp;nosw=1</t>
  </si>
  <si>
    <t>http://dvubratskoe-sp.ucoz.ru/Reshenie/2022/reshenie_5_ot_21.01.2022.pdf</t>
  </si>
  <si>
    <t>http://xn----7sbbar2ccj5b0g.xn--p1ai/index.php/administratsiya-2/glava-tamanskogo-selskogo-poseleniya-20/glava-tamanskogo-selskogo-poseleniya-25</t>
  </si>
  <si>
    <t>http://admsennaya.krd.eis1.ru/npa-2021</t>
  </si>
  <si>
    <t>http://golubitskoe.ru/%D0%B4%D0%BE%D0%BA%D1%83%D0%BC%D0%B5%D0%BD%D1%82%D1%8B/reshenija/%D1%80%D0%B5%D1%88%D0%B5%D0%BD%D0%B8%D1%8F-2022.html</t>
  </si>
  <si>
    <t>https://www.temryuk.ru/administratsiya/munitsipalnye-pravovye-akty/docs.php?find=&amp;num=&amp;from=&amp;to=&amp;type%5B0%5D=20&amp;creator%5B0%5D=5&amp;sort=1&amp;PAGEN_1=3</t>
  </si>
  <si>
    <t>https://gs-sochi.ru/wp-content/uploads/2021/06/r2021_059.pdf</t>
  </si>
  <si>
    <t>http://www.lspadmin.ru/images/Resheniya/2020/resh_91_ot_24.12.2020.doc</t>
  </si>
  <si>
    <t>https://afipskoe.sevadm.ru/about/initsiativnye-proekty/</t>
  </si>
  <si>
    <t>http://безводное.рф/documents/999.html</t>
  </si>
  <si>
    <t>https://gorod-kurganinsk.ru/sovetgorod/normativ/normativ.php</t>
  </si>
  <si>
    <t>https://xn----7sbgmnkdubbgfcqtgegc.xn--p1ai/documents/1530.html</t>
  </si>
  <si>
    <t>https://новоалексеевская.рф/documents/630.html</t>
  </si>
  <si>
    <t>http://xn----7sbbaibk7avopm4b4o.xn--p1ai/documents/1523%7Bpage-3%7D.html</t>
  </si>
  <si>
    <t>№ 18/4 от 08.12.2020,https://www.poltavadm.ru/index.php/ru/sovet-poseleniya/262-resheniya-soveta/sessii-iv-cozyva-2019-2024-gg/4787-18-sessiya-8-dekabrya-2020-goda</t>
  </si>
  <si>
    <t>http://wp.sergievka.ru/wp-content/uploads/2021/12/79-иниц.бюджетир.doc</t>
  </si>
  <si>
    <t>https://proletarskoe.ru/images/doc/resh-2020-N-95.docx</t>
  </si>
  <si>
    <t>http://www.platnirovskaja.ru/f_docs/qm1w2j12tvzw/reshenie-soveta-platnirovskogo-selskogo-poseleniya-korenovskogo-rayona-ot-24122020-101-ob-utverjdenii-polojeniya-o-poryadke-realizatsii-initsiativnyih-proektov-v-platnirovskom-selskom-poselenii-korenovskogo-rayona.html</t>
  </si>
  <si>
    <t>https://www.novoberezanskoe.ru/images/doc/2020-12-28/872020resh.doc</t>
  </si>
  <si>
    <t>https://zhuravskaja.ru/initsiativnoe-byudzhetirovanie/2021</t>
  </si>
  <si>
    <t>http://wp.burakovskaja.ru/wp-content/uploads/2021/04/%D0%A0%D0%B5%D1%88%D0%B5%D0%BD%D0%B8%D0%B5-%E2%84%96-77.rtf</t>
  </si>
  <si>
    <t>https://sovet.korenovsk.ru/wp-content/files/__37__23.12.2020_._.pdf</t>
  </si>
  <si>
    <t>https://www.adm-kavkaz.ru/sobranie-deputatov/reshenie-sobranij/resheniya-2020/3741-reshenie-4-ot-08-02-2019-goda-o-peredache-kavkazskomu-selskomu-poseleniyu-kavkazskogo-rajona-proektnoj-dokumentatsii-ob-ekta-gazifikatsii            https://www.adm-kavkaz.ru/sobranie-deputatov/reshenie-sobranij/resh-2020/4755-reshenie-2-ot-30-01-2020-g-o-peredache-kavkazskomu-selskomu-poseleniyu-kavkazskogo-rajona-proektnoj-dokumentatsii-ob-ekta-gazifikatsii</t>
  </si>
  <si>
    <t>https: // armduma.ru</t>
  </si>
  <si>
    <t>https://docs.yandex.ru/docs/view?url=ya-browser%3A%2F%2F4DT1uXEPRrJRXlUFoewruDntAfLKrbxo9IElOrQQGpjDvezGVQ3AqamsvDBuz5TUGG_-tt76D8E7_DJrVF5XIfiGxvsDa_plXMKHXjFwZRM7FFOZ-kBiXrHAwJw_ukGlx_3MvYWEbbvGh3BtUcaycA%3D%3D%3Fsign%3DIP6XVyO2_AorVHkMVOOIf7XsuiJsm-F34o1l1nnp_Ws%3D&amp;name=Постановление_1163_от_08.10.2021.docx&amp;nosw=1</t>
  </si>
  <si>
    <t>https://kojgorodok.ru/finansyi/narodnyie-initsiativyi/npa/</t>
  </si>
  <si>
    <t>Постановление администрации МР "Княжпогостский" от 5 июля 2021 г. № 262 - http://www.mrk11.ru/postanovleniya_1/?year=2021</t>
  </si>
  <si>
    <t>http://www.admizhma.ru/ru/page/content_b.vestnik_l.2021_god/</t>
  </si>
  <si>
    <t>https://docs.cntd.ru/document/578008025</t>
  </si>
  <si>
    <t>https://www.afanasyevo.ru/dokumenty/resheniya-afanasevskoj-rajonnoj-dumy/item/19333-resheniya-afanasevskoj-rajonnoj-dumy-za-2021</t>
  </si>
  <si>
    <t>https://admermolino.ru/?page_id=18160</t>
  </si>
  <si>
    <t>https://www.kaluga-gov.ru/obshchestvo/initsiativnye-proekty/pravovaya-baza/2740/
https://www.kaluga-gov.ru/obshchestvo/initsiativnye-proekty/pravovaya-baza/2741/3
https://www.kaluga-gov.ru/obshchestvo/initsiativnye-proekty/pravovaya-baza/2743/</t>
  </si>
  <si>
    <t>http://adm-borovskiy.ru/files/1/reshen_34(1).PDF
http://adm-borovskiy.ru/files/1/polojen_reshen_34_2017.pdf</t>
  </si>
  <si>
    <t>https://admdetchino.ru/2021/11/9690/</t>
  </si>
  <si>
    <t>https://светлый.рф/reshenie-№-95-ot-13-12-2022-g/</t>
  </si>
  <si>
    <t>https://cherinfo-doc.ru/documents/reshenie-cherepoveckoj-gorodskoj-dumy-ot-29.01.2021-7-ob-utverzhdenii-polozheniya-ob-iniciativnyh-proektah-na-territorii-goroda-cherepovca</t>
  </si>
  <si>
    <t>http://www.adm-vyaz.ru/tinybrowser/files/finupr/2022/Pol_IB_2022.zip</t>
  </si>
  <si>
    <t xml:space="preserve">https://admsud.ru/npa-i-mps/normativnye-dokumenty-snd/resheniya-snd-2021/18959-reshenie-soveta-narodnyh-deputatov-mo-sudogodskiy-rayon-ot-18052021-35-10.html#here
</t>
  </si>
  <si>
    <t xml:space="preserve">https://yakovgo.gosuslugi.ru/netcat_files/282/2650/Rasporyazhenie_449_r_ot_25.05.2022_g..pdf </t>
  </si>
  <si>
    <t>https://www.arhcity.ru/?page=2865/2</t>
  </si>
  <si>
    <t>1. Решение Думы муниципального образования Красноселькупский район от 16.03.2021 №45 "Об утверждении Положения о реализации инициативных проектов в муниципальном образовании Красноселькупский район", вступает в силу со дня его официального опубликования и распространяется на правоотношения, возникшие с 01 января 2021 года
2. Решение Собрания депутатов муниципального образования Толькинское от 18.12.2020 № 164 «Об утверждении Положения о порядке выдвижения, внесения, обсуждения, рассмотрения инициативных проектов и проведения их конкурсного отбора», вступает в силу с 01.01.2021 
3. Решение Собрания депутатов муниципального образования село Ратта от 17.05.2021 № 108 «Об утверждении Положения о реализации инициативных проектов в муниципальном образовании село Ратта», вступает в силу со дня его официального опубликования и распространяется на правоотношения, возникшие с 01 января 2021 года
4. Решение Думы Красноселькупского района от 21.06.2022 №123 "Об утверждении Порядка выдвижения, внесения, обсуждения, рассмотрения инициативных проектов, а также проведения их конкурсного отбора", вступает в силу со дня его официального опубликования и распространяет свое действие на правоотношения, возникшие с 20 апреля 2022 года</t>
  </si>
  <si>
    <t>Решение Думы Пуровского района от 23.04.2021 № 213 "Об утверждении Положения об инициативных проектах на территории муниципального округа Пуровский район Ямало-Ненецкого автономного округа"</t>
  </si>
  <si>
    <t>Решение Думы Тазовского района от 21 апреля 2021 года № 6-8-40 «Об утверждении Положения о порядке выдвижения, внесения, обсуждения, рассмотрения инициативных проектов и проведения их конкурсного отбора»</t>
  </si>
  <si>
    <t>Решение Районной Думы муниципального образования  Ямальский район от 29 декабря 2020 № 119 «О порядке выдвижения, внесения, обсуждения, рассмотрения инициативных проектов, а также проведения их конкурсного отбора в муниципальном образовании Ямальский район»</t>
  </si>
  <si>
    <t xml:space="preserve">Решение Думы Приуральского района от 22 февраля 2022 года № 09 «Об утверждении положения о порядке выдвижения, внесения, обсуждения, 
рассмотрения инициативных проектов и проведения их конкурсного отбора в муниципальном округе Приуральский район Ямало-Ненецкого автономного округа»
</t>
  </si>
  <si>
    <t>Решение Районной Думы муниципального образования Шурышкарский район от 24.12.2020 года № 37 "О Положении о реализации инициативных проектов в муниципальном образовании Шурышкарский район"; Решение Районной Думы муниципального образования Шурышкарский район от 24.06.2022 года № 230 "О Положении о реализации инициативных проектов в муниципальном образовании Шурышкарский район"</t>
  </si>
  <si>
    <t>Решение Думы Надымского района от 26 ноября 2021 года № 261 "Об утверждении Порядка выдвижения, внесения, обсуждения, рассмотрения инициативных проектов и проведения их конкурсного отбора"</t>
  </si>
  <si>
    <t>Решение Городской Думы от 24 декабря 2020 года № 27 "ОБ утверждении Порядка реализации инициативных проектов на территории 
муниципального образования город Губкинский"</t>
  </si>
  <si>
    <t>Решение Городской Думы города Муравленко от 24.12.2020 № 44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Муравленко" (с изм. от 29.04.2021 № 73)</t>
  </si>
  <si>
    <t>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</si>
  <si>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 xml:space="preserve">Решение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 (решения Городской Думы муниципального образования город Новый Уренгой от 24.06.2021 № 65 «О внесении изменений в решение Городской Думы муниципального образования город Новый Уренгой   от 29.04.2021 № 52», от 23.12.2021 № 116 «О внесении изменений в решение Городской Думы муниципального образования город Новый Уренгой  от 29.04.2021 № 52») </t>
  </si>
  <si>
    <t xml:space="preserve">Решение Городской Думы города Лабытнанги от 14.10.2020 № 135 "Об утверждении Положения о реализации инициативных проектов в муниципальном образовании город Лабытнанги" </t>
  </si>
  <si>
    <t>Решение Городской Думы МО город Салехард от 23.12.2020 N 122 "Об утверждении Порядка выдвижения, внесения, обсуждения, рассмотрения инициативных проектов и проведения их конкурсного отбора"</t>
  </si>
  <si>
    <t>Решение Думы Ханты-Мансийского района от 02.11.2021 № 20 "Об утверждении Положения об инициативных проектах в Ханты-Мансийском районе</t>
  </si>
  <si>
    <t xml:space="preserve">Решение Думы Нижневартовского района от 30.12.2020 N 571 (ред. от 01.09.2021) "Об утверждении Порядка выдвижения, внесения, обсуждения, рассмотрения инициативных проектов, а также проведения их конкурсного отбора "Народная инициатива" в Нижневартовском районе" ; Решение Совета депутатов сельского поселения Ларьяк Нижневартовского района ХАнты-Мансийского автономного округа-Югра  от 04.08.2022 №177 "Об утверждении Порядка выдвижения, 
внесения, обсуждения, рассмотрения 
инициативных проектов, а также 
проведения их конкурсного отбора в 
сельском поселении Ларьяк"
</t>
  </si>
  <si>
    <t>Решение Думы Сургутского района от 21.05.2021 № 1130-нпа "Об утверждении Порядка выдвижения, внесения, обсуждения, рассмотрения инициативных проектов, а также проведения их конкурсного отбора в Сургутском районе"</t>
  </si>
  <si>
    <t>Решение Думы г. Нефтеюганска Ханты-Мансийского автономного округа - Югры от 17 февраля 2021 г. N 915-VI</t>
  </si>
  <si>
    <t>Решение Совета депутатов сельского поселения Леуши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сельское поселение Леуши" от 29.04.2021 № 207; Решение Совета депутатов сельского поселения Леуши "Об утверждении порядка выявления мнения граждан по вопросу о поддержке инициативного проекта путем опроса граждан, сбра их подписей от 29.04.2021 № 208; Решение Совета депутатов сельского поселения Леуши "об утверждении порядка определения части территории сельского поселения Леуши , на которой могут реализовываться инициативные проекты" от 29.04.2021 № 209; Постановление администрации сельского поселения Леуши "О создании согласительной комиссии по конкурсному отбору проектов инициативного бюджетирования на территории муниципального образования сельское поселение Леуши" от 14.01.2022 №2</t>
  </si>
  <si>
    <t>Решение Совета депутатов сельского поселения Шугур от 20.01.2021 № 120Об утверждении Порядка реализации инициативных проектов в муниципальном образовании сельского поселения Шугур</t>
  </si>
  <si>
    <t>Решение совета депутатов городского поселения Куминский от 28.05.2021 года № 152 "Об утверждении порядка выдвежения, внесения, обсуждения, рассмотрения инициативных проектов, а так же проведение конкурстного отбора в городском поселении Куминский"</t>
  </si>
  <si>
    <t>Решение Совета депутатов городского поселения Мортка от «25» февраля 2021 года №162 "Порядок выдвижения, внесения, обсуждения, рассмотрения инициативных проектов, а также проведения их конкурсного отбора в городском поселении Мортка"</t>
  </si>
  <si>
    <t>Решение Совета депутатов городского поселения Луговой от 30 декабря 2020 года № 172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Луговой "</t>
  </si>
  <si>
    <t>Решение Совета депутатов городского поселения Кондинское от 30 апреля 2021 года № 154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Кондинское"</t>
  </si>
  <si>
    <t>Решение Думы Кондинского района от 29 января 2021 года №747 "Об утверждении порядка выявления мнения граждан по вопросу о поддержке инициативного проекта путем опроса граждан, сбора их подписей"</t>
  </si>
  <si>
    <t>Решение Думы города Нижневартовска от 26.02.2021 № 717 "О Положении о реализации инициативных проектов в городе Нижневартовске"</t>
  </si>
  <si>
    <t xml:space="preserve">Решение Думы города от 22.12.2020 № 690-VI ДГ "Об утверждении Положения о регулировании отдельных вопросов реализации инициативных проектов в городе Сургуте" (в редакции от 28.12.2022 № 258-VII ДГ) </t>
  </si>
  <si>
    <t>Решение Думы Березовского района №663 от 08.02.21 "Об утверждении Порядка определения части территории Березовского района, на которой могут реализовываться инициативные проекты"</t>
  </si>
  <si>
    <t>Решение Думы Нефтеюгаснкого района от 28.12.2022 №563 (в ред. от 28.07.2021 № 640)</t>
  </si>
  <si>
    <t>Решение Думы города Лангепаса от 25 декабря 2020 г.№160</t>
  </si>
  <si>
    <t>Решение Думы города Мегиона от 18.12.2020 года №35 «Об инициативных проектах» (с изменениями от 04.08.2021 года)</t>
  </si>
  <si>
    <t>Решение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</si>
  <si>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Решение совета депутатов мунципального образования "Муниципальный округ Завьяловский район Удмуртской Республики" от 23.03.2022 № 207</t>
  </si>
  <si>
    <t>Решение Тюменской городской Думы от 24.12.2020 № 300 "Об утверждении Положения об инициативных проектах на территории города Тюмени"</t>
  </si>
  <si>
    <t xml:space="preserve">Решение Думы Труновского муниципального округа Ставропольского края от 23 марта 2021 г. №26 "Об утверждении порядка выдвижения, внесения, обсуждения,рассмотрения инициативных проектов, а также проведения их конкурсного отбора в Труновском муниципальнои округе Ставропольского края"
Решение Думы Труновского муниципального округа Ставропольского края от 23 марта 2021 г. № 27 "Об определении Порядка выявления граждан по вопросу о поддержке инициативного проекта путем опроса граждан, сбора их подписей"
Решение Думы Труновского муниципального округа Ставропольского края от 23 марта 2021 г. № 28 "Об определении части территории Труновского муниципального округа Ставропольского края,на которой могут реализовываться инициативные проекты"
</t>
  </si>
  <si>
    <t xml:space="preserve">1. Решение Совета депутатов Степновского муниципального округа Ставропольского края от 26 февраля 2021 г. № 10/139 - I "Об утверждении Положения о порядке выдвижения, внесения, обсуждения, рассмотрения инициативных проектов, а также проведения их конкурсного отбора".                                         2. Решение Совета депутатов Степновского муниципального округа Ставропольского края от 26 февраля 2021 г. № 140 -I "Об утверждении Положения о порядке назначения и проведения собрания (конференции) граждан в целях рассмотрения и обсуждения вопросов внесения инициативных проектов на территории Степновского муниципального округа Ставропольского края".                                                                           3. Решение Совета депутатов Степновского муниципального округа Ставропольского края от 10 декабря 2021 г. № 19/268 - I "О  реализации инициативных проектов в Степновском муниципальном округе Ставропольского края в 2022 году".     4. Решение Совета депутатов Степновского муниципального округа Ставропольского края от 28 июня 2022 г. № 23/345 - I "Об определении части территории Степновского муниципального округа Ставропольского края в целях реализации инициативного проекта".                                                                                                                                                         </t>
  </si>
  <si>
    <t>Решение Думы города Пятигорска Ставропольского края от 30 марта 2021 г. N 8-66 РД "Об утверждении положения о порядке выдвижения, внесения, обсуждения, рассмотрения инициативных проектов, а также проведения их конкурсного отбора" 
Решение Думы города Пятигорска Ставропольского края от 30 марта 2021 г. № 6-66 РД "О порядке расчета и возврата сумм инициативных платежей,подлежащих возврату лицам (в том числе организациям),осуществившим их перечисление в бюджет города-курорта Пятигорска" Решение Думы города Пятигорска Ставропольского края
от 30 марта 2021 г.№ 7-66 РД "Об утверждении положения о порядке назначения и проведения собрания граждан в целях рассмотрения и обсуждения вопросов внесения инициативных проектов на территории муниципального образования города-курорта Пятигорска"</t>
  </si>
  <si>
    <t xml:space="preserve">Решение Думы Предгорного муниципального округа Ставропольского края от 26.02.2021г. №15 "О реализации инициативного бюджетирования в Предгорном муниципальном округе Ставропольского края" </t>
  </si>
  <si>
    <t>30.03.2021 № 22 (с изменениями от 06.09.2021 №94), от 03 июня 2021 года № 52, от 24.06.2021 N 77</t>
  </si>
  <si>
    <t>Решение от 17.06.2022 г. № 411 «Об определении части территории в Новоселицком муниципальном округе Ставропольского края, на которой могут реализовываться инициативные проекты в 2022-2023 годах»</t>
  </si>
  <si>
    <t xml:space="preserve">Решение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Решение Совета депутатов Новоалександровского городского округа Ставропольского края от 23 апреля 2021 года №47/443 "Об утверждении Положения о порядке назначения и проведения собраний граждан в целях рассмотрения и обсуждения вопросов внесения инициативных проектов на территории Новоалександровского городского округа Ставропольского края" </t>
  </si>
  <si>
    <t>Решения Думы Нефтекумского городского округа Ставропольского края от 30 марта 2021 года № 590 "Об утверждении Положения об инициативном бюджетировании в Нефтекумского городском округе Ставропольского края", от 19 июля 2021 года № 646 "О внесении изменений в Положение об инициативном бюджетировании в НГО СК, утвержденное решением Думы НГО СК от 30 марта 2021 года № 590 «Об инициативном бюджетировании в НГО СК"</t>
  </si>
  <si>
    <t xml:space="preserve">1. Порядок выдвижения, внесения, обсуждения, рассмотрения инициативных проектов, а также проведения их конкурсного отбора на территории города Невинномысска, утвержденный решением Думы города Невинномысска от 25.02.2021  № 623-78;                                                                                             2. Решение Думы г. Невинномысска Ставропольского края от 25.02.2021 № 624-78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города Невинномысска";                                                                             3. Решение Думы г. Невинномысска Ставропольского края от 29.07.2020 № 556-68  "Об утверждении Положения о порядке назначения и проведения собраний и конференций граждан на территории города Невинномысска".                                                                             4. Решение Думы г. Невинномысска Ставропольского края от 27.03.2019 № 382-45  "Об утверждении Положения о порядке назначения и проведения опроса граждан в городе Невинномысске" ;                                                                                                                            5.   Решение Думы г. Невинномысска Ставропольского края от 31.05.2011 № 29-5  "Об утверждении Положения о территориальном общественном самоуправлении в городе Невинномысске"                                                                            </t>
  </si>
  <si>
    <t>решение Совета города Лермонтова от 30 марта 2021 г. № 17 "Об инициативном бюджетировании на территории муниципального образования город Лермонтов Ставропольского края"</t>
  </si>
  <si>
    <t xml:space="preserve">Решение Совета  Курского  муниципального  округа
Ставропольского края от 28 января 2021 г.  № 116 
«О некоторых вопросах реализации инициативных проектов на территории Курского муниципального округа Ставропольского края»
</t>
  </si>
  <si>
    <t xml:space="preserve">1) Решение  Совета депутатов Красногвардейского муниципального округа Ставропольского края № 114 от 24.02.2021 года Об утверждении Положения о порядке выдвижения,внесения,обсуждения,рассмотрения инициативных проектов, а также проведения их конкурсного отбора на территории Красногвардейского муниципального округа Ставропольского края  (в редакции решения от 13 июля 2021 года № 239).  Решение вступило в силу со дня его официального опубликования (26.02.2021г)  2) Решение Совета депутатов Красногвардейского муниципального округа Ставропольского края № 117 от 24.02.2021 гда Об утверждении Положения о порядке назначения и проведения собрания граждан,конференции граждан (собрания делегатов) в целях рассмотрения и обсуждения вопросов внесения инициативных проектов на территории Красногвардейского муниципального округа Ставропольского края (в редакции решения от 13.07.2021 года № 240).Решение вступило в силу со дня его официального опубликования (26.02.2021).  3) Решение Совета депутатов Красногвардейского муниципального округа Ставропольского края № 118 от 24.02.2021 года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Красногвардейского муниципального округа Ставропольского края.Решение вступило в силу со дня его официального опубликования 26.02.2021). </t>
  </si>
  <si>
    <t>Решение Думы Кочубеевского муниципального округа Ставропольского края первого созыва от 08 апреля 2021 года № 153 «Об утверждении Положения о порядке назначения и проведения собрания граждан в целях рассмотрения и обсуждения вопросов внесения инициативных проектов на территории Кочубеевского муниципального округа Ставропольского края», вступает в силу 01 января 2021 года;
Решение Думы Кочубеевского муниципального округа Ставропольского края первого созыва от 08 апреля 2021 года № 154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первого созыва от 08 апреля 2021 года № 155 «Об утверждении Положения о порядке назначения и проведения опроса граждан по вопросам выявления мнения граждан о поддержке инициативных проектов на территории Кочубеевского муниципального округа Ставропольского края», вступает в силу с 01 января 2021 года;
Решение Думы Кочубеевского муниципального округа Ставропольского края первого созыва от 08 апреля 2021 года № 156 «Об утверждении Положения о порядке выдвижения, внесения, обсуждения, рассмотрения инициативных проектов, а также проведения конкурсного отбора в Кочубеевском муниципальном округе Ставропольского края», вступает в силу с 01 января 2021 года;                                                 Решение Думы Кочубеевского муниципального округа Ставропольского края первого созыва от 15 июля 2021 года № 255 "О внесении изменения в Решение Думы Кочубеевского муниципального округа Ставропольского края от 08 апреля 2021 г. № 156 «Об утверждении Положения о порядке выдвижения, внесения, обсуждения, рассмотрения инициативных проектов, а также проведения конкурсного отбора в Кочубеевском муниципальном округе Ставропольского края».  http://кочубеевский-район.рф/dokumenty.html</t>
  </si>
  <si>
    <t>Решение Думы города-курорта Кисловодска от 24 февраля 2021 года № 11-521  "Об утверждении Положения о порядке выдвижения, внесения, обсуждения, рассмотрения инициативных проектов, а также проведения их конкурсного отбора"; Решение Думы города-курорта Кисловодска от 24 февраля 2021 года № 12-521 "Об утверждении Порядка расчета и возврата сумм инициативных платежей, подлежащих возврату лицам (в том числе организациям), осуществившим их пречисление в бюджет города-курорта Кисловодска"; Решение Думы города-курорта Кисловодска Ставропольского края от 24.02.2021 № 18-521 "О внесении изменений в решение Думы города-курорта Кисловодска Ставропольского края от 26.07.2006 N 54-36  "О Положении о порядке назначения и проведения собраний и конференций в городском округе города-курорта Кисловодска".</t>
  </si>
  <si>
    <t>Решение Думы Кировского городского округа Ставропольского края от 23 марта 2021 года № 345 "Об утверждении положений о порядке выдвижения, внесения, обсуждения, рассмотрения, проведения конкурсного отбора инициативных проектов в Кировском городском округе Ставропольского края, о порядке назначения и проведения собрания граждан в целях рассмотрения и обсуждения вопросов внесения инициативных проектов в Кировском городском округе Ставропольского края"</t>
  </si>
  <si>
    <t>Решение Думы Ипатовского городского округа Ставропольского края №16 от 25 февраля 2021 г "Порядок выдвижения, внесения, обсуждения, рассмотрения и реализации инициативных проектов , а также проведения их конкурсного отбора в Ипатовском городском округе Ставропольского края"; Решение Думы Ипатовского городского округа Ставропольского края №183 от 14 декабря 2021 г  "О внесении изменения в пункт 6 раздела 2 Порядка выдвижения, внесения, обсуждения, рассмотрения и реализации инициативных проектов, а также проведения их конкурсного отбора" Решение Думы Ипатовского городского округа Ставропольского края №17 от 25 февраля 2021 г "Об утверждении Порядка определения территории, части территории Ипатовского городского округа Ставропольского края, на которой могут реализовываться инициативные проекты"; Решение Думы Ипатовского городского округа Ставропольского края №18 от 25 февраля 2021 г "Об утверждении Порядка выявления мнения граждан по вопросу о поддержке инициативного проекта путём опроса граждан, сбора их подписей"</t>
  </si>
  <si>
    <t xml:space="preserve">Решение Думы Изобильненского городского округа Ставропольского края от 26 февраля 2021 года №469 "Об утверждении Положения об инициативном бюджетировании в Изобильненском городском округе Ставропольского края  </t>
  </si>
  <si>
    <t>Решение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</si>
  <si>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Решение Думы Георгиевского городского округа Ставропольского края от 24.02.2021 г. № 826-67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Георгиевского городского округа Ставропольского края»;
Решение Думы Георгиевского городского округа Ставропольского края от 24.02.2021 г № 827-67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городского округа Ставропольского края»;
Решение Думы Георгиевского городского округа Ставропольского края от 24.02.2021 г. № 828-67 «Об утверждении Положения о порядке назначения и проведения собраний и конференций (собраний делегатов) граждан в целях рассмотрения и обсуждения вопросов внесения инициативных проектов на территории Георгиевского городского округа Ставропольского края»</t>
  </si>
  <si>
    <t xml:space="preserve">Решение Думы Георгиевского городского округа Ставропольского края от 26 декабря 2018 г. № 469-24 "Об утверждении Положения о наказах избирателей депутатам Думы Георгиевского городского округа Ставропольского края"
Решение Думы Георгиевского городского округа Ставропольского края от 09 июля 2021 г. № 873-73 «О сводном перечне наказов избирателей депутатам Думы Георгиевского городского округа Ставропольского края на 2022 год»
Решение Думы Георгиевского городского округа Ставропольского края от 02 марта 2022 г. № 996-90 «О внесении изменения в Сводный перечень наказов избирателей депутатам Думы Георгиевского городского округа Ставропольского края на 2022 год, утвержденный решением Думы Георгиевского городского округа Ставропольского края от 09 июля 2021 г. № 873-73»
Решение Думы Георгиевского городского округа Ставропольского края от 10 марта 2022 г. № 998-91 «О внесении изменения в Сводный перечень наказов избирателей депутатам Думы Георгиевского городского округа Ставропольского края на 2022 год, утвержденный решением Думы Георгиевского городского округа Ставропольского края от 09 июля 2021 г. № 873-73»
</t>
  </si>
  <si>
    <t>Решение Совета депутатов Благодарненского городского округа Ставропольского края  № 405 от 24 марта 2021 года "О реализации инициативного бюджетирования в Благодарненском городском округе Ставропольского края", дата вступления в силу 30.03.2021г.              Решение Совета депутатов Благодарненского городского округа Ставропольского края № 431 от 08 июля 2021 года "О внесении изменений в решение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12.07.2021</t>
  </si>
  <si>
    <t>решение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</si>
  <si>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 xml:space="preserve">Решение Совета Андроповского муниципального округа Ставропольского края от 31 марта 2021 г. № 10/100-1 Об отдельных вопросах реализации инициативных проектов на территории Андроповского муниципального округа Ставропольского края   (дата вступления в силу 01 апреля 2021 г.)    </t>
  </si>
  <si>
    <t>1. Решение Совета Депутатов Александровского муниципального округа Ставропольского края от 26 марта 2021г. № 226/79 «Об утверждении Положения о порядке выдвижения, внесения, обсуждения, рассмотрения инициативных проектов, а также проведения их конкурсного отбора в Александровском муниципальном округе Ставропольского края»; . Дата вступления в силу НПА-26.03.2021г 
2. Решение Совета Депутатов Александровского муниципального округа Ставропольского края от 26 марта 2021г. № 227/80 «Об утверждении Порядка назначения и проведения собрания граждан в целях рассмотрения и обсуждения вопросов внесения инициативных проектов в Александровском муниципальном округе Ставропольского края»;  Дата вступления в силу НПА - 26.03.2021г 
3. Решение Совета Депутатов Александровского муниципального округа Ставропольского края от 26 марта 2021г. № 228/81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Александровского муниципального округа Ставропольского края» . Дата вступления в силу НПА  - 26.03.2021г.
4.  Решение Совета Депутатов Александровского муниципального округа Ставропольского края от 20 января 2022г. № 427/2 «О внесении изменений в Положение о порядке выдвижения, внесения, обсуждения, рассмотрения инициативных проектов, а также проведения их конкурсного отбора в Александровском муниципальном округе Ставропольского края, утвержденное решением Совета депутатов Александровского муниципального округа Ставропольского края от 26 марта 2021 г. №226/79» . Дата вступления в силу НПА  - 20.01.2022г.</t>
  </si>
  <si>
    <t>Решение Думы городского округа Ревда от 25.08.2021 № 501 "Об утверждении положения о порядке выдвижения, внесения, обсуждения, рассмотрения инициативных проектов, а также проведения конкурсного отбора в городском округе Ревда"</t>
  </si>
  <si>
    <t>Решение Думы городского округа Красноуральск от 29.07.2021 №310 "Об утверждении Порядка выдвижения, внесения, обсуждения, рассмотрения инициативных проектов, проведения их конкурсного отбора на территории городского округа Красноуральск", Решение Думы городского округа Красноуральск от 29.07.2021 №311 "Об утверждении Порядка определения части территории городского округа Красноуральск, на которой могут  реализовываться инициативные проекты"</t>
  </si>
  <si>
    <t>Решение Думы Качканарского городского округа от 17.11.2021 № 72 (в редакции от 16.03.2022 № 20)</t>
  </si>
  <si>
    <t>Решение Думы Асбестовского городского округа от 29.07.2021 №51/2 "О реализации инициативных проектов на территории Асбестовского городского округа"</t>
  </si>
  <si>
    <t>Решение Думы МО Алапаевское от 28.01.2021 №682</t>
  </si>
  <si>
    <t>Протокол Собрания граждан  от 05.09.2021г</t>
  </si>
  <si>
    <t>Конференция (сход) граждан 24.02.2022г.</t>
  </si>
  <si>
    <t>Протокол Собрания граждан  от 02.10.2021г</t>
  </si>
  <si>
    <t>15.06.2021 г. №44</t>
  </si>
  <si>
    <t xml:space="preserve">Решение Собрания представителей сельского поселения Малая Малышевка  от 16.12.2020 г. № 40 «Об утверждении Положения об инициировании и реализации инициативных проектов на территории сельского поселения Малая Малышевка муниципального района Кинельский Самарской области» </t>
  </si>
  <si>
    <t>Решение Собрания представителей сельского поселения Черновка от 23.07.2021 № 26-1 "Об утверждении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t>
  </si>
  <si>
    <t xml:space="preserve">Решение Собрания представителей сельского поселения Тимашево №9-1 от 27.07.2021 " Об утверждении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
</t>
  </si>
  <si>
    <t>Решение Собрания представителей сельского поселения Садгород муниципального района Кинель-Черкасский Самарской области №7-1 от 12.07.2021 "Об утверждении положения о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t>
  </si>
  <si>
    <t>Решение Собрания представителей сельского поселения Подгорное муниципального района Кинель-Черкасский Самарской области от 23.07.2021 № 10-1 "Об утверждении Положения об инициировании и реализации инициативных проектов"</t>
  </si>
  <si>
    <t xml:space="preserve">Решение Собрания представителей сельского поселения Новые Ключи муниципального района Кинель-Черкасский Самарской области № 10-1 от 04.08.2021 "Об утверждении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t>
  </si>
  <si>
    <t>Решение Собрания представителей сельского поселения Муханово муниципального района Кинель-Черкасский Самарской области №16-1 от 23.07.2021 "Об утверждении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t>
  </si>
  <si>
    <t xml:space="preserve">Решение Собрания представителей сельского поселения Кротовка муниципального района Кинель-Черкасский Самарской области №19-2 от 23.08.2021 "Об утверждении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 </t>
  </si>
  <si>
    <t>Решение собрания представителей сельского поселения Кротовка муниципального района Кинель-Черкасский Самарской области  №19-2 от 23.08.2021 "Об утверждении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t>
  </si>
  <si>
    <t xml:space="preserve">Решение Собрания представителей сельского поселения Красная Горка муниципального района Кинель-Черкасский Самарской области №12-2 от 21.07.2021 «Об утверждении Положения об инициировании и реализации инициативных проектов»
</t>
  </si>
  <si>
    <t>Решение Собрания представителей сельского поселения Кинель-Черкассы муниципального района Кинель-Черкасский Самарской области № 19-3 от 12.08.2021  "Об инициировании и реализации инициативных проектов в сельском поселении Кинель-Черкассы муниципального района Кинель-Черкасский Самарской области"</t>
  </si>
  <si>
    <t xml:space="preserve">Решение Собрания представителей сельского поселения Кабановка  муниципального района Кинель-Черкасский Самарской области от 20.07.2021 №11-1 " Об утверждении Положения об инициировании и реализации инициативных проектов сельского поселения Кабановка муниципального района Кинель-Черкасский Самарской области"
</t>
  </si>
  <si>
    <t xml:space="preserve">Решение Собрания представителей сельского поселения Ерзовка муниципального района Кинель-Черкасский Самарской области от 21.07.2021 года № 12-2 "Об утверждении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
</t>
  </si>
  <si>
    <t xml:space="preserve">Решение Собрания представителей сельского поселения Березняки муниципального района Кинель-Черкасский Самарской области от 16.08.2021 №15-1 "Об утверждении Положения об инициировании и реализации инициативных проектов " </t>
  </si>
  <si>
    <t xml:space="preserve">Решение Собрания представителей сельского поселения Александровка муниципального района Кинель-Черкасский Самарской области от 27.07.2021 №11-1 " Об утверждении Положения об инициировании и реализации инициативных проектов"
</t>
  </si>
  <si>
    <t>Решение Собрания представителей Кинель-Черкасского района от 22.10.2021 № 12-5 «Об утверждении Положения об инициировании и реализации инициативных проектов на территории муниципального района Кинель-Черкасский Самарской области»</t>
  </si>
  <si>
    <t>Решение Собрания представителей Кинель-Черкасского района Самарской области № 12-5 от 22.10.2021 «Об утверждении Положения об инициировании и реализации инициативных проектов на территории муниципального района Кинель-Черкасский Самарской области»</t>
  </si>
  <si>
    <t>Решение Собрания представителей сельского поселения Исаклы муниципального района Исаклинский Самарской области от 25 декабря 2020 года №40а "Об утверждении Положения об инициировании и реализации инициативных проектов на территории сельского поселения Исаклы муниципального района Исаклинский" Самарской области</t>
  </si>
  <si>
    <t>27.04.2022 г. № 98а</t>
  </si>
  <si>
    <t xml:space="preserve">Решение Думы городского округа Тольятти  от 23.06.2023 № 985 "О Положении об инициативных проектах на территории городского округа Тольятти" </t>
  </si>
  <si>
    <t>Положения «О порядке   выдвижения, внесения, обсуждения и рассмотрения инициативных проектов на территории Советского внутригородского района городского округа Самара», утвержденным Решением Совета депутатов Советского внутригородского района городского округа Самара от 10 февраля 2021 №37</t>
  </si>
  <si>
    <t>Положение "О порядке выдвижения, внесения, обсуждения и рассмотрения инициативных проектов на территории Промышленного внутригородского района городского округа Самара», утвержденному Советом депутатов Промышленного внутригородского района городского округа Самара (Решение от 2 февраля 2021 г. N 36)</t>
  </si>
  <si>
    <t xml:space="preserve"> Решение Совета Депутатов Куйбышевского внутригородского района городского округа Самара от 16.02.2021 № 35 "Об утверждении Положения «О порядке выдвижения, внесения, обсуждения и рассмотрения инициативных проектов на территории Куйбышевского внутригородского района городского округа Самара"</t>
  </si>
  <si>
    <t>Решение № 35 от 11.02.2021 об утверждении Положения "О порядке выдвижения,внесения,обсуждения и рассмотрения инициативных проектов на территрии Кировского внутригородского района городского округа Самара", в соответствии с Федеральным законом от 6 октября 2003 года№131- ФЗ "об общих принципах организации местного самоуправления в российской Федерации, Уставом Кировского внутригородского района городского округа Самара"</t>
  </si>
  <si>
    <t xml:space="preserve">Постановление от 15.11.2021 №81 Администрации Кировского внутригородского района </t>
  </si>
  <si>
    <t xml:space="preserve">1. Решение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t>
  </si>
  <si>
    <t>Постановление Администрации городского округа Отрадный Самарской области №651 от 06.07.2020 "О реализации проектов инициативного бюджетирования на территории городского округа Отрадный"</t>
  </si>
  <si>
    <t>Решение Собрания депутатов Октябрьского района от 23.12.2021 № 10</t>
  </si>
  <si>
    <t>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</si>
  <si>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Об утверждении Порядка выдвижения, внесения, обсуждения, рассмотрения инициативных проектов, а также проведения их конкурсного отбора в Дальнереченском муниципальном районе от 29.06.2021г. № 131-МНПА</t>
  </si>
  <si>
    <t>Решение Думы городского округа Спасск-Дальний №2-НПА от 29.01.2021  "О порядке реализации проектов инициативного бюджетирования"</t>
  </si>
  <si>
    <t>Решение Пермской городской Думы от 26.03.2019 N 64 "Об утверждении Положения об участии граждан в осуществлении местного самоуправления в городе Перми"</t>
  </si>
  <si>
    <t>Решение Кудымкарской городской Думы № 21 от 28.05.2021 "Об инициативных проектах в муниципальном образовании "Городской округ- город Кудымкар"</t>
  </si>
  <si>
    <t>Решение Думы Верещагинского городского округа Пермского края № 37/319 от 29.04.2021</t>
  </si>
  <si>
    <t xml:space="preserve">Решение Пензенской городской Думы от 23.12.2022 № 787-45/7 «О бюджете города Пензы на 2023 год и плановый период 2024 и 2025 годов» </t>
  </si>
  <si>
    <t>Решение Совета депутатов № 46 от 04.06.2021 "Об утверждении Положения о реализации инициативных проектов на территории муниципального образования Курманаевский сельсовет Курманаевского района Оренбургской области"</t>
  </si>
  <si>
    <t>Решение Совета депутатов № 39 от 30.04.2021 "Об утверждении Положения о реализации инициативных проектов на территории муниципального образования Кутушинский сельсовет Курманаевского района Оренбургской области"</t>
  </si>
  <si>
    <t>Решение Совета депутатов муниципального образования Тоцкий район Оренбургской области 25 июня 2021 года № 50
Об инициативных проектах</t>
  </si>
  <si>
    <t>16.12.2021 года №12/59-рс</t>
  </si>
  <si>
    <t>Постановление администрации МО Светлый сельсовет №5/1 от 08.02.2021г "О реализации проекта "Строительство водопровода для новой жилой застройки п.Светлый"</t>
  </si>
  <si>
    <t>решение Совета депутатов муниципального образования Оренбургский район от 26.10.2021 № 127 "Об утверждении положения «О порядке инициирования, назначения и проведения собраний и конференций граждан (собраний делегатов) в целях рассмотрения и обсуждения вопросов внесения инициативных проектов в муниципальном образовании Оренбургский район»</t>
  </si>
  <si>
    <t>Решение Совета депутатов муниципального образования Красногвардейский район Оренбургской области № 11/2 от 22.12.2021 г. "О бюджете муниципального образования
Красногвардейский район на 2022 год и на плановый период 2023 и 2024 годов"</t>
  </si>
  <si>
    <t>Решение Совета депутатов муниципального образования "Бугурусланский район" Оренбургской области от 20.05.2021 г. № 36 "Об утверждении Положения о порядке проведения конкурсного отбора инициативных проектов для реализации на территории Бугурусланского района"</t>
  </si>
  <si>
    <t>Решение Оренбургского городского Совета от 07.06.2021 № 110 Об утверждении порядка реализации инициативных проектов на территории муниципального образования «город Оренбург»</t>
  </si>
  <si>
    <t xml:space="preserve">Решение Медногорского городского совета №131 от 21.12.2021 "Об утверждении бюджета муниципального образования 
город Медногорск на 2022 год и плановый период
 2023 и 2024 годов"
</t>
  </si>
  <si>
    <t>Решение Омского городского Совета от 14 июля 2021 года № 329 "Об инициативных проектах на территории города Омска"</t>
  </si>
  <si>
    <t>Решение Совета Кормиловского муниципального района от 26 августа 2021 № 38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Кормиловского муниципального района"</t>
  </si>
  <si>
    <t xml:space="preserve">Решение Совета Иваново-Мысского сельского поселения Тевризского муниципального района Омской области четвертого созыва от 25 марта 2022 года № 75-р "Об утверждении положения о порядке выдвижения, внесения, обсуждения, рассмотрения инициативных проектов, а также проведения их отбора, в том числе в целях выдвижения инициативных проектов для получения финансовой поддержки за счет межбюджетных трансфертов из бюджета Тевризского муниципального района или бюджета Омской области" 
</t>
  </si>
  <si>
    <t>Решение Совета депутатов г. Бугуруслана от 20.05.2021 № 57 "О реализации инициативных проектов на территории муниципального образования «город Бугуруслан»</t>
  </si>
  <si>
    <t>Решение Думы Окуловского муниципального района от 28.12.2020 № 26 (в редакции от 19.02.2021 № 40)</t>
  </si>
  <si>
    <t xml:space="preserve">Решение Думы Великого Новгорода от 25 марта 2022 года «О делегировании представителей в состав комиссии по конкурсному отбору проектов «Школьный бюджет»
</t>
  </si>
  <si>
    <t>1. Решение Совета депутатов городского округа Семеновский Нижегородской области от 10.12.2020г. №63 "Об утверждении Порядка определения территории, части территории городского округа Семеновский Нижегородской области, предназначенной для реализации инициативных проектов"; 
2. Решение Совета депутатов городского округа Семеновский Нижегородской области от 10.12.2020г. №64 "Об утверждении Положения о порядке назначения и проведения собраний граждан в целях рассмотрения и обсуждения вопросов внесения инициативных проектов";                                         
3. Решение Совета депутатов городского округа Семеновский Нижегородской области от 10.12.2020г. №65 "Об утверждении Порядка выявления мнения граждан по вопрпосу о поддержке инициативного пректа путем опросв граждан, сбора их подписей";                                                                                                   
4. Решение Совета депутатов городского округа Семеновский Нижегородской области от 24.12.2020г. №72 "Об утверждении Порядка выдвижения, внесения, обсуждения, рассмотрения инициативных проектов на территории городского округа Семеновский";                                                                               
5. Решение Совета депутатов городского округа Семеновский Нижегородской области от 26.01.2021 № 6 "Об утверждении Порядка проведения конкурсного отбора инициативных проектов для реализации на территории городского округа Семеновский Нижегородской области"</t>
  </si>
  <si>
    <t>Решение Совета депутатов Богородского муниципального округа Нижегородской области от 10.12.2020 №95 "Об утверждении порядка определения части территории, на которой могут реализовываться инициативные проекты";
Решение Совета депутатов Богородского муниципального округа Нижегородской области от 10.12.2020 №96 "Об утверждении Порядка выдвижения, внесения, обсуждения, рассмотрения инициативных проектов, а также проведения их конкурсного отбора";
Решение Совета депутатов Богородского муниципального округа Нижегородской области от 10.12.2020 №97 "Об утверждении положения о собраниях граждан на территории Богородского муниципального округа Нижегородской области";
Решение Совета депутатов Богородского муниципального округа Нижегородской области от 10.12.2020 №98 "Об утверждении порядка выявления мнения граждан по вопросу о поддержке инициативного проекта путем опроса граждан, сбора их подписей"</t>
  </si>
  <si>
    <t xml:space="preserve">Решения городской Думы г.Дзержинска:
- от 17.12.2020 № 61 "Об утверждении Порядка выдвижения, внесения, обсуждения, рассмотрения инициативных проектов в городе Дзержинске;
- от 17.12.2020 № 62 "Об утверждении Порядка определения части территории города Дзержинска, в границах которой может реализовываться инициативный проект";
- от 17.12.2020 № 63 "Об утверждении Порядка проведения конкурсного отбора инициативных проектов в городе Дзержинске";
- от 17.12.2020 № 64 "Об утверждении Положения о порядке назначения и проведения собрания граждан в целях рассмотреия и обсуждения вопросов внесения инициативных проектов";
- от  17.12.2020 № 65 "Об утверждении Порядка выявления мнения граждан по вопросу о поддежке инициативного проекта путем опроса граждан, сбора их подписей".
</t>
  </si>
  <si>
    <t>РЕШЕНИЕ СОБРАНИЕ ПРЕДСТАВИТЕЛЕЙ ОМСУКЧАНСКОГО ГОРОДСКОГО ОКРУГА от 21 января 2021 г. N 5</t>
  </si>
  <si>
    <t>Решение Джанкойского городского совета от 27.11.2020 № 189 «Об инициативном бюджетировании в муниципальном образовании городской округ Джанкой Республики Крым»</t>
  </si>
  <si>
    <t>Решение 32 сессии Перовского сельского совета Симферопольского района Республики Крым 2 созыва от 22.02.2022г. № 209 "Об утверждении положения о порядке выдвижения, внесения, обсуждения, рассмотрения инициативных проектов, а также проведения их конкурсного отбора"</t>
  </si>
  <si>
    <t>Решение Далматовской районной Думы от 10 декабря 2021 года № 112 "О районном бюджете на 2022 год и на плановый период 2023 и 2024 годов"</t>
  </si>
  <si>
    <t>решение Свеверо-Енисейского районного Совета депутатов от 02.11.2020 № 14-3 "О реализации положений законодательства об инициативных проектах в Северо-Енисейском районе"</t>
  </si>
  <si>
    <t xml:space="preserve">Решение Красноярского городского Совета депутатов от 16.06.2021 № 12-166 "Об инициативных проектах в городе Красноярске"
</t>
  </si>
  <si>
    <t xml:space="preserve">Решение от 29.09.2021 № 14-82-ГС "О реализации инициативных проектов в городском округе г.Дивногорск Красноярского края"
</t>
  </si>
  <si>
    <t>28.01.2021 №69</t>
  </si>
  <si>
    <t>Решение Совета Старощербновского сельского поселения Щербиновского района  от 06 ноября 2020 г.  № 8 "О реализации инициативных проектов в Старощербиновском сельском поселении Щербиновского района"</t>
  </si>
  <si>
    <t>Решения Совета Екатериновского сельского поселения Щербиновского района от 15 декабря 2020 года № 5 «О реализации инициативных проектов в Екатериновском сельском поселении Щербиновского района» и от 15 декабря 2020 года № 6 «Об установлении Порядка определения части территории Екатериновского сельского поселения Щербиновского района, на которой могут реализовываться инициативные проекты»</t>
  </si>
  <si>
    <t>Решение Совета Тенгинского сельского посеелни Усть-Лабинского района от 21 января 2021 г. № 2 протокол № 31 " Об утверждении Положения о порядке реализации инициативных проектов в Тенгинском сельском поселении Усть-Лабинского района"</t>
  </si>
  <si>
    <t xml:space="preserve">Решение Совета Железного сельского поселения от 14.12.2021 г. № 1 «Об утверждении положения о порядке выдвижения, внесения, обсуждения, рассмотрения инициативных проектов, а также проведения их конкурсного отбора» </t>
  </si>
  <si>
    <t>Решение Совета Кирпильского сельского посеелни Усть-Лабинского района от 08 декабря 2020 г. № 3 протокол № 21 " Об утверждении Положения о порядке реализации инициативных проектов в Кирпильском сельском поселении Усть-Лабинского района"</t>
  </si>
  <si>
    <t>Решение Совета Ленинского сельского посеелния Усть-Лабинского района от 25 декабря 2020 г. № 3 протокол № 31 " Об утверждении Положения о порядке реализации инициативных проектов в Ленинском сельском поселении Усть-Лабинского района"</t>
  </si>
  <si>
    <t>Решение Совета Двубратского сельского посеелни Усть-Лабинского района от 21 января 2022 г. № 6 протокол № 44 " Об утверждении положения о Порядке выдвижения, внесения, обсуждения, рассмотрения инициативных проектов, а также проведения их конкурсного отбора на основании прямого голосования граждан в Двубратском сельском поселении Усть-Лабинского района"</t>
  </si>
  <si>
    <t>Решение Совета Роговского сельского поселения Тимашевского района от 01.01.2021 г. № 56 "Об утверждении Положения о порядке реализации Инициативных проектов в Роговском сельском поселении Тимашевского района"</t>
  </si>
  <si>
    <t xml:space="preserve">Муниципальная программа
Незаймановского сельского поселения Тимашевского района «Благоустройство территории Незаймановского сельского поселения Тимашевского района», утвержденная постановлением администрации Незаймановского сельского поселения Тимашевского райна от 18.04.2022 г. №25/1 "О внесении изменений в постановление администрации Незаймановского сельского поселения Тимашевского района от 29 декабря 2021 года № 145 «Об </t>
  </si>
  <si>
    <t xml:space="preserve">Решение Совета Таманского сельского поселения Темрюкского района от 09.11.22г. №199 "О внесении изменений в решение XXXIV сессии Совета Таманского сельского поселения Темрюкского района IV созыва от 14 декабря 2021 года №147 "О бюджете Таманского сельского поселения Темрюкского района на 2022год" </t>
  </si>
  <si>
    <t>10.12.2021 Решение №149 «О бюджете Сенного сельского поселения Темрюкского района на 2022»</t>
  </si>
  <si>
    <t>Решение сессии Совета  № 98 XXII сессия IV созыва «25» декабря 2020 года «Об утверждении Положения о порядке реализации инициативных проектов в Краснострельском сельском поселении Темрюкского района»</t>
  </si>
  <si>
    <t>Решение XLIV сессии Совета Запорожского сельского поселения Темрюкского района от 25.03.2022 № 163 "О внесении изменений  в решение XXXIX сессии Совета Запорожского сельского поселения Темрюкского района от 17.12.2021 г. № 143 "О бюджете Запорожского сельского поселения Темрюкского района на 2022 год"</t>
  </si>
  <si>
    <t>Решение Совета ГСП ТР от 25.02.2022 № 171 "О внесении изменений в решение XXXIX сессии Совета Голубицкого сельского поселения Темрюкского района IV созыва от 17 декабря 2021 года № 160 «О бюджете Голубицкого сельского поселения Темрюкского района на 2022 год»</t>
  </si>
  <si>
    <t>Решение XXXVIIсессииСовета муниципльного образования Темрюкский район VII созыва от 27 сентября 2022 г. "О внесении изменений в решение XXIII сессии Совета муниципального образования Темрюкский район VII созыва от 7 декабря 2021 г. № 177 "О бюджете муниципального образования Темрюкский район на 2022 год и плановый период 2023 и 2024 годов"</t>
  </si>
  <si>
    <t>Решение Городского Собрания Сочи муниципального образования городской округ город-курорт Сочи Краснодарского края от 27 мая 2021 года № 59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городской округ город-курорт Сочи Краснодарского края"</t>
  </si>
  <si>
    <t>Решение Совета Львовского сельского поселения Северского район от 24.12.2020 № 91 "Об утверждении Положения о порядке реализации инициативных проектов в Львовском сельском поселении Северского района"</t>
  </si>
  <si>
    <t>решение Совета Афипского городского поселения от 08.12.2020г. №98 "Об утверждении Порядка реализации инициативных проектов в Афипском городском поселении Северского района"</t>
  </si>
  <si>
    <t>Решение №116 от 14.01.2021 "Об утверждении Порядка реализации инициативных проектов в Северском сельском поселении Северского района"</t>
  </si>
  <si>
    <t>Решение городской Думы муниципального образования город Новороссийск от 20.04.2021 № 97 (ред. от 22.11.2022) "Об утверждении Порядка применения инициативного бюджетирования в муниципальном образовании город Новороссийск" (вместе с "Положением о школьном инициативном бюджетировании в муниципальном образовании город Новороссийск", "Положением о молодежном инициативном бюджетировании в муниципальном образовании город Новороссийск", "Положением о студенческом инициативном бюджетировании в муниципальном образовании город Новороссийск")</t>
  </si>
  <si>
    <t>Решение совета Безводного сельского поселения Курганинского района от 23.11.2020 № 63"Об утверждении Положения о порядке реализации инициативных проектов в Безводном сельском поселении Курганинского района"</t>
  </si>
  <si>
    <t>Решение Совета Курганинского городского поселения Курганинского района от 17.12.2020г. "Об утверждении Положения о порядке реализации инициативных проектов в Курганинском городском поселении Курганинского района"</t>
  </si>
  <si>
    <t>Решение Совета Константиновского сельского поселения Курганинского района №57 от 16.11.2020 г.</t>
  </si>
  <si>
    <t xml:space="preserve"> Решение Совета№62 от 25.11.2020г "Об утверждении Положения о порядке реализации 
инициативных проектов в муниципальном образовании 
Октябрьское сельское поселение Курганинского района"
</t>
  </si>
  <si>
    <t>Решение Совета Родниковского  сельского поселения Курганинского района "Об утверждении Положения о порядке реализации инициативных проектов в Родниковском сельском поселении Курганинского района" № 68 от 17.12.2020</t>
  </si>
  <si>
    <t xml:space="preserve">от 19.11.2020г №72"Об утверждении Положения о порядке реализации инициативных проектов в Новоалексеевском сельском поселении"
</t>
  </si>
  <si>
    <t>решение городской Думы Краснодара от 24.06.2021        № 15 п.1 "Об утверждении порядка реализации инициатативных проектов на территории муниципального образования город Краснодар"</t>
  </si>
  <si>
    <t xml:space="preserve">Решение Совета Новомышастовского сельского поселения 19 января 2021г № 18/2 "Об утверждении Положения о порядке реализации инициативных
проектов в Новомышастовском сельском поселении
Красноармейского района"
</t>
  </si>
  <si>
    <t>решение №23.2 от 21.01.2021</t>
  </si>
  <si>
    <t>Решение Совета Полтавского сельского поселения "Об утверждении Положения о порядке реализации инициативных проектов в Полтавском сельском поселении Красноармейского района"</t>
  </si>
  <si>
    <t xml:space="preserve">Решение Совета Сергиевского сельского поселения № 79 от 11.12.2020 Об утверждении Положения о порядке реализации инициативных проектов в Сергиевском сельском поселении Кореновского района </t>
  </si>
  <si>
    <t>Решение Совета депутатов Пролетарского сельского поселения от 25.12.2020 года № 95</t>
  </si>
  <si>
    <t>Решение Совета Платнировского сельского поселения Кореновского района от 24 декабря 2020 года №101 "Об утверждении Положения о порядке реализации инициативных
проектов в Платнировском сельском поселении Кореновского района"</t>
  </si>
  <si>
    <t>Решение Совета Новоберезанского сельского поселения Кореновского района "Об утверждении Положения о порядке реализации инициативных проектов в Новоберезанском сельском  поселении  Кореновского района"</t>
  </si>
  <si>
    <t>Решение от 16.12.2020 г. № 74 «Об утверждении Положения о порядке реализации инициативных проектовв Журавском сельском поселении Кореновского района»</t>
  </si>
  <si>
    <t xml:space="preserve">Решение Совета Дядьковского сельского поселения Кореновского района от 16.12.2020 № 82 "Об утверждении Положения о порядке реализации инициативных проектов в Дядьковском сельском поселении Кореновского района " </t>
  </si>
  <si>
    <t>Решение Совета Бураковского сельского поселения Кореновского района от 28.12.2020 №77 «Об утверждении Положения о порядке реализации инициативных проектов в Бураковском сельском поселении Кореновского района»</t>
  </si>
  <si>
    <t>23.12.2020 №37 (решение Совета муниципального образования Кореновский район)</t>
  </si>
  <si>
    <t>28.01.2021 №76</t>
  </si>
  <si>
    <t xml:space="preserve"> решение №57 от 21.12.2020</t>
  </si>
  <si>
    <t>Решение от 17.12.2020 № 52 Об утверждении Положения о порядке реализации инициативных проектов на территории Южненского сельского поселения Белореченского района</t>
  </si>
  <si>
    <t>№88 от 18.12.2020</t>
  </si>
  <si>
    <t>Решение Совета Новопавловского сельского поселения Белоглинского района от 09.12.2020 №18 §1 "Об утверждении Положения о порядке реализации  инициативных проектов в Новопавловском сельском поселении Белоглинского района"</t>
  </si>
  <si>
    <t xml:space="preserve">от 24.12.2020 года № 46 Решение Армавирской городской думы </t>
  </si>
  <si>
    <t>От 20.07.2021 г. №76 "Об утверждении порядка выдвижения, внесения, обсуждения, рассмотренияинициативных проектов, а также проведения их конкурсного отборав Ярославском сельском поселении Мостовского района"</t>
  </si>
  <si>
    <t>12.11.2021 Об утверждении порядка выдвижения, внесения, обсуждения, рассмотрения инициативных проектов, а также проведения их конкурсного отбора в 12.11.2021 Унароковском сельском поселении Мостовского района</t>
  </si>
  <si>
    <t xml:space="preserve">Решение совета№ 41 от 25.11.2020г. </t>
  </si>
  <si>
    <t>Постановление администрации муниципального района "Усть-Цилемский" от 21 марта 2022г. № 03/209</t>
  </si>
  <si>
    <t>Постановление администрации МР "Усть-Вымский" от 08.10.2021 № 1163</t>
  </si>
  <si>
    <t>Постановление администрации МР "Усть-Куломский" № 884 от 05.07.2021 г.</t>
  </si>
  <si>
    <t>Постановление Администрации муниципального района "Сосногорск"  от 09.07.2021 № 1337 «Об утверждении Порядка реализации народных инициатив в МО МР «Сосногорск»,  Постановление Администрации муниципального района "Сосногорск" от 25.08.2021 № 1584 « О внесении изменений в Постановление от 09.07.2021 № 1337»</t>
  </si>
  <si>
    <t>11.04.2022 года № 11/04 "О распределении грантов" 21.01.2022 года № 23/10 "О внесении изменений в постановление администрации МР "Койгородский" от 11.04.2022 " 11/04 О распределении грантов"</t>
  </si>
  <si>
    <t>Постановление от 16.07.2021 № 1090 «О реализации народных инициатив в муниципальном образовании муниципального района  «Корткеросский»»</t>
  </si>
  <si>
    <t>Об утверждении Порядка реализации народных инициатив в муниципальном районе «Княжпогостский» от 5 июля 2021 г. № 262</t>
  </si>
  <si>
    <t>27.08.2021 № 652; 15.12.2021 № 941</t>
  </si>
  <si>
    <t>Решение Кировской городской Думы от 17.12.2021 № 51/3 «О бюджете муниципального образования «Город Киров» на 2022 год и на плановый период 2023 и 2024 годов»</t>
  </si>
  <si>
    <t xml:space="preserve">Решение Афанасьевской районной Думы Кировской области № 3/5 от 24.11.2021 "Об утверждении Порядка выдвижения, внесения, обсуждения, рассмотрения инициативных проектов 
и проведения их конкурсного отбора" 
</t>
  </si>
  <si>
    <t>Решение ГД № 59 от 15.07.2021 ОБ УТВЕРЖДЕНИИ ПОРЯДКА ОПРЕДЕЛЕНИЯ ЧАСТИ ТЕРРИТОРИИ МУНИЦИПАЛЬНОГО ОБРАЗОВАНИЯ «ГОРОДСКОЕ ПОСЕЛЕНИЕ «ГОРОД ЕРМОЛИНО», НА КОТОРОЙ МОГУТ РЕАЛИЗОВЫВАТЬСЯ ИНИЦИАТИВНЫЕ ПРОЕКТЫ</t>
  </si>
  <si>
    <t>Решение Городской Думы города Калуги от 27.01.2021 № 12 «Об утверждении Порядка выявления мнения граждан по вопросу о поддержке инициативного проекта путем сбора их подписей»
Решение Городской Думы города Калуги от 27.01.2021 № 13 «Об утверждении Порядка определения части территории муниципального образования «Город Калуга», на которой могут реализовываться инициативные проекты  
Решение Городской Думы города Калуги от 27.01.2021 № 14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 Калуга»</t>
  </si>
  <si>
    <t>Решение сельской Думы сельского поселения село Совхоз "Боровский" от 25.05.2017 №34</t>
  </si>
  <si>
    <t>Решение № 67 от 18.11.2021 г. "Об участии муниципального образования сельское поселение "Поселок Детчино" в проекте развития общественной инфраструктуры муниципальных образований, основанных на местных инициативах на 2022 год"</t>
  </si>
  <si>
    <t>Решение окружного Совета депутатов от 23.11.2021 г. № 74 «О бюджете муниципального образования «Светловский городской округ» на 2022 год и плановый период 2023-2024 годов» (в действующей редакции)</t>
  </si>
  <si>
    <t>Решение Череповецкой городской Думы от 29.01.2021 №7 "Об утверждении Положения об инициативных проектах на территории города Череповца" - инициативные проекты - новый механизм непосредственного участия населения в решении общегородских задач в соответствии со статьей 26.1 Федерального закона от 6 октября 2003 года N 131-ФЗ</t>
  </si>
  <si>
    <t>Решение совета народных депутатов города вязники № 11 от 19.10.2021 "Об утверждении  Положения о порядках определения части  территории,  выдвижения, обсуждения, внесения, рассмотрения инициативных проектов, формирования и деятельности конкурсной комиссии по проведению конкурсного отбора, реализации и финансирования, а также расчета и возврата сумм инициативных платежей в муниципальном образовании город Вязники"</t>
  </si>
  <si>
    <t>решение Совета народных депутатов от 18.05.2021 № 35/10 "Об утверждении Положения об инициировании и реализации инициативных проеков в муниципальном образовании "Судогодский район""</t>
  </si>
  <si>
    <t>Комиссия по проведению конкурса "Лучшая практика общественного самоуправления в Яковлевском городском округе в 2022 году"</t>
  </si>
  <si>
    <t>Решение Архангельской городской Думы от 22 сентября 2021 года № 432 "О реализации инициативных проектов на территории городского округа "Город Архангельск"</t>
  </si>
  <si>
    <t>Дата и реквизиты Решения выборного органа (совет депутатов, Дума и др.)</t>
  </si>
  <si>
    <t>https://www.puradm.ru/one-doc/12590
https://www.puradm.ru/one-doc/13023</t>
  </si>
  <si>
    <t>https://tasu.ru/mestnoe-samoupravlenie/administratsiya/postanovleniya-administratsii-rayona/o-realizatsii-proekta-shkolnoe-partisipatornoe-byudzhetirovanie-v-munitsipalnom-okruge-tazovskiy-rayon-yamalo-nenetskogo-avtonomnogo-okruga-48554/</t>
  </si>
  <si>
    <t>http://old.muravlenko.com:15051/administraciya-goroda/normativno-pravovye-akty/postanovleniya-administracii-goroda/postanovleniya-administracii-za-2020-g/page/69/</t>
  </si>
  <si>
    <t>https://www.newurengoy.ru/doc/19695-ob-utverzhdenii-polozheniya-o-realizacii-proekta-shkolnogo-iniciativnogo-partisipatornogo-byudzhetirovaniya-klass.html</t>
  </si>
  <si>
    <t>https://lbt.yanao.ru/documents/active/57390/</t>
  </si>
  <si>
    <t>https://www.salekhard.org/normativno-pravovye-akty/postanovleniya-administratsii/18333/
https://docs.cntd.ru/document/561701850</t>
  </si>
  <si>
    <t>http://hmrn.ru/gkh/zhile-i-gorodskaya-sreda/normativno-pravovye-akty/?clear_cache=Y</t>
  </si>
  <si>
    <t>https://www.admsr.ru/legislation/adm/mpa/?bitrix_include_areas=Y&amp;date_DATE_ACTIVE_FROM_1=&amp;date_DATE_ACTIVE_FROM_2=&amp;date_pf%5BNAME%5D=%EA%EE%ED%EA%F3%F0%F1%ED%EE%E9+%EA%EE%EC%E8%F1%F1%E8%E8+%E8+%F3%F1%F2%E0%ED%EE%E2%EB%E5%ED%E8%E8&amp;date_pf%5BNOMER%5D=&amp;set_filter=%CF%EE%E8%F1%EA&amp;set_filter=Y</t>
  </si>
  <si>
    <t>http://www.admugansk.ru/category/1921?number=347&amp;keywords=</t>
  </si>
  <si>
    <t>1) http://admsurgut.ru/files/materials/files/files5/%D0%A0%D0%90%D0%93_%D0%BE%D1%82_28.04.21___595.pdf;
2) http://admsurgut.ru/files/materials/files/files1/%D0%9F%D0%90%D0%93_%D0%BE%D0%B1_%D0%BE%D1%86%D0%B5%D0%BD%D0%BA%D0%B8_%D0%B8_%D0%BA%D1%80%D0%B8%D1%82%D0%B5%D1%80%D1%8F%D1%85_%D0%B4%D0%BB%D1%8F_%D0%B8%D0%9F.pdf;
3) http://admsurgut.ru/files/materials/files/files3/%D0%9F%D0%90%D0%93_%D0%BE_%D0%9A%D0%BE%D0%BD%D0%BA%D1%83%D1%80%D1%81%D0%BD%D0%BE%D0%B9_%D0%BA%D0%BE%D0%BC%D0%B8%D1%81%D1%81%D0%B8%D0%B8.pdf</t>
  </si>
  <si>
    <t xml:space="preserve">https://admlangepas.ru/open-budget/proactive-budgeting/legal-regulation2870/municipal-legal-acts5266/postanovlenie-ot-20-fevralya-2021-g-260/
</t>
  </si>
  <si>
    <t>https://khv27.ru/projects/territorialnoe-obshchestvennoe-samoupravlenie/konkursy/</t>
  </si>
  <si>
    <t>https://pravo.amursk.ru/view?id=4030</t>
  </si>
  <si>
    <t>http://www.tyumendoc.ru/docs/postanovleniya/view-10076</t>
  </si>
  <si>
    <t>https://pyatigorsk.org/filesarhiv/docs?FilesarhivSearch%5Binner_id%5D=4199&amp;FilesarhivSearch%5Btitle%5D=&amp;FilesarhivSearch%5Btypeid%5D=&amp;FilesarhivSearch%5Bcatid%5D=&amp;FilesarhivSearch%5Bcreated%5D=</t>
  </si>
  <si>
    <t>https://pmosk.ru/archives/7202</t>
  </si>
  <si>
    <t>http://petrgosk.ru/obshchestvo/koordinatsionnye-i-soveshchatelnye-organy/konkursnaya-komissiya-po-provedeniyu-konkursnogo-otbora-proektov-po-remontu-ulichno-dorozhnoy-seti-o/%E2%84%96%201362%20%D0%BE%D1%82%2027%2006%202019).pdf,</t>
  </si>
  <si>
    <t>https://www.novoselickoe.ru/;https://www.novoselickoe.ru/dokumenty/postanovleniya/postanovleniya-2021/postanovlenie-563-ot-16-iyulya-2021-g-o-naznachenii-i-provedenii-na-territorii-poselka-shchelkan-novoselitskogo-rajona-stavropolskogo-kraya-sobraniya-konferentsii-grazhdan-po-voprosam-rassmotreniya-initsiativnykh-proektov</t>
  </si>
  <si>
    <t>https://www.angosk.ru/index.php/informatsiya/mestnye-initsiativy/10123-postanovlenie-administratsii-neftekumskogo-gorodskogo-okruga-stavropolskogo-kraya-955-ot-30-iyunya-2021-g</t>
  </si>
  <si>
    <t>http://kir-portal.ru/regulatory/1930.docx</t>
  </si>
  <si>
    <t xml:space="preserve">http://ipatovo.org/userfiles/file/finans/postanovlenie_20221114_1759.pdf
http://ipatovo.org/userfiles/file/2022/mart/357_o_rezultatah_rassmotreniya_iniciativnyh_proektov.rar
http://ipatovo.org/userfiles/file/finans/postanovlenie_20220819_1244.pdf
http://ipatovo.org/userfiles/file/2022/fevral/105.doc
http://ipatovo.org/userfiles/file/2022/avgust/1160_ob_opredelenii_granic_territoriy_igo_sk_na_kotoryh_planiruetsya_realizovyvat_iniciativnye_proekty.doc
http://ipatovo.org/userfiles/file/finans/postanovlenie_20210713_985.pdf
</t>
  </si>
  <si>
    <t>https://www.georgievsk.ru/mestnye-initsiativy/failes/2180_proekt.doc
https://www.georgievsk.ru/mestnye-initsiativy/budjetirovanie/1895_22_06_2021.doc
https://www.georgievsk.ru/mestnye-initsiativy/budjetirovanie/1386_26-04-2022.doc
https://www.georgievsk.ru/administr/stradm/finupr/budjet/NPA/2022/1834_03-06-2022.doc</t>
  </si>
  <si>
    <t>http://abgosk.ru/finansy/initsiativnoe-byudzhetirovanie/initsiativnoe-byudzhetirovanie.php</t>
  </si>
  <si>
    <t>http://www.andropovskiy.ru/images/Downloads/Iniciativ_proekt/Pravovaya_baza/2021/June/1.2/постановление%20администрации%20амо%20ск%20от%2017%20июня%202021г.%20№%20442.doc</t>
  </si>
  <si>
    <t>https://aleksadmin.ru/initsiativnoe-byudzhetirovanie/mestnye-praktiki/normativno-pravovye-akty</t>
  </si>
  <si>
    <t>https://krur.midural.ru/article/show/id/10620</t>
  </si>
  <si>
    <t>https://kgo66.ru/component/jdownloads/?task=download.send&amp;id=8583&amp;catid=79&amp;m=0&amp;Itemid=101</t>
  </si>
  <si>
    <t>http://инициатива.екатеринбург.рф/about/documents</t>
  </si>
  <si>
    <t>https://yadi.sk/i/cmYk85yNsoxwIw</t>
  </si>
  <si>
    <t xml:space="preserve">http://www.kinel.ru/tselevye-programmy-selskikh-poselenijj/malaja-malyshevka/ </t>
  </si>
  <si>
    <t>https://chapadm.ru/index.php?option=com_docs&amp;view=doc&amp;id=3917</t>
  </si>
  <si>
    <t xml:space="preserve">https://tgl.ru/documentation/obj?obj=35118 </t>
  </si>
  <si>
    <t>http://sovadmsamara.ru/tvoj_konstruktor_dvora/</t>
  </si>
  <si>
    <t>https://samadm.ru/authority/samarsky_district/your-designer-courtyard-s-r/</t>
  </si>
  <si>
    <t>https://promadm.ru/allfiles/202304/Postanovlenie_ot-1680785647-5thvy.zip</t>
  </si>
  <si>
    <t>https://samadm.ru/upload/iblock/d34/Postanovlenie-_-679-ot-20.10.2021-po-TKD.pdf</t>
  </si>
  <si>
    <t>https://pohgor.ru/documents/postanovlenie/npa_1884.html        https://pohgor.ru/documents/postanovlenie/npa_1893.html</t>
  </si>
  <si>
    <t>https://otradny.org/upload/iblock/5cl/5cl55b50763d0a813b9fc482744cc5fe.rar</t>
  </si>
  <si>
    <t>https://dalmdr.ru/node/4936</t>
  </si>
  <si>
    <t xml:space="preserve">https://spasskd.ru/images/files/2022/ago/04/rasporyazhenie_196-ra_ot_18042022_o_provedenii_konkursnogo_otbora.pdf </t>
  </si>
  <si>
    <t>https://primorsky.ru/administratsiya/%D0%9F%D0%BE%D1%81%D1%82%D0%B0%D0%BD%D0%BE%D0%B2%D0%BB%D0%B5%D0%BD%D0%B8%D0%B5%20%D0%90%D0%9F%D0%9A%20%D0%BE%D1%82%2031.08.2017%20%E2%84%96%20356-%D0%BF%D0%B0.docx</t>
  </si>
  <si>
    <t>https://www.penza-gorod.ru/upload/medialibrary/6f0/6f0a29fc4cc5508d641cbf93834d8eae.pdf</t>
  </si>
  <si>
    <t>https://mo-se.orb.ru/upload/uf/5bb/Postanovlenie-_560_p-ot-16.07.2020.docx
https://mo-se.orb.ru/upload/uf/c90/Postanovlenie-_584_p-13.10.2021.docx</t>
  </si>
  <si>
    <t>https://tu.orb.ru/documents/active/81959/</t>
  </si>
  <si>
    <t>http://fintotsk.ru/file/download/1156</t>
  </si>
  <si>
    <t>http://первомайский-район.рф/shkol-nyy-byudzhet.html</t>
  </si>
  <si>
    <t>https://finotdnovoorsk.ru/postanovlenie-o-narodnom-byudzhete</t>
  </si>
  <si>
    <t>https://krasnogvardfo.ru/assets/files/documents/%D0%9D%D0%B0%D1%80%D0%BE%D0%B4%D0%BD%D1%8B%D0%B9%20%D0%B1%D1%8E%D0%B4%D0%B6%D0%B5%D1%82/npa-1.rar</t>
  </si>
  <si>
    <t xml:space="preserve"> https://grach-rf.orb.ru/documents/active/63347/</t>
  </si>
  <si>
    <t>https://bugraifo.orb.ru/upload/uf/641/Postanovlenie_815_p_ot_07.12.2021g_o_realizatsii_proekta_Kulturnyy_byudzhet.pdf</t>
  </si>
  <si>
    <t xml:space="preserve">https://asfin56.ru/assets/files/documents/2021/1/postanovlenie.doc </t>
  </si>
  <si>
    <t>https://www.aleksandrovka56.ru/upload/files/FinOtd/2020/%D0%9F%D0%BE%D1%81%D1%82.%20%D0%BE%D0%B1%20%D1%83%D1%82%D0%B2.%D0%9F%D0%BE%D0%BB%D0%BE%D0%B6%D0%B5%D0%BD%D0%B8%D1%8F%20%D0%A2%D0%A8%D0%91.pdf</t>
  </si>
  <si>
    <t>https://www.aleksandrovka56.ru/upload/files/NPA/Postanovlenia/2021/%E2%84%96717-%D0%BF%20%D0%BE%D1%82%2030.08.2021.pdf</t>
  </si>
  <si>
    <t>https://adamfin.ru/assets/files/documents/Shkolnyi%20budjet/2022/poryadok-ot-05.10.2022-№847.pdf</t>
  </si>
  <si>
    <t>https://финотдел-ясный.рф/npa1</t>
  </si>
  <si>
    <t>https://финотдел-ясный.рф/npa-po-proektu-shkolnyij-byudzhe</t>
  </si>
  <si>
    <t>http://sorochinsk56.ru/assets/files/2020-Postanovlenia/349-17.03.2020.pdf</t>
  </si>
  <si>
    <t>https://orenburg.ru/documents/active/73077/</t>
  </si>
  <si>
    <t>https://документ.городмедногорск.рф/index.php/mpostanovleniya-administratsii-goroda-2022/item/2666-postanovlenie-211-pa-ot-01-03-2022</t>
  </si>
  <si>
    <t>https://gy.orb.ru/documents/active/22068/</t>
  </si>
  <si>
    <t>https://buzuluk.orb.ru/documents/other/91622/</t>
  </si>
  <si>
    <t>http://бузулук-право.рф/sites/default/files/legal-acts//27.02.2020_no_242-p.docx</t>
  </si>
  <si>
    <t xml:space="preserve">http://бузулук-право.рф/node/5771, </t>
  </si>
  <si>
    <t>https://kormil.omskportal.ru/omsu/kormil-3-52-223-1/etc/inbudg/2022</t>
  </si>
  <si>
    <t>https://omskportal.ru/npa?id=/omsu/tevr-3-52-255-1/ivanovo-myisskoe/2022/05/05/01</t>
  </si>
  <si>
    <t>http://publication.pravo.gov.ru/Document/View/5300202005080009</t>
  </si>
  <si>
    <t xml:space="preserve">https://www.boradmin.ru/documents/8996.html </t>
  </si>
  <si>
    <t>https://docs.semenov.nnov.ru/open/?nd=495918298&amp;searchType=phrase&amp;query=834</t>
  </si>
  <si>
    <t>https://kstovo-adm.ru/regulatory/34479/</t>
  </si>
  <si>
    <t>https://borcity.ru/authority/acts/postadm/index2021.php</t>
  </si>
  <si>
    <t>https://borcity.ru/authority/acts/postadm/index2015.php</t>
  </si>
  <si>
    <t>https://borcity.ru/authority/acts/postadm/</t>
  </si>
  <si>
    <t>http://www.bg-adm.ru/?id=13194
consultantplus://offline/ref=2CC86A632DDCDBD2BEF227A416F02E4579DBE4E7B0AB25168217C6E6DDF8D71865C457A6B9452A0828U4G4M</t>
  </si>
  <si>
    <t>https://адмдзержинск.рф/ekonomika-i-imushchestvo/ekonomika/normativno-pravovye-dokumenty/initsiativnoe-byudzhetirovanie/ https://адмдзержинск.рф/ekonomika-i-imushchestvo/ekonomika/normativno-pravovye-dokumenty/initsiativnoe-byudzhetirovanie/ https://адмдзержинск.рф/documents/Раздел%20Город%20для%20жизни/Постановление%20№162</t>
  </si>
  <si>
    <t>https://omsukchan-adm.ru/inova_block_documentset/document/328406/</t>
  </si>
  <si>
    <t>1. https://dzhankoy.rk.gov.ru/uploads/txteditor/dzhankoy/attachments//d4/1d/8c/d98f00b204e9800998ecf8427e/phpI8MknM_№%20266-об%20определении%20уполномоченного%20органа.pdf                                   2. https://dzhankoy.rk.gov.ru/ru/document/show/7362</t>
  </si>
  <si>
    <t>1.https://dzhankoy.rk.gov.ru/ru/document/show/7167                                     2.https://dzhankoy.rk.gov.ru/uploads/txteditor/dzhankoy/attachments//d4/1d/8c/d98f00b204e9800998ecf8427e/phpGlfWHC_О%20начале%20конкурса%20Молодое%20поколение%20планирует%20бюджет.pdf</t>
  </si>
  <si>
    <t>https://kurganobl.ru/sites/default/files/imceFiles/user-03/PPKO_ot_28.12.2019_no458.pdf</t>
  </si>
  <si>
    <t>https://suhobuzimo.ru/docs/id1619.html</t>
  </si>
  <si>
    <t xml:space="preserve">от 21.03.2022 № 504-р: http://www.admse.ru/upload/iblock/bd5/q282lm8q7dugxrlgooxxmg7z57p4k4dz.docx                                                                           
 от 22.04.2022 № 179-п: http://www.admse.ru/upload/iblock/089/p4hcv13oxff46ylk7a1nmldazxthr65w.doc  
от 13.05.2022 № 923-р: http://www.admse.ru/upload/iblock/938/1qrgaruk7zn9m0y51q2g3mufx6bt34ex.doc          </t>
  </si>
  <si>
    <t>http://starscherb.ru/2021/Iniciati_proekt/281_ot_28.10.2021-lozinskaja.doc</t>
  </si>
  <si>
    <t>http://admekaterinovka.ru/category/normotvorcheskaya-deyatelnost/postanovleniya/2021/page/11/</t>
  </si>
  <si>
    <t>https://docs.yandex.ru/docs/view?url=ya-browser%3A%2F%2F4DT1uXEPRrJRXlUFoewruO4v7T79yoJEI1H-HZs-oXjAA4dHOA3b5Vr92zCYzhd4RbNQd6kpcddQEl-gkZZqbtJw1kFv749FrPrV8TFKwwOaWGXtApy7RPhuo_H-1ai1Eflx4BHHyjAUMcVscmf4tw%3D%3D%3Fsign%3DdeK6IlPTSIK-l3tS-n00D9p41CH4CzLuN02-n-mPCKw%3D&amp;name=П%20108%20от%2028.12.2020%20%20об%20утверждении%20Порядка%20по%20ИБ.doc&amp;nosw=1</t>
  </si>
  <si>
    <t>http://zheleznoe-sp.ru/publ/normativnye_pravovye_akty/postanovlenie_administracii_zheleznogo_selskogo_poselenija_ot_30_12_2020_g_153/1-1-0-799</t>
  </si>
  <si>
    <t>https://kirpilskoesp.ru/files/Инициативное%20бюджетирование/Постановление%20№1%20от%2011.01.2021.pdf</t>
  </si>
  <si>
    <t>https://docs.yandex.ru/docs/view?url=ya-browser%3A%2F%2F4DT1uXEPRrJRXlUFoewruHPThzILspd2-VB4hnBuHbeU7dxh77w1lzIiks2GzjYxw2us1Fn-usCZBuI0jGsPCAOkEO3Bu7zIP4CxkBvOk5ynPkU02pRTPD6ne9o8lznCEcRDY8TkmpblZ2gHJ62aKg%3D%3D%3Fsign%3De7B7RqWJPdjnvorhsX8bZ4DOt1Pi6vBUyyLnbQGLxhs%3D&amp;name=№4%20от%2026.01.2021%20ИБ.doc&amp;nosw=1</t>
  </si>
  <si>
    <t>http://dvubratskoe-sp.ucoz.ru/Postanovlenie/2021/26_ob_utverzhdenii_polozhenija_po_primeneniju.pdf</t>
  </si>
  <si>
    <t>http://adm-nezaymanovskaya.ru/index.php/administratsiya/postanovleniya-administratsii</t>
  </si>
  <si>
    <t>http://адм-тамань.рф/images/SMI/proekt/Пост%20№%20359%20от%2013.10.2022%20об%20определении%20части%20территории.pdf</t>
  </si>
  <si>
    <t>http://admsennaya.krd.eis1.ru/2022</t>
  </si>
  <si>
    <t>http://golubitskoe.ru/%D0%B8%D0%BD%D0%B8%D1%86%D0%B8%D0%B0%D1%82%D0%B8%D0%B2%D0%BD%D0%BE%D0%B5-%D0%B1%D1%8E%D0%B4%D0%B6%D0%B5%D1%82%D0%B8%D1%80%D0%BE%D0%B2%D0%B0%D0%BD%D0%B8%D0%B5.html</t>
  </si>
  <si>
    <t>https://www.temryuk.ru/nash-rayon/initsiativnoe-byudzhetirovanie/normativno-pravovye-akty/2022-god/</t>
  </si>
  <si>
    <t>https://sochi.ru/gorodskaya-vlast/normativno-pravovyye-akty/?ELEMENT_ID=171037 ; https://sochi.ru/gorodskaya-vlast/normativno-pravovyye-akty/?ELEMENT_ID=174151</t>
  </si>
  <si>
    <t>https://www.labinsk-city.ru/ru/doc/organizatsionno-pravovye-voprosy/?sphrase_id=2905</t>
  </si>
  <si>
    <t xml:space="preserve">18.03.2022 г. № 58 https://www.poltavadm.ru/index.php/ru/pravotvorchestvo/munitsipalnye-pravovye-akty/455-postanovleniya </t>
  </si>
  <si>
    <t>https://www.chernigovskaya.ru/docs.html</t>
  </si>
  <si>
    <t>http://udora.info/initsiativnoe-byudzhetirovanie/narodnyj-byudzhet/4499-perechen-proektov</t>
  </si>
  <si>
    <t>https://usinsk.gosuslugi.ru/deyatelnost/napravleniya-deyatelnosti/initsiativnoe-byudzhetirovanie/narodnaya-initsiativa/pravovoe-regulirovanie-i-obraztsy-dokumentov/dokumenty-omsu_1294.html</t>
  </si>
  <si>
    <t>consultantplus://offline/ref=F3CBBEC388826FA80B6DA097D4A83585DA548A892A1D48BB802C8E32D88D816E4E143C9678E40592645634FF53AD38149E0C6C27A3716D51C43D40E41BB265q7I</t>
  </si>
  <si>
    <t>https://www.pechoraonline.ru/ru/documents/category/2/?page=81 </t>
  </si>
  <si>
    <t>http://воркута.рф/regulatory/?ELEMENT_ID=23895</t>
  </si>
  <si>
    <t>http://adm.govuktyl.ru/dokumenty/postanovleniya/2022-god/aprel</t>
  </si>
  <si>
    <t xml:space="preserve">http://adminta.ru/upload/iblock/fcb/055ldf0yzk3jaw1vd5y33g7a4y4tapo8.pdf </t>
  </si>
  <si>
    <t>https://киров.рф/upload/iblock/30e/20ggmc5n97w4a5dtgpa10du9dhpaonlv/kss500_20220606_15341904.pdf</t>
  </si>
  <si>
    <t>https://www.admkirov.ru/upload/iblock/876/kss500_20220322_15251210.pdf</t>
  </si>
  <si>
    <t>https://www.afanasyevo.ru/dokumenty/postanovleniya-i-rasporyazheniya-administratsii-rajona/item/21922-postanovleniya-administratsii-afanasevskogo-rajona-za-2022-god</t>
  </si>
  <si>
    <t>https://www.kaluga-gov.ru/obshchestvo/initsiativnye-proekty/pravovaya-baza/8427/</t>
  </si>
  <si>
    <t>https://admdetchino.ru/2021/11/9725/</t>
  </si>
  <si>
    <t>https://светлый.рф/postanovlenie-№-912-ot-19-10-2022-g/</t>
  </si>
  <si>
    <t>http://www.adm-vyaz.ru/tinybrowser/files/finupr/2022/Post_23-03-2022_277.zip</t>
  </si>
  <si>
    <t xml:space="preserve">https://admsud.ru/npa-i-mps/normativnye-dokumenty/rasporyazheniya-glavy/24336-rasporyazhenie-administracii-ot-10102022-441-r.html#here
</t>
  </si>
  <si>
    <t>https://www.gusr.ru/userfiles_npa/P_783_25_06_2019.pdf                                                                                                       https://www.gusr.ru/userfiles_npa/P_399_15_04_2020.pdf</t>
  </si>
  <si>
    <t>https://gubkinadm.gosuslugi.ru/ofitsialno/dokumenty/?filter%5B297%5D%5BName%5D=457-па</t>
  </si>
  <si>
    <t>https://volokonovskij-r31.gosweb.gosuslugi.ru/ofitsialno/dokumenty/dokumenty-all_3885.html</t>
  </si>
  <si>
    <t>https://volokonovskij-r31.gosweb.gosuslugi.ru/ofitsialno/dokumenty/dokumenty-all_3886.html</t>
  </si>
  <si>
    <t xml:space="preserve"> https://volokonovskij-r31.gosweb.gosuslugi.ru/ofitsialno/dokumenty/dokumenty-all_3872.html</t>
  </si>
  <si>
    <t>https://www.veidadm.ru/media/site_platform_media/2022/4/6/65.</t>
  </si>
  <si>
    <t>https://sterlibash.bashkortostan.ru/documents/active/427286/,  https://saraisa.ru/page/reshenie-107-2-ot-27042022-g-ob-uchastii-selskogo-poselenija-sarajsinskij-selsovet-municipalnogo , https://yangurcha.ru/page/reshenie-149-ot-29042022-g-ob-uchastii-selskogo-poselenija-jan</t>
  </si>
  <si>
    <t>https://miyaki.bashkortostan.ru/documents/active/174961/ , https://miyaki.bashkortostan.ru/documents/active/482877/</t>
  </si>
  <si>
    <t>http://admmeleuz.ru/index.php?option=com_content&amp;view=article&amp;id=13194:rasporyazhenie-ot-06-06-2022g-260-ob-utverzhdenii-o-konkurse-munitsipalnogo-proekta-initsiativnogo-byudzhetirovaniya-nashe-selo&amp;catid=905&amp;Itemid=356</t>
  </si>
  <si>
    <t>https://karaidel.bashkortostan.ru/documents/active/417423/</t>
  </si>
  <si>
    <t>Постановление Администрации муниципального образования село Красноселькуп от 24.07.2018 № 141-ПС "О реализации проекта «Бюджетная инициатива граждан» на территории муниципального образования село Красноселькуп"</t>
  </si>
  <si>
    <t>Постановление Администрации Пуровского района от 29.04.2021 № 222-ПА "О реализации инициативных проектов на территории Пуровского района"
Постановление Администрации Пуровского района от 16.06.2021 № 305-ПА "О реализации проекта "Школа идей" в Пуровском районе"</t>
  </si>
  <si>
    <t>Постановление Администрации Тазовского района О реализации проекта «Школьное партисипаторное бюджетирование» в муниципальном округе Тазовский район Ямало-Ненецкого автономного округа от 16 февраля 2022 № 121-п</t>
  </si>
  <si>
    <t>Постановление Администрации муниципального образования Ямальский район от 14 февраля 2020 № 127 "Об утверждении Положения о школьном партисипаторном бюджетировании в общеобразовательных организациях муниципального образования Ямальский район"</t>
  </si>
  <si>
    <t xml:space="preserve">Постановление Администрации города Губкинского от 03.06.2019 № 858 "О реализации на территории муниципального образования город Губкинский проекта "Бюджетная инициатива граждан" </t>
  </si>
  <si>
    <t>Постановление Администрации города Муравленко от 19.04.2021 № 158 "Об офисе общественных инициатив "Уютный Ямал" на территории муниципального образования город Муравленко"
"О реализации  школьного партисипаторного бюджетирования" от 10.03.2020 № 171</t>
  </si>
  <si>
    <t>Постановление Администрации города Ноябрьска № 373 от 22.05.2019 «Об утверждении Положения о проекте «Развитие инициатив на территории муниципалитета», Постановление Администрации города Ноябрьска № 1297 от 04.09.2020 «О внесении изменений в Положение о проекте «Развитие инициатив на территории муниципалитета», 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</si>
  <si>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Постановление Администрации города Новый Уренгой от 18.03.2020 № 104 "Об утверждении Положения о реализации проекта школьного инициативного (партисипаторного) бюджетирования "КЛАСС"</t>
  </si>
  <si>
    <t xml:space="preserve">Постановление Администрации города Лабытнанги от 25.12.2019 № 1717 "Об утверждении муниципальной программы муниципального образования  город Лабытнанги "Поддержка местных инициатив"
</t>
  </si>
  <si>
    <t>Постановление Администрации МО город Салехард от 29.01.2020 N 210 "О реализации на территории муниципального образования город Салехард проекта "Бюджетная инициатива граждан" ("Уютный Ямал")";
Постановление Администрации МО город Салехард от 02.04.2020 N 908 "О реализации на территории муниципального образования город Салехард школьного партисипаторного бюджетирования в рамках реализации проекта "Бюджетная инициатива граждан" ("Уютный Ямал")"</t>
  </si>
  <si>
    <t>Постановление администрации Ханты-Мансийского района от 05.02.2018 № 47 "О конкурсном отборе проектов инициативного бюджетирования в Ханты-Мансийском районе"</t>
  </si>
  <si>
    <t>Постановление администрации Сургутского района от  07.12.2021 № 4803 "Об утверждении состава конкурсной комиссии и установлении критериев оценки инициативных проектов"</t>
  </si>
  <si>
    <t>Выбор проектов, которые были профинансированы в 2022 году, осуществлялся в соответствии с: 
1.Постановлением администрации города Нефтеюганска от 07.02.2022 № 174-п "Об утверждении Порядка взаимодействия органов и структурных подразделений администрации города Нефтеюганска по рассмотрению инициативных проектов";
2.Постановлением администрации города Нефтеюганска от 22.12.2021 № 347-п «Об утверждении состава комиссии по рассмотрению и проведению конкурсного отбора инициативных проектов»</t>
  </si>
  <si>
    <t>Распоряжение администрации города Нижневартовска от 25.03.2021 №180-р "Об определении уполномоченного структурного подразделения администрации города на принятие решений об определении части территории города, в границах которой может реализовываться инициативный проект, о поддержке либо об отказе в поддержке инициативного проекта", Распоряжение администрации города Нижневартовска от 23.04.2021 №303-р "Об утверждении состава конкурсной комиссии по проведению конкурсного отбора инициативных проектов", Распоряжение администрации города Нижневартовска от 04.06.2021 №476-р "Об утверждении типовой формы договора о внесении в бюджет города инициативных платежей, предназначенных для реализации инициативного проекта в муниципальном образовании город Нижневартовск"</t>
  </si>
  <si>
    <t>1) Распоряжение Администрации города от 28.04.2021 № 595 "О порядке взаимодействия структурных подразделений Администрации города, муниципальных учреждений по вопросам рассмотрения и реализации инициативных проектов";
2) Постановление Администрации города от 01.02.2021 № 689 «Об утверждении методики и критериев оценки инициативных проектов»;
3) Постановление Администрации города от 21.01.2021 № 445 «Об утверждении состава конкурсной комиссии в целях рассмотрения и конкурсного отбора инициативных проектов»</t>
  </si>
  <si>
    <t>Постановление Администрации Березовского района №1586 от 28.12.2021 (Актуальная редакция с изменениями от 09.09.2022 № 1201, от 03.11.2021 № 1472)</t>
  </si>
  <si>
    <t>Постановление от «20» февраля 2021 г. №260 «О формировании Согласительной комиссии»</t>
  </si>
  <si>
    <t>Постановление администрации города Урай от 19.01.2021 №46 "О реализации Решения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</si>
  <si>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Постановление администрации города Хабаровска от 15 апреля 2021 г. N 1368 "Об организации и проведении конкурса социально значимых инициатив (проектов) среди территориального общественного самоуправления"</t>
  </si>
  <si>
    <t>Постановление от 23.04.2021 № 242 "Об утверждении Порядка определения объема и предоставления физическим лицам грантов в форме субсидий из бюджета городского поселения "Город Амурск" на реализацию проектов ТОС, осуществляющих деятельность на территории городского поселения "Город Амурск"</t>
  </si>
  <si>
    <t>Постановление Администрации города Тюмени от 19.04.2021 № 69-пк "Об утверждении Порядка работы с инициативными проектами в городе Тюмени"</t>
  </si>
  <si>
    <t>Постановление от 15 июня 2022 года № 431 "О назначении и проведении собрания граждан в целях рассмотрения и обсуждения вопроса внесения в администрацию Степновского муниципального округа Ставропольского края инициативного проекта "Устройство тротуара к Вечному огню в парковой зоне площади Ленина в селе Степное Степновского муниципального округа Ставропольского края""</t>
  </si>
  <si>
    <t xml:space="preserve">Постановление администрации города Пятигорска от  03.10.2022 №3825 "Об определении части территории муниципального образования города-курорта Пятигорска, на которой планируется реализовать инициативный проект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 
Постановление администрации города Пятигорска от 19.10.22 № 3998 "О рабочей группе по рассмотрению инициативного проекта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 
Постановление администрации города Пятигорска 25.10.22 №4103 "О поддержке инициативного проекта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 
Постановление администрации города Пятигорска 03.11.2022 № 4199 "О реализации инициативного проекта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
</t>
  </si>
  <si>
    <t>Распоряжение администрации Предгорного муниципального округа Ставропольского края от 31.03.2021г. №255-р "О создании конкурсной комиссии по проведению конкурсного отбора инициативных проектов"</t>
  </si>
  <si>
    <t>Постановление администрации Петровского городского округа Ставропольского края от 27 июня 2019 года № 1362 "О конкурсном отборе проектов по ремонту улично-дорожной сети, основанных на инициативах жителей Петровского городского округа Ставропольского края" ( в редакции от 11.03.2020 № 333), дата вступления в силу НПА 28.06.2019</t>
  </si>
  <si>
    <t xml:space="preserve">Постановление АНМО СК №371 от 27.05.2021г."Об определении уполномоченного органа администрации Новоселицкого муниципального округа Ставропольского края в сфере инициативного бюджетирования"; Постановление № 711,712 от 07.09.2021 года "О предварительном согласовании предоставления земельного участка";Постановление АНМО СК от 06.07.2021г. №518 "О назначении и проведении на территории села Китаевского Новоселицкого района Ставропольского края собрания, конференции граждан по вопросам рассмотрения инициативных проектов"; Постановление № 529 от 09.07.2021 г "О назначении и проведении на территории села Новоселицкого Новоселицкого района Ставропольского края собрания, конференции граждан по вопросам рассмотрения инициативных проектов";Постановление № 563 от 16 июля 2021 г. «О назначении и проведении на территории поселка Щелкан Новоселицкого района Ставропольского края собрания, конференции граждан по вопросам рассмотрения инициативных проектов»
</t>
  </si>
  <si>
    <t xml:space="preserve">Постановление администрации Новоалександровского городского округа Ставропольского края от 12 мая 2021г №637 "Об утверждении Положения о конкурсной комиссии по проведению отбора проектов инициативного бюджетирования на конкурсной основе на территории Новоалександровского городского округа Ставропольского края" </t>
  </si>
  <si>
    <t>Постановление администрации Нефтекумского городского округа Ставропольского края от 30 июня 2021 года № 955 "О конкурсной комиссии по проведению конкурсного отбора инициативных проектов и об утвердении методики расчета инициативных проектов Нефтекумского городского округа Ставропольского края", от 23 марта 2022 года № 428 "О внесении изменений в состав конкурсной комиссии по проведению конкурсного отбора инициативных проектов Нефтекумского городского округа Ставропольского края, утвержденный постановлением администрации Нефтекумского городского округа Ставропольского края от 30 июня 2021 года № 955</t>
  </si>
  <si>
    <t>Постановление администрации города-курорта Кисловодска от 09.08.2021 № 811 "О мерах по реализации решения Думы города-курорта Кисловодска от 24 февраля 2021 года № 11-521 "Об утверждении Положения о порядке выдвижения, внесения, обсуждения, рассмотрения инициативных проектов, а также проведения их конкурсного отбора"</t>
  </si>
  <si>
    <t>Постановление администрации от 11.11.2021 года №1930 "О принятии к реализации в 2022 году инициативных проектов на территории Кировского городского округа</t>
  </si>
  <si>
    <t>Постановление АИГО СК от 14.11.2022г №1759 "О результатах рассмотрения инициативных проектов"; Постановление АИГО СК от 21.03.2022г №357 "О результатах рассмотрения инициативных проектов";  Постановление АИГО СК от 19.08.2022г № 1244 "О результатах рассмотрения инициативных проектов";  Постановление АИГО СК от 03.02.2022г №105 "Об определении границ территорий Ипатовского городского округа Ставропольского края, на которых планируется реализовывать инициативные проекты";Постановление АИГО СК от 04.08.2022г №1160 "Об определении границ территорий Ипатовского городского округа Ставропольского края, на которых планируется реализовывать инициативные проекты"; Постановление АИГО СК от 13.07.2021г №985 "Об утверждении согласительной комиссии по рассмотрению инициативных проектов на территории  ИГО СК"</t>
  </si>
  <si>
    <t>постановление администрации Изобильненского городского округа Ставропольского края от 16 марта 2021 г. № 332 Об утверждении Порядка финансирования инициативных проектов, реализуемых на территории Изобильненского городского округа Ставропольского края</t>
  </si>
  <si>
    <t>Постановление администрации Георгиевского городского округа Ставропольского края от 22 июня 2021 г. № 1895 "Об установлении части территории Георгиевского городского округа Ставропольского края, на которой могут реализовываться инициативные проекты"
постановление администрации Георгиевского городского округа Ставропольского края от 13 июля 2021 г. № 2180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26 апреля 2022 г. № 1386 "О начале приема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03 июня 2022 г. № 1834 "О реализации инициативных проектов на территории Георгиевского городского округа Ставропольского края в 2022 году"</t>
  </si>
  <si>
    <t>постановление администрации Благодарненского городского округа Ставропольского края от 27 октября 2021 года № 1181 "О принятии к реализации инициативных проектов"</t>
  </si>
  <si>
    <t>Постановление администрации Апанасенковского муниципального округа Ставропольского края от  07 апреля 2022 г. № 230-п "О некоторых мерах по реализации решения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</si>
  <si>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 xml:space="preserve">Постановление администрации АМО СК от 17 июня 2021г. № 442 О некоторых мерах по реализации решения Совета АМО СК от 31 марта 2021г. № 10/100-1 «Об отдельных вопросах реализации инициативных проектов»    дата вступления в силу 17 июня 2021 г.) </t>
  </si>
  <si>
    <t>Постановление администрации Александровского муниципального округа Ставропольского края от 24 августа 2021г. № 831 «Об утверждении состава конкурсной комиссии по проведению конкурсного отбора инициативных проектов». Дата вступления в силу НПА  - 24.08.2021г.</t>
  </si>
  <si>
    <t>Постановление администрации городского округа Ревда от 17.08.2022 № 2084 "Об определении части территории для реализации инициативного проекта «Благоустройство дворовой территории по адресу: г. Ревда, ул. Ленина, 30»; Постановление администрации городского округа Ревда от 31.08.2022 № 2222 " О поддержке инициативного проекта «Благоустройство дворовой территории по адресу: г. Ревда, ул. Ленина, 30»</t>
  </si>
  <si>
    <t>Постановления администрации городского округа Красноуральск: № 735 от 03.06.2022 г. "О  поддержке и реализации  инициативных проектов  на территории городского округа Красноуральск в 2022 году; № 1700 от 26.12.2022 г."О  поддержке и реализации  инициативного проекта  на территории городского округа Красноуральск в 2022 год";  №1405   от 08.11.2022  "О  поддержке и реализации  инициативного проекта  на территории городского округа Красноуральск в 2022 году"</t>
  </si>
  <si>
    <t>Постановление Администрации Качканарского городского округа от 28.03.2022 № 341</t>
  </si>
  <si>
    <t>Постановление Администрации города Екатеринбурга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</si>
  <si>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 xml:space="preserve"> № 1019 от 27.03.2015. с изм. № 954 от 07.04.2023. </t>
  </si>
  <si>
    <t>01.04.2022 №147-П</t>
  </si>
  <si>
    <t>Постановление администрации сельского поселения Малая Малышевка  от 21.12.2020 г. № 155 «Об утверждении муниципальной программы      «Поддержка местных инициатив в сельском поселении Малая Малышевка муниципальном районе Кинельский Самарской области на 2021-2025 годы»</t>
  </si>
  <si>
    <t>Постановление "Об утверждении муниципальной программы городского округа Чапаевск "Поддержка местных инициатив" на 2021-2023 годы" от 26.04.2021 г. № 575 (в редакции постановления от 08.09.2021г. № 1277, от 12.04.2022г. № 525, от 25.08.2022г. № 1312)</t>
  </si>
  <si>
    <t>Постановление администрации городского округа Тольятти от 29.07.2021 № 2630-п/1 "Об утверждении Регламента взаимодействия органов администрции городского округа Тольятти при реализации инициативных проектов"</t>
  </si>
  <si>
    <t xml:space="preserve">Постановление администрации Советского внутригородского района городского округа Самара от 12.07.2021 N 204 (ред. от 02.03.2023) "Об утверждении порядка предоставления субсидий из бюджета Советского внутригородского района городского округа Самара Самарской области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 220 от 12.07.2018 "Об утверждении Положения проведения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                                                                                                                                                                                                                                                                                                                                                                                                                                              Постановление Администрации Советского внутригородского района городского округа Самара от 27.05.2019 № 152 "О внесении изменений в постановление Администрации Советского внутригородского района городского округа Самара от 20.07.2018 № 229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t>
  </si>
  <si>
    <t>Постановления Администрации Самарского внутигородского района от 27.03.2019, от 11.11.2020 №73, от 16.04.2021 №24, от 28.03.2022 №32</t>
  </si>
  <si>
    <t>Постановлениее Администрации Промышленного внутригородского района городского округа Самара от 01.07.2022г. №268 "О поддержке победивших в конкурсном отборе инициативных проектов".  Вступило в силу со дня подписания - 01.07.2022г.</t>
  </si>
  <si>
    <t>Постановление Администрации Красноглинского внутригородского района городского округа Самара от 20.10.2021 № 679 "Об утверждении Положения о проведении конкурса по отбору общественных инициатив "Твой конструктор двора" на создание комфортных условий для проживания граждан на территории Красноглинского внутригородского района городского округа Самара на 2021-2022 годы"</t>
  </si>
  <si>
    <t>Постановление Администрации Красноглинского внутригородского района городского округа Самара от 25.11.2022 № 715 "О поддержке инициативного проекта "Крутая горка" в мкр. Крутые Ключи, территория в границах домов №№6,7 по ул. Крутые Ключи и домов №№6,8 по бульвару Ивана Финютина Красноглинского внутригородского района городского округа Самара"</t>
  </si>
  <si>
    <t xml:space="preserve">1.  «Порядок предоставления  субсидий из бюджета городского округа Похвистнево Самарской области некоммерческим организациям,
физическим лицам, общественным советам микрорайонов на реализацию инициативных проектов на территории городского округа Похвистнево Самарской области», утвержденный Постановлением Администрации городского округа Похвистнево от 20.06.2022 №659;                                                                                                                                     2.  Постановление Администрации городского окргуа Похвистнево № 696 от 23.06.2022 года " О проведении конкурса инициативных проектов на территории городского округа Похвистнево Самарской области в 2022 году".                                                                                                                               </t>
  </si>
  <si>
    <t>Постановление Администрации городского округа Отрадный Самарской области №820 от 16.06.2022 "О проведении городского конкурса социальных проектов и идей «Отрадный – территория развития» в 2022 году"</t>
  </si>
  <si>
    <t>Постановление Правительства РО от 05.04.2021 № 280</t>
  </si>
  <si>
    <t>1172 от 15.09.2020</t>
  </si>
  <si>
    <t>О реализации на территории Дальнереченского муниципального района инициативного проекта «Создание условий для организации цифровой образовательной среды в МОБУ «СОШ с. Ракитное» Дальнереченского муниципального района» от 22.02.2022г. № 79-па ( с учетом внесенных изменений от 28.02.2022г. № 86/1-па)</t>
  </si>
  <si>
    <t xml:space="preserve">Распоряжение Администрации городского округа Спасск-дальний от 18.04.2022  № 196-ра "О проведении конкурсного отбора проектов инициативного бюджетирования по направлению «Местная инициатива» в городском
округе Спасск-Дальний  </t>
  </si>
  <si>
    <t>Постановление администрации Приморского края от 31.08.2017 № 356-па "Об утверждении государственной программы Приморского края "Формирование современной городской среды муниципальных образований Приморского края" на 2018-2024 годы"</t>
  </si>
  <si>
    <t xml:space="preserve">Порядок предоставления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(утвержден постановлением администрации города Пензы от 29.04.2022 № 596)
</t>
  </si>
  <si>
    <t>16.07.2020 г №560-п (внесение изменений от 13.10.2021 г №584-п)</t>
  </si>
  <si>
    <t>Постановление от 10.02.2022г №46-п.О реализации проекта «Школьный бюджет» на территории Тюльганского района Оренбургской области</t>
  </si>
  <si>
    <t>Постановление Администрации тоцкого района Оренбургской области от 24.03.2021 г. №231-п "Об утверждении положения о проекте "Народный бюджет" в Тоцком районе Оренбургской области</t>
  </si>
  <si>
    <t>Постановление №622-п от 01.10.2021 г.</t>
  </si>
  <si>
    <t xml:space="preserve">Постановление администрации МО Сакмарский район №420-п от25. 04.2016г "Об утверждении Положения о проекте "Народный бюджет" в МО Сакмарский район" </t>
  </si>
  <si>
    <t>Постановление № 323-п от 25.03.2022 года " О реализации на территории муниципального образования Первомайский район Оренбургской области общественно значимого проекта, основанного на местных инициативах в рамках проекта "Школьный бюджет"</t>
  </si>
  <si>
    <t>постановление администрации муниципального образования Оренбургский район от 22.06.2022 № 1006-п "О  реализации на территории муниципального образования Оренбургский район общественно значимого проекта, основанного на местных инициативах  в рамках проекта "Школьный бюджет"</t>
  </si>
  <si>
    <t>постановление администрации муниципального образования Оренбургский район от 23.07.2018 № 1554-п "О конкурсном отборе проектов "Народный бюджет" на территории муниципального образования Оренбургский район"; 19.05.2021 № 983-п "Об утверждении Положения о проекте "Народный бюджет" на территории муниципального образования Оренбургский район";</t>
  </si>
  <si>
    <t xml:space="preserve">Постановление администрации муниципального образования Новоорский район Оренбургской области от 04.06.2021 №458-П "О реализации на территории Новоорского района Оренбургской области проектов Народный бюджет, основанных на местных инициативах" ,Постановление администрации МО Новоорский район Оренбургской области от 10.06.2019 №578-П "О реализации на территории Новоорского района Оренбургской области проектов Народный бюджет,основанных на местных инициативах" </t>
  </si>
  <si>
    <t>Постановление от 30.01.2017 № 85-п О реализации на территории муниципального образования 
Красногвардейский район проекта «Народный бюджет»</t>
  </si>
  <si>
    <t>постановление администрации МО Грачевский район от 11.09.2018 № 472п "О реализации проекта "Народный бюджет"</t>
  </si>
  <si>
    <t>Постановление администрации Бузулукского района от  24.11.2021г №1018-п Об утверждении Положения о проекте «Школьный бюджет»</t>
  </si>
  <si>
    <t>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и дополнениями от 22.06.2020г №539-п, от 29.10.2020г №1240). 
Приказ финансового отдела  от 19.06.2017г №22 «Об отдельных вопросах реализации проектов развития сельпоссоветов муниципального образования Бузулукский район, основанных на местных инициативах»</t>
  </si>
  <si>
    <t>Постановление администрации Бугурсланского района Оренбургской области от 08.12.2021 г. № 815-п "О реализации проекта «Культурный бюджет» на территории Бугурусланского района Оренбургской области"</t>
  </si>
  <si>
    <t>Постановление Асекеевского района от 16.03.2016 №104-п</t>
  </si>
  <si>
    <t>16.07.2020 №594-п О реализации проекта "Твой школьный бюджет" на территории Александровского района Оренбургской области</t>
  </si>
  <si>
    <t>729-п от 24.08.2020 «О реализации проекта «Народный бюджет» на территории Александровского района Оренбургской области»</t>
  </si>
  <si>
    <t>Постановление Администрации МО Акбулакский район № 1030-п от 28.09.2017 г.</t>
  </si>
  <si>
    <t>05.10.2022 №847-п</t>
  </si>
  <si>
    <t>Постановление администрации муниципального образования Адамовский район от 12.03.2021 №175-п</t>
  </si>
  <si>
    <t>Постановление Администрации муниципального образования Ясненский городской округ Оренбургской области от 25.01.2019 № 86-п «Об утверждении Положения о проекте «Народный бюджет»</t>
  </si>
  <si>
    <t xml:space="preserve">Постановление от  07.02.2022  № 154-п О проекте «Школьный бюджет»,   реализуемом на территории муниципального образования Ясненский городской округ Оренбургской области
</t>
  </si>
  <si>
    <t>Постановление администрации Сорочинского городского округа Оренбургской области от 17.03.2020 №349-п</t>
  </si>
  <si>
    <t>Постановление Администрации города Оренбурга от 20.07.2021 № 1413-п "О реализации решения Оренбургского городского Совета от 07.06.2021 № 110"</t>
  </si>
  <si>
    <t>Постановление администрации города Медногорска № 262-па от 25.02.2020 "О реализации на территории муниципального образования город Медногорск общественно значимого проекта, основанного на местных инициативах в рамках проекта «Школьный бюджет» (в ред. постановления от 01.03.2022 №211-па)</t>
  </si>
  <si>
    <t>08.04.2021 №355-пА</t>
  </si>
  <si>
    <t>Решение городского Совета депутатов № 57 от 01.03.2021 г. "О реализации инициативных проектов на территории города Бузулука"</t>
  </si>
  <si>
    <t xml:space="preserve">Постановление администрации города Бузулука от 27.02.2020 № 242-п «Об утверждении Положения о проекте «Школьный бюджет» в городе Бузулуке» </t>
  </si>
  <si>
    <t>Постановление администрации города Бузулука от 18.04.2016 № 869-п «Об утверждении Положения о проекте «Народный бюджет» в городе Бузулуке» (ред. 20.08.2019 № 1253-п)</t>
  </si>
  <si>
    <t>Постановление Администрации города Омска от 11.03.2022 № 135-п "О мерах по реализации Решения Омского городского Совета от 14 июля 2021 года № 329 "Об инициативных проектах на территории города Омска",  Распоряжение Администрации города Омска от 21 марта 2022 года № 32-р "О проведении отбора инициативных проектов для реализации на территории города Омска в 2022 году"</t>
  </si>
  <si>
    <t xml:space="preserve">Постановление Администрации Кормиловского муниципального района от 25.05.2022 № 130-п "Об итогах конкурсного отбора инициативных проектов граждан, проведенного на территории Кормиловского муниципального района
 в 2022 году"
Постановление Администрации Кормиловского муниципального района от 27.05.2022 № 132-п "О внесении изменений в постановление Администрации Кормиловского муниципального района от  25.05.2022 №130-п "Об итогах конкурсного отбора инициативных проектов граждан, проведенного на территории Кормиловского муниципального района  в 2022 году" 
</t>
  </si>
  <si>
    <t xml:space="preserve"> Постановление Администрации Тевризского муниципального района Омской области от 20 октября 2021 года № 338-п (в редакции постановления Администрации Тевризского муниципального района Омской области № 27-п от 01.02.2022г.), распоряжение постановления Администрации Тевризского муниципального района Омской области № 189-р от 18.10.2022г.,
Постановление Администрации Иваново-Мысского сельского поселения  Тевризского муниципального района Омской области от 5 апреля 2022 года № 25-п "Об утверждении Положения о конкурсном отборе инициативных проектов на территории Иваново-Мысского сельского поселения Тевризского муниципального района Омской области"
</t>
  </si>
  <si>
    <t>Распоряжение администрации Любытинского муниципального  района № 9- рг от 18.01.2022 г.  «О  реализации муниципального проекта «Твой школьный бюджет» на территории  Любытинского  муниципального района» на 2022 год</t>
  </si>
  <si>
    <t>Постановление Правительство Новгородской области от 08.05.2020 №185 "Об утверждении Правил предоставления и методики распределения в 2020 году иных межбюджетных трансферов бюджетам муниципальных районов Новгородской области на реализацию муниципального проекта "Твой школьный бюджет"</t>
  </si>
  <si>
    <t>Постановление Администрации Боровичского муниципального района 29.03.2022 №779 "О реализации муниципального проекта «Твой школьный бюджет» в Боровичском муниципальном районе в 2022 году"</t>
  </si>
  <si>
    <t>Постановление администрации городского округа Семеновский Нижегородской области от 19.04.2022 № 834 "О проведении конкурсного отбора проектов инициативного бюджетирования муниципальной конкурсной комиссией городского округа Семеновский"</t>
  </si>
  <si>
    <t xml:space="preserve">Постановление администрации Кстовского муниципального района от 21.09.2021 № 2180 "О реализации проекта "Мой первый бюджет" на территории Кстовского муниципального района Нижегородской области" </t>
  </si>
  <si>
    <t>Постановление администрации городского округа город Бор № 4006 от 11.08.2021г. "Об утверждении Положения о порядке и условиях проведения ремонта линий наружного освещения на территории городского округа г.Бор, основанных на инициативах граждан</t>
  </si>
  <si>
    <t>Постановление администрации городского округа город Бор № 3336 от 07.07.2015 "Об утверждении Положения о порядке и условиях софинансирования мероприятий по приобретению и установке элементов детских и спортивных площадок на территории  городского округа г. Бор, основанных на инициативах граждан" (в ред. Постановления №6319 от 13.12.2021)</t>
  </si>
  <si>
    <t>Постановление администрации городского округа город Бор № 5421 от 17.11.2016 "Об утверждении Положения о порядке и условиях проведения ремонта дорог на территории городского округа г.Бор, основанных на инициативах граждан" (в редакции Пост. № 2102 от 07.04.2023г.)</t>
  </si>
  <si>
    <t>Постановление администрации Богородского муниципального округа Нижегородской области от 30.05.2022 №1827 "Об определении уполномоченного округа структурного подразделения"</t>
  </si>
  <si>
    <t>1. Постановление администрации города Дзержинска от 10.02.2021 № 306 " Об утверждении Порядка взаимодействия между структурными подразделениями администрации города Дзержинска при рассмотрении инициативных проектов, реализуемых на территории города Дзержинска";
2. Постановление администрации г.Дзержинска от 08.02.2021 № 273 "О создании комиссии для проведения конкурсного отбора инициативных проектов в городе Дзержинске";
3. Постановление администрации г.Дзержинска от 27.01.2022 №162 "О поддержке инициативного проекта "Создание спортивно-оздоровительного комплекса "Вейк-парк" на озере Святое с благоустройством части территории"</t>
  </si>
  <si>
    <t>Постановление администрации Омсукчанского городского округа от 26.12.2020г. №601</t>
  </si>
  <si>
    <t>20 октября 2020 года № 275-па</t>
  </si>
  <si>
    <t>1. Постановление администрации города Джанкоя от 09.03.2022 года № 266 «О проведении отбора проектов инициативного бюджетирования в муниципальном образовании городской округ Джанкой Республики Крым»                                                                  2. Постановление администрации города Джанкоя от 22 апреля 2022 года № 526 «О внесении изменений в постановление администрации города Джанкоя Республики Крым от 09 марта 2022 года № 266 «О проведении отбора проектов инициативного бюджетирования в муниципальном образовании городской округ Джанкой Республики Крым в 2022 году»</t>
  </si>
  <si>
    <t>1. Постановление администрации города Джанкоя от 9 февраля 2022 года № 138 «О внесении изменений в постановление администрации города Джанкоя Республики Крым от 26 августа 2021 года №579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                                                                                                        2. Постановление администрации города Джанкоя от 26 августа 2021 года № 579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t>
  </si>
  <si>
    <t>Постановлением Правительства Курганской области от 28 декабря 2019 года № 458 "О государственной программе Курганской области "Комплексное развитие сельских территорий Курганской области"</t>
  </si>
  <si>
    <t>Постановление администрации Сухобузимского района от 05.11.2014 №936-п "О поддержке проектов местных инициатив в Сухобузимском районе"</t>
  </si>
  <si>
    <t>распоряжение администрации Северо-Енисейского района от 21.03.2022 № 504-р "Об организации работы с инициативными проектами граждан на территории Северо-Енисейского района", постановление администрации Северо-Енисейского района от 22.04.2022 № 179-п "О поддержке инициативных проектов в населенных пунктах Северо-Енисейского района в 2022 году", распоряжение администрации Северо-Енисейского района "О реализации инициативных проектов в населенных пунктах Сееверо-Енисейского района"</t>
  </si>
  <si>
    <t xml:space="preserve">1. Распоряжение администрации города от 06.08.2021 № 218-р "Об утверждении Порядка взаимодействия органов администрации города при расмотрении инициативных проектов, а также при организации конкрсного отбора инициативных проектов"
2.  Распоряжение администрации города от 29.07.2021 № 211-р "Об утверждении Порядка взаимодействия органов администрации города Красноярска при определении части территории города Красноярска, на которой могут реализовываться инициативные проекты"
3. Постановление администрации города от 29.07.2021 N 566 "О рассмотрении инициативных проектов в городе Красноярске, реализация которых будет осуществляться в 2022 году"
4. Постановление администрации города от 16.11.2021 № 913 "О поддержке инициативных проектов в городе Красноярске на 2022 год"
</t>
  </si>
  <si>
    <t>29.03.2022 № 55</t>
  </si>
  <si>
    <t>Постановление админстрации Старощербиновского сельского поселения Щербиновского района от 28 октября 2021 г. № 281 "Об итогах рассмотрения администрацией Старощербиновского сельского поселения Щербиновского района инициативного проекта "Установка в парке культуры и отдыха малых архитектурных форм"</t>
  </si>
  <si>
    <t>постановление администрации от 26 февраля 2021 года № 28 «Об определении части территории Екатериновского сельского поселения Щербиновского района, на которой может реализовываться инициативный проект»</t>
  </si>
  <si>
    <t>Постановление администрации Тенгинского сельского поселения Усть-Лабинского района от 28.12.2020 г. № 108 "Об утверждении Порядка применения инициативного бюджетирования в Тенгинском сельском поселении Усть-Лабинского района"</t>
  </si>
  <si>
    <t>Постановление Администрации Железного сельского поселения Усть-Лабинского района от 30.12.2020 № 153 "Об утверждении Порядка применения инициативных проектов в  Железном сельском поселении Усть-Лабинского района"</t>
  </si>
  <si>
    <t>Постановление администрации Кирпильского сельского поселения Усть-Лабинского района от 11.01.2021 № 1 "Об утверждении Порядка применения инициативных проектов в Кирпильском сельском поселении Усть-Лабинского района".</t>
  </si>
  <si>
    <t>Постановление администрации Ленинского сельского поселения Усть-Лабинского района от 26.01.2021 г. № 4 "Об утверждении Порядка применения инициативного бюджетирования в Ленинском сельском поселении Усть-Лабинского района"</t>
  </si>
  <si>
    <t>Постановление администрации Двубратского сельского поселения Усть-Лабинского района от 01.02.2021 г. № 26 "Об утверждении Положения о порядке реализации проектов местных инициатив в Двубратском сельском поселении Усть-Лабинского района"</t>
  </si>
  <si>
    <t xml:space="preserve">19.11.2019 № 1389 </t>
  </si>
  <si>
    <t>Постановление администрации Роговского сельского поселения Тимашевского района от 21.02.2022 г. № 23 "Об определении  границ предполагаемой части территории для реализации проекта местных инициатив".</t>
  </si>
  <si>
    <t>Постановление администрации Незаймановского сельского поселения Тимашевского района от 14.03.2022г №18 "Об утверждении сметной документации"</t>
  </si>
  <si>
    <t>Постановление Администрации Таманского сельского поселения Темрюкского района от 13.10.2022г. №359 "Об определении части территории Таманского сельского поселения Темрюкского района, на которой может реализоваться инициативный проект "Устройство скейт-площадки" по адресу: Краснодарский край, Темрюкский район, пос.Волна, ул. Ленина, д.10/1</t>
  </si>
  <si>
    <t xml:space="preserve">№39 от 25.02.2022 Об утверждении части территории Сенного сельского 
поселения Темрюкского района для реализации проектов местных инициатив в 2022 году
</t>
  </si>
  <si>
    <t xml:space="preserve">Постановление администрации Краснострельского сельского поселения Темрюкского района  от 04.03.2022 № 26  "Об определении части территории Краснострельского сельского поселения Темрюкского района, на которой может реализовываться инициативный проект «Благоустройство сквера х. Белый», Постановление администрации Краснострельского сельского поселения Темрюкского районаот 04.03.2022 № 25 Об определении части территории Краснострельского сельского поселения Темрюкского района, на которой может реализовываться инициативный проект «Обустройство уличного освещения в п. Стрелка по ул. Школьная и ул. О.Кошевого»
</t>
  </si>
  <si>
    <t>Постановление администрации Запорожского сельского поселений Темрюкского района от 07.02.2022 №22 "Об определении части территории Запорожского сельского поселения Темрюкского района, на которой могут реализовываться инициативные проекты в 2022 оду"</t>
  </si>
  <si>
    <t xml:space="preserve">Постановление администрации ГСП ТР от 2.02.2021 №22 "Об определении части территории в Голубицком сельском поселении Темрюкского района, на которой могут реализовываться инициативные проекты"»
</t>
  </si>
  <si>
    <t>Постановление администрации муниципального образования Темрюкский район от 26.09.2022 № 1753
Об определении части территории муниципального образования Темрюкский район, на которой может реализовываться инициативный проект «Благоустройство стадиона в поселке Приморский»</t>
  </si>
  <si>
    <t>от 09.02.2022 № 247; от 02.06.2022 № 1634</t>
  </si>
  <si>
    <t>18.04.2022г., № 391</t>
  </si>
  <si>
    <t>01.07.2022 № 100</t>
  </si>
  <si>
    <t>Постановление администрации Полтавского сельского поселения "Об определении границ территории Полтавского сельского поселения, на которой планируется реализация инициативного проекта "Ремонт дороги в переулке Дружбы в станице Полтавской"</t>
  </si>
  <si>
    <t>22.12.2021 № 172 с изменениями от 16.09.2022 № 101</t>
  </si>
  <si>
    <t xml:space="preserve">Постановление администрации Пролетарского сельского поселения от 24.12.2021 № 175 "Об утверждении ведомственной целевой программы «Реализация инициативных проектов в Пролетарском сельском поселении Кореновского района на 2022 год»
</t>
  </si>
  <si>
    <t xml:space="preserve">Постановление администрации Журавского сельского поселения Кореновского района № 111 от 03.08.2022 года "Об утверждении ведомственной целевой программы
 «Реализация инициативных проектов в Журавском сельском поселении Кореновского района на 2022 год»
</t>
  </si>
  <si>
    <t>17.09.2021г. №1132 «Об утверждении ведомственной  целевой программы «Реализация инициативных проектов в муниципальном образовании Кореновский район на 2022-2024 годы»</t>
  </si>
  <si>
    <t xml:space="preserve">9 января 2020 года №5 </t>
  </si>
  <si>
    <t>постановление администрации Кавказского сельского поселения Кавказского района от 13.11.2014 г. № 482  " Об утверждении муниципальной программы "Развитие топливно-энергетического комплекса"</t>
  </si>
  <si>
    <t>Постановление администрации Черниговского сельского поселения «Об утверждении ведомственной целевой  программы
  Черниговского сельского поселения Белореченского района «Благоустройство территории»</t>
  </si>
  <si>
    <t>От 11.01.2022 г. "Об определении частитерритории Ярославского сельского поселения Мостовского районадля реализации инициативных проектов"</t>
  </si>
  <si>
    <t>Решение № 89 от 12.11.2021 г. "О  Об утверждении порядка выдвижения, внесения, обсуждения, рассмотрения инициативных проектов, а также проведения их конкурсного отбора в Унароковском сельском поселении Мостовского района "</t>
  </si>
  <si>
    <t>27.11.2020 №51 "Об утверждении Положения о порядке реализации инициативных проектов в Махошевском сельском поселении Мостовского района"</t>
  </si>
  <si>
    <t>Постановление Правительства Республики Коми от 23.04.2021 № 211 "О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Респубике Коми"; 
Постановление Правительства Республики Коми от 15.03.2022 № 120 "О распределении грантов на поощрение муниципальных образований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Респубике Коми";
Постановление администрации МОГО «Ухта» от 13.05.2022 № 897 "О некоторых вопросах по внесению, рассмотрению и реализации инициативных проектов на территории муниципального образования городского округа "Ухта"</t>
  </si>
  <si>
    <t>Постановление администрации МР "Удорский" от 10.09.2021 №879 "Об утверждении перечня одобренных народных проектов на 2022 год"</t>
  </si>
  <si>
    <t>постановление администрации муниципального образования городского округа "Усинск" от 25 марта 2022 года № 458 "О реализации народных инициатив на территории муниципального образования городского округа "Усинск"</t>
  </si>
  <si>
    <t>Постановление Правительства Республики Коми от 23 апреля 2021г. № 211</t>
  </si>
  <si>
    <t>23.04.2021 № 211 "О грантах на поощрение муниципальных образований муниципальных районов в Республике Коми за участие в проекте "Народный бюджет" и реализации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</si>
  <si>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Республики Коми от 23 апреля 2021 г. № 211"О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</si>
  <si>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администрации МО ГО "Сыктывкар" от 06.05.2022 № 5/1275 "Об использовании средств гранта на поощрение муниципальных образований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МО ГО «Сыктывкар» в 2022 году"</t>
  </si>
  <si>
    <t>постановление Правительства Республики Коми от 15 марта 2022 г. № 120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</si>
  <si>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31.03.2022 №3/304 "О реализации народных инициатив в муниципальном образовании муниципального района "Сысольский"</t>
  </si>
  <si>
    <t xml:space="preserve">Постановление Правительства Республики Коми от 23.04.2021 № 211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t>
  </si>
  <si>
    <t>26.04.2022 № 705 "Об утверждении порядка реализации народных инициатив в муниципальном образовании муниципальном районе "Печора"</t>
  </si>
  <si>
    <t>Постановление Правительства Республики Коми от 23.04.2021 № 211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</si>
  <si>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администрации муниципального образования городского округа "Воркута" от 11.04.2022 N 423 "О реализации народных инициатив в муниципальном образовании городского округа "Воркута"</t>
  </si>
  <si>
    <t xml:space="preserve">Постановление администрации городского округа «Вуктыл» от 18 апреля 2022 г. № 04/353 «О реализации народных инициатив в муниципальном образовании городского округа «Вуктыл» </t>
  </si>
  <si>
    <t xml:space="preserve">Постановление Республики Коми от 23 апреля 2021 г. № 211"О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t>
  </si>
  <si>
    <t>Постановление Правительства РК от 23.04.2021 № 211 «О грантах на поощрение муниципальных образований муниципальных районов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</si>
  <si>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Постановление администрации муниципального образования городского округа "Инта"  от 11.04.2022 №4/529 "О реализации народных инициатив в муниципальном образовании городского округа "Инта" в 2022 году"</t>
  </si>
  <si>
    <t>Постановление Республики Коми от 23 апреля 2021 г. № 211</t>
  </si>
  <si>
    <t>Постановление администрации города Кирова от 02.06.2022 № 1297-П</t>
  </si>
  <si>
    <t>Постановление администрации города Кирова от 16.03.2022 № 606-П</t>
  </si>
  <si>
    <t>Постановление администрации Афанасьевского района Кировской области № 177 от 06.06.2022 "Об утверждении Порядка предоставления субсидии бюджетам поселений из районного бюджета на реализацию инвестиционных проектов"</t>
  </si>
  <si>
    <t>Постановление Городской Управы города Калуги от 18.11.2021 № 392-п «Об утверждении порядка работы с инициативными проектами в Городской Управе города Калуги в 2021-2022 годах»</t>
  </si>
  <si>
    <t>Постановление № 235 от 16.11.2021 г. "Об утверждении состава экспертной комиссии на территории муниципального образования сельского поселения "Поселок Детчино" в целях реализации инициативных проектов"</t>
  </si>
  <si>
    <t>21.10.2018 №1565</t>
  </si>
  <si>
    <t>29.12.2017 г. № 1324 
Постановление администрации МО "Светловский городской округ" Калининградской области "Об утверждении ведомственной целевой программы МО "Светловский городской округ" Калининградской области "Мой двор" на 2018-2024 гг." (в действующей редакции)</t>
  </si>
  <si>
    <t>Решение Череповецкой городской Думы от 29.01. 2021 г. N 7
"Об утверждении Положения об инициативных проектах на территории города Череповца", постановления мэрии города Череповца от 18.06.2019 №2883 "О проекте "Народный бюджет-ТОС",  01.12.2021 N4630 "О признании утратившими силу постановлений мэрии города", 27.01.2021 №254 "Об утверждении Положения об управлении по развитию городских территорий мэрии города", Положение о центре "Городские управы" МКУ "Центр по защите населения и территорий от чрезвычайных ситуаций", утвержденное директором МКУ "ЦЗНТЧС" 21 марта 2022 года</t>
  </si>
  <si>
    <t>Постановление администрации района от 23.03.2022 г. №277 "О поддержании инициативного проекта «Живая нить земли родной» по благоустройству природного источника (родника) в микрорайоне Дечинский города Вязники"</t>
  </si>
  <si>
    <t>Распоряжение администрации Судогодского района от 10.10.2022 № 441-р "О поддержке инициативного проекта"</t>
  </si>
  <si>
    <t>Постановление администрации района от 25.06.2019 №783 "Об утверждении Положения о порядке создания и расходования средств резервного фонда администрации района – фонда поддержки инициатив граждан и юридических лиц Гусь-Хрустального района" (действие НПА, распространялось на правоотношения, возникшие с 01.01.2019 г);                                                                                                  Постановление администрации района от 15.04.2020 "Об утверждении порядка предоставления и распределения иных межбюджетных трансфертов на сбалансированность местных бюджетов бюджетам муниципальных образований (поселений) Гусь-Хрустального района в целях стимулирования органов местного самоуправления, способствующих развитию гражданского общества через добровольные пожертвования"</t>
  </si>
  <si>
    <t>Постановление администрации Навлинского района Брянской области от 04.03.2022 №105</t>
  </si>
  <si>
    <t>Распоряжение администрации Яковлевского городского округа от 25.05.2022 г. №449-р "Об объявлении конкурса "Лучшая практика общественного самоуправления в Яковлевском городском округе в 2022 году"</t>
  </si>
  <si>
    <t>Постановление администрации Губкинского городского округа от 15 апреля 2022 года № 457-па "О проведении конкурса на лучший социально значимый проект территориального общественного самоуправления"</t>
  </si>
  <si>
    <t>распоряжения главы администрации района от 18 марта 2020 года № 99-01/198 "О проведении муниципального конкурса на предоставление грантов на благоустройство сел среди старост сельских населенных пунктов" и от 29 апреля 2022 года № 99-01/404 "Об итогах муниципального конкурса на предоставление грантов на благоустройство сел среди старост сельских населенных пунктов"</t>
  </si>
  <si>
    <t>распоряжения главы администрации района от 27 января 2021 года № 99-01/44  "О проведении муниципального конкурса на предоставление грантов на проекты по благоустройству территориальных общественных самоуправлений" и от5 апреля 2022 года № 99-01/246 "Об итогах муниципального конкурса на предоставление грантов на проекты по благоустройству территорий органами общественного самоуправления Волоконовского района в 2022 году"</t>
  </si>
  <si>
    <t>постановление главы администрации муниципального района от 30 декабря 2021 года № 99-01/427 "Об  утверждении перечня инициативных проектов, реализуемых на территории Волоконовского района"</t>
  </si>
  <si>
    <t>Постановление администрации Вейделевского района Белгородской области от 01.04.2019 года N 65 "О предоставлении субсидий из местного бюджета муниципального района "Вейделевский район" городскому и сельским поселениям района на поддержку социально значимых проектов, реализуемых территориальными общественными самоуправлениями в муниципальных образованиях Вейделевского района</t>
  </si>
  <si>
    <t>Постановление Администрации муниципального района Стерлибашевский район Республики Башкортостан №62 от 19 февраля 2021 года  «О реализации на территории муниципального района Стерлибашевский район Республики Башкортостан муниципальных проектов инициативного бюджетирования «Наше село»</t>
  </si>
  <si>
    <t xml:space="preserve">Постановление Администрации муниципального района Миякинский район Республики Башкортостан от 5 марта 2018 года №202  «О реализации на территории муниципального района Миякинский район Республики Башкортостан муниципальных проектов инициативного бюджетирования «Наше село» в сельских поселениях муниципального района 
Миякинский район Республики Башкортостан» (в ред. 06.07.22 г.)  </t>
  </si>
  <si>
    <t>Распоряжение главы Администрации муниципального района Мелеузовский район Республики Башкортостанот 6 июня 2022 года №260 "О конкурсе муниципального проекта инициативного бюджетирования "Наше село""</t>
  </si>
  <si>
    <t>О внесении изменений в постановление Администрации муниципального района Караидельский район Республики Башкортостан от 26 июня 2020 года № 599 «О реализации на территории муниципального района Караидельский район Республики Башкортостан муниципальных проектов инициативного бюджетирования «Наше село» в сельских поселениях муниципального района Караидельский район Республики Башкортостан»</t>
  </si>
  <si>
    <t>Положение о проекте "Бюджет твоих возможностей", утвержденное постановлением Администрации городского округа "Город Архангельск" от 26.10.2021 № 2157</t>
  </si>
  <si>
    <t xml:space="preserve">Дата и реквизиты Постановления </t>
  </si>
  <si>
    <t>Нормативно-правовое регулирование практики</t>
  </si>
  <si>
    <t>29 ноября 2022 года</t>
  </si>
  <si>
    <t>по настоящее время (планируется до октября 2023)</t>
  </si>
  <si>
    <t>август 2022</t>
  </si>
  <si>
    <t>28 декабря 2022 г.</t>
  </si>
  <si>
    <t>01 октября 2022</t>
  </si>
  <si>
    <t>28 сентября 2022г</t>
  </si>
  <si>
    <t xml:space="preserve">20 декабря 2022 г. </t>
  </si>
  <si>
    <t>20 декабря 2022 г .</t>
  </si>
  <si>
    <t>Завершение: 31.12.2022</t>
  </si>
  <si>
    <t>27 июля 2022 г., 24 октября 2022 г., 14 марта 2023г</t>
  </si>
  <si>
    <t>01.09.2022 г.</t>
  </si>
  <si>
    <t>21 ноября 2022 г.</t>
  </si>
  <si>
    <t>22 августа 2022</t>
  </si>
  <si>
    <t>01 декабря 2022</t>
  </si>
  <si>
    <t xml:space="preserve">              23.05.2022</t>
  </si>
  <si>
    <t>02 декабря 2022 г.</t>
  </si>
  <si>
    <t>13 декабря 2022 года</t>
  </si>
  <si>
    <t>02 ноября 2022 г</t>
  </si>
  <si>
    <t>25 июля 2022 г.</t>
  </si>
  <si>
    <t>07 декабря 2022 г.</t>
  </si>
  <si>
    <t>21 октября 2022г.</t>
  </si>
  <si>
    <t xml:space="preserve"> 31 декабря 2022 года</t>
  </si>
  <si>
    <t>05 октября 2022</t>
  </si>
  <si>
    <t>28 декабря 2022</t>
  </si>
  <si>
    <t>01 сентября 2023 год</t>
  </si>
  <si>
    <t>16 ноября 2022 года</t>
  </si>
  <si>
    <t>30 июня 2022 года</t>
  </si>
  <si>
    <t>20 декабря 2022 г.</t>
  </si>
  <si>
    <t>18 ноября 2022 г</t>
  </si>
  <si>
    <t>22.12.2022г</t>
  </si>
  <si>
    <t>10 ноября 2022г.</t>
  </si>
  <si>
    <t>01 июня 2022 г.</t>
  </si>
  <si>
    <t>31 декабря 2023 г</t>
  </si>
  <si>
    <t>01 ноября 2022 год</t>
  </si>
  <si>
    <t>Завершение: 30.12.2022</t>
  </si>
  <si>
    <t>30 сентября 2022 г.</t>
  </si>
  <si>
    <t>15 августа 2022 г.</t>
  </si>
  <si>
    <t>16 сентября 2022 г.</t>
  </si>
  <si>
    <t>октябрь 2023 года</t>
  </si>
  <si>
    <t>15 сентября 2022 г.</t>
  </si>
  <si>
    <t>01 октября 2022г.</t>
  </si>
  <si>
    <t xml:space="preserve">1 августа 2022 года </t>
  </si>
  <si>
    <t>29 ноября 2022 г.</t>
  </si>
  <si>
    <t>01 ноября 2022 г.</t>
  </si>
  <si>
    <t>26 декабря 2022 г.</t>
  </si>
  <si>
    <t>08.04.2022; 21.06.2022</t>
  </si>
  <si>
    <t>17.10.2022г.</t>
  </si>
  <si>
    <t>21.12.2022 г</t>
  </si>
  <si>
    <t>Завершение: 17.10.2022</t>
  </si>
  <si>
    <t>28 сентября 2022 г.</t>
  </si>
  <si>
    <t>30 ноября 2022</t>
  </si>
  <si>
    <t>20 декабря 2022 года</t>
  </si>
  <si>
    <t>30 декабря 2022г.</t>
  </si>
  <si>
    <t>Завершение:15.08.2022 г.</t>
  </si>
  <si>
    <t>31.12.2022г.</t>
  </si>
  <si>
    <t>14 октября 2022</t>
  </si>
  <si>
    <t>22 декабря 2022 г.</t>
  </si>
  <si>
    <t>10.04.2022 года</t>
  </si>
  <si>
    <t>17 июня 2022 г.</t>
  </si>
  <si>
    <t xml:space="preserve">01.12.2022 г. </t>
  </si>
  <si>
    <t>Декабрь 2022 года, включая 2 проекта по строительству скверов по переходящим муниципальным контрактам, заключенным в 2021 году со сроком исполнения в 2022 году, для комплексного решения задач по благоустройству территорий. А также благоустройство общественного пространства в рамках КГС (Александровская набережная), дворов и Соляного сада в рамках конкурса исторических поселений, в рамках государственно-частного партнерства  - ремонт Музея Природы</t>
  </si>
  <si>
    <t>16 декабря 2022 года</t>
  </si>
  <si>
    <t>17 ноября 2022 г</t>
  </si>
  <si>
    <t>08 апреля 2022</t>
  </si>
  <si>
    <t>01 августа 2022 г.</t>
  </si>
  <si>
    <t>1 декабря 2022 года</t>
  </si>
  <si>
    <t>23 ноября 2022 года</t>
  </si>
  <si>
    <t>20 января 2021 г.</t>
  </si>
  <si>
    <t>май 2022</t>
  </si>
  <si>
    <t>15 июня 2021 г.</t>
  </si>
  <si>
    <t>01 августа 2021</t>
  </si>
  <si>
    <t>18 апреля 2022 г.</t>
  </si>
  <si>
    <t>18 мая 2022 года.</t>
  </si>
  <si>
    <t>Начало: 01.03.2022</t>
  </si>
  <si>
    <t>17 января 2022 г., 21 февраля 2022 г., 11 июля 2022 г</t>
  </si>
  <si>
    <t>03.06.2022 г.</t>
  </si>
  <si>
    <t>10.09.2021 (http://petrgosk.ru/ob-okruge/novosti/6598/)</t>
  </si>
  <si>
    <t>01 апреля 2022</t>
  </si>
  <si>
    <t>01 марта 2022</t>
  </si>
  <si>
    <t xml:space="preserve">               02.02.2022</t>
  </si>
  <si>
    <t>20 сентября 2021г.</t>
  </si>
  <si>
    <t>август 2021 года</t>
  </si>
  <si>
    <t>15 апреля 2022 года</t>
  </si>
  <si>
    <t>17 февраля 2022 г</t>
  </si>
  <si>
    <t>04 апреля 2022 года</t>
  </si>
  <si>
    <t>21июля 2022 г.</t>
  </si>
  <si>
    <t>15 апреля 2022 г.</t>
  </si>
  <si>
    <t>01 января 2022 года</t>
  </si>
  <si>
    <t>19 июля 2022 г.</t>
  </si>
  <si>
    <t>01 февраля 2022 г.</t>
  </si>
  <si>
    <t>09 сентября 2021г.</t>
  </si>
  <si>
    <t>01 апреля 2022 года</t>
  </si>
  <si>
    <t>26 апреля 2021</t>
  </si>
  <si>
    <t>2 ноября 2022</t>
  </si>
  <si>
    <t>01 января 2021 год</t>
  </si>
  <si>
    <t>03 марта 2022 года</t>
  </si>
  <si>
    <t>1 марта 2022 года</t>
  </si>
  <si>
    <t>22 сентября 2021 г</t>
  </si>
  <si>
    <t>02.08.2021г</t>
  </si>
  <si>
    <t>24 сентября 2021г.</t>
  </si>
  <si>
    <t>1 февраля 2022 г.</t>
  </si>
  <si>
    <t>11 мая 2022 г.</t>
  </si>
  <si>
    <t>30 марта 2022</t>
  </si>
  <si>
    <t>20 апреля 2022</t>
  </si>
  <si>
    <t>26 июля 2021</t>
  </si>
  <si>
    <t>25 марта 2022 г</t>
  </si>
  <si>
    <t>18 октября 2021 год</t>
  </si>
  <si>
    <t>Начало: 14.10.2022</t>
  </si>
  <si>
    <t xml:space="preserve">27 января 2022 года </t>
  </si>
  <si>
    <t>21 января 2022 г.</t>
  </si>
  <si>
    <t>15 февраля 2022г.</t>
  </si>
  <si>
    <t>11 марта 2022 г.</t>
  </si>
  <si>
    <t xml:space="preserve">23 апреля 2021 года </t>
  </si>
  <si>
    <t>Начало: 15.01.2022</t>
  </si>
  <si>
    <t>06 сентября 2021 г.</t>
  </si>
  <si>
    <t>13 апреля 2022 года</t>
  </si>
  <si>
    <t>10.02.2022; 05.06.2022</t>
  </si>
  <si>
    <t>01.08.2022г.</t>
  </si>
  <si>
    <t>16.12.2021г.</t>
  </si>
  <si>
    <t>октябрь 2021год</t>
  </si>
  <si>
    <t>Начало: 17.07.2022</t>
  </si>
  <si>
    <t xml:space="preserve"> 18 марта 2022 г.</t>
  </si>
  <si>
    <t>01 ноября 2022</t>
  </si>
  <si>
    <t>13 августа 2019 г.</t>
  </si>
  <si>
    <t>Начало: 24.01.2022 г.</t>
  </si>
  <si>
    <t>14.12.2021 г.</t>
  </si>
  <si>
    <t>15 августа 2022</t>
  </si>
  <si>
    <t>27 апреля 2022</t>
  </si>
  <si>
    <t>22 марта 2022</t>
  </si>
  <si>
    <t>04.04.2022 года</t>
  </si>
  <si>
    <t>Июнь 2019 года, инвентаризация инициатив в 2020 году и включение на 2021-2022 годы (с учетом переходящих контрактов), в связи с введением ограничительных мероприятий по нераспространению новой коронавирусной инфекции и расширением механизма на комплексное выполнение работ по благоустройству.  Также включением г. Череповца в КГС по благоустройству общественного пространства, дворов, а также Соляного сада в рамках конкурса исторических поселений</t>
  </si>
  <si>
    <t>26 сентября 2022 года</t>
  </si>
  <si>
    <t>23 декабря 2021 г</t>
  </si>
  <si>
    <t>14 марта 2022</t>
  </si>
  <si>
    <t>15 апреля 2022</t>
  </si>
  <si>
    <t xml:space="preserve"> 01 мая 2022 г.</t>
  </si>
  <si>
    <t>1 ноября 2021 года</t>
  </si>
  <si>
    <t>Даты начала и завершения мероприятий по выбору и реализации проектов, которые были профинансированы в 2022 году</t>
  </si>
  <si>
    <t>2022 г.</t>
  </si>
  <si>
    <t xml:space="preserve">               2021 год</t>
  </si>
  <si>
    <t>2022 год</t>
  </si>
  <si>
    <t>2021г.</t>
  </si>
  <si>
    <t>2018-2022 годы</t>
  </si>
  <si>
    <t>2022г.</t>
  </si>
  <si>
    <t>Проект "Народный бюджет"  осуществлялся с 2013 года по 2016 год.
Переход на реализацию проекта "Народный бюджет-ТОС" с марта 2014 года в связи с  включением в обсуждение инициатив  широкой городской аудитории. Передача идеи партиципаторного бюджетирования на уровень территориальных общественных самоуправлений, в работе которых 2016 году задействовано порядка 100 тыс. человек, а в 2019 году – уже порядка 230 тыс. человек в возрасте от 16 лет. В настоящее время проходит трансформация проекта через Народные программы развития городских  округов, где  взаимодействуют депутаты, жители, территориальные общественные самоуправления+главы управ. Городские управы это новый механизм реализуемый в городе по оказанию содействия  гражданам в решении проблем и снижению административных барьеров, а также улучшению условий и повышению качества жизни горожан. Всего 26 округов по количеству депутатов и ТОС. Итого 26 управленческих команд, с разработанной Программой развития территории на 5 лет, в которые вошли инициативы/предложения череповчан  (получено более 99 тыс. предложений).</t>
  </si>
  <si>
    <t>Год, с которого было начато финансирование практики в муниципальном образовании</t>
  </si>
  <si>
    <t>«Бюджетная инициатива граждан» («Уютный Ямал»)</t>
  </si>
  <si>
    <t xml:space="preserve"> «Уютный Ямал»</t>
  </si>
  <si>
    <t>«Уютный Ямал»</t>
  </si>
  <si>
    <t>"Уютный Ямал"</t>
  </si>
  <si>
    <t xml:space="preserve"> Нет</t>
  </si>
  <si>
    <t xml:space="preserve"> Мой вклад в бюджет</t>
  </si>
  <si>
    <t>Муниципальный конкурс инцииативных проектов город Сургут</t>
  </si>
  <si>
    <t>Инициативное бюджетирование/народная инициатива</t>
  </si>
  <si>
    <t>Инициативные проекты в Нефтеюганском районе</t>
  </si>
  <si>
    <t>Информационные материалы выходят в соответствии с рекомендованным АУ "Центр Открытый регион" бренд-буком</t>
  </si>
  <si>
    <t>Инициативный проект</t>
  </si>
  <si>
    <t xml:space="preserve">Конкурс ТОС </t>
  </si>
  <si>
    <t>Завьяловский район - ЗА ПРЕОБРАЖЕНИЕ!</t>
  </si>
  <si>
    <t>"Народный бюджет", "Инициативный проект", "Ремонт дворовых территорий"</t>
  </si>
  <si>
    <t>Инициативный проект «Ремонт уличного освещения по улицам Почтовая, Атаманская, Дмитрия Донского, Правобережная, Алексея Шулико, Сергея Радонежского, Феодосия Кавказского, Александра Невского, Луначарского, Адмирала Ушакова в поселке Горячеводском города-курорта Пятигорска Ставропольского края»</t>
  </si>
  <si>
    <t>Реализация инициативных проектов на территории Предгорного муниципального округа Ставропольского края</t>
  </si>
  <si>
    <t>Реализация уличных и квартальных инициатив</t>
  </si>
  <si>
    <t xml:space="preserve"> #СДЕЛАЕМВМЕСТЕ</t>
  </si>
  <si>
    <t>инициативное бюджетирование</t>
  </si>
  <si>
    <t>инициативное бюджетирование в городе Лермонтове</t>
  </si>
  <si>
    <t xml:space="preserve">Реализация инициативного проекта </t>
  </si>
  <si>
    <t xml:space="preserve"> Инициативный проект</t>
  </si>
  <si>
    <t>Инициативные проекты</t>
  </si>
  <si>
    <t>Твой Проект</t>
  </si>
  <si>
    <t>ИНИЦИАТИВНЫЕ ПРОЕКТЫ</t>
  </si>
  <si>
    <t>Инициативное бюджетирование - наш округ, наша инициатива, наш бюджет!</t>
  </si>
  <si>
    <t>Программа инициативного бюджетирования</t>
  </si>
  <si>
    <t xml:space="preserve">Екатеринбург, предлагай! </t>
  </si>
  <si>
    <t>Инициативные проекты в муниципальном образовании Алапаевское</t>
  </si>
  <si>
    <t>Я планирую бюджет, ЯПБ</t>
  </si>
  <si>
    <t>"Детям радость"</t>
  </si>
  <si>
    <t>Детская площадка</t>
  </si>
  <si>
    <t xml:space="preserve"> "Твой конструктор двора"</t>
  </si>
  <si>
    <t>"Твой конструктор двора"</t>
  </si>
  <si>
    <t>"Крутая горка"</t>
  </si>
  <si>
    <t>Дорога знаний</t>
  </si>
  <si>
    <t xml:space="preserve"> Конкурс инициативных проектов на 
территории городского округа 
Похвистнево Самарской области в 2022 году</t>
  </si>
  <si>
    <t>Городской конкурс социальных проектов и идей "Отрадный - территория развития"</t>
  </si>
  <si>
    <t>"Все начинается с идеи"</t>
  </si>
  <si>
    <t xml:space="preserve">«Формирование современной городской среды
на территории Лесозаводского городского округа»
на 2021-2027 годы
 </t>
  </si>
  <si>
    <t xml:space="preserve">Создание условий для организации цифровой образовательной среды и условий для отдыха учащихся начальных классов в МОБУ СОШ с.Ракитное" </t>
  </si>
  <si>
    <t>Местная инициатива</t>
  </si>
  <si>
    <t>Формирование современной городской среды Артемовского городского округа</t>
  </si>
  <si>
    <t>Инициативные проекты на территории муниципального образования "Город Березники" Пермского края</t>
  </si>
  <si>
    <t xml:space="preserve">  Конкурс социально значимых проектов</t>
  </si>
  <si>
    <t>"Школьный бюджет"</t>
  </si>
  <si>
    <t xml:space="preserve">«Школьный бюджет»  </t>
  </si>
  <si>
    <t xml:space="preserve"> «Народный бюджет» </t>
  </si>
  <si>
    <t xml:space="preserve"> Народный бюджет </t>
  </si>
  <si>
    <t>Культурный бюджет</t>
  </si>
  <si>
    <t xml:space="preserve"> Муниципальное образование Адамовский район Оренбургской области </t>
  </si>
  <si>
    <t>Проект "Твой школьный бюджет"</t>
  </si>
  <si>
    <t xml:space="preserve">Реализация инициативных проектов на территории муниципального образования "город Оренбург" </t>
  </si>
  <si>
    <t>Молодежный бюджет «Компьютер PRO100»</t>
  </si>
  <si>
    <t>"Инициативные проекты"</t>
  </si>
  <si>
    <t xml:space="preserve">Конкурсный отбор инициативных проектов граждан на территории Кормиловского муниципального района Омской области </t>
  </si>
  <si>
    <t>Капитальный ремонт памятника участникам ВОВ, расположенного по адресу: д. Тайчи, Тевризского района, ул. Школьная, д. 5</t>
  </si>
  <si>
    <t xml:space="preserve"> не имеет</t>
  </si>
  <si>
    <t>Муниципальный кластерный проект "Код успеха"</t>
  </si>
  <si>
    <t>муниципальный  проект «Твой школьный бюджет»</t>
  </si>
  <si>
    <t>"Твой выбор"</t>
  </si>
  <si>
    <t>Инициативный проект «Ремонт участка автодороги п. Омсукчан ул. Ленина д. 24 – ул. Школьная д. 19»</t>
  </si>
  <si>
    <t>Мини-парк "Центр притяжения"</t>
  </si>
  <si>
    <t>https://dzhankoy.rk.gov.ru/uploads/txteditor/dzhankoy/attachments//d4/1d/8c/d98f00b204e9800998ecf8427e/php14Wq7R_лого%20ИБ.jpg</t>
  </si>
  <si>
    <t>Грантовая поддержка местных инициатив граждан, проживающих в сельской местности</t>
  </si>
  <si>
    <t>Гражданская инициатива</t>
  </si>
  <si>
    <t xml:space="preserve"> Инициативные проекты</t>
  </si>
  <si>
    <t>Конкурс местных инициатив</t>
  </si>
  <si>
    <t xml:space="preserve"> Установка в парке культуры и отдыха малых архитектурных форм</t>
  </si>
  <si>
    <t xml:space="preserve"> Благоустройство территории прилегающей к  Мемориальному комплексу в честь земляков, погибших в годы Великой Отечественной войны </t>
  </si>
  <si>
    <t>Благоустройство детской игровой площадки в ауле Урупском Успенского района</t>
  </si>
  <si>
    <t>Благоустройство территории ,прилегающей к клубу хутора Стринского с возведением спортивной и детской площадки</t>
  </si>
  <si>
    <t xml:space="preserve"> нет</t>
  </si>
  <si>
    <t xml:space="preserve">Инициативные проекты </t>
  </si>
  <si>
    <t>"От идей к решению"</t>
  </si>
  <si>
    <t>«Замена и установка светильников уличного освещения по ул. Пушкина, ул. Ким, ул. Калинина в ст. Константиновской»</t>
  </si>
  <si>
    <t>"Благоустройство территории парка пос.Октябрьский Курганинского района". "Ремонт водопроводных сетей Октябрьского сельского поселения Курганинского района"</t>
  </si>
  <si>
    <t>инициативные проекты в Октябрьском сельском поселении Красноармейского района</t>
  </si>
  <si>
    <t xml:space="preserve"> Инициативный проект "Ремонт дороги в переулке Дружбы в станице Полтавской"</t>
  </si>
  <si>
    <t>уличное освещение ул. Зеленой п. Комсомольского</t>
  </si>
  <si>
    <t>Благоустройство общественной территории детской площадки в станице Дядьковской по улице Низовая,52</t>
  </si>
  <si>
    <t xml:space="preserve"> Благоустройство</t>
  </si>
  <si>
    <t>Решаем вместе</t>
  </si>
  <si>
    <t>Обустройство пешеходного перехода в ст. Рязанской по ул. Энгельса, Ямочный ремонт асфальтобетонного покрытия по ул .Первомайской</t>
  </si>
  <si>
    <t>благоустройство ул. Мира в части уличного освещения</t>
  </si>
  <si>
    <t xml:space="preserve"> постановление главы администрации Губернатора Краснодарского края от 6 февраля 2020 г. № 70 "О краевом конкурсе по отбору проектов местных инициатив"</t>
  </si>
  <si>
    <t>"Инициативное Бюджетирование"</t>
  </si>
  <si>
    <t xml:space="preserve"> народные инициативы</t>
  </si>
  <si>
    <t>Народные инициативы</t>
  </si>
  <si>
    <t>народные инициативы</t>
  </si>
  <si>
    <t>"НАРОДНЫЕ ИНИЦИАТИВЫ"</t>
  </si>
  <si>
    <t xml:space="preserve"> "НАРОДНЫЕ ИНИЦИАТИВЫ"(гранты Главы РК в рамках 211 постановления Правительства РК)</t>
  </si>
  <si>
    <t xml:space="preserve">народные инициативы 
</t>
  </si>
  <si>
    <t xml:space="preserve"> "Мой двор"</t>
  </si>
  <si>
    <t xml:space="preserve">Проект "Народный бюджет".
Проект "Народный бюджет-ТОС".
Проект "Городские управы".
В настоящее время трансформация проектов в Программы развития  округов с соответствующей подготовкой муниципальных правовых актов. </t>
  </si>
  <si>
    <t>«Живая    нить    земли    родной»</t>
  </si>
  <si>
    <t>Лучшая практика общественного самоуправления в Яковлевском городском округе в 2022 году</t>
  </si>
  <si>
    <t>Поддержка проектов территориального общественного самоуправления</t>
  </si>
  <si>
    <t xml:space="preserve"> проекты ТОС</t>
  </si>
  <si>
    <t>Предоставление грантов на проекты старост сельских населенных пунктов</t>
  </si>
  <si>
    <t>Предоставление грантов на проекты ТОС</t>
  </si>
  <si>
    <t xml:space="preserve"> Об утверждении перечня инициативных проектов, реализуемых на территории Волоконовского района</t>
  </si>
  <si>
    <t>Наше село</t>
  </si>
  <si>
    <t xml:space="preserve">Наше село </t>
  </si>
  <si>
    <t>"Инициативные проекты граждан"</t>
  </si>
  <si>
    <t>"Бюджет твоих возможностей"</t>
  </si>
  <si>
    <t>ШкИБ?</t>
  </si>
  <si>
    <t xml:space="preserve">«Бюджетная инициатива граждан» («Уютный Ямал»)" </t>
  </si>
  <si>
    <t>"Бюджетная инициатива граждан" ("Уютный Ямал")</t>
  </si>
  <si>
    <t xml:space="preserve">О конкурсном отборе проектов 
инициативного бюджетирования 
в Ханты-Мансийском районе
</t>
  </si>
  <si>
    <t xml:space="preserve">Инициативное бюджетирование </t>
  </si>
  <si>
    <t xml:space="preserve"> 
Народный бюджет
</t>
  </si>
  <si>
    <t>Реализация инициативных проектов в городе Сургуте</t>
  </si>
  <si>
    <t>Обеспечение участия проектов городских и сельских поселений в конкурсном отборе проектов инициативного бюджетирования</t>
  </si>
  <si>
    <t>Конкурс социально значимых инициатив (проектов) среди территориального общественного самоуправления</t>
  </si>
  <si>
    <t>Городской конкурс социальных проектов территориальных общественных самоуправлений</t>
  </si>
  <si>
    <t>инициативное бюджетирование в Труновском муниципальном округе</t>
  </si>
  <si>
    <t xml:space="preserve">Инициативные проекты на территории Степновского муниципального округа Ставропольского края </t>
  </si>
  <si>
    <t>реализация проектов по ремонту улично-дорожной сети, основанных на инициативах жителей Петровского городского округа Ставропольского края</t>
  </si>
  <si>
    <t>Инициативные проекты  Петровского городского  округа Ставропольского края</t>
  </si>
  <si>
    <t>Инициативные проекты Нефтекумского городского округа Ставропольского края</t>
  </si>
  <si>
    <t>Инициативный проект "Обустройство спортивной площадки по улице Чайковского, 2А, г. Невинномысска, Ставропольского края"</t>
  </si>
  <si>
    <t>инициативное бюджетирование на территории муниципального образования города Лермонтова Ставропольского края</t>
  </si>
  <si>
    <t>Инициативные проекты на территории Курского муниципального округа Ставропольского края</t>
  </si>
  <si>
    <t>Реализация инициативных проектов на территории Кочубеевского муниципального округа Ставропольского края</t>
  </si>
  <si>
    <t>ИНИЦИАТИВНЫЕ ПРОЕКТЫ в рамках инициативного бюджетирования</t>
  </si>
  <si>
    <t xml:space="preserve">Инициативное бюджетирование в Изобильненском городском округе Ставропольского края </t>
  </si>
  <si>
    <t>Инициативные проекты реализуемые на территории Георгиевского городского округа Ставропольского края</t>
  </si>
  <si>
    <t xml:space="preserve">Наказы избирателей депутатам Думы Георгиевского городского округа </t>
  </si>
  <si>
    <t>Инициативное бюджетирование в Благодарненском городском округе Ставропольского края</t>
  </si>
  <si>
    <t>инициативные проекты  в Апанасенковском муниципальном округе</t>
  </si>
  <si>
    <t>Инициативные проекты Андроповского муниципального округа Ставропольского округа</t>
  </si>
  <si>
    <t>Инициативный проект -проект мероприятий, имеющий приоритетное значение для жителей Александровского муниципального округа Ставропольского края или его части, по решению вопросов местного значения или иных вопросов, право решения которых предоставлено органам местного самоуправления Александровского муниципального округа Ставропольского края и предусматривающий наличие инициативных платежей.</t>
  </si>
  <si>
    <t xml:space="preserve">Реализация иницитивных проектов </t>
  </si>
  <si>
    <t>Реализация инициативных проектов, имеющих приоритетное значение для жителей городского округа или его части, по решению вопросов местного значения или иных вопросов, право решения которых предоставлено органам местного самоуправления</t>
  </si>
  <si>
    <t>Инициативное бюджетирование на территории муниципального образования "город Екатеринбург"</t>
  </si>
  <si>
    <t>проекты инициативного бюджетирования</t>
  </si>
  <si>
    <t>проект инициативного бюджетирования "Я планирую бюджет"</t>
  </si>
  <si>
    <t>Муниципальный порядок предоставления в 2022-2024 годах иных дотаций из бюджета района бюджетам сельских поселений в целях софинансирования расходных обязательств сельских поселений в мунцииппальном районе Шенталинский, направленных на решение вопросов местного значения и связанных с реализацией мероприятий по поддержке инициаьтив населения сельских поселений мунциипального района Шенталинский Самарской области</t>
  </si>
  <si>
    <t>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t>
  </si>
  <si>
    <t>Восстановление ограждения кладбища в с. Скородумовка с.п. Малое Ибряйкино</t>
  </si>
  <si>
    <t>"Селя лисьма" - восстановление родника по ул. Лукьянова в с. Красные Ключи</t>
  </si>
  <si>
    <t>Поддержка местных инициатив в сельском поселении Четыровка муниципального района Кошкинский Самарской области</t>
  </si>
  <si>
    <t>Поддержка местных инициатив в  сельском поселении Малая Малышевка  муниципального района Кинельский Самарской области на 2021-2025 годы</t>
  </si>
  <si>
    <t>Инициативный проект «Благоустройство территории детской игровой площадки в селе Черновка между улицами Комсомольская и Октябрьская»</t>
  </si>
  <si>
    <t>Инициативный проект "Установка объектов светодиодного освещения по ул.Ленинской"</t>
  </si>
  <si>
    <t xml:space="preserve">Инициативный проект «Благоустройство территории универсальной спортивной площадки  в п.Садгород» </t>
  </si>
  <si>
    <t>Инициативный проект "Благоустройство территории памятника участникам Великой отечественной войны"</t>
  </si>
  <si>
    <t>Инициативный проект "Озеленение парка"</t>
  </si>
  <si>
    <t>Инициативный проект "Благоустройство  детской игровой площадки в  деревне Федоровка"</t>
  </si>
  <si>
    <t>Инициативный проект "Уютное местечко"</t>
  </si>
  <si>
    <t>Инициативный проект "Посидим поокаем"</t>
  </si>
  <si>
    <t>Инициативный проект "Мир детства"</t>
  </si>
  <si>
    <t>Инициативный проект "Живи родник" - обустройство родника по ул.Карла Маркса с.Красная Горка"</t>
  </si>
  <si>
    <t>Инициативный проект "В каждой улыбке солнце"</t>
  </si>
  <si>
    <t>Инициативный проект "Озеленение – устройство газона на площади 250-летия села Кинель-Черкассы"</t>
  </si>
  <si>
    <t>Инициативный проект "Благоустройство  центрального парка "Аллея Учительской славы""</t>
  </si>
  <si>
    <t>Инициативный проект "Благоустройство кладбища в с.Сарбай"</t>
  </si>
  <si>
    <t>Инициативный проект "Благоустройство территории парка в селе Ерзовка"</t>
  </si>
  <si>
    <t>Инициативный проект "Косметический ремонт и благоустройство  памятника В.И.Ленину"</t>
  </si>
  <si>
    <t>Инициативный проект "Устройство мест отдыха родителей с детьми"</t>
  </si>
  <si>
    <t>Инициативный проект "Увеличение площади зеленых насаждений"</t>
  </si>
  <si>
    <t>Инициативный проект "Гражданское содействие в поиске пропавших людей"</t>
  </si>
  <si>
    <t>Инициативный проект "Популяризация среди детей и подростков духовных ценностей через приобщение к русской сказке вместе с детским кукольным театральным коллективом "Росток"</t>
  </si>
  <si>
    <t>Приобретение контейнеров для складирования ТБО</t>
  </si>
  <si>
    <t>Приобретение и установка деревянной горки "Теремок" на центральной площади с.Исаклы</t>
  </si>
  <si>
    <t>Муниципальная программа городского округа Чапаевск "Поддержка местных инициатив" на 2021-2023 годы</t>
  </si>
  <si>
    <t>Конкурс  общественных инициатив "Твой конструктор двора",направленных на создание комфортных условий для проживания граждан на территории Самарского внутригородского района городского округа Самара</t>
  </si>
  <si>
    <t>Твой конструктор двора</t>
  </si>
  <si>
    <t>Реализация инициативных проектов на территории Куйбышевского внутригородского района городского округа Самара</t>
  </si>
  <si>
    <t>Конкурс по отбору общественных инициатив "Твой конструктор двора"</t>
  </si>
  <si>
    <t>инициативный проект</t>
  </si>
  <si>
    <t>Инициативный проект "Дорога знанй"</t>
  </si>
  <si>
    <t>Конкурс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</si>
  <si>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Конкурс инициативных проектов на территории городского округа Похвистнево Самарской области в 2022 году, проводимый в рамках муниципальной программы «Поддержка общественных инициатив граждан и социально ориентированных некоммерческих организаций в городском округе Похвистнево» на 2016-2025 годы, утвержденной постановлением Администрации городского округа Похвистнево от 16.10.2015 №1505</t>
  </si>
  <si>
    <t>Социальные проекты инициатив местных сообществ</t>
  </si>
  <si>
    <t>Инициативные проекты (Решение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</si>
  <si>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 xml:space="preserve">«Формирование современной городской среды
на территории Лесозаводского городского округа»
на 2021-2027 годы
</t>
  </si>
  <si>
    <t>"О реализации на территории Дальнереченского муниципального района инициативного проекта "Создание условий для организации цифровой образовательной среды и условий для отдыха учащихся начальных классов в МОБУ "СОШ с.Ракитное" Дальнереченского муниципального района</t>
  </si>
  <si>
    <t>Реализация проектов инициативного бюджетирования по направлению «Местная инициатива»</t>
  </si>
  <si>
    <t xml:space="preserve">Городской конкурс на право получения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t>
  </si>
  <si>
    <t>"Реализация инициативных проектов"</t>
  </si>
  <si>
    <t xml:space="preserve">Школьный бюджет на территории Тюльганского района Оренбургской области
</t>
  </si>
  <si>
    <t>Проект «Народный бюджет» в Тоцком районе Оренбургской области</t>
  </si>
  <si>
    <t xml:space="preserve">проект «Школьный бюджет»  
</t>
  </si>
  <si>
    <t xml:space="preserve">проект
 «Народный бюджет» на территории
муниципального образования
Оренбургский район 
</t>
  </si>
  <si>
    <t>О реализации на территории Новоорского района Оренбургской области проектов Народный бюджет, основанных на местных инициативах муниципальных образований поселений Новоорского района</t>
  </si>
  <si>
    <t>Реализация проекта "Народный бюджет"</t>
  </si>
  <si>
    <t xml:space="preserve">Муниципальное образование Адамовский район Оренбургской области </t>
  </si>
  <si>
    <t>Общественно значимый проект, основанный на местных инициативах в рамках проекта "Школьный бюджет"</t>
  </si>
  <si>
    <t>Об утверждении Положения о проекте "Молодежный бюджет " в муниципальном образовании Гайский городской округ Оренбургской области</t>
  </si>
  <si>
    <t>Капитальный ремонт памятника участникам ВОВ</t>
  </si>
  <si>
    <t>"Твой школьный бюджет"</t>
  </si>
  <si>
    <t>Реализация муниципального  проекта "Твой школьный бюджет"</t>
  </si>
  <si>
    <t>Приказ Комитета образования Администрации Крестецкого муниципального района №25 от 08.02.2021 "Об утверждении положения о муниципальном проекте "Твой школьный бюджет"</t>
  </si>
  <si>
    <t>Конкурсный отбор проектов "Школьный бюджет"</t>
  </si>
  <si>
    <t>Проекты инициативного бюджетирования</t>
  </si>
  <si>
    <t>"Мой первый бюджет"</t>
  </si>
  <si>
    <t>Реализация мероприятий по ремонту линий наружного освещения на территории городского округа г.Бор, основанных на инициативах граждан</t>
  </si>
  <si>
    <t>Реализация мероприятий по приобретению и установке элементов детских и спортивных площадок на территории городского округа г.Бор, основанных на инициативах граждан</t>
  </si>
  <si>
    <t>Мероприятия по ремонту дорог на территории городского округа г.Бор, основанные на инициативах граждан</t>
  </si>
  <si>
    <t>Инициативный проект "Мини-парк "Центр притяжения"</t>
  </si>
  <si>
    <t>Поддержка местных инициатив бюджетирования</t>
  </si>
  <si>
    <t>Реализация инициативных проектов на территории муниципального образования Перовское сельское поселение</t>
  </si>
  <si>
    <t>Молодое поколение планирует бюджет</t>
  </si>
  <si>
    <t>Поддержка проектов местных инициатив в Сухобузимском районе</t>
  </si>
  <si>
    <t xml:space="preserve">О реализации инициативных проектов 
в городском округе г.Дивногорск Красноярского края
</t>
  </si>
  <si>
    <t>Установка в парке культуры и отдыха малых архитектурных форм</t>
  </si>
  <si>
    <t>Благоустройство территории прилегающей к  Мемориальному комплексу в честь земляков, погибших в годы Великой Отечественной войны</t>
  </si>
  <si>
    <t>1)Благоустройство (озеленение клумб)                       2)Благоустройство зоны ФАП в х.Свободном</t>
  </si>
  <si>
    <t xml:space="preserve">Благоустройство территории прилегающей к МКУК КДЦ "Кирпильский"ул. Красная,45;
</t>
  </si>
  <si>
    <t>"Озеленение части территории по ул. Красной в х. Безлесном Ленинского сельского поселения Усть-Лабинского района"
"Благоустройство территории ул. Пролетарской в х. Безлесном Ленинского сельского поселения Усть-Лабинского района"</t>
  </si>
  <si>
    <t>Благоустройство общественной территории, расположенной по адресу: Российская Федерация, Краснодарский край, Усть-Лабинский район, п. Двубратский, ул. Мостовая</t>
  </si>
  <si>
    <t>1."Благоустройство детско-спортивной площадки клуб хут.Красного, по адресу: Краснодарский край,
Тимашевский район, Роговское сельское поселение, хут.Красный, ул.Длинная, З4".  2.Устройство парковочных карманов на перекрестке ул.Батурина и ул.Свободной и на ул.Красной 168, с участием внебюджетных средств.</t>
  </si>
  <si>
    <t>Мероприятия направленные на поддержку местных инициатив</t>
  </si>
  <si>
    <t>"Устройство скейт-площадки по адресу: Краснодарский край, Темрюкский район, пос. Волна ул. Ленина д. 10/1" 1 этап</t>
  </si>
  <si>
    <t>Благоустройство общественной территории в поселке Сенной</t>
  </si>
  <si>
    <t>"Обустройство уличного освещения в п.Стрелка по ул.Школьная и ул.О.Кошевого"                                                              "Благоустройство  сквера х.Белый"</t>
  </si>
  <si>
    <t>Благоустойство территории, текущий ремонт ограждения парка по ул.Таманской дивизии в ст.Запорожской</t>
  </si>
  <si>
    <t>Устройство остановочных комплексов по ул.Красной</t>
  </si>
  <si>
    <t>Благоустройство стадиона в поселке Приморский</t>
  </si>
  <si>
    <t>инициативный проект "Чистая вода"</t>
  </si>
  <si>
    <t>Детская площадка на ул.Запорожской,д62а, ст.Северской</t>
  </si>
  <si>
    <t>постановление администрации Лабинского городского поселения Лабинского района от 18.04.2022 г. № 391 "Об объявлении конкурса «Лучшая инициатива органов территориального общественного самоуправления» в Лабинском городском поселения Лабинского района в 2022 году</t>
  </si>
  <si>
    <t>Реализация инициативных проектов в Безводном сельском поселении Курганинского района</t>
  </si>
  <si>
    <t>Реализация инициативных проектов в Курганинском городском поселении Курганинского района</t>
  </si>
  <si>
    <t>Реализация инициативных проектов в Родниковском сельском поселении Курганинского района</t>
  </si>
  <si>
    <t>Реализация инициативных проектов в Новоалексеевском сельском поселении Курганинского района</t>
  </si>
  <si>
    <t>Порядок реализации инициатативных проектов на территории муниципального образования город Краснодар</t>
  </si>
  <si>
    <t>Инициативный проект: "Установка  детской площадки на территории «Парк станица Новомышастовской по ул. Колхозная, 9Ж»</t>
  </si>
  <si>
    <t>Инициативный проект "Ремонт дороги в переулке Дружбы в станице Полтавской"</t>
  </si>
  <si>
    <t>Реализация инициативных проектов в Сергиевском сельском поселении Кореновского района на 2022 год</t>
  </si>
  <si>
    <t>Реализация 
инициативных проектов в Раздольненском 
сельском поселении Кореновского района в 2022 году</t>
  </si>
  <si>
    <t xml:space="preserve">Реализация инициативных проектов в Журавском сельском поселении Кореновского района на 2022 год
</t>
  </si>
  <si>
    <t>"Развитие инициативного бюджетирования в Бураковском сельском поселении Кореновского района на 2022 год"</t>
  </si>
  <si>
    <t>Постановление №22 от 25.03.2022 года «Реализация инициативных проектов в Братковском сельском поселении Кореновского района» на 2022 года</t>
  </si>
  <si>
    <t xml:space="preserve">«Развитие жилищно-коммунального хозяйства 
Челбасского сельского поселения Каневского района»  
</t>
  </si>
  <si>
    <t>Обустройство доски объявления по ул. Кооперативной ст.Привольной</t>
  </si>
  <si>
    <t>Обустройство автобусной остановки по ул.60 лет ВЛКСМ в ст.Привольной</t>
  </si>
  <si>
    <t>Строительство распределительного газопровода низкого давления по ул. Новоселов, пер.Романовский, ул. Ламанова в ст.Кавказской Кавказского района Краснодарского края ( решение Совета Кавказского сельского поселения Кавказского района от 08.02.2019 года №4 "О передаче Кавказскому сельскому поселению Кавказского района   проектной документации объекта газификации"); строительство распределительного газопровода низкого давления по пер. Пугачева от ул. Р. Люксембург до ул. Дзержинского в ст. Кавказской Краснодарского края (решение Совета Кавказского сельского поселения Кавказского района от 30.01.2020 года №3 "О передаче Кавказскому сельскому поселению Кавказского района проектной документации ")</t>
  </si>
  <si>
    <t>Постановление Рязанского сельского поселения от 30.09.2021 №82 Об утверждении муниципальной программы "Дорожная деятельность в отношении дорог общего пользования на 2022-2027 годы"</t>
  </si>
  <si>
    <t xml:space="preserve">1)О внесении изменений в постановление администрации Первомайского сельского поселения Белореченского района от 26 января 2022 года №17 «Об утверждении ведомственной целевой программы Первомайского сельского поселения Белореченского района «Благоустройство»; 2)Об утверждении ведомственной целевой программы Первомайского сельского поселения Белореченского района «Дорожное хозяйство» , 3) «Об
утверждении Положения о порядке реализации инициативных проектов на
территории Первомайского сельского поселения»   </t>
  </si>
  <si>
    <t>Отсыпка, грейдирование части улицы Гагарины и освещение ул.Речной в станице Черниговской Черниговского с/п</t>
  </si>
  <si>
    <t>Положение о порядке реализации инициативных проектов в МО г. Армавир</t>
  </si>
  <si>
    <t>Поддержка местных инициатив граждан по вопросам развития территорий</t>
  </si>
  <si>
    <t>постановление главы администрации Губернатора Краснодарского края от 6 февраля 2020 г. № 70 "О краевом конкурсе по отбору проектов местных инициатив"</t>
  </si>
  <si>
    <t>"Инициативный проект"</t>
  </si>
  <si>
    <t xml:space="preserve">«НАРОДНЫЕ ИНИЦИАТИВЫ» (Постановление Правительства РК от 23.04.2021 № 211
"О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 </t>
  </si>
  <si>
    <t xml:space="preserve">Народные инициативы </t>
  </si>
  <si>
    <t xml:space="preserve">"Народные инициативы" </t>
  </si>
  <si>
    <t>"Народные инициативы"</t>
  </si>
  <si>
    <t xml:space="preserve">НАРОДНЫЕ ИНИЦИАТИВЫ </t>
  </si>
  <si>
    <t>Постановление Правительства Республики Коми от 23.04.2021 г. № 211</t>
  </si>
  <si>
    <t>Постановление Правительства Республики Коми от 23 апреля 2021 г. №211 " О грантах на поощрение муниципальных образований муниципальных районов, муниципальных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также на развитие народных инициатив в муниципальных образованиях в Республике Коми"</t>
  </si>
  <si>
    <t>Инициативные проекты в приоритетном направлении "Мероприятия, направленные на развитие гражданского общества"</t>
  </si>
  <si>
    <t>Конкурс проектов по развитию социальных инициатив "Добрые дела - доброму городу"</t>
  </si>
  <si>
    <t>Программа муниципального образования «Гвардейский муниципальный округ Калининградской области» «Развитие гражданского общества»</t>
  </si>
  <si>
    <t>Ведомственная целевая программа муниципального образования "Светловский городской округ" Калининградской области "Мой двор"</t>
  </si>
  <si>
    <t xml:space="preserve">Проект "Народный бюджет".
Проект "Народный бюджет-ТОС".
Проект "Городские управы".
В настоящее время трансформация проектов в Программы развития округов с соответствующей подготовкой муниципальных правовых актов. </t>
  </si>
  <si>
    <t>«Живая    нить    земли    родной» по благоустройству природного источника (родника) в    микрорайоне     Дечинский города Вязники</t>
  </si>
  <si>
    <t>Ремонт автомобильной дороги ул. Шкурина, п. Муромцево Судогодского района с организацией съезда (район дома №17)</t>
  </si>
  <si>
    <t>Порядок предоставления и распределения иных межбюджетных трансфертов на сбалансированность местных бюджетов бюджетам муниципальных образований (поселений) Гусь-Хрустального района в целях стимулирования органов местного самоуправления, способствующих развитию гражданского общества через добровольные пожертвования</t>
  </si>
  <si>
    <t>Поддержка местных инициатив граждан на территории Навлинского района</t>
  </si>
  <si>
    <t>Развитие общественного самоуправления в Ровеньском районе</t>
  </si>
  <si>
    <t>О проведении конкурса на лучший социально значимый проект территориального общественного самоуправления</t>
  </si>
  <si>
    <t>Проведении муниципального конкурса на предоставление грантов на  благоустройство сел среди старост сельских населенных пунктов</t>
  </si>
  <si>
    <t>Проведение муниципального конкурса на предоставление грантов на проекты по благоустройству территориальных общественных самоуправлений</t>
  </si>
  <si>
    <t xml:space="preserve">Поддержка  социально-значимых проектов, реализуемых территориальными общественными самоуправлениями в муниципальных образованиях Вейделевского района </t>
  </si>
  <si>
    <t>Муниципальный проект инициативного бюджетирования «Наше село»</t>
  </si>
  <si>
    <t>Муниципальный проект инициативного бюджетирования "Наше село"</t>
  </si>
  <si>
    <t>Проект "Инициативные проекты граждан"</t>
  </si>
  <si>
    <t>Проект "Бюджет твоих возможностей"</t>
  </si>
  <si>
    <t>В официальных документах (распоряжениях и постановлениях местных органов власти, и иных нормативно-правовых актах)</t>
  </si>
  <si>
    <t>Красноселькупский район</t>
  </si>
  <si>
    <t>Пуровский район</t>
  </si>
  <si>
    <t>Тазовский район</t>
  </si>
  <si>
    <t>Ямальский район</t>
  </si>
  <si>
    <t>Приуральский район</t>
  </si>
  <si>
    <t>Шурышкарский район</t>
  </si>
  <si>
    <t>Надымский район</t>
  </si>
  <si>
    <t>город Губкинский</t>
  </si>
  <si>
    <t>город Муравленко</t>
  </si>
  <si>
    <t>город Ноябрьск</t>
  </si>
  <si>
    <t>город Новый Уренгой</t>
  </si>
  <si>
    <t>город Лабытнанги</t>
  </si>
  <si>
    <t>город Салехард</t>
  </si>
  <si>
    <t>Ханты-Мансийский район</t>
  </si>
  <si>
    <t>Нижневартовский район</t>
  </si>
  <si>
    <t>Сургутский муниципальный район Ханты-Мансийского автономного округа – Югры</t>
  </si>
  <si>
    <t>г. Нефтеюганск</t>
  </si>
  <si>
    <t>сельское поселение Леуши</t>
  </si>
  <si>
    <t>Шугур "Народный бюджет"</t>
  </si>
  <si>
    <t>Городское поселение Куминский</t>
  </si>
  <si>
    <t>Городское поселение Мортка</t>
  </si>
  <si>
    <t>городское поселение Луговой Кондинский район</t>
  </si>
  <si>
    <t>городское поселение Кондинское</t>
  </si>
  <si>
    <t>городское поселение Междуреченский</t>
  </si>
  <si>
    <t>Кондинский район</t>
  </si>
  <si>
    <t>Муниципальное образование город Нижневартовск</t>
  </si>
  <si>
    <t>городской округ Сургут</t>
  </si>
  <si>
    <t>Березовский район</t>
  </si>
  <si>
    <t>Нефтеюганский район</t>
  </si>
  <si>
    <t>Город Лангепас</t>
  </si>
  <si>
    <t>городской округ Мегион Ханты-Мансийского автономного округа - Югры</t>
  </si>
  <si>
    <t>Урай</t>
  </si>
  <si>
    <t>Городской округ "Город Хабаровск"</t>
  </si>
  <si>
    <t>Городское поселение "Город Амурск" Амурского муниципального района Хабаровского края</t>
  </si>
  <si>
    <t>МО"Муниципальный округ Завьяловский район Удмуртской Республики"</t>
  </si>
  <si>
    <t>город Тюмень</t>
  </si>
  <si>
    <t>г. Уварово</t>
  </si>
  <si>
    <t>Труновский муниципальный округ Ставропольского края</t>
  </si>
  <si>
    <t>Степновский муниципальный округ</t>
  </si>
  <si>
    <t>город-курорт Пятигорск</t>
  </si>
  <si>
    <t>Предгорный муниципальный округ Ставропольского края</t>
  </si>
  <si>
    <t>Петровский городской округ Ставропольского края</t>
  </si>
  <si>
    <t>Новоселицкий муниципальный округ</t>
  </si>
  <si>
    <t>Новоалександровский городской округ</t>
  </si>
  <si>
    <t>Нефтекумский городской округ Ставропольского края</t>
  </si>
  <si>
    <t>город Невинномысск</t>
  </si>
  <si>
    <t>городской округ город Лермонтов</t>
  </si>
  <si>
    <t>Курский муниципальный округ</t>
  </si>
  <si>
    <t>Красногвардейский муниципальный округ Ставропольского края</t>
  </si>
  <si>
    <t>Кочубеевский муниципальный округ Ставропольского края</t>
  </si>
  <si>
    <t>город-курорт Кисловодск</t>
  </si>
  <si>
    <t>Кировский городской округ</t>
  </si>
  <si>
    <t>Ипатовский городской округ Ставропольского края</t>
  </si>
  <si>
    <t>Изобильненский городской округ</t>
  </si>
  <si>
    <t>Грачевский муниципальный округ</t>
  </si>
  <si>
    <t>Георгиевский городской округ Ставропольского края</t>
  </si>
  <si>
    <t>Благодарненский городской округ Ставропольского края</t>
  </si>
  <si>
    <t>Апанасенковский муниципальный округ</t>
  </si>
  <si>
    <t>Андроповский муниципальный округ</t>
  </si>
  <si>
    <t>Александровский муниципальный округ</t>
  </si>
  <si>
    <t>городской округ Ревда</t>
  </si>
  <si>
    <t>городской округ Красноуральск</t>
  </si>
  <si>
    <t>Качканарский городской округ</t>
  </si>
  <si>
    <t>муниципальное образование "город Екатеринбург"</t>
  </si>
  <si>
    <t>Асбестовский городской округ</t>
  </si>
  <si>
    <t>муниципальное образование Алапаевское</t>
  </si>
  <si>
    <t>Сосновоборский городской округ</t>
  </si>
  <si>
    <t>муниципальный район Шенталинский Самарской области</t>
  </si>
  <si>
    <t>сельское поселение Старопохвистнево муниципального района Похвистневский Самарской области</t>
  </si>
  <si>
    <t>сельское поселение Малое Ибряйкино муниципального района Похвистневский Самарской области</t>
  </si>
  <si>
    <t>сельское поселение Красные Ключи муниципального района Похвистневский Самарской области</t>
  </si>
  <si>
    <t>Сельское поселение Четыровка муниципального райна Кошкинский Самарской области</t>
  </si>
  <si>
    <t>сельское поселение Малая Малышевка муниципального района Кинельский</t>
  </si>
  <si>
    <t>Сельское поселение Черновка муниципального района Кинель-Черкасский Самарской области</t>
  </si>
  <si>
    <t xml:space="preserve">Сельское поселение Тимашево муниципального района Кинель-Черкасский Самарской области </t>
  </si>
  <si>
    <t>сельское поселение Садгород муниципального района Кинель-Черкасский Самарской области</t>
  </si>
  <si>
    <t>Сельское поселение Подгорное муниципального района Кинель-Черкасский Самарской области</t>
  </si>
  <si>
    <t>Сельское поселение Новые Ключи муниципального района Кинель-Черкасский Самарской области</t>
  </si>
  <si>
    <t>Сельское поселение Муханово муниципального района Кинель-Черкасский Самарской области</t>
  </si>
  <si>
    <t>Сельское поселение Кротовка муниципального района Кинель-Черкасский Самарской области</t>
  </si>
  <si>
    <t xml:space="preserve">Сельское поселение Красная Горка  муниципального района Кинель-Черкасский Самарской области </t>
  </si>
  <si>
    <t>Сельское поселение Кинель-Черкассы муниципального района Кинель-Черкасский Самарской области</t>
  </si>
  <si>
    <t>сельское поселение Кинель-Черкассы муниципального района Кинель-Черкасский Самарской области</t>
  </si>
  <si>
    <t>Сельское поселение Кабановка муниципального района Кинель-Черкасский Самарской области</t>
  </si>
  <si>
    <t xml:space="preserve">Сельское поселение Ерзовка муниципального района Кинель-Черкасский </t>
  </si>
  <si>
    <t>сельское поселение Березняки муниципального района Кинель-Черкасский Самарской области</t>
  </si>
  <si>
    <t>сельское поселение Александровка муниципального района Кинель-Черкасский Самарской области</t>
  </si>
  <si>
    <t>Муниципальный район Кинель-Черкасский Самарской области</t>
  </si>
  <si>
    <t>сельское поселение Исаклы муниципального района Исаклинский Самарской области</t>
  </si>
  <si>
    <t>сельское поселение Большое Микушкино муниципального района Исаклинский Самарской области</t>
  </si>
  <si>
    <t>городской округ Чапаевск Самарской области</t>
  </si>
  <si>
    <t>городской округ Тольятти Самарской области</t>
  </si>
  <si>
    <t>Советский внутригородской район городского округа Самара</t>
  </si>
  <si>
    <t>Самарский внутригородской район городского округа Самара Самарской области</t>
  </si>
  <si>
    <t>внутригородской район Промышленный городского округа Самара Самарской области</t>
  </si>
  <si>
    <t>внутригородской район  Куйбышевский городского округа Самара Самарской области</t>
  </si>
  <si>
    <t>внутригородской район Красноглинский  городского округа Самара Самарской области</t>
  </si>
  <si>
    <t>внутригородской район Красноглинский городского округа Самара Самарской области</t>
  </si>
  <si>
    <t>внутригородской район Кировский городского округа Самара Самарской области</t>
  </si>
  <si>
    <t>Городской округ Похвистнево Самарской области</t>
  </si>
  <si>
    <t>Городской округ Отрадный Самарской области</t>
  </si>
  <si>
    <t>Муниципальное образование "Октябрьский район"</t>
  </si>
  <si>
    <t>Уссурийский городской округ</t>
  </si>
  <si>
    <t>Лесозаводский городской округ</t>
  </si>
  <si>
    <t>Дальнереченский муниципальный район</t>
  </si>
  <si>
    <t>Городской округ Спасск-Дальний</t>
  </si>
  <si>
    <t>Артемовский городской округ</t>
  </si>
  <si>
    <t>город Пермь</t>
  </si>
  <si>
    <t>Городской округ- город Кудымкар</t>
  </si>
  <si>
    <t>"Город Березники" Пермский край</t>
  </si>
  <si>
    <t>Верещагинский городской округ</t>
  </si>
  <si>
    <t>Пенза</t>
  </si>
  <si>
    <t>Бакаевский сельсовет Северного района</t>
  </si>
  <si>
    <t>Муниципальное образование Курманаевский сельсовет Курманаевского района Оренбургской области</t>
  </si>
  <si>
    <t>Муниципальное образование Кутушинский сельсовет Курманаевского района Оренбургской области</t>
  </si>
  <si>
    <t>Тюльганский район</t>
  </si>
  <si>
    <t>Тоцкий район</t>
  </si>
  <si>
    <t>Ташлинский район</t>
  </si>
  <si>
    <t>Сакмарский район</t>
  </si>
  <si>
    <t>Первомайский район</t>
  </si>
  <si>
    <t>Оренбургский район</t>
  </si>
  <si>
    <t xml:space="preserve">Новоорский район </t>
  </si>
  <si>
    <t>Красногвардейский район</t>
  </si>
  <si>
    <t>Грачевский район</t>
  </si>
  <si>
    <t>Бузулукский район</t>
  </si>
  <si>
    <t>Бугурусланский район</t>
  </si>
  <si>
    <t>Асекеевский район</t>
  </si>
  <si>
    <t>Александровский район</t>
  </si>
  <si>
    <t>Акбулакский район</t>
  </si>
  <si>
    <t>Адамовский</t>
  </si>
  <si>
    <t>Адамовский район</t>
  </si>
  <si>
    <t>Муниципальное образование Ясненский городской округ</t>
  </si>
  <si>
    <t>Сорочинский городской округ</t>
  </si>
  <si>
    <t>город Оренбург</t>
  </si>
  <si>
    <t>город Медногорск</t>
  </si>
  <si>
    <t>Гайский городской округ</t>
  </si>
  <si>
    <t>город Бузулук</t>
  </si>
  <si>
    <t>городской округ город Омск</t>
  </si>
  <si>
    <t>Кормиловский муниципальный район</t>
  </si>
  <si>
    <t>Тевризский муниципальный район</t>
  </si>
  <si>
    <t>город Бугуруслан</t>
  </si>
  <si>
    <t>Окуловский муниципальный район</t>
  </si>
  <si>
    <t>Любытинский муниципальный район</t>
  </si>
  <si>
    <t>Крестецкий муниципальный района</t>
  </si>
  <si>
    <t>Городской округ Великий Новгород</t>
  </si>
  <si>
    <t>Боровичский район</t>
  </si>
  <si>
    <t>городской округ Семеновский</t>
  </si>
  <si>
    <t>Кстовский муниципальный округ</t>
  </si>
  <si>
    <t>Городской округ город Бор</t>
  </si>
  <si>
    <t>Богородский муниципальный округ</t>
  </si>
  <si>
    <t>городской окргуг город Дзержинск</t>
  </si>
  <si>
    <t>Омсукчанский городской округ</t>
  </si>
  <si>
    <t>Тенькинский городской округ Магаданской области</t>
  </si>
  <si>
    <t>Городской округ Джанкой Республики Крым</t>
  </si>
  <si>
    <t>Перовское сельское поселение Симферопольского района Республики Крым</t>
  </si>
  <si>
    <t>Далматовский район</t>
  </si>
  <si>
    <t>Сухобузимский район</t>
  </si>
  <si>
    <t>Северо-Енисейский район</t>
  </si>
  <si>
    <t>город Красноярск</t>
  </si>
  <si>
    <t>город Дивногорск</t>
  </si>
  <si>
    <t>Гривенское с.п.Калининского района</t>
  </si>
  <si>
    <t>Старощербиновское сельское поселение Щербиновского района</t>
  </si>
  <si>
    <t>Екатериновское сельское поселение Щербиновского района</t>
  </si>
  <si>
    <t>Тенгинское сельское поселение</t>
  </si>
  <si>
    <t>Железное сельское поселение</t>
  </si>
  <si>
    <t>Кирпильское сельское поселение</t>
  </si>
  <si>
    <t>Ленинское сельское поселение</t>
  </si>
  <si>
    <t>Двубратское сельское поселение</t>
  </si>
  <si>
    <t>Урупское сельское поселение Успенского района</t>
  </si>
  <si>
    <t>Роговское сельское поселение Тимашевского района</t>
  </si>
  <si>
    <t>Незаймановское сельское поселение Тимашевского района</t>
  </si>
  <si>
    <t xml:space="preserve">Таманское сельское поселение Темрюкский район </t>
  </si>
  <si>
    <t>Сенное сельское поселение Темрюкский район</t>
  </si>
  <si>
    <t xml:space="preserve">Краснострельское сельское поселение Темрюкского района </t>
  </si>
  <si>
    <t xml:space="preserve">Запорожское сельское поселение Темрюкского района </t>
  </si>
  <si>
    <t>Голубицкое сельское поселение Темрюкского района</t>
  </si>
  <si>
    <t xml:space="preserve">Темрюкский район </t>
  </si>
  <si>
    <t>Муниципальное образования городской округ город-курорт Сочи Краснодарского края</t>
  </si>
  <si>
    <t>Григорьевское сельское поселение</t>
  </si>
  <si>
    <t>Львовское сельское поселение Северского района</t>
  </si>
  <si>
    <t>Афипское городское поселение Северского района</t>
  </si>
  <si>
    <t>Северское сельское поселение</t>
  </si>
  <si>
    <t>Новороссийск</t>
  </si>
  <si>
    <t>Лабинское городское поселения Лабинского района</t>
  </si>
  <si>
    <t>Константиновское сельское поселение</t>
  </si>
  <si>
    <t>Октябрьское сельское поселение Курганинского района</t>
  </si>
  <si>
    <t>Родниковское сельское поселение Курганинского района</t>
  </si>
  <si>
    <t>Курганинский район</t>
  </si>
  <si>
    <t>Крымский район Пригородное сельское поселение</t>
  </si>
  <si>
    <t>город Краснодар</t>
  </si>
  <si>
    <t>Новомышастовское сельское поселениеКрасноармейского района</t>
  </si>
  <si>
    <t>Красноармейский район Октябрьское сельское поселение</t>
  </si>
  <si>
    <t>Ивановское сельское поселение Красноармейского района</t>
  </si>
  <si>
    <t>Полтавское сельское поселение Красноармейского района</t>
  </si>
  <si>
    <t>Кореновский район</t>
  </si>
  <si>
    <t>Раздольненское сельское поселение Кореновского района</t>
  </si>
  <si>
    <t>Пролетарское сельское поселения Кореновского района</t>
  </si>
  <si>
    <t>Платнировское сельское поселение Кореновского района</t>
  </si>
  <si>
    <t>Новоберезанское сельское поселение Кореновского района</t>
  </si>
  <si>
    <t>Журавское сельское поселение Кореновского района</t>
  </si>
  <si>
    <t>Дядьковское сельское поселение Кореновского района</t>
  </si>
  <si>
    <t>Бураковское сельское поселение Кореновского района</t>
  </si>
  <si>
    <t>Братковское сельское поселение Кореновского района</t>
  </si>
  <si>
    <t>Кореновский</t>
  </si>
  <si>
    <t>Челбасское сельское поселение Каневского района</t>
  </si>
  <si>
    <t>Привольненское СП Каневского района</t>
  </si>
  <si>
    <t>Кавказское сельское поселения</t>
  </si>
  <si>
    <t>Белореченский район Рязанское сельское поселение</t>
  </si>
  <si>
    <t>Пшехское сельское поселение Белореченского района</t>
  </si>
  <si>
    <t>Южненское сельское поселение Белореченского района</t>
  </si>
  <si>
    <t>Белореченский район Первомайское сельское поселение</t>
  </si>
  <si>
    <t>Черниговское сельское поселение</t>
  </si>
  <si>
    <t>Новопавловское сельское поселение Белоглинского района</t>
  </si>
  <si>
    <t xml:space="preserve">МО г.Армавир </t>
  </si>
  <si>
    <t>Ярославское сельское поселение Мостовского района</t>
  </si>
  <si>
    <t>Унароковское сельское поселение Мостовского района</t>
  </si>
  <si>
    <t>Махошевское сельское поселение Мостовского района</t>
  </si>
  <si>
    <t>Бесленеевское сельское поселение Моствского района</t>
  </si>
  <si>
    <t>МО МР "Троицко-Печорский"</t>
  </si>
  <si>
    <t>Муниципальный район "Удорский"</t>
  </si>
  <si>
    <t>МО ГО "Усинск"</t>
  </si>
  <si>
    <t>Усть-Цилемский район</t>
  </si>
  <si>
    <t>МО МР "Усть-Вымский"</t>
  </si>
  <si>
    <t>МР "Усть-Куломский"</t>
  </si>
  <si>
    <t>МО ГО "Сыктывкар"</t>
  </si>
  <si>
    <t>Муниципальный район «Сыктывдинский»</t>
  </si>
  <si>
    <t>Муниципальный район "Сысольский"</t>
  </si>
  <si>
    <t>Муниципальное образование муниципальный район "Сосногорск"</t>
  </si>
  <si>
    <t>МР "Печора"</t>
  </si>
  <si>
    <t>Муниципальный район "Прилузский" Республики Коми</t>
  </si>
  <si>
    <t>МО ГО "Воркута"</t>
  </si>
  <si>
    <t>МО МР "Койгородский"</t>
  </si>
  <si>
    <t>муниципальное образование муниципальный район "Корткеросский"</t>
  </si>
  <si>
    <t>МО МР "Княжпогостский"</t>
  </si>
  <si>
    <t>Муниципальное образование городского округа "Инта"</t>
  </si>
  <si>
    <t>МО МР "Ижемский"</t>
  </si>
  <si>
    <t>муниципальное образование "Город Киров"</t>
  </si>
  <si>
    <t>Муниципальное образование Афанасьевский муниципальный район Кировской области</t>
  </si>
  <si>
    <t>Муниципальное образование "Городское поселение "Город Ермолино"</t>
  </si>
  <si>
    <t>город Калуга</t>
  </si>
  <si>
    <t>Сельское поселение "Село Совхоз "Боровский"</t>
  </si>
  <si>
    <t>сельское поселение "Поселок Детчино"</t>
  </si>
  <si>
    <t>Гвардейский муниципальный округ</t>
  </si>
  <si>
    <t>Муниципальное образование "Светловский городской округ" Калининградской области</t>
  </si>
  <si>
    <t>Городской округ город Череповец Вологодской области</t>
  </si>
  <si>
    <t>Муниципальное образование город Вязники</t>
  </si>
  <si>
    <t>Судогодскимй район</t>
  </si>
  <si>
    <t>Гусь-Хрустальный район (муниципальный район) Владимирской области</t>
  </si>
  <si>
    <t>Навлинский муниципальный район</t>
  </si>
  <si>
    <t>Яковлевский городской округ</t>
  </si>
  <si>
    <t>Муниципальный район "Ровеньский район"</t>
  </si>
  <si>
    <t>Губкинский городской округ</t>
  </si>
  <si>
    <t>Муниципальный район "Волоконовский район"</t>
  </si>
  <si>
    <t>муниципальный район "Вейделевский район"</t>
  </si>
  <si>
    <t>Муниципальный район Стерлибашевский район Республики Башкортостан</t>
  </si>
  <si>
    <t>Муниципальный район Миякинский район Республики Башкортостан</t>
  </si>
  <si>
    <t>Муниципальный район Мелеузовский район Республики Башкортостан</t>
  </si>
  <si>
    <t>Муниципальный район Караидельский район Республики Башкортостан</t>
  </si>
  <si>
    <t>Городской округ "Город Архангельск"</t>
  </si>
  <si>
    <t>Муниципальное образование (наименование)</t>
  </si>
  <si>
    <t>0.2.</t>
  </si>
  <si>
    <t>Субъект РФ, муниципальное образование</t>
  </si>
  <si>
    <t xml:space="preserve">КОММЕНТ </t>
  </si>
  <si>
    <t>Параметры 2-го уровня</t>
  </si>
  <si>
    <t>Параметры 1-го уровня</t>
  </si>
  <si>
    <t>Муниципальное образование</t>
  </si>
  <si>
    <t>Тип переменной</t>
  </si>
  <si>
    <t>Переменные</t>
  </si>
  <si>
    <t>Формат</t>
  </si>
  <si>
    <t>Связь</t>
  </si>
  <si>
    <t>.</t>
  </si>
  <si>
    <t>1.2</t>
  </si>
  <si>
    <t xml:space="preserve">Субъекты, предоставившие анкеты, признанные релевантными для анализа данных за исследуемый период </t>
  </si>
  <si>
    <t>да /  --</t>
  </si>
  <si>
    <t>расчет</t>
  </si>
  <si>
    <t>1.3</t>
  </si>
  <si>
    <t>Общее количество практик (ИБ и смежных) в субъекте, реализуемых на муниципальном и субъектовом уровнях</t>
  </si>
  <si>
    <t>кол-во практик</t>
  </si>
  <si>
    <t>1.5</t>
  </si>
  <si>
    <t>связано</t>
  </si>
  <si>
    <t>1.7</t>
  </si>
  <si>
    <t>БП</t>
  </si>
  <si>
    <t>Продолжительность реализации</t>
  </si>
  <si>
    <t>5.11</t>
  </si>
  <si>
    <t>Год начала реализации ИБ в субъекте РФ</t>
  </si>
  <si>
    <t>связано, вручную; (выбирается наиболее ранняя дата)</t>
  </si>
  <si>
    <t>АП</t>
  </si>
  <si>
    <t>Длительность цикла реализации практики</t>
  </si>
  <si>
    <t>6.12</t>
  </si>
  <si>
    <t>Средняя длительность цикла реализации практики (в днях)</t>
  </si>
  <si>
    <t>кол-во дней</t>
  </si>
  <si>
    <t>связано, расчет (сумма дней/кол-во практик)</t>
  </si>
  <si>
    <t xml:space="preserve">Качество сопровождения процесса развития ИБ </t>
  </si>
  <si>
    <t>7.15</t>
  </si>
  <si>
    <t>связано вручную</t>
  </si>
  <si>
    <t>7.16</t>
  </si>
  <si>
    <t>Количество вовлеченных в реализацию практик консультантов по вопросам инициативного бюджетирования / Общее количество вовлеченных консультантов (РФ)</t>
  </si>
  <si>
    <t>кол-во консультантов</t>
  </si>
  <si>
    <t>7.18</t>
  </si>
  <si>
    <t>Количество вовлеченных в администрирование практик сотрудников органов власти / Общее количество вовлеченных сотрудников органов власти (РФ)</t>
  </si>
  <si>
    <t>кол-во сотрудников органов власти</t>
  </si>
  <si>
    <t>Процедуры конкурсного отбора</t>
  </si>
  <si>
    <t>30.26</t>
  </si>
  <si>
    <t>30.27</t>
  </si>
  <si>
    <t>Процедуры сбора проектных предложений: Очные встречи и обсуждения граждан</t>
  </si>
  <si>
    <t>30.28</t>
  </si>
  <si>
    <t>Процедуры сбора проектных предложений: Ящики для сбора идей</t>
  </si>
  <si>
    <t>30.29</t>
  </si>
  <si>
    <t>Процедуры сбора проектных предложений: Подача проектных идей (предложений) через интернет</t>
  </si>
  <si>
    <t>30.30</t>
  </si>
  <si>
    <t>Процедуры сбора проектных предложений: Общественные приемные</t>
  </si>
  <si>
    <t>30.31</t>
  </si>
  <si>
    <t>Процедуры сбора проектных предложений: Иной механизм</t>
  </si>
  <si>
    <t>31.33</t>
  </si>
  <si>
    <t>человек</t>
  </si>
  <si>
    <t>табл</t>
  </si>
  <si>
    <t>31.34</t>
  </si>
  <si>
    <t>Число граждан, принявших участие в процедуре сбора проектных предложений:  Очные встречи и обсуждения граждан</t>
  </si>
  <si>
    <t>31.35</t>
  </si>
  <si>
    <t>Число граждан, принявших участие в процедуре сбора проектных предложений: Ящики для сбора идей</t>
  </si>
  <si>
    <t>31.36</t>
  </si>
  <si>
    <t>Число граждан, принявших участие в процедуре сбора проектных предложений: Подача проектных идей (предложений) через интернет</t>
  </si>
  <si>
    <t>31.37</t>
  </si>
  <si>
    <t>Число граждан, принявших участие в процедуре сбора проектных предложений: Общественные приемные</t>
  </si>
  <si>
    <t>31.38</t>
  </si>
  <si>
    <t>Число граждан, принявших участие в процедуре сбора проектных предложений: Иной механизм</t>
  </si>
  <si>
    <t>31.39</t>
  </si>
  <si>
    <t>Суммарное число граждан, принявших участие в процедурах сбора проектных предложений</t>
  </si>
  <si>
    <t xml:space="preserve">Механизм отбора проектов </t>
  </si>
  <si>
    <t>8.18</t>
  </si>
  <si>
    <t>8.19</t>
  </si>
  <si>
    <t>Процедуры конкурсного отбора: Очное голосование на собраниях и встречах</t>
  </si>
  <si>
    <t>8.20</t>
  </si>
  <si>
    <t>Процедуры конкурсного отбора: Референдум</t>
  </si>
  <si>
    <t>8.21</t>
  </si>
  <si>
    <t>Процедуры конкурсного отбора: Комиссии граждан</t>
  </si>
  <si>
    <t>8.25</t>
  </si>
  <si>
    <t>Процедуры конкурсного отбора: Комиссии представителей власти</t>
  </si>
  <si>
    <t>8.23</t>
  </si>
  <si>
    <t xml:space="preserve">Процедуры конкурсного отбора: Иной механизм </t>
  </si>
  <si>
    <t>8.24</t>
  </si>
  <si>
    <t>Число механизмов отбора проектов / Среднее</t>
  </si>
  <si>
    <t>кол-во механизмов</t>
  </si>
  <si>
    <t>32.25</t>
  </si>
  <si>
    <t>32.26</t>
  </si>
  <si>
    <t>Число граждан, участвовавших в процедуре конкурсного отбора: Очное голосование на собраниях и встречах</t>
  </si>
  <si>
    <t>32.27</t>
  </si>
  <si>
    <t>Число граждан, участвовавших в процедуре конкурсного отбора: Референдум</t>
  </si>
  <si>
    <t>32.28</t>
  </si>
  <si>
    <t>Число граждан, участвовавших в процедуре конкурсного отбора: Комиссии граждан</t>
  </si>
  <si>
    <t>32.29</t>
  </si>
  <si>
    <t>Число граждан, участвовавших в процедуре конкурсного отбора: Комиссии представителей власти</t>
  </si>
  <si>
    <t>32.30</t>
  </si>
  <si>
    <t>32.31</t>
  </si>
  <si>
    <t xml:space="preserve">Число граждан, участвовавших в процедуре конкурсного отбора: Иной механизм </t>
  </si>
  <si>
    <t xml:space="preserve">Общая стоимость проектов </t>
  </si>
  <si>
    <t>9.25</t>
  </si>
  <si>
    <t>Общий объем средств, направленных из различных источников на реализацию проектов (млн. руб.)</t>
  </si>
  <si>
    <t>млн. руб.</t>
  </si>
  <si>
    <t>9.26</t>
  </si>
  <si>
    <t>9.27</t>
  </si>
  <si>
    <t>- бюджетные ассигнования на реализацию проектов из бюджета субъекта РФ</t>
  </si>
  <si>
    <t>10.26</t>
  </si>
  <si>
    <t>10.27</t>
  </si>
  <si>
    <t>расчет (не анкета!)</t>
  </si>
  <si>
    <t>- бюджетные ассигнования из бюджетов муниципальных образований</t>
  </si>
  <si>
    <t>11.28</t>
  </si>
  <si>
    <t>11.29</t>
  </si>
  <si>
    <t>- софинансирование со стороны граждан</t>
  </si>
  <si>
    <t>12.30</t>
  </si>
  <si>
    <t>12.31</t>
  </si>
  <si>
    <t>- софинансирование со стороны индивидуальных предпринимателей и юридических лиц</t>
  </si>
  <si>
    <t>13.32</t>
  </si>
  <si>
    <t>13.33</t>
  </si>
  <si>
    <t>Инициативные платежи</t>
  </si>
  <si>
    <t>14.34</t>
  </si>
  <si>
    <t>--</t>
  </si>
  <si>
    <t>14.35</t>
  </si>
  <si>
    <t xml:space="preserve"> - общий объем софинансирования из внебюджетных источников</t>
  </si>
  <si>
    <t>15.36</t>
  </si>
  <si>
    <t>15.37</t>
  </si>
  <si>
    <t>Внебюджетные средства на 1 руб. бюджета субъекта</t>
  </si>
  <si>
    <t>16.38</t>
  </si>
  <si>
    <t>Объем внебюджетных средств (софинансирование граждан, юрлиц и иных форм) на 1 руб. ассигнований из бюджета субъекта РФ</t>
  </si>
  <si>
    <t>руб.</t>
  </si>
  <si>
    <t>- использование субсидий из федерального бюджета</t>
  </si>
  <si>
    <t>17.39</t>
  </si>
  <si>
    <t>17.40</t>
  </si>
  <si>
    <t>Доля в бюджете субъекта РФ</t>
  </si>
  <si>
    <t>18.41</t>
  </si>
  <si>
    <t>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</si>
  <si>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н/д</t>
  </si>
  <si>
    <t>Средний бюджет ИБ на 1 человека в субъекте РФ</t>
  </si>
  <si>
    <t>19.42</t>
  </si>
  <si>
    <t>Бюджетная поддержка из бюджета субъекта ИБ+смеж на 1 человека в субъекте РФ</t>
  </si>
  <si>
    <t xml:space="preserve">Средний бюджет ИБ на 1 человека в РФ </t>
  </si>
  <si>
    <t>19.43</t>
  </si>
  <si>
    <t>Планы финансирования практики из бюджета субъекта РФ на следующий период</t>
  </si>
  <si>
    <t>20.44</t>
  </si>
  <si>
    <t>20.45</t>
  </si>
  <si>
    <t>Доля указанных бюджетных средств в общем объеме расходов бюджета субъекта РФ на 2021 год</t>
  </si>
  <si>
    <t>33.33</t>
  </si>
  <si>
    <t>да/нет</t>
  </si>
  <si>
    <t>Типология реализованных проектов</t>
  </si>
  <si>
    <t>22.52</t>
  </si>
  <si>
    <t>(1) Водоснабжение, водоотведение</t>
  </si>
  <si>
    <t>кол-во проектов</t>
  </si>
  <si>
    <t>22.53</t>
  </si>
  <si>
    <t>22.54</t>
  </si>
  <si>
    <t>(2) Автомобильные дороги</t>
  </si>
  <si>
    <t>22.55</t>
  </si>
  <si>
    <t>22.56</t>
  </si>
  <si>
    <t>(3) Уличное освещение</t>
  </si>
  <si>
    <t>22.57</t>
  </si>
  <si>
    <t>22.58</t>
  </si>
  <si>
    <t>(4) Пожарная безопасность</t>
  </si>
  <si>
    <t>22.59</t>
  </si>
  <si>
    <t>22.60</t>
  </si>
  <si>
    <t>(5) Обеспечение жителей услугами бытового обслуживания</t>
  </si>
  <si>
    <t>22.61</t>
  </si>
  <si>
    <t>22.62</t>
  </si>
  <si>
    <t>(6) Культурное наследие (памятники, музеи)</t>
  </si>
  <si>
    <t>22.63</t>
  </si>
  <si>
    <t>22.64</t>
  </si>
  <si>
    <t>(7) Образование</t>
  </si>
  <si>
    <t>22.65</t>
  </si>
  <si>
    <t>22.87</t>
  </si>
  <si>
    <t>22.88</t>
  </si>
  <si>
    <t>22.66</t>
  </si>
  <si>
    <t>(8) Физическая культура и массовый спорт</t>
  </si>
  <si>
    <t>22.67</t>
  </si>
  <si>
    <t>22.89</t>
  </si>
  <si>
    <t>Проекты комплексного благоустройства дворов</t>
  </si>
  <si>
    <t>22.90</t>
  </si>
  <si>
    <t>22.68</t>
  </si>
  <si>
    <t>(9) Детские игровые площадки</t>
  </si>
  <si>
    <t>22.69</t>
  </si>
  <si>
    <t>22.70</t>
  </si>
  <si>
    <t>(10) Места массового отдыха населения и объекты организации благоустройства</t>
  </si>
  <si>
    <t>22.71</t>
  </si>
  <si>
    <t>22.72</t>
  </si>
  <si>
    <t>(11) Места захоронений</t>
  </si>
  <si>
    <t>22.73</t>
  </si>
  <si>
    <t>22.74</t>
  </si>
  <si>
    <t>(12) Сбор твердых коммунальных/бытовых отходов и мусора</t>
  </si>
  <si>
    <t>22.75</t>
  </si>
  <si>
    <t>22.76</t>
  </si>
  <si>
    <t>(13) Событийные проекты (праздники, фестивали)</t>
  </si>
  <si>
    <t>22.77</t>
  </si>
  <si>
    <t>22.78</t>
  </si>
  <si>
    <t>(14) ЖКХ (ремонт фасадов и кровли), организация теплоснабжения, канализации, газопроводов</t>
  </si>
  <si>
    <t>22.79</t>
  </si>
  <si>
    <t>22.80</t>
  </si>
  <si>
    <t>(15) Крупные инфраструктурные проекты (мосты, плотины, благоустройство водоемов)</t>
  </si>
  <si>
    <t>22.81</t>
  </si>
  <si>
    <t>22.82</t>
  </si>
  <si>
    <t>(16) Приобретение оборудования, техники, транспорта</t>
  </si>
  <si>
    <t>22.83</t>
  </si>
  <si>
    <t>22.91</t>
  </si>
  <si>
    <t>22.92</t>
  </si>
  <si>
    <t>22.84</t>
  </si>
  <si>
    <t>(17) Другое (объединенный показатель)</t>
  </si>
  <si>
    <t>22.85</t>
  </si>
  <si>
    <t>Общее количество реализованных проектов</t>
  </si>
  <si>
    <t>23.86</t>
  </si>
  <si>
    <t>Средняя стоимость реализованного проекта</t>
  </si>
  <si>
    <t>24.87</t>
  </si>
  <si>
    <t>Средняя стоимость одного реализованного проекта (включая те, завершение которых перенесено на 2020 г.) (млн.руб.)</t>
  </si>
  <si>
    <t xml:space="preserve">расчет (Общая стоимость проектов / общее количество реализованных проектов (включая те, завершение которых было перенесено на следующий календарный период) </t>
  </si>
  <si>
    <t>Объем бюджетной и внебюджетной (субъектовой) поддержки на один проект</t>
  </si>
  <si>
    <t>25.88</t>
  </si>
  <si>
    <t>Средний размер субсидии из бюджета субъекта на один реализованный проект (млн.руб.)</t>
  </si>
  <si>
    <t>расчет (размер рег.бюджетной субсидии / количество реализованных проектов, включая отложенные на 2018 г.)</t>
  </si>
  <si>
    <t>25.89</t>
  </si>
  <si>
    <t>Средний размер внебюджетной поддержки на один реализованный проект (млн.руб.)</t>
  </si>
  <si>
    <t>расчет (граждане+юрлица+иное / количество реализованных проектов, включая отложенные на 2018 г.)</t>
  </si>
  <si>
    <t>Конкурсность</t>
  </si>
  <si>
    <t>27.96</t>
  </si>
  <si>
    <t>27.93</t>
  </si>
  <si>
    <t xml:space="preserve">(9.2.) Количество одобренных гражданами проектных заявок, прошедших технический анализ и зарегистрированных для участия в конкурсных процедурах </t>
  </si>
  <si>
    <t>кол-во заявок</t>
  </si>
  <si>
    <t>27.94</t>
  </si>
  <si>
    <t>(9.3.) Количество заявок-победителей, которые прошли конкурсный отбор</t>
  </si>
  <si>
    <t>27.97</t>
  </si>
  <si>
    <t>Доля зарегиистрированных заявок от общего количества проектных идей (предложений) (9.2. / 9.1.)</t>
  </si>
  <si>
    <t>27.95</t>
  </si>
  <si>
    <t>Доля заявок-победителей от количества зарегистрированных заявок (9.3. / 9.2.)</t>
  </si>
  <si>
    <t>27.98</t>
  </si>
  <si>
    <t>Доля заявок-победителей от количества проектных идей (предложений) (9.3. / 9.1.)</t>
  </si>
  <si>
    <t>Количество благополучателей реализованных проектов</t>
  </si>
  <si>
    <t>28.96</t>
  </si>
  <si>
    <t>тыс. чел.</t>
  </si>
  <si>
    <t>28.97</t>
  </si>
  <si>
    <t>.97</t>
  </si>
  <si>
    <t>Средняя доля благополучателей для населения РФ в целом</t>
  </si>
  <si>
    <t>Население субъектов РФ</t>
  </si>
  <si>
    <t>29.98</t>
  </si>
  <si>
    <t>Росстат</t>
  </si>
  <si>
    <t>NEW</t>
  </si>
  <si>
    <t>регион 6</t>
  </si>
  <si>
    <t>Алтай, республика</t>
  </si>
  <si>
    <t>Бурятия, республика</t>
  </si>
  <si>
    <t>Еврейская АО</t>
  </si>
  <si>
    <t>Марий Эл республика</t>
  </si>
  <si>
    <t>суб</t>
  </si>
  <si>
    <t>мун</t>
  </si>
  <si>
    <t>Базарносызганское городское поселение</t>
  </si>
  <si>
    <t>10 января 2022 г</t>
  </si>
  <si>
    <t>30 сентября 2022 г</t>
  </si>
  <si>
    <t>постановление администрации муниципального образования «Базарносызганский район» №190-П от 31.10.2017</t>
  </si>
  <si>
    <t>https://bsizgan.gosuslugi.ru/ofitsialno/dokumenty/pa-mo/postanovleniya-administratsii-mo-2017-god/dokumenty_774.html</t>
  </si>
  <si>
    <t>Решение Совета депутатов Базарносызганского городског поселения от 17.12.2021 №130  "О бюджете муниципального образования Базарносызганского городского поселения на 2022 год и на плановый период 2023-2024 годов"</t>
  </si>
  <si>
    <t>https://bsizgan.gosuslugi.ru/ofitsialno/dokumenty/rsd-bgp/rsd-bgp-2021/dokumenty_1254.html</t>
  </si>
  <si>
    <t>муниципальная программа "Благоустройство территории муниципального образования Базарносызганского городского поселения на 2019-2023 годы" от  11.02.2019 №16-П</t>
  </si>
  <si>
    <t xml:space="preserve">https://bsizgan.ulregion.ru/document/npa/6759/9555.html </t>
  </si>
  <si>
    <t>Решение Совета депутатав муниципального образования "Базарносызганский район" от 31.05.2016 г №242 "Об утверждении Стратегии социально-экономического развития муниципального образования "Базарносызганский район" до 2030 года"</t>
  </si>
  <si>
    <t>https://bsizgan.gosuslugi.ru/ofitsialno/dokumenty/rsd-mo/rsd-2016/dokumenty_372.html</t>
  </si>
  <si>
    <t>Администрация муниципального образования "Базарносызганский район"</t>
  </si>
  <si>
    <t>количество благополучателей проекта ИБ/ общее количество граждан, проживающих в МО</t>
  </si>
  <si>
    <t>https://www.gks.ru/scripts/db_inet2/passport/table.aspx?opt=736021512022</t>
  </si>
  <si>
    <t>http://bsizgan.ulregion.ru/econom/bjudzhet_rajona/narod-budzhet.html</t>
  </si>
  <si>
    <t>размещение информации в районной газете "Новое время"</t>
  </si>
  <si>
    <t>Проведены открытые уроки, дни налоговой и бюджетной грамотности на 19 площадках для бизнес-сообществ, работников организаций и учреждений, граждан пенсионного и пенсионного возраста, учащихся общеобразовательных учреждений, детей дошкольного возраста. Размещены обучающие материалы на сайте администрации в открытом доступе.</t>
  </si>
  <si>
    <t>Чикмарев Валерий Викторович, первый заместитель главы администрации МО "Базарносызганский район"</t>
  </si>
  <si>
    <t>chek_v@mail.ru</t>
  </si>
  <si>
    <t>Кузьмина Марина Валентиновна, ведущий консультант отдела межбюджетных отношений Министерства финансов Ульяновской области</t>
  </si>
  <si>
    <t>8 (8422) 73-61-52</t>
  </si>
  <si>
    <t>kuzmina.mv@ulminfin.ru</t>
  </si>
  <si>
    <t xml:space="preserve">Барышское городское поселение Барышского района </t>
  </si>
  <si>
    <t>Постановление Администрации муниципального образования образования "Барышский район" № 490-А от 22.05.2015 "О реализации проекта "Народный бюджет" в муниципальном образовании "Барышское городское поселение"</t>
  </si>
  <si>
    <t>http://barysh.org/regulatory/Post2015/490.pdf</t>
  </si>
  <si>
    <t>Решение Совета депутатов муниципального образования "Барышское городское поселение" от 16.12.2021 № 56/169 "О бюджете муниципального образования «Барышское
городское поселение» на 2022 год и на плановый период 2023 и 2024 годов"</t>
  </si>
  <si>
    <t>https://barysh.org/upload/iblock/62d/tmnjfibw%20wvjxetqfjfluca%20jgzc%202022%20ixcypw%20kcfqlgn5i.doc</t>
  </si>
  <si>
    <t>Муниципальная программа "Формирование комфортной городской среды на территории муниципального образования "Барышское городское поселение""</t>
  </si>
  <si>
    <t xml:space="preserve">https://barysh.org/upload/iblock/7d7/788-mr.doc </t>
  </si>
  <si>
    <t>Администрация муниципального образования "Барышский район"</t>
  </si>
  <si>
    <t xml:space="preserve">https://uln.gks.ru/storage/mediabank/73-nas-22.xlsx </t>
  </si>
  <si>
    <t>https://barysh.gosuslugi.ru/deyatelnost/munitsipalnye-finansy/narodnyy-byudzhet/</t>
  </si>
  <si>
    <t>При создании бюджетной комиссии все члены прошли обучение по инициативному бюджетированию. Формат: Бюджетная комиссия. Один раз в год.  6 чел. основной состав, 6 человек резерв и 1 модератор бюджетной комиссии</t>
  </si>
  <si>
    <t>Климин Сергей Александрович,  Первый заместитель Главы администрации муниципального образования "Барышский район"</t>
  </si>
  <si>
    <t>8(84253)21550</t>
  </si>
  <si>
    <t>s.klimin@bk.ru</t>
  </si>
  <si>
    <t>«Бекетовское сельское поселение» Вешкаймского района</t>
  </si>
  <si>
    <t>Проект «Народный бюджет»</t>
  </si>
  <si>
    <t xml:space="preserve"> «Народный бюджет»</t>
  </si>
  <si>
    <t>2016 г.</t>
  </si>
  <si>
    <t xml:space="preserve">20 cентября 2022 года </t>
  </si>
  <si>
    <t xml:space="preserve">27 октября 2022 года </t>
  </si>
  <si>
    <t xml:space="preserve">17.12.2022 № 66 О внесении изменений в постановление администрации муниципального образования «Бекетовское сельское поселение» Вешкаймского района Ульяновской области от 10.12.2018 №70 «Об утверждении Положения о проекте «Народный бюджет»
</t>
  </si>
  <si>
    <t>http://www.xn--90aciab1ac4ac2ai.xn--p1ai/load/administracija/normativnye_pravovye_akty/postanovlenie_ot_17_12_2022_66/9-1-0-864</t>
  </si>
  <si>
    <t xml:space="preserve">Решение Совета депутатов от 10.12.2021 № 33 «О бюджете муниципального образования «Бекетовское сельское поселение» Вешкаймского района Ульяновской области на 2022 год и плановый период 2023 и 2024 годов» </t>
  </si>
  <si>
    <t xml:space="preserve">действие официального сайта поселения  не действует, новый сайт актуален с 2023 года; </t>
  </si>
  <si>
    <t>Муниципальное образование «Бекетовское сельское поселение»</t>
  </si>
  <si>
    <t>Иные (средства предусмотрены в бюджете муниципального образования за счет средств местного бюджета)</t>
  </si>
  <si>
    <t>https://veshkajma-r73.gosweb.gosuslugi.ru/deyatelnost/napravleniya-deyatelnosti/finansy/budgetgr/</t>
  </si>
  <si>
    <t>размещены объявления о проведении конкурса в местах массового скопления людей</t>
  </si>
  <si>
    <t>Панина Анастасия Александровна,специалист финансового управления</t>
  </si>
  <si>
    <t>8-84- 243-2-19-61</t>
  </si>
  <si>
    <t>finupr.adm.vesh@mail.ru</t>
  </si>
  <si>
    <t>Вешкаймское городское поселение Вешкаймского района</t>
  </si>
  <si>
    <t>01 февраля 2022 года</t>
  </si>
  <si>
    <t>01 сентября 2022 года</t>
  </si>
  <si>
    <t>Постановление администрации муниципального образования «Вешкаймский район» от 24.04.2017  № 306 «Об утверждении Положения о проекте «Народный бюджет».</t>
  </si>
  <si>
    <t>https://mo-veshkaima.ru/view_news.php?id=23328</t>
  </si>
  <si>
    <t>Решение Совета депутатов МО "Вешкаймское городское поселение" 42/226 от 04.03.2022 О внесении изменений   в решение Совета депутатов    муниципального образования «Вешкаймское городское поселение» от 15.12.2021 № 39/217  «О бюджете муниципального образования «Вешкаймское городское поселение»  Вешкаймского района Ульяновской области на 2022 год и плановый период 2023 и 2024 годов»</t>
  </si>
  <si>
    <t>https://mo-veshkaima.ru/view_news.php?id=23210</t>
  </si>
  <si>
    <t>Администрации муниципального образования «Вешкаймский район»</t>
  </si>
  <si>
    <t>https://uln.gks.ru/search?q=численность+Вешкаймского+района</t>
  </si>
  <si>
    <t>размещены объявления о проведении конкурса в местах массового скопления людей (магазин, РДК)</t>
  </si>
  <si>
    <t xml:space="preserve">finupr.adm.vesh@mail.ru </t>
  </si>
  <si>
    <t>«Ермоловское сельское поселение» Вешкаймского района</t>
  </si>
  <si>
    <t>06 июня 2022 года</t>
  </si>
  <si>
    <t>17 июня 2022 года</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</si>
  <si>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t>
  </si>
  <si>
    <t>http://www.ermolovskoe.ru/load/normativnye_pravovye_akty/2018/postanovlenie_38_ot_14_09_2018/55-1-0-934</t>
  </si>
  <si>
    <t xml:space="preserve">Решение Совета депутатов от 06.12.2021 № 11/30 «О бюджете муниципального образования «Ермоловское сельское поселение» Вешкаймского района Ульяновской области на 2022 год и плановый период 2023 и 2024 годов» </t>
  </si>
  <si>
    <t>Муниципальное образование «Ермоловское сельское поселение»</t>
  </si>
  <si>
    <t>" Инзенское городское поселение" Инзенского района</t>
  </si>
  <si>
    <t xml:space="preserve">Народный бюджет </t>
  </si>
  <si>
    <t>16 июня 2022г.</t>
  </si>
  <si>
    <t>30 августа 2022г.</t>
  </si>
  <si>
    <t>Поставновление Администрации МО "Инзенский район" от 26.05.2017г. №322 "О реализации проекта "Народный бюджет"</t>
  </si>
  <si>
    <t>https://inza.ulregion.ru/62/74/1184/20536/20526/12114.html</t>
  </si>
  <si>
    <t>Решение Совета депутатов МО "Инзенский район" № 38 от 24.12.2021 "«О бюджете муниципального образования «Инзенское городское поселение» на 2022 год»"</t>
  </si>
  <si>
    <t>https://inzenskijinzenskoe-r73.gosweb.gosuslugi.ru/ofitsialno/dokumenty/normativno-pravovye-akty/resheniya-soveta-deputatov/resheniya-soveta-2021/reshenie-soveta-38-ot-24122021/</t>
  </si>
  <si>
    <t>Администрация МО "Инзенское городское поеление"</t>
  </si>
  <si>
    <t>ИП МАНУШИН МЮ</t>
  </si>
  <si>
    <t>количество населения, получающие  выгоду от результатов реализации проекта</t>
  </si>
  <si>
    <t>https://inzenskij-r73.gosweb.gosuslugi.ru/dlya-zhiteley/narodnaya-initsiativa/proekt-narodnyy-byudzhet/remont-peshehodnogo-mosta/</t>
  </si>
  <si>
    <t>Лапшова Р.В. Нанчальник бюджетного отдела финансового управления администрации муниципального образования "Инзенский район"</t>
  </si>
  <si>
    <t>8 ( 84 241) 25362</t>
  </si>
  <si>
    <t>inza.finotdel@mail.ru</t>
  </si>
  <si>
    <t>«Каргинское сельское поселение» Вешкаймского района</t>
  </si>
  <si>
    <t>12 июля 2022 года</t>
  </si>
  <si>
    <t>14 августа 2022 года</t>
  </si>
  <si>
    <t>Постановление администрации муниципального образования «Каргинское сельское поселение» от 08.11.2021 № 64 «Об утверждении Положения о проекте «Народный бюджет».</t>
  </si>
  <si>
    <t>http://www.каргинское.рф/load/dokumenty_administracii/postanovlenija_2021_g/postanovlenie_64_ot_08_11_2021g/63-1-0-1065#</t>
  </si>
  <si>
    <t xml:space="preserve">Решение Совета депутатов от 10.12.2021 № 52/128 «О бюджете муниципального образования «Каргинское сельское поселение» Вешкаймского района Ульяновской области на 2022 год и плановый период 2023 и 2024 годов» </t>
  </si>
  <si>
    <t>Муниципальное образование «Каргинское сельское поселение»</t>
  </si>
  <si>
    <t xml:space="preserve">Карсунское городское поселение Карсунского района </t>
  </si>
  <si>
    <t>31.08.2021г.</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</si>
  <si>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</si>
  <si>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http://karsunmo.ru/postanovleniya/</t>
  </si>
  <si>
    <t>Решение Совета депутатов муниципального образования Карсунское городское поселение Карсунского района Ульяновской области № 35 от 23.12.2021  "О бюджете муниципального образования Карсунское городское поселение Карсунского района Ульяновской области на 2022 год и на плановый период 2023 и 2024 годов"</t>
  </si>
  <si>
    <t>http://karsunmo.ru/sdresch/</t>
  </si>
  <si>
    <t>Постановление администрации муниципального образования "Карсунский район" Ульяновской области от 11.03.2021 № 130 "Об утверждении муниципальной программы "Создание комфортной городской среды в муниципальном образовании Карсунское городское поселение Карсунского района Ульяновской области на 2021-2025 годы"</t>
  </si>
  <si>
    <t>Администрация муниципального образования "Карсунский район" Ульяновской области</t>
  </si>
  <si>
    <t>Средства бюджета муниципального образования Карсунское городское поселение</t>
  </si>
  <si>
    <t>МУП "Хозяйственная контора" р.п. Карсун</t>
  </si>
  <si>
    <t>https://gks.ru/dbscripts/munst/munst73/DBInet.cgi</t>
  </si>
  <si>
    <t>Заявка на участие в проекте, инициативное предложение с кратким описанием вопроса, рисунки, схемы, фото</t>
  </si>
  <si>
    <t>http://karsunmo.ru/narbudget.html</t>
  </si>
  <si>
    <t>http://karsunmo.ru</t>
  </si>
  <si>
    <t>газета "Карсунский вестник", сайт администрации МО "Карсунский район", обьявление о сборе заявок и предложений</t>
  </si>
  <si>
    <t>Кандакова Ольга Викторовна</t>
  </si>
  <si>
    <t>8(84246)2-48-88</t>
  </si>
  <si>
    <t>karsunzakaz1@rambler.ru</t>
  </si>
  <si>
    <t>Майнское городское поселение Майнского района</t>
  </si>
  <si>
    <t>01 апреля 2022 г.</t>
  </si>
  <si>
    <t>Решение о некоторых мерах по реализации инициативных проектов на территории муниципального образования «Майнский район» № 33/44 от 21.07.2021г.</t>
  </si>
  <si>
    <t>https://majnskij-r73.gosweb.gosuslugi.ru/deyatelnost/napravleniya-deyatelnosti/finansovoe-upravlenie/initsiativnoe-byudzhetirovanie/narodnyy-byudzhet/2022-god/</t>
  </si>
  <si>
    <t>Решение о бюджете муниципального образования "Майнское городское поселение" Майнского района Ульяновской области на 2022 год и плановый период 2023-2024 годов</t>
  </si>
  <si>
    <t>http://maina-poselenie.ru</t>
  </si>
  <si>
    <t>Развитие территориального общественного самоуправления в муниципальном образовании "Майнское городское поселение"</t>
  </si>
  <si>
    <t>Администрация муниципального образования "Майнский райрн"</t>
  </si>
  <si>
    <t>https://73.rosstat.gov.ru/search?</t>
  </si>
  <si>
    <t>http://www.maina-admin.ru/about/statistics/butget/narodniy%20budget.php</t>
  </si>
  <si>
    <t>Объявление в районной газете "Ленинец"</t>
  </si>
  <si>
    <t xml:space="preserve">Проведение обучение членов бюджетой комиссии по основным направлениям деятельности и полномочиям органов местного самоуправления </t>
  </si>
  <si>
    <t>Кушманцева Елена Владимировна, специалист по бюджету</t>
  </si>
  <si>
    <t>8(84244)2-17-96</t>
  </si>
  <si>
    <t>fin-mgp@mail.ru</t>
  </si>
  <si>
    <t>Мелекесский район</t>
  </si>
  <si>
    <t xml:space="preserve">ПРОЕКТ "Народный бюджет" </t>
  </si>
  <si>
    <t xml:space="preserve">Постановление Администрации муниципального образования "Мелекесский район" Ульяновской области от 30.13.2021 №281 "О реализации проекта «Народный бюджет» на территории муниципального образования «Мелекесский район» Ульяновской области" </t>
  </si>
  <si>
    <t>https://adm-melekess.gosuslugi.ru/deyatelnost/napravleniya-deyatelnosti/finansovaya-deyatelnost/narodnyy-byudzhet/2022-god/</t>
  </si>
  <si>
    <t>Решение Совета депутатов муниципального образования "Мелекесский район" Ульяновской области от 16.12.2021 №42/192 "О бюджете муниципального образования "Мелекесский район" Ульяновской области на 2022 год и плановый период 2023 и 2024 годов"</t>
  </si>
  <si>
    <t>https://adm-melekess.gosuslugi.ru/deyatelnost/napravleniya-deyatelnosti/finansovaya-deyatelnost/byudzhet/2022-god/byudzhet-na-2022-god/</t>
  </si>
  <si>
    <t>Муниципальная программа "Развитие и модернизация образования в муниципальном образовании "Мелекесский район" Ульяновской области"</t>
  </si>
  <si>
    <t>https://adm-melekess.gosuslugi.ru/deyatelnost/proekty-i-programmy/munitsipalnye-programmy/munitsipalnye-programmy-2020-2022/</t>
  </si>
  <si>
    <t>Администрация муниципального образования "Мелекесский район" Ульяновской области</t>
  </si>
  <si>
    <t>Финансовое управление администрации муниципального образования "Мелекесский район" Ульяновской области</t>
  </si>
  <si>
    <t>Средства бюджета муниципального образования "Мелекесский район" Ульяновской области</t>
  </si>
  <si>
    <t>Управление образования администрации муниципального образования "Мелекесский район" Ульяновской области</t>
  </si>
  <si>
    <t>https://adm-melekess.gosuslugi.ru/deyatelnost/napravleniya-deyatelnosti/finansovaya-deyatelnost/narodnyy-byudzhet/</t>
  </si>
  <si>
    <t>Обьявления на сайте администрации муниципального образования "Мелекесский район"Ульяновской области</t>
  </si>
  <si>
    <t>Совещания с руководителями бюджетных организаций и глав поселений муниципального образования "Мелекесский район"</t>
  </si>
  <si>
    <t>Калашникова Лариса Владимировна, Начальник управления образования</t>
  </si>
  <si>
    <t>8(84235)26411</t>
  </si>
  <si>
    <t>uprobr2@mail.ru</t>
  </si>
  <si>
    <t>«Стемасское сельское поселение» Вешкаймского района</t>
  </si>
  <si>
    <t>20 сентября 2022 года</t>
  </si>
  <si>
    <t>04 октября 2022</t>
  </si>
  <si>
    <t xml:space="preserve">Постановление администрации муниципального образования «Стемасское сельское поселение» от 01.11.2018 № 45 «Об утверждении Положения о проекте «Народный </t>
  </si>
  <si>
    <t>http://www.stemasskoe.ru/load/normativno_pravovye_akty/utverzhdennye/postanovlenie_administracii_mo_stemasskoe_selskoe_poselenie_ot_01_11_2018_45/37-1-0-170</t>
  </si>
  <si>
    <t xml:space="preserve">Решение Совета депутатов от 03.12.2021 № 17/28 «О бюджете муниципального образования «Стемасское сельское поселение» Вешкаймского района Ульяновской области на 2022 год и плановый период 2023 и 2024 годов» </t>
  </si>
  <si>
    <t>Муниципальное образование «Стемасское сельское поселение»</t>
  </si>
  <si>
    <t xml:space="preserve">«Тереньгульское городское поселение» </t>
  </si>
  <si>
    <t xml:space="preserve">Проект «Народный бюджет» </t>
  </si>
  <si>
    <t>01.09.2021</t>
  </si>
  <si>
    <t>06.12.2022</t>
  </si>
  <si>
    <t>Постановление администрации МО "Тереньгульский район"  Ульяновской области №318 от 31.08.2020 г."О реализации проекта "Народный бюджет"</t>
  </si>
  <si>
    <t>https://terenga.gosuslugi.ru/deyatelnost/napravleniya-deyatelnosti/finansy-i-byudzhet/otkrytyy-byudzhet/narodnyy-byudzhet/2023-god/dokumenty_862.html</t>
  </si>
  <si>
    <t>Решение совета депутатов 24 декабря 2021г.№ 47/42 «О бюджете муниципального образования «Тереньгульское городское поселение» Тереньгульского района Ульяновской области на 2022 год»</t>
  </si>
  <si>
    <t>http://www.terenga.ru/node/12731</t>
  </si>
  <si>
    <t>непрограммное направление</t>
  </si>
  <si>
    <t>Муниципальное учреждение Администрация муниципального образования «Тереньгульский район»</t>
  </si>
  <si>
    <t xml:space="preserve">иные </t>
  </si>
  <si>
    <t>https://uln.gks.ru/storage/mediabank/73-nas-22.xlsx</t>
  </si>
  <si>
    <t>https://terenga.gosuslugi.ru/deyatelnost/napravleniya-deyatelnosti/finansy-i-byudzhet/otkrytyy-byudzhet/narodnyy-byudzhet/2022-god/dokumenty_859.html</t>
  </si>
  <si>
    <t xml:space="preserve">зафиксировано протоколом </t>
  </si>
  <si>
    <t>https://terenga.gosuslugi.ru/deyatelnost/napravleniya-deyatelnosti/finansy-i-byudzhet/otkrytyy-byudzhet/narodnyy-byudzhet/2022-god/dokumenty_861.html</t>
  </si>
  <si>
    <t>https://terenga.gosuslugi.ru/deyatelnost/napravleniya-deyatelnosti/finansy-i-byudzhet/otkrytyy-byudzhet/narodnyy-byudzhet/2022-god/</t>
  </si>
  <si>
    <t>информация по рекламной компании размещалась в социальных сетях,в частности на сайте Одноклассники.ru.</t>
  </si>
  <si>
    <t>обучение не проводилось</t>
  </si>
  <si>
    <t>Трофимова Елена Николаевна экономист</t>
  </si>
  <si>
    <t xml:space="preserve">8(84234) 21-5-08 </t>
  </si>
  <si>
    <t>buh_admter@mail.ru</t>
  </si>
  <si>
    <t>«Чуфаровское городское  поселение» Вешкаймского района</t>
  </si>
  <si>
    <t>30 сентября 2022 года</t>
  </si>
  <si>
    <t>Постановление администрации муниципального образования Чуфаровское городское поселение от 16.08.2018 № 110 «Об утверждении Положения о проекте «Народный бюджет».</t>
  </si>
  <si>
    <t>http://www.chufarovogp.ru/load/postanovlenie_110_ot_16_08_2018g/1-1-0-1586</t>
  </si>
  <si>
    <t>Решение от 10.12. 2021г. № 55  О бюджете муниципального образования Чуфаровское городское поселение Вешкаймского района Ульяновской области на 2022 год и на плановый период 2023 и 2024 годов</t>
  </si>
  <si>
    <t>https://chufarovskoe-r73.gosweb.gosuslugi.ru/ofitsialno/struktura-munitsipalnogo-obrazovaniya/predstavitelnyy-organ/dokumenty_1409.html</t>
  </si>
  <si>
    <t>Муниципальное образование «Чуфаровское городское  поселение»</t>
  </si>
  <si>
    <t>количество благополучателей определённого проекта ИБ/ общее количество граждан, пользующихся результатами проекта ИБ</t>
  </si>
  <si>
    <t>ИБ</t>
  </si>
  <si>
    <t>МСХ</t>
  </si>
  <si>
    <t>ФКГС</t>
  </si>
  <si>
    <t>ИП</t>
  </si>
  <si>
    <t>старосты</t>
  </si>
  <si>
    <t>ТОС</t>
  </si>
  <si>
    <t>самообложение</t>
  </si>
  <si>
    <t>иное</t>
  </si>
  <si>
    <t>Дороги</t>
  </si>
  <si>
    <t>больше 100%</t>
  </si>
  <si>
    <t>НПА о краевом конкурсе</t>
  </si>
  <si>
    <t>ИБ, ШКИБ</t>
  </si>
  <si>
    <t>меньше 100%- ошкибка в % в определении доли -   в анкете сумма соотвествует</t>
  </si>
  <si>
    <t>ИП, ШкИБ</t>
  </si>
  <si>
    <t>не  100%, но видимо ошибка в самой анкете</t>
  </si>
  <si>
    <t>меньше 100% - ошибка в анкете в долях</t>
  </si>
  <si>
    <t>указана только общая стоимость - удаляем</t>
  </si>
  <si>
    <t>рег конкурс - удаляем</t>
  </si>
  <si>
    <t>нет данных, стоимость проекта равна вкладу Юрлиц</t>
  </si>
  <si>
    <t>Количество жителей, проживающих в сельском поселении (1212 чел.) * доля жителей, посещающих кладбище в год (66%) = 800 чел.</t>
  </si>
  <si>
    <t>нет разбивки по долям вообще</t>
  </si>
  <si>
    <t>бюджет МО</t>
  </si>
  <si>
    <t xml:space="preserve"> Администрация мунципального образования "Муниципальный округ Завьяловский район Удмуртской Республики"</t>
  </si>
  <si>
    <t>Параметры</t>
  </si>
  <si>
    <t>Общая стоимость проектов ИБ, в том числе:</t>
  </si>
  <si>
    <t>– Объем расходов на реализацию проектов ИБ, направленных из бюджетов субъектов РФ</t>
  </si>
  <si>
    <t>10 499,31</t>
  </si>
  <si>
    <t>– Общий объем софинансирования из всех источников, в том числе:</t>
  </si>
  <si>
    <t>     – объем расходов на реализацию проектов ИБ, направленных из федерального бюджета</t>
  </si>
  <si>
    <t>     – объем расходов на реализацию проектов ИБ, направленных из бюджетов муниципалитетов</t>
  </si>
  <si>
    <t>     – объем средств софинансирования, привлеченных на реализацию проектов ИБ со стороны населения</t>
  </si>
  <si>
    <t>     – объем средств софинансирования, привлеченных на реализацию проектов ИБ со стороны юридических лиц</t>
  </si>
  <si>
    <t>– инициативные платежи граждан, юридических лиц и ИП, млн.руб</t>
  </si>
  <si>
    <t>     – иные формы софинансирования</t>
  </si>
  <si>
    <t xml:space="preserve">Таблица 1 - Динамика финансовых показателей развития инициативного бюджетирования в Российской Федерации за период 2015-2022 гг. </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</si>
  <si>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</si>
  <si>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</si>
  <si>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</si>
  <si>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</si>
  <si>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</si>
  <si>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объем инициативных платежей граждан, юридических лиц и ИП</t>
  </si>
  <si>
    <t xml:space="preserve">     – иные формы софинансирования</t>
  </si>
  <si>
    <t>Таблица 2. Динамика долевого соотношения финансовых показателей ИБ в 2015-2022 гг.</t>
  </si>
  <si>
    <t>Общий объем финансирования из бюджетов всех уровней, в том числе:</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</si>
  <si>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</si>
  <si>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</si>
  <si>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</si>
  <si>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Общий объем внебюджетного софинансирования из прочих источников, в том числе:</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</si>
  <si>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</si>
  <si>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</si>
  <si>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</si>
  <si>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Таблица 3 - Динамика  показателей бюджетного и внебюджетного финансирования ИБ в 2015-2022 гг., млн руб.</t>
  </si>
  <si>
    <t>Таблица 4 - Динамика  долевого соотношения бюджетного и внебюджетного финансирования ИБ в 2015-2022 гг.,%</t>
  </si>
  <si>
    <t xml:space="preserve">Таблица 5 - Типология реализованных проектов инициативного бюджетирования в субъектах Российской Федерации </t>
  </si>
  <si>
    <t>Типы проектов ИБ</t>
  </si>
  <si>
    <t>2017 г.</t>
  </si>
  <si>
    <t>2018 г.</t>
  </si>
  <si>
    <t>2019 г.</t>
  </si>
  <si>
    <t>2020 г.</t>
  </si>
  <si>
    <t>Обеспечение жителей услугами бытового обслуживания</t>
  </si>
  <si>
    <t>Культурное наследие (памятники, музеи)</t>
  </si>
  <si>
    <t>Проекты в сфере образования</t>
  </si>
  <si>
    <t>Проекты в сфере культуры, библиотечного дела, ремонт домов культуры (до 2017 г. - здесь же: "образовательные учреждения")</t>
  </si>
  <si>
    <t>Места захоронений</t>
  </si>
  <si>
    <t>Сбор твердых коммунальных / бытовых отходов и мусора</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</si>
  <si>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</si>
  <si>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</si>
  <si>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Приобретение оборудования, техники, транспорта</t>
  </si>
  <si>
    <t>Иные объекты</t>
  </si>
  <si>
    <t>Всего проектов:</t>
  </si>
  <si>
    <t>Калининский район Гривенское с.п.</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</si>
  <si>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</si>
  <si>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</si>
  <si>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</si>
  <si>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</si>
  <si>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</si>
  <si>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Таблица 6 - Количество проектов, реализованных во всех субъектах РФ в 2015–2022 гг.</t>
  </si>
  <si>
    <t>Средний размер совокупных бюджетных субсидий (суб.+мун.+фед.) на один реализованный проект</t>
  </si>
  <si>
    <t>Таблица 7 - Динамика показателей реализации проектов  2015-2022 гг.</t>
  </si>
  <si>
    <t>Техническая переменная: РФ в целом (2022г., Росстат)
(СЧИТАЕТСЯ ВСЕ НАСЕЛЕНИЕ В ВОЗРАСТЕ 0+)</t>
  </si>
  <si>
    <t>Техническая переменная: Население субъектов РФ, где имеются ИБ+смежные практики (2022г., Росстат)</t>
  </si>
  <si>
    <t>1 октября 2021 года</t>
  </si>
  <si>
    <t>средства массовой информации (периодическая печать, ТВ, радио, социальные сети)</t>
  </si>
  <si>
    <t>0.265</t>
  </si>
  <si>
    <t xml:space="preserve">17304
</t>
  </si>
  <si>
    <t>Итого</t>
  </si>
  <si>
    <t>Субъектовая</t>
  </si>
  <si>
    <t>Муниципальная</t>
  </si>
  <si>
    <t>ИБ - ШкИБ</t>
  </si>
  <si>
    <t>ИП - ШкИБ</t>
  </si>
  <si>
    <t>Минсельхоз</t>
  </si>
  <si>
    <t>Самообложение</t>
  </si>
  <si>
    <t>Старосты</t>
  </si>
  <si>
    <t>Количество субъектов РФ в составе федерального округа</t>
  </si>
  <si>
    <t>Количество субъектов РФ, реализующих проекты ИБ</t>
  </si>
  <si>
    <t xml:space="preserve">Количество реализуемых практик регионального уровня </t>
  </si>
  <si>
    <t>ЦФО</t>
  </si>
  <si>
    <t>СЗФО</t>
  </si>
  <si>
    <t>ЮФО</t>
  </si>
  <si>
    <t>ДФО</t>
  </si>
  <si>
    <t>СКФО</t>
  </si>
  <si>
    <t>ПФО</t>
  </si>
  <si>
    <t>УФО</t>
  </si>
  <si>
    <t>СФО</t>
  </si>
  <si>
    <t>ФО</t>
  </si>
  <si>
    <t xml:space="preserve">Доля средств на ИБ в бюджете субъекта </t>
  </si>
  <si>
    <t>Общее количество практик ИБ</t>
  </si>
  <si>
    <t>Бюджетная поддержка ИБ на 1 человека, руб.</t>
  </si>
  <si>
    <t xml:space="preserve">Сахалинская область </t>
  </si>
  <si>
    <t>Республика Саха (Якутия)</t>
  </si>
  <si>
    <t>Республика Башкортостан</t>
  </si>
  <si>
    <t xml:space="preserve">Чувашская республика </t>
  </si>
  <si>
    <t>Республика Татарстан</t>
  </si>
  <si>
    <t>Калмыкия Республика</t>
  </si>
  <si>
    <t>Республика Карелия</t>
  </si>
  <si>
    <t>Субъектовые практики</t>
  </si>
  <si>
    <t>Муниципальные практики</t>
  </si>
  <si>
    <t>Средний размер субсидии из муниципального бюджета на один реализованный проект (млн.руб.)</t>
  </si>
  <si>
    <t xml:space="preserve">Таблица 9 - Общий объем средств, направленных из различных источников на реализацию проектов (млн. руб.)​: субъектовые и муниципальные практики (2022 г.) </t>
  </si>
  <si>
    <t xml:space="preserve">Таблица 8 - Типология практик ИБ в 2022 году </t>
  </si>
  <si>
    <t>Средняя стоимость одного реализованного проекта  (млн руб.)</t>
  </si>
  <si>
    <t>Средняя стоимость одного реализованного проекта (млн руб.)</t>
  </si>
  <si>
    <t>Суб.: Объем бюджетных ассигнований из бюджета субъекта РФ на реализацию проектов (млн. руб.)</t>
  </si>
  <si>
    <t>Суб.: Доля этих средств в общей стоимости проектов</t>
  </si>
  <si>
    <t>Суб.: Объем бюджетных ассигнований из бюджетов муниципальных образований на реализацию проектов (млн. руб.)</t>
  </si>
  <si>
    <t>Суб.: Объем софинансирования со стороны граждан на реализацию проектов (млн. руб.)</t>
  </si>
  <si>
    <t>Суб.: Объем софинансирования со стороны индивидуальных предпринимателей и юридических лиц на реализацию проектов  (млн. руб.)</t>
  </si>
  <si>
    <t>ДЛЯ МУНИЦИПАЛЬНЫХ ПРАКТИК</t>
  </si>
  <si>
    <t>Мун.: Объем бюджетных ассигнований из бюджета субъекта РФ на реализацию проектов (млн. руб.)</t>
  </si>
  <si>
    <t>Мун.: Доля этих средств в общей стоимости проектов</t>
  </si>
  <si>
    <t>Мун.: Объем бюджетных ассигнований из бюджетов муниципальных образований на реализацию проектов (млн. руб.)</t>
  </si>
  <si>
    <t>Мун.: Объем софинансирования со стороны граждан на реализацию проектов (млн. руб.)</t>
  </si>
  <si>
    <t>Мун.: Объем софинансирования со стороны индивидуальных предпринимателей и юридических лиц на реализацию проектов  (млн. руб.)</t>
  </si>
  <si>
    <t>ДЛЯ СУБЪЕКТОВЫХ ПРАКТИК</t>
  </si>
  <si>
    <t xml:space="preserve">Объем инициативных платежей </t>
  </si>
  <si>
    <t>Общая стоимость проектов (субъектовые практики)</t>
  </si>
  <si>
    <t xml:space="preserve"> - финансирование из федерального бюджета</t>
  </si>
  <si>
    <t>Суб.: Объем финансирования из федерального бюджета (млн. руб.)</t>
  </si>
  <si>
    <t xml:space="preserve"> - инициативные платежи граждан и юрлиц</t>
  </si>
  <si>
    <t>– инициативные платежи</t>
  </si>
  <si>
    <t>Мун.: Объем финансирования из федерального бюджета (млн. руб.)</t>
  </si>
  <si>
    <t>Общая стоимость проектов (муниципальные практики)</t>
  </si>
  <si>
    <t>Общее количество реализованных проектов (субъектовые практики)</t>
  </si>
  <si>
    <t>Общее количество реализованных проектов (муниципальные практики)</t>
  </si>
  <si>
    <t>Показатели реализации проектов (млн. руб.)​: субъектовые и муниципальные практики (2022 г.)</t>
  </si>
  <si>
    <t>*Данные о реализации инициативного бюджетирования в субъектах, вошедших в состав Российской Федерации в 2022 году, не собирались</t>
  </si>
  <si>
    <t>Общая стоимость проектов ИБ</t>
  </si>
  <si>
    <t xml:space="preserve">Количество реализуемых практик муниципального уровня </t>
  </si>
  <si>
    <t>Федеральный округ</t>
  </si>
  <si>
    <t xml:space="preserve"> Средний размер субсидии из бюджета субъекта на один реализованный проект (млн.руб.)</t>
  </si>
  <si>
    <t>Муниципальный район "Белгородский район"</t>
  </si>
  <si>
    <t>Территория инициатив</t>
  </si>
  <si>
    <t>13 февраля 2022 года</t>
  </si>
  <si>
    <t>Постановление администрации Белгородского района от 14.04.2021 года № 52 "Об утверждении Положения о проведении конкурса социально значимых проектов территориального общественного самоуправления Белгородского района "Территория инициатив"</t>
  </si>
  <si>
    <t>https://belgorodskij-r31.gosweb.gosuslugi.ru/ofitsialno/dokumenty/dokumenty_1280.html</t>
  </si>
  <si>
    <t>https://belgorodskij-r31.gosweb.gosuslugi.ru/netcat_files/485/3037/_523_ot_29.04.2022.pdf</t>
  </si>
  <si>
    <t>Администрация Белгородского района</t>
  </si>
  <si>
    <t xml:space="preserve">Бюджет Головинского сельского поселения, Бюджет Майского сельского поселения, Бюджет Малиновского сельского поселения, Бюджет Никольского сельского поселения, Бюджет Новосадовского сельского поселения, Бюджет Пушкарского сельского поселения, Бюджет Стрелецкого сельского поселения, Бюджет Тавровского сельского поселения, Бюджет Хохловского сельского поселения, Бюджет Щетиновского сельского поселения, Бюджет Яснозоренского сельского поселения, Бюджет Дубовского сельского поселения, Бюджет Беловского сельского поселения, Бюджет Беломестненского сельского поселения, Бюджет Бессоновского сельского поселения, Бюджет Веселолопанского сельского поселения, Бюджет Комсомольского сельского поселения   , Бюджет Краснооктябрьского сельского поселения   , Бюджет Крутологского сельского поселения   , Бюджет Ериковского сельского поселения   , Бюджет Журавлевского сельского поселения   , Бюджет городского поселения "Поселок Октябрьский", Бюджет городского поселения "Поселок Разумное", Бюджет городского поселения "Поселок Северный"   </t>
  </si>
  <si>
    <t>трудовое участие жителей</t>
  </si>
  <si>
    <t>исходя из численности граждан, фактически проживающих в населенных пунктах</t>
  </si>
  <si>
    <t>https://31.rosstat.gov.ru/naselenie</t>
  </si>
  <si>
    <t>протокол, заявка</t>
  </si>
  <si>
    <t>160 ТОС</t>
  </si>
  <si>
    <t>https://belgorodskij-r31.gosweb.gosuslugi.ru/</t>
  </si>
  <si>
    <t>https://vk.com/belrn31
https://ok.ru/group/54139480965325?
https://vk.com/public194753536
https://vk.com/vladimir___pertsev
https://znamya31.ru/
https://vk.com/groups</t>
  </si>
  <si>
    <t xml:space="preserve">https://belgorodskij-r31.gosweb.gosuslugi.ru/dlya-zhiteley/novosti-i-reportazhi/?category=11&amp;curPos=220&amp;cur_cc=115
https://belgorod-news.net/society/2022/05/12/81466.html?ysclid=lgcw3h3otv998360690
https://znamya31.ru/news/obshestvo/2022-03-04/priyom-zayavok-na-uchastie-v-konkurse-proektov-belgorodskogo-rayona-startuet-9-marta-265282?ysclid=lgcw50rx98684564489
https://belgorod.bezformata.com/listnews/konkursov-proektov-tos-i-selskih/105530469/?ysclid=lgcw574lp4955800662
https://vk.com/wall-194753536_131?ysclid=lgcw7hkl8i270221135
</t>
  </si>
  <si>
    <t>Семинар, представители общественного самоуправления, сотрудники администраций городских и сельских поселений</t>
  </si>
  <si>
    <t xml:space="preserve">Тельнов Александр Игоревич - заместитель руководителя аппарата администрации Белгородского района </t>
  </si>
  <si>
    <t>(4722) 26-03-47</t>
  </si>
  <si>
    <t>polekarp31@mail.ru</t>
  </si>
  <si>
    <t>МБОУ лицей № 82 п.Каменоломни, МБОУ гимназия № 20 п.Каменоломни, МБУЗ ЦРБ Октябрьского района, Администрация Каменоломненского городского поселения</t>
  </si>
  <si>
    <t>ГОД</t>
  </si>
  <si>
    <t>ЧИСЛО ПРОЕКТОВ</t>
  </si>
  <si>
    <t>Число муниципальных практик ИБ</t>
  </si>
  <si>
    <t>Объем финансирования из муниципального бюджета, млн руб.</t>
  </si>
  <si>
    <t>Общая стоимость реализованных проектов ИБ, млн руб.</t>
  </si>
  <si>
    <t>Средняя стоимость 1 проекта, млн руб.</t>
  </si>
  <si>
    <r>
      <t xml:space="preserve">Наименование практики </t>
    </r>
    <r>
      <rPr>
        <b/>
        <sz val="12"/>
        <color rgb="FFC00000"/>
        <rFont val="Times New Roman"/>
        <family val="1"/>
      </rPr>
      <t>СУБЪЕКТА РФ</t>
    </r>
  </si>
  <si>
    <r>
      <t xml:space="preserve">Итого: </t>
    </r>
    <r>
      <rPr>
        <i/>
        <sz val="12"/>
        <color theme="1"/>
        <rFont val="Times New Roman"/>
        <family val="1"/>
      </rPr>
      <t>(считается автоматически)</t>
    </r>
  </si>
  <si>
    <r>
      <t>1.  Проект "Благоустройство детской площадки ТОС "Центральный" Белоколодезского с/п" -</t>
    </r>
    <r>
      <rPr>
        <b/>
        <sz val="12"/>
        <rFont val="Times New Roman"/>
        <family val="1"/>
      </rPr>
      <t xml:space="preserve"> 63 чел.</t>
    </r>
    <r>
      <rPr>
        <sz val="12"/>
        <rFont val="Times New Roman"/>
        <family val="1"/>
      </rPr>
      <t xml:space="preserve"> (дети жителей ТОС "Центральный" и соседних улиц.    2. Проект "Создание зоны отдыха для детей и взрослых "Сказочный дворик" -</t>
    </r>
    <r>
      <rPr>
        <b/>
        <sz val="12"/>
        <rFont val="Times New Roman"/>
        <family val="1"/>
      </rPr>
      <t xml:space="preserve"> 108 человек</t>
    </r>
    <r>
      <rPr>
        <sz val="12"/>
        <rFont val="Times New Roman"/>
        <family val="1"/>
      </rPr>
      <t xml:space="preserve"> (Жители ул. Степная ТОС "Добрые соседи"                                               3. Проект благоустройство рекреационной зоны "Старый Хутор" - </t>
    </r>
    <r>
      <rPr>
        <b/>
        <sz val="12"/>
        <rFont val="Times New Roman"/>
        <family val="1"/>
      </rPr>
      <t>4000 чел</t>
    </r>
    <r>
      <rPr>
        <sz val="12"/>
        <rFont val="Times New Roman"/>
        <family val="1"/>
      </rPr>
      <t>. (по данным управления культуры администрации Вейделевского района, в рамках туристической деятельности рекреационную зону "Старый Хутор" в 2022 г. посетили 4000 чел)                                                                                4. Проект "Благоустройство прилегающей территории к памятнику погибшим воинам в х. Колесников Кубраковского с/п" -</t>
    </r>
    <r>
      <rPr>
        <b/>
        <sz val="12"/>
        <rFont val="Times New Roman"/>
        <family val="1"/>
      </rPr>
      <t xml:space="preserve"> 248 чел</t>
    </r>
    <r>
      <rPr>
        <sz val="12"/>
        <rFont val="Times New Roman"/>
        <family val="1"/>
      </rPr>
      <t xml:space="preserve"> (жители х. Колесников)</t>
    </r>
  </si>
  <si>
    <r>
      <t>Конкурс проводится после процедуры защиты проектов путем открытого прямого голосования участников. 
Голосование проводится с ис</t>
    </r>
    <r>
      <rPr>
        <b/>
        <sz val="12"/>
        <rFont val="Times New Roman"/>
        <family val="1"/>
      </rPr>
      <t>пользованием стикеров для голосования.</t>
    </r>
    <r>
      <rPr>
        <sz val="12"/>
        <rFont val="Times New Roman"/>
        <family val="1"/>
      </rPr>
      <t xml:space="preserve">
 Каждый участник команды может 1 раз проголосовать за 1 из проектов, презентуемых в группе, путем прикрепления стикера для голосования к карточке с наименованием проекта. 
Голосование за проект своей команды запрещено.
Итоговая оценка инициативных проектов производится по группам присутствующей на голосовании конкурсной комиссией путем суммирования всех голосов, отданных участниками при голосовании за конкретный инициативный проект. Инициативные проекты ранжируются в порядке убывания количества голосов.
</t>
    </r>
  </si>
  <si>
    <r>
      <t>Проекты отбирают жители населенных пунктов путем проведения опросов, анкетирования, собраний, конференций.  Администрации муниципальных образований формируют заявку на основе выбранных (поддержанных) проектов и подают заявку в департамент по развитию муниципальных образований для участия в региональном конкурсном отборе с целью олучения региональной поддержки для реализации проекта. Специалистами департамента заявки рассматриваются на соответствие требованиям нормативного правового акта , устанавливающего условия проведения конкурсного отбора и оцениваются в соответствии с нормативно закрепленным критериям отбора. Выстраивается рейтинг инициативных проектов в порядке убывания набранных по нормативно закрепленным критериям баллов. Рейтинг с описанием проектов направляется членам конкурсной комиссии для ознакомления не менее чем за 5 дней до заседания. За этот период члены конкурсной комиссии знакомятся с проектами, получают развернутые ответы по интересующим и возникающим вопросам. На заседании подводятся итоги конкурсного отбора, обсуждаются спорные моменты, связанные с проектами и согласовывается перечень проектов которые имеют право на получение субсидии из областного бюджета.Членами конкурсной комиссии являются представители профильных департаментов (исполнительных органов государственной власти) Воронежской области,представители депутатского корпуса, общественности.</t>
    </r>
    <r>
      <rPr>
        <b/>
        <sz val="12"/>
        <color rgb="FF000000"/>
        <rFont val="Times New Roman"/>
        <family val="1"/>
      </rPr>
      <t xml:space="preserve"> </t>
    </r>
  </si>
  <si>
    <r>
      <rPr>
        <i/>
        <u/>
        <sz val="12"/>
        <color rgb="FF000000"/>
        <rFont val="Times New Roman"/>
        <family val="1"/>
      </rPr>
      <t xml:space="preserve">государственная программа Воронежской области </t>
    </r>
    <r>
      <rPr>
        <sz val="12"/>
        <color rgb="FF000000"/>
        <rFont val="Times New Roman"/>
        <family val="1"/>
      </rPr>
      <t xml:space="preserve">«Содействие развитию муниципальных образований и местного самоуправления» 
</t>
    </r>
    <r>
      <rPr>
        <i/>
        <u/>
        <sz val="12"/>
        <color rgb="FF000000"/>
        <rFont val="Times New Roman"/>
        <family val="1"/>
      </rPr>
      <t>подпрограмма 1</t>
    </r>
    <r>
      <rPr>
        <sz val="12"/>
        <color rgb="FF000000"/>
        <rFont val="Times New Roman"/>
        <family val="1"/>
      </rPr>
      <t xml:space="preserve"> «Реализация государственной политики в сфере социально-экономического развития муниципальных образований»
</t>
    </r>
    <r>
      <rPr>
        <i/>
        <u/>
        <sz val="12"/>
        <color rgb="FF000000"/>
        <rFont val="Times New Roman"/>
        <family val="1"/>
      </rPr>
      <t>комплекс процессных мероприятий 1.2</t>
    </r>
    <r>
      <rPr>
        <sz val="12"/>
        <color rgb="FF000000"/>
        <rFont val="Times New Roman"/>
        <family val="1"/>
      </rPr>
      <t xml:space="preserve"> «Развитие территорий муниципальных образований» 
</t>
    </r>
    <r>
      <rPr>
        <i/>
        <u/>
        <sz val="12"/>
        <color rgb="FF000000"/>
        <rFont val="Times New Roman"/>
        <family val="1"/>
      </rPr>
      <t xml:space="preserve">мероприятие 1.2.10 «Развитие территориального общественного самоуправления». Предоставление субсидий некоммерческой организации - Ассоциация «Совет муниципальных образований Воронежской области» в рамках государственной программы Воронежской области «Содействие развитию муниципальных образований и местного самоуправления», в том числе:
- на поддержку Ассоциации «Совет муниципальных образований Воронежской области»;
- на поощрение проектов, реализуемых в рамках территориального общественного самоуправления в муниципальных образованиях Воронежской области
</t>
    </r>
  </si>
  <si>
    <r>
      <rPr>
        <sz val="12"/>
        <rFont val="Times New Roman"/>
        <family val="1"/>
      </rPr>
      <t>Постановление Правительства Калининградской области от 14.02.2022 № 76 "Об утверждении государственной программы
Калининградской области "Жилье и городская среда"</t>
    </r>
    <r>
      <rPr>
        <sz val="12"/>
        <color rgb="FFFF0000"/>
        <rFont val="Times New Roman"/>
        <family val="1"/>
      </rPr>
      <t xml:space="preserve">
</t>
    </r>
  </si>
  <si>
    <r>
      <rPr>
        <sz val="12"/>
        <rFont val="Times New Roman"/>
        <family val="1"/>
      </rPr>
      <t>Закон Калужской области от 30.12.2020 № 55-ОЗ
"О мерах поддержки реализации на территории Калужской области инициативных проектов"</t>
    </r>
    <r>
      <rPr>
        <sz val="12"/>
        <color rgb="FFFF0000"/>
        <rFont val="Times New Roman"/>
        <family val="1"/>
      </rPr>
      <t xml:space="preserve">
</t>
    </r>
  </si>
  <si>
    <r>
      <rPr>
        <sz val="12"/>
        <rFont val="Times New Roman"/>
        <family val="1"/>
      </rPr>
      <t xml:space="preserve">1.  Семинар-совещание с руководителями финансовых органов муниципальных районов и городских округов Калужской области, один из вопросов - "Итоги реализации инициативных проектов на территориях городских и сельских поселений региона в 2022 году и перспективы на 2023 год " (ноябрь 2022 года), количество участников - 26 человек, продолжительность - 2 часа.                                                                                                                                                                      
2. Консультативный совет глав муниципальных образований Калужской области, один из вопросов - "О реализации Программы поддержки местных инициатив на территории Калужской области" (декабрь 2022 года), количество участников - от 300 до 350 человек, продолжительность - 2 часа.             </t>
    </r>
    <r>
      <rPr>
        <sz val="12"/>
        <color rgb="FFFF0000"/>
        <rFont val="Times New Roman"/>
        <family val="1"/>
      </rPr>
      <t xml:space="preserve">                                                            </t>
    </r>
    <r>
      <rPr>
        <sz val="12"/>
        <rFont val="Calibri"/>
        <family val="2"/>
        <charset val="204"/>
        <scheme val="minor"/>
      </rPr>
      <t/>
    </r>
  </si>
  <si>
    <r>
      <t>https://vk.com/naselenie.kaluga</t>
    </r>
    <r>
      <rPr>
        <sz val="12"/>
        <rFont val="Times New Roman"/>
        <family val="1"/>
      </rPr>
      <t xml:space="preserve">, </t>
    </r>
    <r>
      <rPr>
        <sz val="12"/>
        <color indexed="12"/>
        <rFont val="Times New Roman"/>
        <family val="1"/>
      </rPr>
      <t>https://ok.ru/naselenie.kaluga</t>
    </r>
    <r>
      <rPr>
        <sz val="12"/>
        <rFont val="Times New Roman"/>
        <family val="1"/>
      </rPr>
      <t xml:space="preserve">, </t>
    </r>
    <r>
      <rPr>
        <sz val="12"/>
        <color indexed="12"/>
        <rFont val="Times New Roman"/>
        <family val="1"/>
      </rPr>
      <t>https://web.telegram.org/z/#-1619454561</t>
    </r>
    <r>
      <rPr>
        <sz val="12"/>
        <rFont val="Times New Roman"/>
        <family val="1"/>
      </rPr>
      <t xml:space="preserve"> </t>
    </r>
  </si>
  <si>
    <r>
      <t xml:space="preserve">https://www.kaluga-gov.ru/obshchestvo/initsiativnye-proekty/pravovaya-baza/2740/  </t>
    </r>
    <r>
      <rPr>
        <sz val="12"/>
        <color indexed="12"/>
        <rFont val="Times New Roman"/>
        <family val="1"/>
      </rPr>
      <t>https://vk.com/naselenie.kaluga</t>
    </r>
    <r>
      <rPr>
        <sz val="12"/>
        <rFont val="Times New Roman"/>
        <family val="1"/>
      </rPr>
      <t xml:space="preserve">, </t>
    </r>
    <r>
      <rPr>
        <sz val="12"/>
        <color indexed="12"/>
        <rFont val="Times New Roman"/>
        <family val="1"/>
      </rPr>
      <t>https://ok.ru/naselenie.kaluga</t>
    </r>
    <r>
      <rPr>
        <sz val="12"/>
        <rFont val="Times New Roman"/>
        <family val="1"/>
      </rPr>
      <t xml:space="preserve">, </t>
    </r>
    <r>
      <rPr>
        <sz val="12"/>
        <color indexed="12"/>
        <rFont val="Times New Roman"/>
        <family val="1"/>
      </rPr>
      <t>https://web.telegram.org/z/#-1619454561</t>
    </r>
    <r>
      <rPr>
        <sz val="12"/>
        <rFont val="Times New Roman"/>
        <family val="1"/>
      </rPr>
      <t xml:space="preserve"> </t>
    </r>
  </si>
  <si>
    <r>
      <rPr>
        <sz val="12"/>
        <color theme="1"/>
        <rFont val="Times New Roman"/>
        <family val="1"/>
      </rPr>
      <t>1) Закон Республики Карелия от 15 декабря 2021 года № 2656-ЗРК «О бюджете Республики Карелия на 2022 год и на плановый период 2023 и 2024 годов»</t>
    </r>
    <r>
      <rPr>
        <sz val="12"/>
        <rFont val="Times New Roman"/>
        <family val="1"/>
      </rPr>
      <t xml:space="preserve">
</t>
    </r>
    <r>
      <rPr>
        <sz val="12"/>
        <color theme="1"/>
        <rFont val="Times New Roman"/>
        <family val="1"/>
      </rPr>
      <t xml:space="preserve">
2) Постановление Правительства Республики Карелия от 23 марта 2022 года № 158-П "О распределении на 2022 год субсидий местным бюджетам на поддержку  местных инициатив граждан проживающих в муниципальных образованиях"</t>
    </r>
  </si>
  <si>
    <r>
      <rPr>
        <sz val="12"/>
        <color theme="1"/>
        <rFont val="Times New Roman"/>
        <family val="1"/>
      </rPr>
      <t>1) Закон Республики Карелия от 15 декабря 2021 года № 2656-ЗРК «О бюджете Республики Карелия на 2022 год и на плановый период 2023 и 2024 годов»</t>
    </r>
    <r>
      <rPr>
        <sz val="12"/>
        <rFont val="Times New Roman"/>
        <family val="1"/>
      </rPr>
      <t xml:space="preserve">
</t>
    </r>
    <r>
      <rPr>
        <sz val="12"/>
        <color theme="1"/>
        <rFont val="Times New Roman"/>
        <family val="1"/>
      </rPr>
      <t xml:space="preserve">
2) Постановление Правительства Республики Карелия от 29 июня 2022 года № 363-П "О распределении на 2022 год иных межбюджетных трансфертов местным бюджетам из бюджета Республики Карелия на поддержку развития территориального общественного самоуправления"</t>
    </r>
  </si>
  <si>
    <r>
      <t>Закон Кемеровской области - Кузбасса от 14.11.2018 № 90-ОЗ "О реализации проектов инициативного бюджетирования в Кемеровской области -Кузбассе"</t>
    </r>
    <r>
      <rPr>
        <b/>
        <sz val="12"/>
        <rFont val="Times New Roman"/>
        <family val="1"/>
      </rPr>
      <t xml:space="preserve"> (На постоянной основе)</t>
    </r>
  </si>
  <si>
    <r>
      <t xml:space="preserve">Постановление коллегии Администрации Кемеровской области   </t>
    </r>
    <r>
      <rPr>
        <b/>
        <sz val="12"/>
        <rFont val="Times New Roman"/>
        <family val="1"/>
      </rPr>
      <t xml:space="preserve"> от 11.12.2018 № 565</t>
    </r>
    <r>
      <rPr>
        <sz val="12"/>
        <rFont val="Times New Roman"/>
        <family val="1"/>
      </rPr>
      <t xml:space="preserve"> "Об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-Кузбассе,  постановление коллегии Администрации Кемеровской области от </t>
    </r>
    <r>
      <rPr>
        <b/>
        <sz val="12"/>
        <rFont val="Times New Roman"/>
        <family val="1"/>
      </rPr>
      <t>11.12.2018 № 566</t>
    </r>
    <r>
      <rPr>
        <sz val="12"/>
        <rFont val="Times New Roman"/>
        <family val="1"/>
      </rPr>
      <t xml:space="preserve">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r>
  </si>
  <si>
    <r>
      <t xml:space="preserve">Разработка и отбор инициативных предложений происходит на заседаниях </t>
    </r>
    <r>
      <rPr>
        <b/>
        <sz val="12"/>
        <color rgb="FF000000"/>
        <rFont val="Times New Roman"/>
        <family val="1"/>
      </rPr>
      <t>бюджетной комиссии*</t>
    </r>
    <r>
      <rPr>
        <sz val="12"/>
        <color rgb="FF000000"/>
        <rFont val="Times New Roman"/>
        <family val="1"/>
      </rPr>
      <t>, состоящей из местных жителей. По ссылке размещена видеозапись одного из заседаний в пгт Вахруши Слободского района в 2021 году https://vk.com/narodnijbudjet.vaxrushi?w=wall-147883966_671</t>
    </r>
  </si>
  <si>
    <r>
      <t xml:space="preserve">Инициативные предложения, которые в дальнейшем будут реализованы, выбираются путем </t>
    </r>
    <r>
      <rPr>
        <b/>
        <sz val="12"/>
        <color rgb="FF000000"/>
        <rFont val="Times New Roman"/>
        <family val="1"/>
      </rPr>
      <t>голосования бюджетной комиссии**</t>
    </r>
  </si>
  <si>
    <r>
      <t>1. Организационное собрание для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t>
    </r>
    <r>
      <rPr>
        <b/>
        <sz val="12"/>
        <color rgb="FF000000"/>
        <rFont val="Times New Roman"/>
        <family val="1"/>
      </rPr>
      <t xml:space="preserve"> модераторы проекта***</t>
    </r>
    <r>
      <rPr>
        <sz val="12"/>
        <color rgb="FF000000"/>
        <rFont val="Times New Roman"/>
        <family val="1"/>
      </rPr>
      <t xml:space="preserve"> от муниципальных образований.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r>
  </si>
  <si>
    <r>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t>
    </r>
    <r>
      <rPr>
        <sz val="12"/>
        <color rgb="FFFF0000"/>
        <rFont val="Times New Roman"/>
        <family val="1"/>
      </rPr>
      <t xml:space="preserve"> </t>
    </r>
    <r>
      <rPr>
        <sz val="12"/>
        <rFont val="Times New Roman"/>
        <family val="1"/>
      </rPr>
      <t xml:space="preserve">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 и в месенджере  «Telegram».</t>
    </r>
  </si>
  <si>
    <r>
      <t>да</t>
    </r>
    <r>
      <rPr>
        <u/>
        <sz val="12"/>
        <color indexed="12"/>
        <rFont val="Times New Roman"/>
        <family val="1"/>
      </rPr>
      <t xml:space="preserve"> (https://www.afanasyevo.ru/ekonomika/initsiativnye-proekty)</t>
    </r>
  </si>
  <si>
    <r>
      <t xml:space="preserve">Анкета, </t>
    </r>
    <r>
      <rPr>
        <sz val="12"/>
        <color indexed="8"/>
        <rFont val="Times New Roman"/>
        <family val="1"/>
      </rPr>
      <t>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2022 года</t>
    </r>
  </si>
  <si>
    <r>
      <t>Размещение информации на официальном сайте администрации ГО «Вуктыл» и в официальной группе социальной сети Вконтакте  о начале анкетирования граждан,</t>
    </r>
    <r>
      <rPr>
        <sz val="12"/>
        <color indexed="8"/>
        <rFont val="Times New Roman"/>
        <family val="1"/>
      </rPr>
      <t xml:space="preserve"> с целью выявления народных инициатив. Так же размещалась информация о ходе и о результатах реализации народных инициатив с приложением фотоматериалов.</t>
    </r>
  </si>
  <si>
    <r>
      <t>org.otdel.vuktyl@mail</t>
    </r>
    <r>
      <rPr>
        <sz val="12"/>
        <rFont val="Times New Roman"/>
        <family val="1"/>
      </rPr>
      <t>.ru</t>
    </r>
  </si>
  <si>
    <r>
      <t>решение Совета Кавказского сельского поселения Кавказского района от 08.02.2019 года №4 "О передаче Кавказскому сельскому поселению Кавказского района   проектной документации объекта газификации"</t>
    </r>
    <r>
      <rPr>
        <u/>
        <sz val="12"/>
        <color indexed="8"/>
        <rFont val="Times New Roman"/>
        <family val="1"/>
      </rPr>
      <t>;</t>
    </r>
    <r>
      <rPr>
        <sz val="12"/>
        <color indexed="8"/>
        <rFont val="Times New Roman"/>
        <family val="1"/>
      </rPr>
      <t xml:space="preserve"> решение Совета Кавказского сельского поселения Кавказского района от 30.01.2020 года №3 "О передаче Кавказскому сельскому поселению Кавказского района проектной документации </t>
    </r>
  </si>
  <si>
    <r>
      <t xml:space="preserve">Инициатор проекта до начала его реализации за счёт средств местного бюджета обеспечивает внесение инициативных платежей в доход бюджета </t>
    </r>
    <r>
      <rPr>
        <sz val="12"/>
        <color indexed="8"/>
        <rFont val="Times New Roman"/>
        <family val="1"/>
      </rPr>
      <t xml:space="preserve">Октябрьского сельского поселения Красноармейского района на основании договора пожертвования, заключенного с администрацией Октябрьского сельского поселения Красноармейского района, и (или) заключает с администрацией Октябрьского сельского поселения Красноармейского района договор добровольного пожертвования имущества и (или) договор на безвозмездное оказание услуг (выполнение работ), по реализации инициативного проекта. </t>
    </r>
  </si>
  <si>
    <r>
      <t xml:space="preserve">1. </t>
    </r>
    <r>
      <rPr>
        <sz val="12"/>
        <color indexed="8"/>
        <rFont val="Times New Roman"/>
        <family val="1"/>
      </rPr>
      <t>«Благоустройство территории  Тенгинского сельского поселения Усть-Лабинского района. Приобретение «топиарий»                                          2.  «Благоустройство территории  Тенгинского сельского поселения Усть-Лабинского района. Приобретение «Табло универсальное спортивное»</t>
    </r>
  </si>
  <si>
    <r>
      <t>Центр изучения гражданских инициатив создан</t>
    </r>
    <r>
      <rPr>
        <sz val="12"/>
        <rFont val="Times New Roman"/>
        <family val="1"/>
      </rPr>
      <t xml:space="preserve"> на базе </t>
    </r>
    <r>
      <rPr>
        <sz val="12"/>
        <color theme="1"/>
        <rFont val="Times New Roman"/>
        <family val="1"/>
      </rPr>
      <t xml:space="preserve">Государственного бюджетного образовательного учреждения высшего образования Республики Крым «Крымский инженерно-педагогический университет имени Февзи Якубова» </t>
    </r>
  </si>
  <si>
    <r>
      <rPr>
        <u/>
        <sz val="12"/>
        <rFont val="Times New Roman"/>
        <family val="1"/>
      </rPr>
      <t xml:space="preserve">АЛГОРИТМ ПРОВЕДЕНИЯ ОПРОСА </t>
    </r>
    <r>
      <rPr>
        <sz val="12"/>
        <rFont val="Times New Roman"/>
        <family val="1"/>
      </rPr>
      <t xml:space="preserve">1. Формирование  рабочей группы для проведения опроса при администрации МО. 2. Подготовка бланков опросных листов, передача их уполномоченным на проведение опроса лицам. 3. Сбор и анализ заполненных бланков. 4. Подготовка информационной справки (аналитической ведомости) о наиболее актуальных проблемах поселения, озвученных жителями.5. Подготовка программы предварительного собрания с целью обсуждения наиболее актуальных направлений разработки проектов ИБ и формирования инициативных групп. К заявке проекта ИБ прилагаются все отсканированные опросные листы. Аналитическая ведомость и оригиналы заполненных опросных листов хранятся в администрации МО. 
</t>
    </r>
    <r>
      <rPr>
        <u/>
        <sz val="12"/>
        <rFont val="Times New Roman"/>
        <family val="1"/>
      </rPr>
      <t xml:space="preserve">Объем выборки для опроса: </t>
    </r>
    <r>
      <rPr>
        <sz val="12"/>
        <rFont val="Times New Roman"/>
        <family val="1"/>
      </rPr>
      <t xml:space="preserve"> В населенных пунктах с населением более 10 тысяч человек выборка от 5 до 10% (от 500 до 1000 человек). В населенных пунктах с населением менее 5 тысяч выборка от 15 до 20% населения. В населенных пунктах с численностью менее 1000 человек рекомендуется охватить опросом все взрослое население.
</t>
    </r>
  </si>
  <si>
    <r>
      <rPr>
        <b/>
        <sz val="12"/>
        <rFont val="Times New Roman"/>
        <family val="1"/>
      </rPr>
      <t xml:space="preserve">1 школа: </t>
    </r>
    <r>
      <rPr>
        <sz val="12"/>
        <rFont val="Times New Roman"/>
        <family val="1"/>
      </rPr>
      <t xml:space="preserve">https://dzhankoy.rk.gov.ru/uploads/txteditor/dzhankoy/attachments//d4/1d/8c/d98f00b204e9800998ecf8427e/phpLDfm3C_протокол%2020122021.pdf                                                                                                                                                                                </t>
    </r>
    <r>
      <rPr>
        <b/>
        <sz val="12"/>
        <rFont val="Times New Roman"/>
        <family val="1"/>
      </rPr>
      <t xml:space="preserve">2 школа: </t>
    </r>
    <r>
      <rPr>
        <sz val="12"/>
        <rFont val="Times New Roman"/>
        <family val="1"/>
      </rPr>
      <t xml:space="preserve">https://dzhankoy.rk.gov.ru/uploads/txteditor/dzhankoy/attachments//d4/1d/8c/d98f00b204e9800998ecf8427e/phpYw8mSj_Проткол%201.pdf         https://dzhankoy.rk.gov.ru/uploads/txteditor/dzhankoy/attachments//d4/1d/8c/d98f00b204e9800998ecf8427e/php3Tlaw9_Протокол%202.pdf                                                                                                                                                                                         </t>
    </r>
    <r>
      <rPr>
        <b/>
        <sz val="12"/>
        <rFont val="Times New Roman"/>
        <family val="1"/>
      </rPr>
      <t>3школа</t>
    </r>
    <r>
      <rPr>
        <sz val="12"/>
        <rFont val="Times New Roman"/>
        <family val="1"/>
      </rPr>
      <t xml:space="preserve">: https://dzhankoy.rk.gov.ru/uploads/txteditor/dzhankoy/attachments//d4/1d/8c/d98f00b204e9800998ecf8427e/phpZ5gU2c_Протокол%201.pdf            https://dzhankoy.rk.gov.ru/uploads/txteditor/dzhankoy/attachments//d4/1d/8c/d98f00b204e9800998ecf8427e/phplAZOEF_Протокол2.pdf                                                                                                                                                                                                                                           </t>
    </r>
    <r>
      <rPr>
        <b/>
        <sz val="12"/>
        <rFont val="Times New Roman"/>
        <family val="1"/>
      </rPr>
      <t xml:space="preserve">4 школа. </t>
    </r>
    <r>
      <rPr>
        <sz val="12"/>
        <rFont val="Times New Roman"/>
        <family val="1"/>
      </rPr>
      <t xml:space="preserve">https://dzhankoy.rk.gov.ru/uploads/txteditor/dzhankoy/attachments//d4/1d/8c/d98f00b204e9800998ecf8427e/phpYqLETQ_Протокол%20школьной%20ученической%20конференции%20от%2008.11.2021%20г..pdf                                                      https://dzhankoy.rk.gov.ru/uploads/txteditor/dzhankoy/attachments//d4/1d/8c/d98f00b204e9800998ecf8427e/phpcDMrwj_Протокол%20собрания%20граждан%20(инициативной%20группы)%20от%2013.12.2021%20г..pdf                                                                                                                                                                                                       </t>
    </r>
    <r>
      <rPr>
        <b/>
        <sz val="12"/>
        <rFont val="Times New Roman"/>
        <family val="1"/>
      </rPr>
      <t>6 школа:</t>
    </r>
    <r>
      <rPr>
        <sz val="12"/>
        <rFont val="Times New Roman"/>
        <family val="1"/>
      </rPr>
      <t xml:space="preserve"> https://dzhankoy.rk.gov.ru/uploads/txteditor/dzhankoy/attachments//d4/1d/8c/d98f00b204e9800998ecf8427e/phpJygZwQ_протокол%203%20от%2010.10.pdf                              https://dzhankoy.rk.gov.ru/uploads/txteditor/dzhankoy/attachments//d4/1d/8c/d98f00b204e9800998ecf8427e/phpXn28Lv_протокол5%2025.11.pdf                                 https://dzhankoy.rk.gov.ru/uploads/txteditor/dzhankoy/attachments//d4/1d/8c/d98f00b204e9800998ecf8427e/php0b2eoa_выписка%20из%20протокола%20№17%20от%2029.12.2021%20заседания%20педагогического%20совета.pdf                                                                                                                                                                                                                                                                                                                             </t>
    </r>
    <r>
      <rPr>
        <b/>
        <sz val="12"/>
        <rFont val="Times New Roman"/>
        <family val="1"/>
      </rPr>
      <t>5 школа</t>
    </r>
    <r>
      <rPr>
        <sz val="12"/>
        <rFont val="Times New Roman"/>
        <family val="1"/>
      </rPr>
      <t xml:space="preserve">. https://dzhankoy.rk.gov.ru/uploads/txteditor/dzhankoy/attachments//d4/1d/8c/d98f00b204e9800998ecf8427e/phpkGjteG_Протокол%202%20от%2011.2021.pdf                                    https://dzhankoy.rk.gov.ru/uploads/txteditor/dzhankoy/attachments//d4/1d/8c/d98f00b204e9800998ecf8427e/phpd2CauM_Протокол%203%20от%2011.2021.pdf                                                                          https://dzhankoy.rk.gov.ru/uploads/txteditor/dzhankoy/attachments//d4/1d/8c/d98f00b204e9800998ecf8427e/phpVQ8iYg_Протокол%204%20от%2011.2021.pdf                                                                                                                                                                                                                                                                                   </t>
    </r>
    <r>
      <rPr>
        <b/>
        <sz val="12"/>
        <rFont val="Times New Roman"/>
        <family val="1"/>
      </rPr>
      <t>7 школа:</t>
    </r>
    <r>
      <rPr>
        <sz val="12"/>
        <rFont val="Times New Roman"/>
        <family val="1"/>
      </rPr>
      <t xml:space="preserve"> https://dzhankoy.rk.gov.ru/uploads/txteditor/dzhankoy/attachments//d4/1d/8c/d98f00b204e9800998ecf8427e/phpA8NwPH_Протокол%201%2022.09.pdf                    https://dzhankoy.rk.gov.ru/uploads/txteditor/dzhankoy/attachments//d4/1d/8c/d98f00b204e9800998ecf8427e/php61TYKn_Протокол%202%2027.10.pdf          https://dzhankoy.rk.gov.ru/uploads/txteditor/dzhankoy/attachments//d4/1d/8c/d98f00b204e9800998ecf8427e/phplQ1Qqd_Протокол%203%2017.11.pdf         https://dzhankoy.rk.gov.ru/uploads/txteditor/dzhankoy/attachments//d4/1d/8c/d98f00b204e9800998ecf8427e/phptiTC1R_Протокол%204%2007.12.pdf        </t>
    </r>
    <r>
      <rPr>
        <b/>
        <sz val="12"/>
        <rFont val="Times New Roman"/>
        <family val="1"/>
      </rPr>
      <t xml:space="preserve">8 школа: </t>
    </r>
    <r>
      <rPr>
        <sz val="12"/>
        <rFont val="Times New Roman"/>
        <family val="1"/>
      </rPr>
      <t xml:space="preserve">https://dzhankoy.rk.gov.ru/uploads/txteditor/dzhankoy/attachments//d4/1d/8c/d98f00b204e9800998ecf8427e/phpE1RsUM_Протокол%20№1%2015.10.2021.PDF                    https://dzhankoy.rk.gov.ru/uploads/txteditor/dzhankoy/attachments//d4/1d/8c/d98f00b204e9800998ecf8427e/php9G2ylR_Протокол%20№2%2020.11.2021.PDF      https://dzhankoy.rk.gov.ru/uploads/txteditor/dzhankoy/attachments//d4/1d/8c/d98f00b204e9800998ecf8427e/phpPrKfoC_Протокол%20№3%2024.12.2021.PDF                                                                                                                                  </t>
    </r>
  </si>
  <si>
    <r>
      <t>Пунктами 1.1.6 и 1.1.7 Методики оценки</t>
    </r>
    <r>
      <rPr>
        <sz val="12"/>
        <color rgb="FFFF0000"/>
        <rFont val="Times New Roman"/>
        <family val="1"/>
      </rPr>
      <t xml:space="preserve"> </t>
    </r>
    <r>
      <rPr>
        <sz val="12"/>
        <rFont val="Times New Roman"/>
        <family val="1"/>
      </rPr>
      <t>местных инициатив для предоставления субсидий бюджетам муниципальных районов,  муниципальных округов, городского округа Новгородской области в рамках приоритетного регионального проекта "Наш выбор"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r>
  </si>
  <si>
    <r>
      <rPr>
        <sz val="12"/>
        <rFont val="Times New Roman"/>
        <family val="1"/>
      </rPr>
      <t xml:space="preserve">В рамках ПРП "Наш выбор" критерием участия является определенный тип муниципальных образований: муниципальные районы, муниципальные округа, городской округ Великий Новгород.                                                                     Критерием отбора муниципальных районов, округов для предоставления субсидий является наличие в муниципальном районе, округе проекта, отобранного населением муниципального района, округа на собрании (конференции) граждан.  Критерием отбора городского округа для предоставления субсидий является наличие в городском округе проектов, отобранных на собрании (конференции) жителей территории городского округа, закрепленного за отделом-центром по работе с населением по месту жительства в Администрации Великого Новгорода.     </t>
    </r>
    <r>
      <rPr>
        <sz val="12"/>
        <color rgb="FFFF0000"/>
        <rFont val="Times New Roman"/>
        <family val="1"/>
      </rPr>
      <t xml:space="preserve">                                                                       </t>
    </r>
    <r>
      <rPr>
        <sz val="12"/>
        <rFont val="Times New Roman"/>
        <family val="1"/>
      </rPr>
      <t xml:space="preserve">Кроме того, объект инфраструктуры, предлагаемый для реализации в рамках проекта, должен находиться в собственности, оперативном управлении или безвозмездном пользовании округа или района. </t>
    </r>
  </si>
  <si>
    <r>
      <t>технологический подсчёт, протоколы заседаний рабочих групп</t>
    </r>
    <r>
      <rPr>
        <sz val="12"/>
        <color rgb="FFFF0000"/>
        <rFont val="Times New Roman"/>
        <family val="1"/>
      </rPr>
      <t xml:space="preserve"> </t>
    </r>
    <r>
      <rPr>
        <sz val="12"/>
        <rFont val="Times New Roman"/>
        <family val="1"/>
      </rPr>
      <t>https://vk.com/club172332438?w=wall-172332438_512%2Fall  https://vk.com/club172332438?w=wall-172332438_409%2Fall                                       https://vk.com/wall-171303510?q=%D0%B0%D0%BD%D0%BA%D0%B5%D1%82%D0%B8%D1%80%D0%BE%D0%B2%D0%B0%D0%BD%D0%B8%D0%B5&amp;w=wall-171303510_1769   https://vk.com/wall-171495409?q=%D0%B0%D0%BD%D0%BA%D0%B5%D1%82%D0%B8%D1%80%D0%BE%D0%B2%D0%B0%D0%BD%D0%B8%D0%B5&amp;w=wall-171495409_1273 https://vk.com/wall-171495409?q=%D0%B0%D0%BD%D0%BA%D0%B5%D1%82%D0%B8%D1%80%D0%BE%D0%B2%D0%B0%D0%BD%D0%B8%D0%B5&amp;w=wall-171495409_1261  https://vk.com/wall-187364286?q=%D0%B0%D0%BD%D0%BA%D0%B5%D1%82%D0%B8%D1%80%D0%BE%D0%B2%D0%B0%D0%BD%D0%B8%D0%B5&amp;w=wall-187364286_2322</t>
    </r>
  </si>
  <si>
    <r>
      <t>Критерием участия является определенный тип муниципальных образований: сельские поселения, городские поселения, муниципальные округа, городской округ Великий Новгород.  Исключение составляют муниципальные районы.              Критерием отбора городского округа, муниципальных округов, поселений для предоставления субсидий является наличие проекта территориального общественного самоуправления, включенного в муниципальную программу развития территорий соответствующего городского округа, муниципального округа, поселения, на соответствующий финансовый год.                                                                          Условиями предоставления и расходования субсидии являются: наличие в бюджете (сводной бюджетной росписи бюджета) муниципалитета бюджетных ассигнований на исполнение расходных обязательств, связанных с исполнением мероприятий, направленных на реализацию проекта ТОС, включенного в муниципальную программу развития территорий, в целях софинансирования которого предоставляется субсидия, включая размер субсидии, планируемой к предоставлению из областного бюджета; наличие в утвержденной муниципальной программе развития территорий мероприятий по реализации проекта ТОС на соответствующий финансовый год; наличие в границах одного городского округа, муниципального округа, поселения не менее 2 зарегистрированных в соответствии со статьей 27 Федерального закона от 6 октября 2003 года № 131-ФЗ "Об общих принципах организации местного самоуправления в Российской Федерации" ТОС; реализация в границах одного поселения не более одного проекта ТОС (на территории которого учреждено от 2 до 4 ТОС), включенного в муниципальную программу развития территорий;</t>
    </r>
    <r>
      <rPr>
        <sz val="12"/>
        <color rgb="FFFF0000"/>
        <rFont val="Times New Roman"/>
        <family val="1"/>
      </rPr>
      <t xml:space="preserve"> </t>
    </r>
    <r>
      <rPr>
        <sz val="12"/>
        <rFont val="Times New Roman"/>
        <family val="1"/>
      </rPr>
      <t xml:space="preserve">реализация в границах одного поселения не более 2 проектов ТОС (на территории которого учреждено от 5 до 10 ТОС), включенного в муниципальную программу развития территорий;  </t>
    </r>
    <r>
      <rPr>
        <sz val="12"/>
        <color theme="1"/>
        <rFont val="Times New Roman"/>
        <family val="1"/>
      </rPr>
      <t>реализация в границах одного поселения не более 3 проектов ТОС (на территории которого учреждено 11 и более ТОС), включенного в муниципальную программу развития территорий;</t>
    </r>
    <r>
      <rPr>
        <sz val="12"/>
        <color rgb="FFFF0000"/>
        <rFont val="Times New Roman"/>
        <family val="1"/>
      </rPr>
      <t xml:space="preserve"> </t>
    </r>
    <r>
      <rPr>
        <sz val="12"/>
        <rFont val="Times New Roman"/>
        <family val="1"/>
      </rPr>
      <t>реализация в границах городского округа не более 10 проектов ТОС, включенных в муниципальную программу развития территорий; реализация в границах Волотовского муниципального округа не более 4 проектов ТОС, включенных в муниципальную программу развития территорий;</t>
    </r>
    <r>
      <rPr>
        <sz val="12"/>
        <color rgb="FFFF0000"/>
        <rFont val="Times New Roman"/>
        <family val="1"/>
      </rPr>
      <t xml:space="preserve"> </t>
    </r>
    <r>
      <rPr>
        <sz val="12"/>
        <rFont val="Times New Roman"/>
        <family val="1"/>
      </rPr>
      <t>реализация в границах Марёвского муниципального округа не более 4 проектов ТОС, включенных в муниципальную программу  развития территорий;</t>
    </r>
    <r>
      <rPr>
        <sz val="12"/>
        <color rgb="FFFF0000"/>
        <rFont val="Times New Roman"/>
        <family val="1"/>
      </rPr>
      <t xml:space="preserve"> </t>
    </r>
    <r>
      <rPr>
        <sz val="12"/>
        <rFont val="Times New Roman"/>
        <family val="1"/>
      </rPr>
      <t>реализация в границах Солецкого муниципального округа не более 8 проектов ТОС, включенных в муниципальную программу развития территорий;</t>
    </r>
    <r>
      <rPr>
        <sz val="12"/>
        <color rgb="FFFF0000"/>
        <rFont val="Times New Roman"/>
        <family val="1"/>
      </rPr>
      <t xml:space="preserve"> </t>
    </r>
    <r>
      <rPr>
        <sz val="12"/>
        <rFont val="Times New Roman"/>
        <family val="1"/>
      </rPr>
      <t>реализация в границах Хвойнинского муниципального округа не более 18 проектов ТОС, включенных в муниципальную программу развития территорий</t>
    </r>
  </si>
  <si>
    <r>
      <t xml:space="preserve">Приказ комитета по образованию Администрации Великого Новгорода от </t>
    </r>
    <r>
      <rPr>
        <sz val="12"/>
        <color indexed="8"/>
        <rFont val="Times New Roman"/>
        <family val="1"/>
      </rPr>
      <t xml:space="preserve">11.02.2022№ 54 «Об утверждении Положения о проведении конкурсного отбора проектов "Школьный бюджет" ; приказ комитета по образованию Администрации Великого Новгорода от 18.05.2022№ 195 «О финансировании мероприятий Проектов общеобразовательных учреждений - победителей   Конкурсного отбора проектов «Школьный бюджет" в 2022 году.
</t>
    </r>
  </si>
  <si>
    <r>
      <t>государственная программа Омской области "Формирование комфорной городской среды" (</t>
    </r>
    <r>
      <rPr>
        <u/>
        <sz val="12"/>
        <rFont val="Times New Roman"/>
        <family val="1"/>
      </rPr>
      <t>подпрограмма</t>
    </r>
    <r>
      <rPr>
        <sz val="12"/>
        <rFont val="Times New Roman"/>
        <family val="1"/>
      </rPr>
      <t xml:space="preserve"> "Благоустройство общественных территорий муниципальных образований Омской области")
 </t>
    </r>
    <r>
      <rPr>
        <u/>
        <sz val="12"/>
        <rFont val="Calibri"/>
        <family val="2"/>
        <charset val="204"/>
        <scheme val="minor"/>
      </rPr>
      <t/>
    </r>
  </si>
  <si>
    <r>
      <t>государственная программа Омской области "Формирование комфорной городской среды",
(</t>
    </r>
    <r>
      <rPr>
        <u/>
        <sz val="12"/>
        <rFont val="Times New Roman"/>
        <family val="1"/>
      </rPr>
      <t>подпрограмма</t>
    </r>
    <r>
      <rPr>
        <sz val="12"/>
        <rFont val="Times New Roman"/>
        <family val="1"/>
      </rPr>
      <t xml:space="preserve"> "Благоустройство дворовых территорий многоквартирных домов населенных пунктов")</t>
    </r>
  </si>
  <si>
    <r>
      <rPr>
        <b/>
        <sz val="12"/>
        <rFont val="Times New Roman"/>
        <family val="1"/>
      </rPr>
      <t>Государственная программа</t>
    </r>
    <r>
      <rPr>
        <sz val="12"/>
        <rFont val="Times New Roman"/>
        <family val="1"/>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2"/>
        <rFont val="Times New Roman"/>
        <family val="1"/>
      </rPr>
      <t>подпрограмма 4</t>
    </r>
    <r>
      <rPr>
        <sz val="12"/>
        <rFont val="Times New Roman"/>
        <family val="1"/>
      </rPr>
      <t xml:space="preserve"> «Повышение эффективности бюджетных расходов Оренбургской области»;
</t>
    </r>
    <r>
      <rPr>
        <b/>
        <sz val="12"/>
        <rFont val="Times New Roman"/>
        <family val="1"/>
      </rPr>
      <t>приоритетный проект</t>
    </r>
    <r>
      <rPr>
        <sz val="12"/>
        <rFont val="Times New Roman"/>
        <family val="1"/>
      </rPr>
      <t xml:space="preserve"> «Вовлечение жителей муниципальных образований Оренбургской области в процесс выбора и реализации инициативных проектов»</t>
    </r>
  </si>
  <si>
    <r>
      <t>https://orel-region.ru/</t>
    </r>
    <r>
      <rPr>
        <sz val="12"/>
        <color theme="10"/>
        <rFont val="Times New Roman"/>
        <family val="1"/>
      </rPr>
      <t xml:space="preserve">                                                                                                                       </t>
    </r>
    <r>
      <rPr>
        <u/>
        <sz val="12"/>
        <color theme="10"/>
        <rFont val="Times New Roman"/>
        <family val="1"/>
      </rPr>
      <t>https://gorodsreda.ru/ 
57.gorodsreda.ru</t>
    </r>
  </si>
  <si>
    <r>
      <rPr>
        <sz val="12"/>
        <rFont val="Times New Roman"/>
        <family val="1"/>
      </rPr>
      <t xml:space="preserve">Муниципальные образования </t>
    </r>
    <r>
      <rPr>
        <sz val="12"/>
        <color rgb="FF000000"/>
        <rFont val="Times New Roman"/>
        <family val="1"/>
      </rPr>
      <t>Пермского края (городские округа, муниципальные округа)</t>
    </r>
  </si>
  <si>
    <r>
      <t xml:space="preserve">https://vk.com/brz_official </t>
    </r>
    <r>
      <rPr>
        <sz val="12"/>
        <color indexed="30"/>
        <rFont val="Times New Roman"/>
        <family val="1"/>
      </rPr>
      <t>; https://adm-brz.ru/press-tsentr/gazeta-dva-berega-kamy/</t>
    </r>
  </si>
  <si>
    <r>
      <rPr>
        <sz val="12"/>
        <color theme="1"/>
        <rFont val="Times New Roman"/>
        <family val="1"/>
      </rPr>
      <t xml:space="preserve">https://pib.primorsky.ru/Menu/Presentation/14?ItemId=14 </t>
    </r>
  </si>
  <si>
    <r>
      <t xml:space="preserve">Практика ИБ транслируется территориями. Причем гос.программой предусмотрен механизм оценки транслируемой информации. А именно, критерий "наличие информирования населения". Также по итогам реализации проектов территории предоставляют отчет о количестве публикаций, размещенных в процессе реализации общественных проектов. За 2022 год количество таких публикаций составило 1301 шт. По итогам анализа заявочной документации, на 2022 год территориями было сделано 1597 шт. публикаций (618 в первый конкурс, 979 во второй конкурс) в преддверии конкурсного отбора.  Максимальное количество баллов присваивается общественному проекту, информация о котором была размещена более 10 раз в следующих источниках:
источники официального опубликования муниципальных правовых актов в соответствии с уставом муниципального образования, от которого поступила заявка для участия в конкурсном отборе;
сайты администраций муниципальных образований, на территории которых планируется реализация общественного проекта (поселений муниципальных районов Самарской области, муниципальных районов Самарской области, городских округов Самарской области и внутригородских районов городского округа Самара Самарской области);
группы, каналы, сообщества, страницы в социальных сетях;
видеохостинги;
информационные порталы;
интернет-издания;
иные средства массовой информации.
В случае если информация об общественном проекте была размещена менее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- 1,
где КП(i) - количество публикаций в источниках информирования населения об общественном проекте.
В случае если информация об общественном проекте была размещена более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где КП(i) - количество публикаций в источниках информирования населения об общественном проекте.
Размещаемая в соответствии с настоящим подпунктом публикация должна содержать следующую информацию:
</t>
    </r>
    <r>
      <rPr>
        <b/>
        <sz val="12"/>
        <rFont val="Times New Roman"/>
        <family val="1"/>
      </rPr>
      <t>наименование общественного проекта и (или) краткое описание общественного проекта;
наименование государственной программы.</t>
    </r>
    <r>
      <rPr>
        <sz val="12"/>
        <rFont val="Times New Roman"/>
        <family val="1"/>
      </rPr>
      <t xml:space="preserve">
</t>
    </r>
  </si>
  <si>
    <r>
      <t xml:space="preserve">Всего численность благополучателей равна численности граждан, проживавших в сельском поселении Исаклы на 01.01.2023г. </t>
    </r>
    <r>
      <rPr>
        <b/>
        <sz val="12"/>
        <rFont val="Times New Roman"/>
        <family val="1"/>
      </rPr>
      <t>Непосредственных благополучателей получили расчетным способом:</t>
    </r>
    <r>
      <rPr>
        <sz val="12"/>
        <rFont val="Times New Roman"/>
        <family val="1"/>
      </rPr>
      <t xml:space="preserve"> (853чел.дети+161чел. подростки)=</t>
    </r>
    <r>
      <rPr>
        <b/>
        <sz val="12"/>
        <rFont val="Times New Roman"/>
        <family val="1"/>
      </rPr>
      <t>1014чел.</t>
    </r>
  </si>
  <si>
    <r>
      <rPr>
        <sz val="12"/>
        <rFont val="Times New Roman"/>
        <family val="1"/>
      </rPr>
      <t xml:space="preserve">Информационное сопровождение проекта Твой бюджет в школах - 2022 активно велось как на официальном сайте проекта, так и на странице в соцсети ВКонтакте. На ресурсах публиковались материалы как о реализации проектов 2021 года, так и обо всех этапах проекта 2022 года. В итоге, за период с августа по декабрь 2022 года на сайте было опубликовано 29 информационных материалов, количество участников группы в соцсети ВКонтакте увеличилось с 500 до 2 100 человек. 
На мероприятия проекта приглашались журналисты, представители организаторов принимали участие в телепередачах, посвященных проекту. Информационные материалы активно распространялись на официальных ресурсах районных администраций и школ-участниц проекта, в Дайджесте петербургского образования (https://centercoop.ru/tsentr/o-daydzheste/).
Публикации были размещены в следующих изданиях: Город+, "Петербургский дневник", "Вечерний Санкт-Петербург" и др.; сюжеты о ходе реализации проекта были подготовлены для новостных и информационных программ телеканалов "Санкт-Петербург", 78, НТВ. Представители Комитета финансов принимали участие в информационных программах телеканала "Санкт-Петербург" "Петербург - город решений", "Утро в Петербурге" и др. 
</t>
    </r>
    <r>
      <rPr>
        <u/>
        <sz val="12"/>
        <rFont val="Times New Roman"/>
        <family val="1"/>
      </rPr>
      <t xml:space="preserve">Примеры публикаций: </t>
    </r>
    <r>
      <rPr>
        <b/>
        <sz val="12"/>
        <rFont val="Times New Roman"/>
        <family val="1"/>
      </rPr>
      <t xml:space="preserve">
ТВ:                                                                                                                                                                                      </t>
    </r>
    <r>
      <rPr>
        <sz val="12"/>
        <rFont val="Times New Roman"/>
        <family val="1"/>
      </rPr>
      <t>https://www.ntv.ru/video/2162785</t>
    </r>
    <r>
      <rPr>
        <b/>
        <sz val="12"/>
        <rFont val="Times New Roman"/>
        <family val="1"/>
      </rPr>
      <t xml:space="preserve">
</t>
    </r>
    <r>
      <rPr>
        <sz val="12"/>
        <rFont val="Times New Roman"/>
        <family val="1"/>
      </rPr>
      <t>https://tvspb.ru/programs/stories/2989408</t>
    </r>
    <r>
      <rPr>
        <b/>
        <sz val="12"/>
        <rFont val="Times New Roman"/>
        <family val="1"/>
      </rPr>
      <t xml:space="preserve">
</t>
    </r>
    <r>
      <rPr>
        <sz val="12"/>
        <rFont val="Times New Roman"/>
        <family val="1"/>
      </rPr>
      <t xml:space="preserve">https://tvspb.ru/programs/releases/111655/
https://tvspb.ru/programs/stories/2894988
https://tvspb.ru/news/2022/08/16/pochti-sotnya-peterburgskih-shkol-predstavyat-svoi-idei-dlya-proekta-tvoj-byudzhet-v-shkolah
https://tvspb.ru/programs/releases/111760/
https://tvspb.ru/news/2022/08/30/90-peterburgskih-shkol-stanut-uchastnikami-proekta-tvoj-byudzhet-v-shkolah-v-etom-godu
https://tvspb.ru/news/2022/09/16/v-peterburgskoj-gimnazii-171-realizovali-grant-proekta-tvoj-byudzhet-v-shkolah
https://tvspb.ru/news/2022/09/24/aleksandr-beglov-peredal-mikroavtobus-shkole-616-dlya-detej-s-narusheniyami-oporno-dvigatelnogo-apparata
https://tvspb.ru/news/2022/09/23/v-peterburge-startoval-proekt-tvoj-byudzhet-v-shkolah
</t>
    </r>
    <r>
      <rPr>
        <b/>
        <sz val="12"/>
        <rFont val="Times New Roman"/>
        <family val="1"/>
      </rPr>
      <t xml:space="preserve">Печатные СМИ:
</t>
    </r>
    <r>
      <rPr>
        <sz val="12"/>
        <rFont val="Times New Roman"/>
        <family val="1"/>
      </rPr>
      <t xml:space="preserve">https://spbdnevnik.ru/news/2022-08-16/90-peterburgskih-shkol-predstavyat-svoi-idei-dlya-proekta-tvoy-byudzhet-v-shkolah
https://spbdnevnik.ru/news/2022-09-23/protsess-vazhnee-rezultata-v-peterburge-startoval-gorodskoy-proekt-tvoy-byudzhet-v-shkolah2022
https://spbdnevnik.ru/news/2022-10-24/peterburgskiy-pedagog-predstavit-podkast-po-itogam-foruma-klassnyh-rukovoditeley
https://vecherka-spb.ru/2022/11/23/kogda-process-vazhnee-rezultata-kak-v-peterburge-rabotaet-proekt-tvoj-byudzhet-v-shkolax/
</t>
    </r>
    <r>
      <rPr>
        <b/>
        <sz val="12"/>
        <rFont val="Times New Roman"/>
        <family val="1"/>
      </rPr>
      <t xml:space="preserve">Инфолента:
</t>
    </r>
    <r>
      <rPr>
        <sz val="12"/>
        <rFont val="Times New Roman"/>
        <family val="1"/>
      </rPr>
      <t>https://78.ru/news/2022-11-22/shkolnikov_pushkinskogo_raiona_nauchat_finansovoi_gramotnosti
https://gorod-plus.tv/news/106807
https://gorod-plus.tv/news/107289
https://gorod-plus.tv/news/107289
https://gorod-plus.tv/videos/108136
https://tvspb.ru/news/2022/11/28/novaya-tochka-rosta-i-podderzhka-peterburgskih-predpriyatij-aleksandr-beglov-rasskazal-o-glavnyh-sobytiyah-proshedshej-nedeli</t>
    </r>
  </si>
  <si>
    <r>
      <t>https://kgo66.ru/component/jdownloads/?task=download.send&amp;id=8240&amp;catid=72&amp;m=0&amp;Itemid=101</t>
    </r>
    <r>
      <rPr>
        <sz val="12"/>
        <rFont val="Times New Roman"/>
        <family val="1"/>
      </rPr>
      <t xml:space="preserve"> </t>
    </r>
    <r>
      <rPr>
        <sz val="12"/>
        <color rgb="FF0000FF"/>
        <rFont val="Times New Roman"/>
        <family val="1"/>
      </rPr>
      <t>https://kgo66.ru/component/jdownloads/?task=download.send&amp;id=8559&amp;catid=80&amp;m=0&amp;Itemid=101</t>
    </r>
  </si>
  <si>
    <r>
      <t>https://vk.com/wall-89375734_12362</t>
    </r>
    <r>
      <rPr>
        <sz val="12"/>
        <rFont val="Times New Roman"/>
        <family val="1"/>
      </rPr>
      <t xml:space="preserve">, </t>
    </r>
    <r>
      <rPr>
        <sz val="12"/>
        <color rgb="FF0000FF"/>
        <rFont val="Times New Roman"/>
        <family val="1"/>
      </rPr>
      <t>https://vk.com/wall-89375734_13246</t>
    </r>
  </si>
  <si>
    <r>
      <t>Отдел культуры администрации Александровского муниципального округа Ставропольского края;
Александровский территориальный отдел администрации Александровского муниципального округа Ставропольского края;
Калиновский территориальный отдел администрации Александровского муниципального округа Ставропольского края;
Круглолесский территориальный отдел администрации Александровского муниципального округа Ставропольского края</t>
    </r>
    <r>
      <rPr>
        <u/>
        <sz val="12"/>
        <rFont val="Times New Roman"/>
        <family val="1"/>
      </rPr>
      <t xml:space="preserve">;
</t>
    </r>
    <r>
      <rPr>
        <sz val="12"/>
        <rFont val="Times New Roman"/>
        <family val="1"/>
      </rPr>
      <t>Средненский территориальный отдел администрации Александровского муниципального округа Ставропольского края.</t>
    </r>
  </si>
  <si>
    <r>
      <t xml:space="preserve">Участие принимают органы местного самоуправления </t>
    </r>
    <r>
      <rPr>
        <sz val="12"/>
        <color rgb="FF000000"/>
        <rFont val="Times New Roman"/>
        <family val="1"/>
      </rPr>
      <t>или органы территориального общественного самоуправления</t>
    </r>
    <r>
      <rPr>
        <sz val="12"/>
        <rFont val="Times New Roman"/>
        <family val="1"/>
      </rPr>
      <t>, расположенные на сельской территории в Тюменской области</t>
    </r>
  </si>
  <si>
    <r>
      <rPr>
        <sz val="12"/>
        <rFont val="Times New Roman"/>
        <family val="1"/>
      </rPr>
      <t>1.</t>
    </r>
    <r>
      <rPr>
        <sz val="12"/>
        <color rgb="FF0000FF"/>
        <rFont val="Times New Roman"/>
        <family val="1"/>
      </rPr>
      <t xml:space="preserve"> https://t.me/apkto72/154</t>
    </r>
    <r>
      <rPr>
        <sz val="12"/>
        <rFont val="Times New Roman"/>
        <family val="1"/>
      </rPr>
      <t xml:space="preserve"> 
2. </t>
    </r>
    <r>
      <rPr>
        <sz val="12"/>
        <color rgb="FF0000FF"/>
        <rFont val="Times New Roman"/>
        <family val="1"/>
      </rPr>
      <t>https://t.me/apkto72/128</t>
    </r>
  </si>
  <si>
    <r>
      <t xml:space="preserve">да, ссылка: </t>
    </r>
    <r>
      <rPr>
        <u/>
        <sz val="12"/>
        <color theme="4" tint="-0.249977111117893"/>
        <rFont val="Times New Roman"/>
        <family val="1"/>
      </rPr>
      <t>ob.ulminfin.ru:8080/ppmi/o-proekte</t>
    </r>
  </si>
  <si>
    <r>
      <rPr>
        <i/>
        <sz val="12"/>
        <rFont val="Times New Roman"/>
        <family val="1"/>
      </rPr>
      <t xml:space="preserve">Министерством финансов Ульяновской области 1 раз в  квартал в режиме ВКС проводились обучающие мероприятия (семинары, совещания) для участников реализации ППМИ и заинтересованных лиц, в т.ч. для руководителей финансовых органов муниципальных образований, Глав муниципальных образований, сельских старост, представителей инициативных групп,  депутов, представителей НКО, территориальных общественных самоуправлений. </t>
    </r>
    <r>
      <rPr>
        <sz val="12"/>
        <rFont val="Times New Roman"/>
        <family val="1"/>
      </rPr>
      <t>В августе 2022 года во всех муниципальных районах и городских округах были проведены  семинары на тему "Твоя инициатива - твое благополучие. Инициативное бюджетирование 20.23". На семинарах рассмотрены вопросы участия муниципальных образований  в рамках федеральных государственных программ, предварительных итогах реализации ППМИ-2022, о новациях ППМИ-2023, о типовых ошибках, допускаемых муниципальными образованиями при подаче заявок  при разработке сметной документации, конкурсных процедурах. В связи с обсуждением широкого круга вопросов теоретических и практических аспектов реализации ППМИ в Ульяновской области, к участию в семинаре были приглашены представители Управления внутренней политики администрации Губернатора Ульяновской области, Министерства строительства и архитектуры Ульяновской области, Министерства транспорта Ульяновской области, Агентства по развитию сельских территорий, Агентства государственных закупок Ульяновской области.</t>
    </r>
  </si>
  <si>
    <r>
      <t>Общее количество благополучателей по пяти проектам</t>
    </r>
    <r>
      <rPr>
        <sz val="12"/>
        <color indexed="10"/>
        <rFont val="Times New Roman"/>
        <family val="1"/>
      </rPr>
      <t xml:space="preserve"> - </t>
    </r>
    <r>
      <rPr>
        <sz val="12"/>
        <rFont val="Times New Roman"/>
        <family val="1"/>
      </rPr>
      <t xml:space="preserve"> 184,3 тыс.чел., в том числе:
1) 2,84 тыс.чел. по проекту "Веревочный комплек  в п. Снежный".  Количество благопорлучателей указано в соответствии с информацией о количестве проживающих в поселке. Информация предоставлена Территориальным общественным самоуправлением № 1, сформированным на территории реализации инициативного проекта;
2,3) 1 тыс.чел.  по проектам "Спортивная площадка "Черный мыс" и "Детско-подростковая площадка "Черный Мыс". Количество благополучателей указано в соответствии с информацией о количесте проживающих в многоквартирных домах на придомовой территории которых обустроены площадки. Информация предоставлена Территориальным общественным самоуправлением №9, сформированным на территории реализации инициативного проекта;
4) 0,46 тыс.чел. по проекту ""Цифровая лига Сургута (Digital league of Surgut - DLS)" - представители молодежи от 14 до 23 лет, принявших участие в турнире по киберспорту;
5) 180 тыс.чел.  по проекту "ТОС в каждый двор". Количество благополучателей рассчитано исходя из общего числа проживающих в границах территориальных общественных самоуправлений города.</t>
    </r>
  </si>
  <si>
    <r>
      <t>https://www.n-vartovsk.ru/documents/agRasp/#DOCTYPE=agRasp&amp;Y=2021&amp;M=3</t>
    </r>
    <r>
      <rPr>
        <sz val="12"/>
        <rFont val="Times New Roman"/>
        <family val="1"/>
      </rPr>
      <t xml:space="preserve">                         </t>
    </r>
    <r>
      <rPr>
        <sz val="12"/>
        <color indexed="12"/>
        <rFont val="Times New Roman"/>
        <family val="1"/>
      </rPr>
      <t>https://www.n-vartovsk.ru/documents/agRasp/#DOCTYPE=agRasp&amp;Y=2021&amp;M=4</t>
    </r>
    <r>
      <rPr>
        <sz val="12"/>
        <rFont val="Times New Roman"/>
        <family val="1"/>
      </rPr>
      <t xml:space="preserve">  </t>
    </r>
    <r>
      <rPr>
        <sz val="12"/>
        <color indexed="12"/>
        <rFont val="Times New Roman"/>
        <family val="1"/>
      </rPr>
      <t>https://www.n-vartovsk.ru/documents/agRasp/#DOCTYPE=agRasp&amp;Y=2021&amp;M</t>
    </r>
    <r>
      <rPr>
        <sz val="12"/>
        <rFont val="Times New Roman"/>
        <family val="1"/>
      </rPr>
      <t>= 6</t>
    </r>
  </si>
  <si>
    <r>
      <t>https://www.n-vartovsk.ru/documents/agPost/#DOCTYPE=agPost&amp;Y=2014&amp;M=9</t>
    </r>
    <r>
      <rPr>
        <sz val="12"/>
        <rFont val="Times New Roman"/>
        <family val="1"/>
      </rPr>
      <t xml:space="preserve">                         </t>
    </r>
    <r>
      <rPr>
        <sz val="12"/>
        <color indexed="12"/>
        <rFont val="Times New Roman"/>
        <family val="1"/>
      </rPr>
      <t>https://www.n-vartovsk.ru/documents/agPost/#DOCTYPE=agPost&amp;Y=2017&amp;M=10</t>
    </r>
    <r>
      <rPr>
        <sz val="12"/>
        <rFont val="Times New Roman"/>
        <family val="1"/>
      </rPr>
      <t xml:space="preserve"> </t>
    </r>
    <r>
      <rPr>
        <sz val="12"/>
        <color indexed="12"/>
        <rFont val="Times New Roman"/>
        <family val="1"/>
      </rPr>
      <t>https://www.n-vartovsk.ru/documents/agPost/#DOCTYPE=agPost&amp;Y=2018&amp;M=8</t>
    </r>
  </si>
  <si>
    <r>
      <t xml:space="preserve">Внесение инициативных проектов, </t>
    </r>
    <r>
      <rPr>
        <sz val="12"/>
        <color indexed="8"/>
        <rFont val="Times New Roman"/>
        <family val="1"/>
      </rPr>
      <t xml:space="preserve">https://isib.myopenugra.ru/     </t>
    </r>
  </si>
  <si>
    <r>
      <t xml:space="preserve">Решение Совета депутатов гп Междуреченский от 02 февраля 2021 года №116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Междуреченский» </t>
    </r>
    <r>
      <rPr>
        <i/>
        <sz val="12"/>
        <color indexed="8"/>
        <rFont val="Times New Roman"/>
        <family val="1"/>
      </rPr>
      <t>(в новой редакции от 31.10.2022 решение №195)</t>
    </r>
  </si>
  <si>
    <r>
      <t xml:space="preserve">На территории города Салехарда размещена наружная реклама 3 баннера (билборд, фасады зданий). В информационном поле города Салехарда по данным автоматической системы мониторинга и анализа средств массовой информации и социальных медиа «Медиология» зафиксировано 325 информационных материалов. Количество просмотров более 1,5 млн. 
https://www.yamal.kp.ru/online/news/4916231/    
https://vesti-yamal.ru/ru/vjesti_jamal/podarok_ko_dnyu_goroda_v_salekharde_poyavilas_novaya_zona_otdykha/
https://www.salekhard.org/about/info/news/32420/
https://vk.com/salekhard_adm?trackcode=2ce5e929bUXZNtuQ03S9JH9bjRLUi0y0QIFP9fyKjEB32CzXhAvgJH-acsG6DaosZFS-D9a3TqBAkEX79JGWRXr-BcqWALYidPcCqA&amp;w=wall-118907081_32471
https://vk.com/salekhard_adm?trackcode=2ce5e929bUXZNtuQ03S9JH9bjRLUi0y0QIFP9fyKjEB32CzXhAvgJH-acsG6DaosZFS-D9a3TqBAkEX79JGWRXr-BcqWALYidPcCqA&amp;w=wall-118907081_41199
 </t>
    </r>
    <r>
      <rPr>
        <sz val="12"/>
        <color rgb="FF0000FF"/>
        <rFont val="Times New Roman"/>
        <family val="1"/>
      </rPr>
      <t>https://sever-press.ru/news/ekonomika/ujutnyj-jamal-salehardcy-uvideli-prezentaciju-luchshih-idej-po-blagoustrojstvu-goroda/</t>
    </r>
  </si>
  <si>
    <r>
      <t>https://budget.depfinnbr.ru/initsiativnoe-byudzhetirovanie/proekt-ritm</t>
    </r>
    <r>
      <rPr>
        <sz val="12"/>
        <rFont val="Times New Roman"/>
        <family val="1"/>
      </rPr>
      <t xml:space="preserve">  
</t>
    </r>
    <r>
      <rPr>
        <sz val="12"/>
        <color rgb="FF0000FF"/>
        <rFont val="Times New Roman"/>
        <family val="1"/>
      </rPr>
      <t>https://admnoyabrsk.ru/obshchestvo/ritm</t>
    </r>
    <r>
      <rPr>
        <sz val="12"/>
        <rFont val="Times New Roman"/>
        <family val="1"/>
      </rPr>
      <t xml:space="preserve"> </t>
    </r>
  </si>
  <si>
    <r>
      <t>https://budget.depfinnbr.ru/initsiativnoe-byudzhetirovanie/proekt-ritm</t>
    </r>
    <r>
      <rPr>
        <sz val="12"/>
        <rFont val="Times New Roman"/>
        <family val="1"/>
      </rPr>
      <t xml:space="preserve"> 
</t>
    </r>
    <r>
      <rPr>
        <sz val="12"/>
        <color rgb="FF0000FF"/>
        <rFont val="Times New Roman"/>
        <family val="1"/>
      </rPr>
      <t>https://vk.com/public183473795</t>
    </r>
    <r>
      <rPr>
        <sz val="12"/>
        <rFont val="Times New Roman"/>
        <family val="1"/>
      </rPr>
      <t xml:space="preserve"> </t>
    </r>
  </si>
  <si>
    <r>
      <t>https://noyabrsk24.ru/novosti/2022/02/15/v-noiabr-ske-dan-start-kampanii/</t>
    </r>
    <r>
      <rPr>
        <sz val="12"/>
        <rFont val="Times New Roman"/>
        <family val="1"/>
      </rPr>
      <t xml:space="preserve"> 
</t>
    </r>
    <r>
      <rPr>
        <sz val="12"/>
        <color rgb="FF0000FF"/>
        <rFont val="Times New Roman"/>
        <family val="1"/>
      </rPr>
      <t>https://tvmig.ru/news/dve-initsiativy-noyabryan-v-ramkakh-proektov-uyutnyy-yamal-ritm-realizuyut-uzhe-v-2022-godu/</t>
    </r>
    <r>
      <rPr>
        <sz val="12"/>
        <rFont val="Times New Roman"/>
        <family val="1"/>
      </rPr>
      <t xml:space="preserve">  
</t>
    </r>
    <r>
      <rPr>
        <sz val="12"/>
        <color rgb="FF0000FF"/>
        <rFont val="Times New Roman"/>
        <family val="1"/>
      </rPr>
      <t>https://tvmig.ru/news/v-noyabrske-nachali-prinimat-initsiativy-po-uluchsheniya-zhizni-v-gorode/
https://tvmig.ru/news/dlya-noyabryan-na-ulitse-ryadom-s-zenitom-ustanovyat-trenazhyery/
https://tvmig.ru/news/v-noyabrske-startoval-turnir-po-mini-futbolu-kubok-druzhby/
https://tvmig.ru/news/v-noyabrske-proshla-ekskursiya-dlya-zhiteley-dnr-i-lnr/
https://dobro.ru/organizations/767063/info</t>
    </r>
    <r>
      <rPr>
        <sz val="12"/>
        <rFont val="Times New Roman"/>
        <family val="1"/>
      </rPr>
      <t xml:space="preserve"> 
</t>
    </r>
  </si>
  <si>
    <r>
      <t>https://vk.com/iapriuralye?w=wall-150214082_17029</t>
    </r>
    <r>
      <rPr>
        <sz val="12"/>
        <rFont val="Times New Roman"/>
        <family val="1"/>
      </rPr>
      <t xml:space="preserve">  </t>
    </r>
    <r>
      <rPr>
        <sz val="12"/>
        <color rgb="FF0000FF"/>
        <rFont val="Times New Roman"/>
        <family val="1"/>
      </rPr>
      <t>https://www.youtube.com/watch?v=rENLWtZiUmo</t>
    </r>
    <r>
      <rPr>
        <sz val="12"/>
        <rFont val="Times New Roman"/>
        <family val="1"/>
      </rPr>
      <t xml:space="preserve">    </t>
    </r>
    <r>
      <rPr>
        <sz val="12"/>
        <color rgb="FF0000FF"/>
        <rFont val="Times New Roman"/>
        <family val="1"/>
      </rPr>
      <t>https://vk.com/iapriuralye?w=wall-150214082_17078</t>
    </r>
  </si>
  <si>
    <r>
      <t xml:space="preserve">Журнал регистрации заявок на участие в конкурсе по отбору инициативных проектов
на территории муниципального образования Красноселькупский район в рамках проекта «Бюджетная инициатива граждан» («Уютный Ямал»)
</t>
    </r>
    <r>
      <rPr>
        <sz val="12"/>
        <color rgb="FF0000FF"/>
        <rFont val="Times New Roman"/>
        <family val="1"/>
      </rPr>
      <t>http://raduga-ks.ru/activ/pb/1190-zashchita-proektov-20</t>
    </r>
    <r>
      <rPr>
        <sz val="12"/>
        <rFont val="Times New Roman"/>
        <family val="1"/>
      </rPr>
      <t xml:space="preserve"> 22 </t>
    </r>
  </si>
  <si>
    <t>Объем бюджетных ассигнований из бюджета субъекта РФ, которые запланированы на реализацию проектов в следующем году</t>
  </si>
  <si>
    <t>Общий объем финансирования из бюджетов всех уровней, млрд руб. / Total amount of funding from budgets of all levels, billion rubles</t>
  </si>
  <si>
    <t xml:space="preserve">Общая стоимость проектов ИБ, млрд руб. / Total cost of initiative budgeting projects, billion rubles </t>
  </si>
  <si>
    <t>Общий объем внебюджетного софинансирования из прочих источников, млрд руб. / Total volume of extra-budgetary co-financing from other sources, billion rubles</t>
  </si>
  <si>
    <r>
      <t xml:space="preserve">Объем инициативных платежей со стороны граждан, юридических лиц и индивидуальных предпринимателей, поступивших в 2022 году в бюджеты муниципальных образований, реализующих проекты инициативного бюджетирования на территории субъекта РФ (в соответствии с кодами по виду доходов бюджетов </t>
    </r>
    <r>
      <rPr>
        <b/>
        <i/>
        <sz val="12"/>
        <color theme="1"/>
        <rFont val="Times New Roman"/>
        <family val="1"/>
      </rPr>
      <t>000 1 17 15000 00 0000 150 "Инициативные платежи"</t>
    </r>
    <r>
      <rPr>
        <sz val="12"/>
        <color theme="1"/>
        <rFont val="Times New Roman"/>
        <family val="1"/>
      </rPr>
      <t>)</t>
    </r>
  </si>
  <si>
    <r>
      <rPr>
        <b/>
        <sz val="12"/>
        <rFont val="Times New Roman"/>
        <family val="1"/>
      </rPr>
      <t>1) Закон Томской области от 10 июля 2017 года № 82-ОЗ</t>
    </r>
    <r>
      <rPr>
        <sz val="12"/>
        <rFont val="Times New Roman"/>
        <family val="1"/>
      </rPr>
      <t xml:space="preserve"> "О внесении изменений в Закон Томской области "О межбюджетных отношениях в Томской области"; 
</t>
    </r>
    <r>
      <rPr>
        <b/>
        <sz val="12"/>
        <rFont val="Times New Roman"/>
        <family val="1"/>
      </rPr>
      <t>2)</t>
    </r>
    <r>
      <rPr>
        <sz val="12"/>
        <rFont val="Times New Roman"/>
        <family val="1"/>
      </rPr>
      <t xml:space="preserve"> </t>
    </r>
    <r>
      <rPr>
        <b/>
        <sz val="12"/>
        <rFont val="Times New Roman"/>
        <family val="1"/>
      </rPr>
      <t xml:space="preserve">Распоряжение Департамента финансов Томской области от 05.08.2020 № 16/47-р </t>
    </r>
    <r>
      <rPr>
        <sz val="12"/>
        <rFont val="Times New Roman"/>
        <family val="1"/>
      </rPr>
      <t xml:space="preserve">"Об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2"/>
        <rFont val="Times New Roman"/>
        <family val="1"/>
      </rPr>
      <t>3) Распоряжение Администрации Томской области от 15.07.2020 № 463-ра</t>
    </r>
    <r>
      <rPr>
        <sz val="12"/>
        <rFont val="Times New Roman"/>
        <family val="1"/>
      </rPr>
      <t xml:space="preserve">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1"/>
        <color rgb="FFFF0000"/>
        <rFont val="Calibri"/>
        <family val="2"/>
        <charset val="204"/>
        <scheme val="minor"/>
      </rPr>
      <t/>
    </r>
  </si>
  <si>
    <r>
      <rPr>
        <sz val="12"/>
        <rFont val="Times New Roman"/>
        <family val="1"/>
      </rPr>
      <t>путем прямого подсчета</t>
    </r>
    <r>
      <rPr>
        <u/>
        <sz val="12"/>
        <color theme="10"/>
        <rFont val="Times New Roman"/>
        <family val="1"/>
      </rPr>
      <t xml:space="preserve"> https://vk.com/wall-160413159?offset=440&amp;q=%D0%9D%D0%B0%D1%88%20%D0%B2%D1%8B%D0%B1%D0%BE%D1%80&amp;w=wall-160413159_7946   https://vk.com/wall-160413159?offset=440&amp;q=%D0%9D%D0%B0%D1%88%20%D0%B2%D1%8B%D0%B1%D0%BE%D1%80&amp;w=wall-160413159_7930 https://vk.com/wall-160413159?offset=440&amp;q=%D0%9D%D0%B0%D1%88%20%D0%B2%D1%8B%D0%B1%D0%BE%D1%80&amp;w=wall-160413159_7772</t>
    </r>
  </si>
  <si>
    <r>
      <rPr>
        <sz val="12"/>
        <rFont val="Times New Roman"/>
        <family val="1"/>
      </rPr>
      <t xml:space="preserve">листы регистрации к протоколам заседаний, размещенные в тематических группах в социальной сети ВКонтакте; отбор инициатив для реализации определяется путем подсчета голосов при голосовании за инициативы с положительным экспертным заключением на заседании бюджетной комиссии </t>
    </r>
    <r>
      <rPr>
        <u/>
        <sz val="12"/>
        <color theme="10"/>
        <rFont val="Times New Roman"/>
        <family val="1"/>
      </rPr>
      <t>https://vk.com/public197984081?w=wall-197984081_224 https://vk.com/narodbudget_shimsk?w=wall-186718337_176%2Fall</t>
    </r>
  </si>
  <si>
    <r>
      <rPr>
        <sz val="12"/>
        <rFont val="Times New Roman"/>
        <family val="1"/>
      </rPr>
      <t>Протокол заседания конкурсной комиссии,</t>
    </r>
    <r>
      <rPr>
        <u/>
        <sz val="12"/>
        <color theme="10"/>
        <rFont val="Times New Roman"/>
        <family val="1"/>
      </rPr>
      <t xml:space="preserve">
https://ppmi.bashkortostan.ru/document#gallery-12</t>
    </r>
  </si>
  <si>
    <r>
      <rPr>
        <sz val="12"/>
        <rFont val="Times New Roman"/>
        <family val="1"/>
      </rPr>
      <t xml:space="preserve">Отсутствуют. Информация размещается в социальных сетях Башкортостанского Регионального отделения Партии "ЕДИНАЯ РОССИЯ"
Примеры:   </t>
    </r>
    <r>
      <rPr>
        <u/>
        <sz val="12"/>
        <color theme="10"/>
        <rFont val="Times New Roman"/>
        <family val="1"/>
      </rPr>
      <t xml:space="preserve">
https://vk.com/erbashkortostan?w=wall-1663109_25345
https://gsrb.ru/ru/nakazy-izbirateley/
https://www.instagram.com/khismatullina_ruzaliya/
https://vk.com/id500278494</t>
    </r>
  </si>
  <si>
    <r>
      <t xml:space="preserve">1) http://www.a-martan.ru/index.php?option=com_content&amp;view=article&amp;id=2543:izveshchenie-o-provedenii-konkursnogo-otbora-initsiativnykh-proektov&amp;catid=143&amp;Itemid=713 </t>
    </r>
    <r>
      <rPr>
        <sz val="12"/>
        <color theme="10"/>
        <rFont val="Times New Roman"/>
        <family val="1"/>
      </rPr>
      <t xml:space="preserve">                             2) http://www.itumkali.com/new/sxod-grazhdan-ob-uchastii-v-konkursnom-otbore-iniciativnyx-proektov.htm                                                                                                                                                                                                                                                    3) https://grozmer.ru/objavlenija/iniciativnoe-byudzhetirovanie.html                                                                                     4) d0%b2%d0%b5%d1%89%d0%b5%d0%bd%d0%b8%d0%b5-%d0%be-%d0%bf%d1%80%d0%be%d0%b2%d0%b5%d0%b4%d0%b5%d0%bd%d0%b8%d0%b8-%d0%ba%d0%be%d0%bd%d0%ba%d1%83%d1%80%d1%81%d0%bd%d0%be%d0%b3%d0%be-%d0%be-2/</t>
    </r>
  </si>
  <si>
    <r>
      <rPr>
        <sz val="12"/>
        <color theme="1"/>
        <rFont val="Times New Roman"/>
        <family val="1"/>
      </rPr>
      <t xml:space="preserve">В 2022 году в целях популяризации на территории Волгоградской области практики инициативного бюджетирования был проведен творческий конкурс среди детей и молодежи по созданию видеороликов и комиксов об инициативном бюджетировании. Конкурс проводился совместно с Волгоградским институтом управления филиалом РАНХиГС. Всего было отобрано 30 победителей. С работами можно ознакомиться по адресу  </t>
    </r>
    <r>
      <rPr>
        <u/>
        <sz val="12"/>
        <color theme="10"/>
        <rFont val="Times New Roman"/>
        <family val="1"/>
      </rPr>
      <t xml:space="preserve">
https://vlgr-ranepa.ru/konkurs/vlg-local-init/        
</t>
    </r>
    <r>
      <rPr>
        <sz val="12"/>
        <color theme="1"/>
        <rFont val="Times New Roman"/>
        <family val="1"/>
      </rPr>
      <t xml:space="preserve">Кроме того,  информационная компания проводилась на базе МФЦ региона, а также информационной поддержки со стороны региональных СМИ. 
</t>
    </r>
    <r>
      <rPr>
        <sz val="12"/>
        <color rgb="FF0070C0"/>
        <rFont val="Times New Roman"/>
        <family val="1"/>
      </rPr>
      <t>https://volgograd-trv.ru/tags/инициативное%20бюджетирование/</t>
    </r>
    <r>
      <rPr>
        <sz val="12"/>
        <color theme="1"/>
        <rFont val="Times New Roman"/>
        <family val="1"/>
      </rPr>
      <t xml:space="preserve"> </t>
    </r>
    <r>
      <rPr>
        <u/>
        <sz val="12"/>
        <color theme="10"/>
        <rFont val="Times New Roman"/>
        <family val="1"/>
      </rPr>
      <t xml:space="preserve">
</t>
    </r>
  </si>
  <si>
    <r>
      <rPr>
        <sz val="12"/>
        <rFont val="Times New Roman"/>
        <family val="1"/>
      </rPr>
      <t>В 2022 году ПРП "Наш выбор"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по проекту "Наш выбор" размещено 101 уникальная публикация в тематических группах в социальных сетях ВКонтакте, Телеграмм, ЯндексДзен, набравших 107354 просмотра. На региональном ТВ в 2022 году вышло 19 телесюжетов о проекте.</t>
    </r>
    <r>
      <rPr>
        <u/>
        <sz val="12"/>
        <color theme="10"/>
        <rFont val="Times New Roman"/>
        <family val="1"/>
      </rPr>
      <t xml:space="preserve">
https://vk.com/wall-160413159_8329
https://vk.com/wall-160413159_8333
https://vk.com/wall-160413159_8335
https://vk.com/wall-160413159_8352
https://vk.com/wall-160413159_8360
https://vk.com/wall-160413159_8414
https://vk.com/wall-160413159_8416
https://vk.com/wall-160413159?q=%D0%B2%D1%8B%D0%B1%D0%BE%D1%80&amp;w=wall-160413159_8465
https://vk.com/wall-160413159_8577
https://vk.com/wall-160413159_8478
https://vk.com/ppmi53?w=wall-160413159_8775
https://vk.com/wall-160413159_8716
https://vk.com/wall-160413159_8817
https://vk.com/wall-160413159_8923
https://vk.com/wall-160413159_8919
https://vk.com/wall-160413159_8889
https://vk.com/wall-160413159_8848
https://vk.com/wall-160413159_8975
https://vk.com/wall-160413159_8982
https://vk.com/wall-160413159_8987
https://vk.com/wall-160413159_9071
https://vk.com/wall-160413159_9075
https://vk.com/wall-160413159_9085
https://www.facebook.com/groups/1825803114105110/posts/5066099476742108/
https://www.facebook.com/groups/1825803114105110/posts/5065317740153615/
https://www.facebook.com/groups/1825803114105110/posts/5087147801303942/
https://www.facebook.com/groups/1825803114105110/posts/5123252437693478/
https://www.facebook.com/groups/1825803114105110/posts/5123979154287473/
https://www.facebook.com/groups/1825803114105110/posts/5157755144243207/
https://t.me/ppmi53/12
https://t.me/ppmi53/24
https://t.me/ppmi53/55
https://t.me/ppmi53/108?single
https://t.me/ppmi53/102
https://t.me/ppmi53/101
https://vk.com/wall-160413159_9140
https://vk.com/wall-160413159_9180
https://vk.com/wall-160413159_9247
https://vk.com/wall-160413159_9324
https://vk.com/wall-160413159_9389
https://vk.com/wall-160413159_9390
https://vk.com/wall-160413159_9480
https://vk.com/wall-160413159_9487
https://vk.com/wall-160413159_9490
https://vk.com/wall-160413159_9491
https://t.me/ppmi53/139?single
https://t.me/ppmi53/127
https://t.me/ppmi53/119
https://t.me/ppmi53/113
https://t.me/ppmi53/108
https://vk.com/wall-160413159_9600
https://vk.com/wall-160413159_9612
https://vk.com/wall-160413159_9649
https://vk.com/wall-160413159_9690
https://vk.com/wall-160413159_9718
https://vk.com/wall-160413159_9788
https://vk.com/wall-160413159_10058
https://vk.com/wall-160413159_9909
https://vk.com/wall-160413159_9882
https://vk.com/wall-160413159_9875
https://vk.com/wall-160413159_9859
https://vk.com/wall-160413159_9858
https://vk.com/wall-160413159_9856
https://vk.com/wall-160413159_9848
https://vk.com/wall-160413159_9830
https://t.me/ppmi53/189
https://t.me/ppmi53/205
https://t.me/ppmi53/213
https://t.me/ppmi53/223
https://t.me/ppmi53/230
https://t.me/ppmi53/233
https://t.me/ppmi53/239
https://t.me/ppmi53/243
https://t.me/ppmi53/250
https://vk.com/wall523073103_408
https://vk.com/wall-160413159_10205
https://vk.com/wall-160413159_10112
https://vk.com/wall-160413159_10058
https://vk.com/wall-160413159_10604
https://vk.com/wall-160413159_10463
https://t.me/ppmi53/314
https://t.me/ppmi53/326
https://vk.com/wall-172382376_551
https://vk.com/wall-172382376_550
https://vk.com/wall-172837323_375
https://vk.com/wall32795965_6208
https://vk.com/wall647627120_1296
https://vk.com/wall-112347667_8609
https://vk.com/wall-16840961_105840
https://vk.com/wall-208055272_352
https://vk.com/wall-202587270_295
https://vk.com/wall-160413159_10507
https://vk.com/wall-160413159_10566
https://vk.com/wall-160413159_10749
https://vk.com/wall-160413159_11028
https://vk.com/wall-160413159_10892
https://vk.com/wall-160413159_10925
https://vk.com/wall-160413159_10972
https://vk.com/wall-160413159_10989
https://vk.com/wall-160413159_11050
https://t.me/ppmi53/326
</t>
    </r>
  </si>
  <si>
    <r>
      <rPr>
        <sz val="12"/>
        <rFont val="Times New Roman"/>
        <family val="1"/>
      </rPr>
      <t>В 2022 году ПРП ППМИ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по проекту ППМИ размещено 106 уникальных публикаций в тематических группах в социальных сетях ВКонтакте, Телеграмм, ЯндексДзен, набравших 110934 просмотров. На региональном ТВ в 2022 году вышло 17 телесюжетов о проекте.</t>
    </r>
    <r>
      <rPr>
        <u/>
        <sz val="12"/>
        <color theme="10"/>
        <rFont val="Times New Roman"/>
        <family val="1"/>
      </rPr>
      <t xml:space="preserve">
https://novvedomosti.ru/news/region/81079/
https://novvedomosti.ru/news/sport/82285/
https://novvedomosti.ru/news/society/84755/
https://novvedomosti.ru/news/society/86069/
https://pressa53.ru/news/81533/
https://pressa53.ru/news/81590/
https://pressa53.ru/news/81629/
https://pressa53.ru/news/81645/
https://pressa53.ru/news/81665/
https://pressa53.ru/news/81687/
https://pressa53.ru/news/81703/
https://pressa53.ru/news/81732/
https://pressa53.ru/news/81770/
https://pressa53.ru/news/81629/
https://pressa53.ru/news/81700/
https://pressa53.ru/news/81703/
https://vesti53.com/projects/vesti-velikij-novgorod/2401-okolo-chetyrekhsot-uchastnikov-sobral-v-velikom-novgorode-mezhregionalnyj-seminar-vovlechenie-grazhdan-v-proekty-initsiativnogo-byudzhetirovaniya.html
https://novgorod-tv.ru/news/55934-v-marjovskom-okruge-mestnye-zhiteli-i-obshchestvenniki-aktivno-oblagorazhivayut-rodnoj-kraj/
https://novgorod-tv.ru/news/edinaya-programma-inicziativnogo-byudzhetirovaniya-startovala-v-novgorodskoj-oblasti/
https://novgorod-tv.ru/news/prezentacziya-programmy-inicziativnoe-byudzhetirovanie-sostoyalas-v-velikom-novgorode/
https://novgorod-tv.ru/news/seminar-shkola-inicziativnogo-byudzhetirovaniya-proshel-dlya-chinovnikov-novgorodskoj-oblasti/
https://novgorod-tv.ru/news/na-beregu-ilmenya-poyavilsya-novyj-plyazh/
https://novgorod-tv.ru/news/volontery-pomogut-novgorodczam-prinyat-uchastie-v-proekte-inicziativnoe-byudzhetirovanie/
https://novgorod-tv.ru/news/programmu-inicziativnoe-byudzhetirovanie-prezentovali-v-staroj-russe/
https://novgorod-tv.ru/news/zhiteli-borovichej-razrabatyvayut-proekty-dlya-programmy-inicziativnoe-byudzhetirovanie/
https://novgorod-tv.ru/news/prezentacziya-programmy-inicziativnoe-byudzhetirovanie-sostoyalas-v-velikom-novgorode/
https://tvmsta.ru/%d0%bf%d0%bf%d0%bc%d0%b8-%d0%b6%d0%b5%d0%bb%d0%b5%d0%b7%d0%ba%d0%be%d0%b2%d0%be-2/
https://tvmsta.ru/%d0%ba%d0%be%d0%bd%d1%84%d0%b5%d1%80%d0%b5%d0%bd%d1%86%d0%b8%d1%8f-%d0%bf%d0%be-%d0%b2%d1%8b%d0%b1%d0%be%d1%80%d1%83-%d0%bf%d1%80%d0%be%d0%b5%d0%ba%d1%82%d0%be%d0%b2-%d0%b8%d0%bd%d0%b8%d1%86%d0%b8/</t>
    </r>
  </si>
  <si>
    <r>
      <rPr>
        <b/>
        <sz val="12"/>
        <rFont val="Times New Roman"/>
        <family val="1"/>
      </rPr>
      <t>1.</t>
    </r>
    <r>
      <rPr>
        <sz val="12"/>
        <rFont val="Times New Roman"/>
        <family val="1"/>
      </rPr>
      <t xml:space="preserve"> В рамках выездов Главы Чувашской Республики и руководителей исполнительных органов Чувашской Республики в муниципальные образования Чувашской Республики в целях обсуждения итогов социально-экономического развития муниципальных образований за отчетный период (2 раза в год в каждый муниципальный район и городской округ) обсуждались вопросы реализации инициативных проектов. Количество участников - 1630 ед.</t>
    </r>
    <r>
      <rPr>
        <b/>
        <sz val="12"/>
        <rFont val="Times New Roman"/>
        <family val="1"/>
      </rPr>
      <t xml:space="preserve"> </t>
    </r>
    <r>
      <rPr>
        <sz val="12"/>
        <rFont val="Times New Roman"/>
        <family val="1"/>
      </rPr>
      <t xml:space="preserve">  
2</t>
    </r>
    <r>
      <rPr>
        <b/>
        <sz val="12"/>
        <rFont val="Times New Roman"/>
        <family val="1"/>
      </rPr>
      <t xml:space="preserve">. </t>
    </r>
    <r>
      <rPr>
        <sz val="12"/>
        <rFont val="Times New Roman"/>
        <family val="1"/>
      </rPr>
      <t>Сотрудниками Министерства финансов Чувашской Республики с участием представителей финансовых органов муниципальных районов и городских округов ежеквартально проводятся Коллегии Министерства финансов Чувашской Республики, где также обсуждаются вопросы финансирования  инициативных проектов. Количество участников -  115 ед. 
3</t>
    </r>
    <r>
      <rPr>
        <b/>
        <sz val="12"/>
        <rFont val="Times New Roman"/>
        <family val="1"/>
      </rPr>
      <t xml:space="preserve">. </t>
    </r>
    <r>
      <rPr>
        <sz val="12"/>
        <rFont val="Times New Roman"/>
        <family val="1"/>
      </rPr>
      <t xml:space="preserve">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инициативных проектов. Количество участников - 220 ед.
 4. В сентябре-декабре 2022 года ответственные сотрудники Минфина Чувашии, Минстроя Чувашии и Минсельхоза Чувашии приняли участие в вебинаре, организованном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 Количество участников - 12 ед.
</t>
    </r>
  </si>
  <si>
    <r>
      <t>Комитетом в 202</t>
    </r>
    <r>
      <rPr>
        <sz val="12"/>
        <color rgb="FF1F497D"/>
        <rFont val="Times New Roman"/>
        <family val="1"/>
      </rPr>
      <t xml:space="preserve">2 </t>
    </r>
    <r>
      <rPr>
        <sz val="12"/>
        <color theme="1"/>
        <rFont val="Times New Roman"/>
        <family val="1"/>
      </rPr>
      <t>году проводились 05.10.2022, 07.11.2022, 01.12.2022 образовательные онлайн - семинары, посвященные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r>
  </si>
  <si>
    <r>
      <rPr>
        <i/>
        <sz val="12"/>
        <color rgb="FF000000"/>
        <rFont val="Times New Roman"/>
        <family val="1"/>
      </rPr>
      <t>Козырева Юлия Каримовна</t>
    </r>
    <r>
      <rPr>
        <sz val="12"/>
        <color rgb="FF000000"/>
        <rFont val="Times New Roman"/>
        <family val="1"/>
      </rPr>
      <t xml:space="preserve">
Главный специалист-экономист комитета методологии и бюджетной политики Департамента финансов Томской области
</t>
    </r>
  </si>
  <si>
    <r>
      <t xml:space="preserve">Нименование </t>
    </r>
    <r>
      <rPr>
        <b/>
        <sz val="12"/>
        <color indexed="60"/>
        <rFont val="Times New Roman"/>
        <family val="1"/>
      </rPr>
      <t>МУНИЦИПАЛЬНОЙ</t>
    </r>
    <r>
      <rPr>
        <sz val="12"/>
        <rFont val="Times New Roman"/>
        <family val="1"/>
      </rPr>
      <t xml:space="preserve"> практики</t>
    </r>
  </si>
  <si>
    <r>
      <t xml:space="preserve">Объем инициативных платежей со стороны граждан, юридических лиц и индивидуальных предпринимателей на финансовое обеспечение проектов в 2022 году (в соответствии с кодами по виду доходов бюджетов </t>
    </r>
    <r>
      <rPr>
        <b/>
        <i/>
        <sz val="12"/>
        <color indexed="8"/>
        <rFont val="Times New Roman"/>
        <family val="1"/>
      </rPr>
      <t>000 1 17 15000 00 0000 150 "Инициативные платежи"</t>
    </r>
    <r>
      <rPr>
        <sz val="12"/>
        <color indexed="8"/>
        <rFont val="Times New Roman"/>
        <family val="1"/>
      </rPr>
      <t>)</t>
    </r>
  </si>
  <si>
    <r>
      <t xml:space="preserve">Итого: </t>
    </r>
    <r>
      <rPr>
        <i/>
        <sz val="12"/>
        <color indexed="8"/>
        <rFont val="Times New Roman"/>
        <family val="1"/>
      </rPr>
      <t>(считается автоматически)</t>
    </r>
  </si>
  <si>
    <t>Нумерация</t>
  </si>
  <si>
    <t>Уровень практики (суб/мун)</t>
  </si>
  <si>
    <t>Тип практики</t>
  </si>
  <si>
    <r>
      <t xml:space="preserve">Общее количество практик (ИБ и смежных) в субъекте, реализуемых </t>
    </r>
    <r>
      <rPr>
        <u/>
        <sz val="12"/>
        <color theme="1"/>
        <rFont val="Times New Roman"/>
        <family val="1"/>
      </rPr>
      <t>субъектовом</t>
    </r>
    <r>
      <rPr>
        <sz val="12"/>
        <color theme="1"/>
        <rFont val="Times New Roman"/>
        <family val="1"/>
      </rPr>
      <t xml:space="preserve"> уровнях</t>
    </r>
  </si>
  <si>
    <r>
      <t xml:space="preserve">Общее количество практик (ИБ и смежных) в субъекте, реализуемых на </t>
    </r>
    <r>
      <rPr>
        <u/>
        <sz val="12"/>
        <color theme="1"/>
        <rFont val="Times New Roman"/>
        <family val="1"/>
      </rPr>
      <t>муниципальном</t>
    </r>
    <r>
      <rPr>
        <sz val="12"/>
        <color theme="1"/>
        <rFont val="Times New Roman"/>
        <family val="1"/>
      </rPr>
      <t xml:space="preserve"> уровнях</t>
    </r>
  </si>
  <si>
    <r>
      <t xml:space="preserve">Общий объем средств, направленных из различных источников на реализацию проектов </t>
    </r>
    <r>
      <rPr>
        <u/>
        <sz val="12"/>
        <color theme="1"/>
        <rFont val="Times New Roman"/>
        <family val="1"/>
      </rPr>
      <t xml:space="preserve">для субъектовых практик </t>
    </r>
    <r>
      <rPr>
        <sz val="12"/>
        <color theme="1"/>
        <rFont val="Times New Roman"/>
        <family val="1"/>
      </rPr>
      <t>(млн. руб.)</t>
    </r>
  </si>
  <si>
    <r>
      <t xml:space="preserve">Общий объем средств, направленных из различных источников на реализацию проектов </t>
    </r>
    <r>
      <rPr>
        <u/>
        <sz val="12"/>
        <color theme="1"/>
        <rFont val="Times New Roman"/>
        <family val="1"/>
      </rPr>
      <t xml:space="preserve">для муниципальных практик </t>
    </r>
    <r>
      <rPr>
        <sz val="12"/>
        <color theme="1"/>
        <rFont val="Times New Roman"/>
        <family val="1"/>
      </rPr>
      <t>(млн. руб.)</t>
    </r>
  </si>
  <si>
    <r>
      <t xml:space="preserve">Объем бюджетных ассигнований из бюджета </t>
    </r>
    <r>
      <rPr>
        <b/>
        <sz val="12"/>
        <color theme="1"/>
        <rFont val="Times New Roman"/>
        <family val="1"/>
      </rPr>
      <t>субъекта</t>
    </r>
    <r>
      <rPr>
        <sz val="12"/>
        <color theme="1"/>
        <rFont val="Times New Roman"/>
        <family val="1"/>
      </rPr>
      <t xml:space="preserve"> РФ на реализацию проектов (млн. руб.)</t>
    </r>
  </si>
  <si>
    <r>
      <t xml:space="preserve">Объем бюджетных ассигнований из бюджетов </t>
    </r>
    <r>
      <rPr>
        <b/>
        <sz val="12"/>
        <color theme="1"/>
        <rFont val="Times New Roman"/>
        <family val="1"/>
      </rPr>
      <t>муниципальных</t>
    </r>
    <r>
      <rPr>
        <sz val="12"/>
        <color theme="1"/>
        <rFont val="Times New Roman"/>
        <family val="1"/>
      </rPr>
      <t xml:space="preserve"> образований на реализацию проектов (млн. руб.)</t>
    </r>
  </si>
  <si>
    <r>
      <t>Объем софинансирования со стороны</t>
    </r>
    <r>
      <rPr>
        <b/>
        <sz val="12"/>
        <color theme="1"/>
        <rFont val="Times New Roman"/>
        <family val="1"/>
      </rPr>
      <t xml:space="preserve"> граждан</t>
    </r>
    <r>
      <rPr>
        <sz val="12"/>
        <color theme="1"/>
        <rFont val="Times New Roman"/>
        <family val="1"/>
      </rPr>
      <t xml:space="preserve"> на реализацию проектов (млн. руб.)</t>
    </r>
  </si>
  <si>
    <r>
      <t>Объем софинансирования со стороны индивидуальных предпринимателей и ю</t>
    </r>
    <r>
      <rPr>
        <b/>
        <sz val="12"/>
        <color theme="1"/>
        <rFont val="Times New Roman"/>
        <family val="1"/>
      </rPr>
      <t>ридических лиц</t>
    </r>
    <r>
      <rPr>
        <sz val="12"/>
        <color theme="1"/>
        <rFont val="Times New Roman"/>
        <family val="1"/>
      </rPr>
      <t xml:space="preserve"> на реализацию проектов  (млн. руб.)</t>
    </r>
  </si>
  <si>
    <r>
      <t xml:space="preserve">Объем </t>
    </r>
    <r>
      <rPr>
        <b/>
        <sz val="12"/>
        <color theme="1"/>
        <rFont val="Times New Roman"/>
        <family val="1"/>
      </rPr>
      <t>инициативных платежей граждан и ЮЛ, млн руб</t>
    </r>
  </si>
  <si>
    <r>
      <t xml:space="preserve">Общий объем </t>
    </r>
    <r>
      <rPr>
        <b/>
        <sz val="12"/>
        <color theme="1"/>
        <rFont val="Times New Roman"/>
        <family val="1"/>
      </rPr>
      <t>софинансирования из внебюджетных источников</t>
    </r>
    <r>
      <rPr>
        <sz val="12"/>
        <color theme="1"/>
        <rFont val="Times New Roman"/>
        <family val="1"/>
      </rPr>
      <t xml:space="preserve"> (со стороны граждан, ИП и юрлиц, иных форм) (млн.руб.)</t>
    </r>
  </si>
  <si>
    <r>
      <t xml:space="preserve">Объем субсидий из </t>
    </r>
    <r>
      <rPr>
        <b/>
        <sz val="12"/>
        <color theme="1"/>
        <rFont val="Times New Roman"/>
        <family val="1"/>
      </rPr>
      <t>федерального</t>
    </r>
    <r>
      <rPr>
        <sz val="12"/>
        <color theme="1"/>
        <rFont val="Times New Roman"/>
        <family val="1"/>
      </rPr>
      <t xml:space="preserve"> бюджета, направленных на финансирование проектов(млн. руб.)</t>
    </r>
  </si>
  <si>
    <r>
      <t>Средний бюджет ИБ+смеж  на 1 человека в субъекте РФ / в РФ (</t>
    </r>
    <r>
      <rPr>
        <i/>
        <sz val="12"/>
        <color theme="1"/>
        <rFont val="Times New Roman"/>
        <family val="1"/>
      </rPr>
      <t>среди субъектов, где имеются практики ИБ+смежные)</t>
    </r>
  </si>
  <si>
    <r>
      <t>Средний бюджет ИБ на 1 человека в РФ (</t>
    </r>
    <r>
      <rPr>
        <i/>
        <sz val="12"/>
        <color theme="1"/>
        <rFont val="Times New Roman"/>
        <family val="1"/>
      </rPr>
      <t>в целом на все население РФ)</t>
    </r>
  </si>
  <si>
    <r>
      <t xml:space="preserve">Предусмотрен </t>
    </r>
    <r>
      <rPr>
        <b/>
        <sz val="12"/>
        <color theme="1"/>
        <rFont val="Times New Roman"/>
        <family val="1"/>
      </rPr>
      <t>нефинансовый (трудовой) вклад</t>
    </r>
    <r>
      <rPr>
        <sz val="12"/>
        <color theme="1"/>
        <rFont val="Times New Roman"/>
        <family val="1"/>
      </rPr>
      <t xml:space="preserve"> со стороны населения, индивидуальных предпринимателей и юридических лиц</t>
    </r>
  </si>
  <si>
    <r>
      <t xml:space="preserve">Общее количество реализованных проектов  </t>
    </r>
    <r>
      <rPr>
        <i/>
        <sz val="12"/>
        <color theme="1"/>
        <rFont val="Times New Roman"/>
        <family val="1"/>
      </rPr>
      <t>(включая те, завершение которых было перенесено на 2020 г.)</t>
    </r>
  </si>
  <si>
    <r>
      <t xml:space="preserve">(9.1.) Количество </t>
    </r>
    <r>
      <rPr>
        <b/>
        <sz val="12"/>
        <color theme="1"/>
        <rFont val="Times New Roman"/>
        <family val="1"/>
      </rPr>
      <t>проектных идей (предложений)</t>
    </r>
  </si>
  <si>
    <r>
      <t xml:space="preserve">Количество </t>
    </r>
    <r>
      <rPr>
        <b/>
        <sz val="12"/>
        <color theme="1"/>
        <rFont val="Times New Roman"/>
        <family val="1"/>
      </rPr>
      <t>благополучателей</t>
    </r>
  </si>
  <si>
    <r>
      <t>Доля благополучателей от общего количества граждан, проживающих в субъекте РФ (%)  / Средняя доля благополучателей среди субъектов РФ (</t>
    </r>
    <r>
      <rPr>
        <i/>
        <sz val="12"/>
        <color theme="1"/>
        <rFont val="Times New Roman"/>
        <family val="1"/>
      </rPr>
      <t>где имеются ИБ+смежные практики)</t>
    </r>
  </si>
  <si>
    <r>
      <t xml:space="preserve">Наличие </t>
    </r>
    <r>
      <rPr>
        <b/>
        <sz val="12"/>
        <color theme="1"/>
        <rFont val="Times New Roman"/>
        <family val="1"/>
      </rPr>
      <t>проектного центра</t>
    </r>
  </si>
  <si>
    <r>
      <t xml:space="preserve">Процедуры </t>
    </r>
    <r>
      <rPr>
        <b/>
        <sz val="12"/>
        <color theme="1"/>
        <rFont val="Times New Roman"/>
        <family val="1"/>
      </rPr>
      <t>сбора проектных предложени</t>
    </r>
    <r>
      <rPr>
        <sz val="12"/>
        <color theme="1"/>
        <rFont val="Times New Roman"/>
        <family val="1"/>
      </rPr>
      <t>й: Анкетирование</t>
    </r>
  </si>
  <si>
    <r>
      <t xml:space="preserve">Число граждан, принявших </t>
    </r>
    <r>
      <rPr>
        <b/>
        <sz val="12"/>
        <color theme="1"/>
        <rFont val="Times New Roman"/>
        <family val="1"/>
      </rPr>
      <t>участие в процедуре сбора проектных предложений</t>
    </r>
    <r>
      <rPr>
        <sz val="12"/>
        <color theme="1"/>
        <rFont val="Times New Roman"/>
        <family val="1"/>
      </rPr>
      <t>: Анкетирование</t>
    </r>
  </si>
  <si>
    <r>
      <rPr>
        <b/>
        <sz val="12"/>
        <color theme="1"/>
        <rFont val="Times New Roman"/>
        <family val="1"/>
      </rPr>
      <t>Процедуры конкурсного отбора</t>
    </r>
    <r>
      <rPr>
        <sz val="12"/>
        <color theme="1"/>
        <rFont val="Times New Roman"/>
        <family val="1"/>
      </rPr>
      <t>: Интернет-голосование за проекты</t>
    </r>
  </si>
  <si>
    <r>
      <rPr>
        <b/>
        <sz val="12"/>
        <color theme="1"/>
        <rFont val="Times New Roman"/>
        <family val="1"/>
      </rPr>
      <t xml:space="preserve">Число граждан, участвовавших в процедуре конкурсного отбора: </t>
    </r>
    <r>
      <rPr>
        <sz val="12"/>
        <color theme="1"/>
        <rFont val="Times New Roman"/>
        <family val="1"/>
      </rPr>
      <t>Интернет-голосование</t>
    </r>
  </si>
  <si>
    <r>
      <t xml:space="preserve">Число граждан, участвовавших в процедуре конкурсного отбора: Автоматическая оценка проектов на основе формальных критериев 
</t>
    </r>
    <r>
      <rPr>
        <i/>
        <sz val="12"/>
        <color theme="1"/>
        <rFont val="Times New Roman"/>
        <family val="1"/>
      </rPr>
      <t>(2017: Независимая оценка проектов на основе заданных критериев на конкурсной основе)</t>
    </r>
  </si>
  <si>
    <t>Динамика благополучателей ИБ, %</t>
  </si>
  <si>
    <r>
      <t xml:space="preserve">Итого: </t>
    </r>
    <r>
      <rPr>
        <b/>
        <i/>
        <sz val="12"/>
        <color theme="1"/>
        <rFont val="Times New Roman"/>
        <family val="1"/>
      </rPr>
      <t>(считается автоматически)</t>
    </r>
  </si>
  <si>
    <t>Наименование практики СУБЪЕКТА РФ</t>
  </si>
  <si>
    <r>
      <t xml:space="preserve">Объем инициативных платежей со стороны граждан, юридических лиц и индивидуальных предпринимателей, поступивших в 2022 году в бюджеты муниципальных образований, реализующих проекты инициативного бюджетирования на территории субъекта РФ (в соответствии с кодами по виду доходов бюджетов </t>
    </r>
    <r>
      <rPr>
        <b/>
        <i/>
        <sz val="12"/>
        <color theme="1"/>
        <rFont val="Times New Roman"/>
        <family val="1"/>
      </rPr>
      <t>000 1 17 15000 00 0000 150 "Инициативные платежи"</t>
    </r>
    <r>
      <rPr>
        <b/>
        <sz val="12"/>
        <color theme="1"/>
        <rFont val="Times New Roman"/>
        <family val="1"/>
      </rPr>
      <t>)</t>
    </r>
  </si>
  <si>
    <r>
      <rPr>
        <sz val="12"/>
        <color theme="1"/>
        <rFont val="Times New Roman"/>
        <family val="1"/>
      </rPr>
      <t xml:space="preserve">Отсутствуют. Информация размещается в социальных сетях Башкортостанского Регионального отделения Партии "ЕДИНАЯ РОССИЯ"
Примеры:   </t>
    </r>
    <r>
      <rPr>
        <u/>
        <sz val="12"/>
        <color theme="1"/>
        <rFont val="Times New Roman"/>
        <family val="1"/>
      </rPr>
      <t xml:space="preserve">
https://vk.com/erbashkortostan?w=wall-1663109_25345
https://gsrb.ru/ru/nakazy-izbirateley/
https://www.instagram.com/khismatullina_ruzaliya/
https://vk.com/id500278494</t>
    </r>
  </si>
  <si>
    <r>
      <rPr>
        <sz val="12"/>
        <color theme="1"/>
        <rFont val="Times New Roman"/>
        <family val="1"/>
      </rPr>
      <t>Протокол заседания конкурсной комиссии,</t>
    </r>
    <r>
      <rPr>
        <u/>
        <sz val="12"/>
        <color theme="1"/>
        <rFont val="Times New Roman"/>
        <family val="1"/>
      </rPr>
      <t xml:space="preserve">
https://ppmi.bashkortostan.ru/document#gallery-12</t>
    </r>
  </si>
  <si>
    <r>
      <t>1.  Проект "Благоустройство детской площадки ТОС "Центральный" Белоколодезского с/п" -</t>
    </r>
    <r>
      <rPr>
        <b/>
        <sz val="12"/>
        <color theme="1"/>
        <rFont val="Times New Roman"/>
        <family val="1"/>
      </rPr>
      <t xml:space="preserve"> 63 чел.</t>
    </r>
    <r>
      <rPr>
        <sz val="12"/>
        <color theme="1"/>
        <rFont val="Times New Roman"/>
        <family val="1"/>
      </rPr>
      <t xml:space="preserve"> (дети жителей ТОС "Центральный" и соседних улиц.    2. Проект "Создание зоны отдыха для детей и взрослых "Сказочный дворик" -</t>
    </r>
    <r>
      <rPr>
        <b/>
        <sz val="12"/>
        <color theme="1"/>
        <rFont val="Times New Roman"/>
        <family val="1"/>
      </rPr>
      <t xml:space="preserve"> 108 человек</t>
    </r>
    <r>
      <rPr>
        <sz val="12"/>
        <color theme="1"/>
        <rFont val="Times New Roman"/>
        <family val="1"/>
      </rPr>
      <t xml:space="preserve"> (Жители ул. Степная ТОС "Добрые соседи"                                               3. Проект благоустройство рекреационной зоны "Старый Хутор" - </t>
    </r>
    <r>
      <rPr>
        <b/>
        <sz val="12"/>
        <color theme="1"/>
        <rFont val="Times New Roman"/>
        <family val="1"/>
      </rPr>
      <t>4000 чел</t>
    </r>
    <r>
      <rPr>
        <sz val="12"/>
        <color theme="1"/>
        <rFont val="Times New Roman"/>
        <family val="1"/>
      </rPr>
      <t>. (по данным управления культуры администрации Вейделевского района, в рамках туристической деятельности рекреационную зону "Старый Хутор" в 2022 г. посетили 4000 чел)                                                                                4. Проект "Благоустройство прилегающей территории к памятнику погибшим воинам в х. Колесников Кубраковского с/п" -</t>
    </r>
    <r>
      <rPr>
        <b/>
        <sz val="12"/>
        <color theme="1"/>
        <rFont val="Times New Roman"/>
        <family val="1"/>
      </rPr>
      <t xml:space="preserve"> 248 чел</t>
    </r>
    <r>
      <rPr>
        <sz val="12"/>
        <color theme="1"/>
        <rFont val="Times New Roman"/>
        <family val="1"/>
      </rPr>
      <t xml:space="preserve"> (жители х. Колесников)</t>
    </r>
  </si>
  <si>
    <r>
      <t>Конкурс проводится после процедуры защиты проектов путем открытого прямого голосования участников. 
Голосование проводится с ис</t>
    </r>
    <r>
      <rPr>
        <b/>
        <sz val="12"/>
        <color theme="1"/>
        <rFont val="Times New Roman"/>
        <family val="1"/>
      </rPr>
      <t>пользованием стикеров для голосования.</t>
    </r>
    <r>
      <rPr>
        <sz val="12"/>
        <color theme="1"/>
        <rFont val="Times New Roman"/>
        <family val="1"/>
      </rPr>
      <t xml:space="preserve">
 Каждый участник команды может 1 раз проголосовать за 1 из проектов, презентуемых в группе, путем прикрепления стикера для голосования к карточке с наименованием проекта. 
Голосование за проект своей команды запрещено.
Итоговая оценка инициативных проектов производится по группам присутствующей на голосовании конкурсной комиссией путем суммирования всех голосов, отданных участниками при голосовании за конкретный инициативный проект. Инициативные проекты ранжируются в порядке убывания количества голосов.
</t>
    </r>
  </si>
  <si>
    <r>
      <rPr>
        <sz val="12"/>
        <color theme="1"/>
        <rFont val="Times New Roman"/>
        <family val="1"/>
      </rPr>
      <t xml:space="preserve">В 2022 году в целях популяризации на территории Волгоградской области практики инициативного бюджетирования был проведен творческий конкурс среди детей и молодежи по созданию видеороликов и комиксов об инициативном бюджетировании. Конкурс проводился совместно с Волгоградским институтом управления филиалом РАНХиГС. Всего было отобрано 30 победителей. С работами можно ознакомиться по адресу  </t>
    </r>
    <r>
      <rPr>
        <u/>
        <sz val="12"/>
        <color theme="1"/>
        <rFont val="Times New Roman"/>
        <family val="1"/>
      </rPr>
      <t xml:space="preserve">
https://vlgr-ranepa.ru/konkurs/vlg-local-init/        
</t>
    </r>
    <r>
      <rPr>
        <sz val="12"/>
        <color theme="1"/>
        <rFont val="Times New Roman"/>
        <family val="1"/>
      </rPr>
      <t xml:space="preserve">Кроме того,  информационная компания проводилась на базе МФЦ региона, а также информационной поддержки со стороны региональных СМИ. 
https://volgograd-trv.ru/tags/инициативное%20бюджетирование/ </t>
    </r>
    <r>
      <rPr>
        <u/>
        <sz val="12"/>
        <color theme="1"/>
        <rFont val="Times New Roman"/>
        <family val="1"/>
      </rPr>
      <t xml:space="preserve">
</t>
    </r>
  </si>
  <si>
    <r>
      <t>Проекты отбирают жители населенных пунктов путем проведения опросов, анкетирования, собраний, конференций.  Администрации муниципальных образований формируют заявку на основе выбранных (поддержанных) проектов и подают заявку в департамент по развитию муниципальных образований для участия в региональном конкурсном отборе с целью олучения региональной поддержки для реализации проекта. Специалистами департамента заявки рассматриваются на соответствие требованиям нормативного правового акта , устанавливающего условия проведения конкурсного отбора и оцениваются в соответствии с нормативно закрепленным критериям отбора. Выстраивается рейтинг инициативных проектов в порядке убывания набранных по нормативно закрепленным критериям баллов. Рейтинг с описанием проектов направляется членам конкурсной комиссии для ознакомления не менее чем за 5 дней до заседания. За этот период члены конкурсной комиссии знакомятся с проектами, получают развернутые ответы по интересующим и возникающим вопросам. На заседании подводятся итоги конкурсного отбора, обсуждаются спорные моменты, связанные с проектами и согласовывается перечень проектов которые имеют право на получение субсидии из областного бюджета.Членами конкурсной комиссии являются представители профильных департаментов (исполнительных органов государственной власти) Воронежской области,представители депутатского корпуса, общественности.</t>
    </r>
    <r>
      <rPr>
        <b/>
        <sz val="12"/>
        <color theme="1"/>
        <rFont val="Times New Roman"/>
        <family val="1"/>
      </rPr>
      <t xml:space="preserve"> </t>
    </r>
  </si>
  <si>
    <r>
      <rPr>
        <i/>
        <u/>
        <sz val="12"/>
        <color theme="1"/>
        <rFont val="Times New Roman"/>
        <family val="1"/>
      </rPr>
      <t xml:space="preserve">государственная программа Воронежской области </t>
    </r>
    <r>
      <rPr>
        <sz val="12"/>
        <color theme="1"/>
        <rFont val="Times New Roman"/>
        <family val="1"/>
      </rPr>
      <t xml:space="preserve">«Содействие развитию муниципальных образований и местного самоуправления» 
</t>
    </r>
    <r>
      <rPr>
        <i/>
        <u/>
        <sz val="12"/>
        <color theme="1"/>
        <rFont val="Times New Roman"/>
        <family val="1"/>
      </rPr>
      <t>подпрограмма 1</t>
    </r>
    <r>
      <rPr>
        <sz val="12"/>
        <color theme="1"/>
        <rFont val="Times New Roman"/>
        <family val="1"/>
      </rPr>
      <t xml:space="preserve"> «Реализация государственной политики в сфере социально-экономического развития муниципальных образований»
</t>
    </r>
    <r>
      <rPr>
        <i/>
        <u/>
        <sz val="12"/>
        <color theme="1"/>
        <rFont val="Times New Roman"/>
        <family val="1"/>
      </rPr>
      <t>комплекс процессных мероприятий 1.2</t>
    </r>
    <r>
      <rPr>
        <sz val="12"/>
        <color theme="1"/>
        <rFont val="Times New Roman"/>
        <family val="1"/>
      </rPr>
      <t xml:space="preserve"> «Развитие территорий муниципальных образований» 
</t>
    </r>
    <r>
      <rPr>
        <i/>
        <u/>
        <sz val="12"/>
        <color theme="1"/>
        <rFont val="Times New Roman"/>
        <family val="1"/>
      </rPr>
      <t xml:space="preserve">мероприятие 1.2.10 «Развитие территориального общественного самоуправления». Предоставление субсидий некоммерческой организации - Ассоциация «Совет муниципальных образований Воронежской области» в рамках государственной программы Воронежской области «Содействие развитию муниципальных образований и местного самоуправления», в том числе:
- на поддержку Ассоциации «Совет муниципальных образований Воронежской области»;
- на поощрение проектов, реализуемых в рамках территориального общественного самоуправления в муниципальных образованиях Воронежской области
</t>
    </r>
  </si>
  <si>
    <t xml:space="preserve">Постановление Правительства Калининградской области от 14.02.2022 № 76 "Об утверждении государственной программы
Калининградской области "Жилье и городская среда"
</t>
  </si>
  <si>
    <t xml:space="preserve">Закон Калужской области от 30.12.2020 № 55-ОЗ
"О мерах поддержки реализации на территории Калужской области инициативных проектов"
</t>
  </si>
  <si>
    <r>
      <t xml:space="preserve">1.  Семинар-совещание с руководителями финансовых органов муниципальных районов и городских округов Калужской области, один из вопросов - "Итоги реализации инициативных проектов на территориях городских и сельских поселений региона в 2022 году и перспективы на 2023 год " (ноябрь 2022 года), количество участников - 26 человек, продолжительность - 2 часа.                                                                                                                                                                      
2. Консультативный совет глав муниципальных образований Калужской области, один из вопросов - "О реализации Программы поддержки местных инициатив на территории Калужской области" (декабрь 2022 года), количество участников - от 300 до 350 человек, продолжительность - 2 часа.                                                                         </t>
    </r>
    <r>
      <rPr>
        <sz val="12"/>
        <rFont val="Calibri"/>
        <family val="2"/>
        <charset val="204"/>
        <scheme val="minor"/>
      </rPr>
      <t/>
    </r>
  </si>
  <si>
    <t xml:space="preserve">https://vk.com/naselenie.kaluga, https://ok.ru/naselenie.kaluga, https://web.telegram.org/z/#-1619454561 </t>
  </si>
  <si>
    <t xml:space="preserve">https://www.kaluga-gov.ru/obshchestvo/initsiativnye-proekty/pravovaya-baza/2740/  https://vk.com/naselenie.kaluga, https://ok.ru/naselenie.kaluga, https://web.telegram.org/z/#-1619454561 </t>
  </si>
  <si>
    <t>1) Закон Республики Карелия от 15 декабря 2021 года № 2656-ЗРК «О бюджете Республики Карелия на 2022 год и на плановый период 2023 и 2024 годов»
2) Постановление Правительства Республики Карелия от 23 марта 2022 года № 158-П "О распределении на 2022 год субсидий местным бюджетам на поддержку  местных инициатив граждан проживающих в муниципальных образованиях"</t>
  </si>
  <si>
    <t>1) Закон Республики Карелия от 15 декабря 2021 года № 2656-ЗРК «О бюджете Республики Карелия на 2022 год и на плановый период 2023 и 2024 годов»
2) Постановление Правительства Республики Карелия от 29 июня 2022 года № 363-П "О распределении на 2022 год иных межбюджетных трансфертов местным бюджетам из бюджета Республики Карелия на поддержку развития территориального общественного самоуправления"</t>
  </si>
  <si>
    <r>
      <t>Закон Кемеровской области - Кузбасса от 14.11.2018 № 90-ОЗ "О реализации проектов инициативного бюджетирования в Кемеровской области -Кузбассе"</t>
    </r>
    <r>
      <rPr>
        <b/>
        <sz val="12"/>
        <color theme="1"/>
        <rFont val="Times New Roman"/>
        <family val="1"/>
      </rPr>
      <t xml:space="preserve"> (На постоянной основе)</t>
    </r>
  </si>
  <si>
    <r>
      <t xml:space="preserve">Постановление коллегии Администрации Кемеровской области   </t>
    </r>
    <r>
      <rPr>
        <b/>
        <sz val="12"/>
        <color theme="1"/>
        <rFont val="Times New Roman"/>
        <family val="1"/>
      </rPr>
      <t xml:space="preserve"> от 11.12.2018 № 565</t>
    </r>
    <r>
      <rPr>
        <sz val="12"/>
        <color theme="1"/>
        <rFont val="Times New Roman"/>
        <family val="1"/>
      </rPr>
      <t xml:space="preserve"> "Об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-Кузбассе,  постановление коллегии Администрации Кемеровской области от </t>
    </r>
    <r>
      <rPr>
        <b/>
        <sz val="12"/>
        <color theme="1"/>
        <rFont val="Times New Roman"/>
        <family val="1"/>
      </rPr>
      <t>11.12.2018 № 566</t>
    </r>
    <r>
      <rPr>
        <sz val="12"/>
        <color theme="1"/>
        <rFont val="Times New Roman"/>
        <family val="1"/>
      </rPr>
      <t xml:space="preserve">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r>
  </si>
  <si>
    <r>
      <t xml:space="preserve">Разработка и отбор инициативных предложений происходит на заседаниях </t>
    </r>
    <r>
      <rPr>
        <b/>
        <sz val="12"/>
        <color theme="1"/>
        <rFont val="Times New Roman"/>
        <family val="1"/>
      </rPr>
      <t>бюджетной комиссии*</t>
    </r>
    <r>
      <rPr>
        <sz val="12"/>
        <color theme="1"/>
        <rFont val="Times New Roman"/>
        <family val="1"/>
      </rPr>
      <t>, состоящей из местных жителей. По ссылке размещена видеозапись одного из заседаний в пгт Вахруши Слободского района в 2021 году https://vk.com/narodnijbudjet.vaxrushi?w=wall-147883966_671</t>
    </r>
  </si>
  <si>
    <r>
      <t xml:space="preserve">Инициативные предложения, которые в дальнейшем будут реализованы, выбираются путем </t>
    </r>
    <r>
      <rPr>
        <b/>
        <sz val="12"/>
        <color theme="1"/>
        <rFont val="Times New Roman"/>
        <family val="1"/>
      </rPr>
      <t>голосования бюджетной комиссии**</t>
    </r>
  </si>
  <si>
    <r>
      <t>1. Организационное собрание для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t>
    </r>
    <r>
      <rPr>
        <b/>
        <sz val="12"/>
        <color theme="1"/>
        <rFont val="Times New Roman"/>
        <family val="1"/>
      </rPr>
      <t xml:space="preserve"> модераторы проекта***</t>
    </r>
    <r>
      <rPr>
        <sz val="12"/>
        <color theme="1"/>
        <rFont val="Times New Roman"/>
        <family val="1"/>
      </rPr>
      <t xml:space="preserve"> от муниципальных образований.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r>
  </si>
  <si>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 и в месенджере  «Telegram».</t>
  </si>
  <si>
    <r>
      <t>да</t>
    </r>
    <r>
      <rPr>
        <u/>
        <sz val="12"/>
        <color theme="1"/>
        <rFont val="Times New Roman"/>
        <family val="1"/>
      </rPr>
      <t xml:space="preserve"> (https://www.afanasyevo.ru/ekonomika/initsiativnye-proekty)</t>
    </r>
  </si>
  <si>
    <t>Анкета, 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2022 года</t>
  </si>
  <si>
    <t>Размещение информации на официальном сайте администрации ГО «Вуктыл» и в официальной группе социальной сети Вконтакте  о начале анкетирования граждан, с целью выявления народных инициатив. Так же размещалась информация о ходе и о результатах реализации народных инициатив с приложением фотоматериалов.</t>
  </si>
  <si>
    <t>org.otdel.vuktyl@mail.ru</t>
  </si>
  <si>
    <r>
      <t>решение Совета Кавказского сельского поселения Кавказского района от 08.02.2019 года №4 "О передаче Кавказскому сельскому поселению Кавказского района   проектной документации объекта газификации"</t>
    </r>
    <r>
      <rPr>
        <u/>
        <sz val="12"/>
        <color theme="1"/>
        <rFont val="Times New Roman"/>
        <family val="1"/>
      </rPr>
      <t>;</t>
    </r>
    <r>
      <rPr>
        <sz val="12"/>
        <color theme="1"/>
        <rFont val="Times New Roman"/>
        <family val="1"/>
      </rPr>
      <t xml:space="preserve"> решение Совета Кавказского сельского поселения Кавказского района от 30.01.2020 года №3 "О передаче Кавказскому сельскому поселению Кавказского района проектной документации </t>
    </r>
  </si>
  <si>
    <t xml:space="preserve">Инициатор проекта до начала его реализации за счёт средств местного бюджета обеспечивает внесение инициативных платежей в доход бюджета Октябрьского сельского поселения Красноармейского района на основании договора пожертвования, заключенного с администрацией Октябрьского сельского поселения Красноармейского района, и (или) заключает с администрацией Октябрьского сельского поселения Красноармейского района договор добровольного пожертвования имущества и (или) договор на безвозмездное оказание услуг (выполнение работ), по реализации инициативного проекта. </t>
  </si>
  <si>
    <t>1. «Благоустройство территории  Тенгинского сельского поселения Усть-Лабинского района. Приобретение «топиарий»                                          2.  «Благоустройство территории  Тенгинского сельского поселения Усть-Лабинского района. Приобретение «Табло универсальное спортивное»</t>
  </si>
  <si>
    <t xml:space="preserve">Центр изучения гражданских инициатив создан на базе Государственного бюджетного образовательного учреждения высшего образования Республики Крым «Крымский инженерно-педагогический университет имени Февзи Якубова» </t>
  </si>
  <si>
    <r>
      <rPr>
        <u/>
        <sz val="12"/>
        <color theme="1"/>
        <rFont val="Times New Roman"/>
        <family val="1"/>
      </rPr>
      <t xml:space="preserve">АЛГОРИТМ ПРОВЕДЕНИЯ ОПРОСА </t>
    </r>
    <r>
      <rPr>
        <sz val="12"/>
        <color theme="1"/>
        <rFont val="Times New Roman"/>
        <family val="1"/>
      </rPr>
      <t xml:space="preserve">1. Формирование  рабочей группы для проведения опроса при администрации МО. 2. Подготовка бланков опросных листов, передача их уполномоченным на проведение опроса лицам. 3. Сбор и анализ заполненных бланков. 4. Подготовка информационной справки (аналитической ведомости) о наиболее актуальных проблемах поселения, озвученных жителями.5. Подготовка программы предварительного собрания с целью обсуждения наиболее актуальных направлений разработки проектов ИБ и формирования инициативных групп. К заявке проекта ИБ прилагаются все отсканированные опросные листы. Аналитическая ведомость и оригиналы заполненных опросных листов хранятся в администрации МО. 
</t>
    </r>
    <r>
      <rPr>
        <u/>
        <sz val="12"/>
        <color theme="1"/>
        <rFont val="Times New Roman"/>
        <family val="1"/>
      </rPr>
      <t xml:space="preserve">Объем выборки для опроса: </t>
    </r>
    <r>
      <rPr>
        <sz val="12"/>
        <color theme="1"/>
        <rFont val="Times New Roman"/>
        <family val="1"/>
      </rPr>
      <t xml:space="preserve"> В населенных пунктах с населением более 10 тысяч человек выборка от 5 до 10% (от 500 до 1000 человек). В населенных пунктах с населением менее 5 тысяч выборка от 15 до 20% населения. В населенных пунктах с численностью менее 1000 человек рекомендуется охватить опросом все взрослое население.
</t>
    </r>
  </si>
  <si>
    <r>
      <rPr>
        <b/>
        <sz val="12"/>
        <color theme="1"/>
        <rFont val="Times New Roman"/>
        <family val="1"/>
      </rPr>
      <t xml:space="preserve">1 школа: </t>
    </r>
    <r>
      <rPr>
        <sz val="12"/>
        <color theme="1"/>
        <rFont val="Times New Roman"/>
        <family val="1"/>
      </rPr>
      <t xml:space="preserve">https://dzhankoy.rk.gov.ru/uploads/txteditor/dzhankoy/attachments//d4/1d/8c/d98f00b204e9800998ecf8427e/phpLDfm3C_протокол%2020122021.pdf                                                                                                                                                                                </t>
    </r>
    <r>
      <rPr>
        <b/>
        <sz val="12"/>
        <color theme="1"/>
        <rFont val="Times New Roman"/>
        <family val="1"/>
      </rPr>
      <t xml:space="preserve">2 школа: </t>
    </r>
    <r>
      <rPr>
        <sz val="12"/>
        <color theme="1"/>
        <rFont val="Times New Roman"/>
        <family val="1"/>
      </rPr>
      <t xml:space="preserve">https://dzhankoy.rk.gov.ru/uploads/txteditor/dzhankoy/attachments//d4/1d/8c/d98f00b204e9800998ecf8427e/phpYw8mSj_Проткол%201.pdf         https://dzhankoy.rk.gov.ru/uploads/txteditor/dzhankoy/attachments//d4/1d/8c/d98f00b204e9800998ecf8427e/php3Tlaw9_Протокол%202.pdf                                                                                                                                                                                         </t>
    </r>
    <r>
      <rPr>
        <b/>
        <sz val="12"/>
        <color theme="1"/>
        <rFont val="Times New Roman"/>
        <family val="1"/>
      </rPr>
      <t>3школа</t>
    </r>
    <r>
      <rPr>
        <sz val="12"/>
        <color theme="1"/>
        <rFont val="Times New Roman"/>
        <family val="1"/>
      </rPr>
      <t xml:space="preserve">: https://dzhankoy.rk.gov.ru/uploads/txteditor/dzhankoy/attachments//d4/1d/8c/d98f00b204e9800998ecf8427e/phpZ5gU2c_Протокол%201.pdf            https://dzhankoy.rk.gov.ru/uploads/txteditor/dzhankoy/attachments//d4/1d/8c/d98f00b204e9800998ecf8427e/phplAZOEF_Протокол2.pdf                                                                                                                                                                                                                                           </t>
    </r>
    <r>
      <rPr>
        <b/>
        <sz val="12"/>
        <color theme="1"/>
        <rFont val="Times New Roman"/>
        <family val="1"/>
      </rPr>
      <t xml:space="preserve">4 школа. </t>
    </r>
    <r>
      <rPr>
        <sz val="12"/>
        <color theme="1"/>
        <rFont val="Times New Roman"/>
        <family val="1"/>
      </rPr>
      <t xml:space="preserve">https://dzhankoy.rk.gov.ru/uploads/txteditor/dzhankoy/attachments//d4/1d/8c/d98f00b204e9800998ecf8427e/phpYqLETQ_Протокол%20школьной%20ученической%20конференции%20от%2008.11.2021%20г..pdf                                                      https://dzhankoy.rk.gov.ru/uploads/txteditor/dzhankoy/attachments//d4/1d/8c/d98f00b204e9800998ecf8427e/phpcDMrwj_Протокол%20собрания%20граждан%20(инициативной%20группы)%20от%2013.12.2021%20г..pdf                                                                                                                                                                                                       </t>
    </r>
    <r>
      <rPr>
        <b/>
        <sz val="12"/>
        <color theme="1"/>
        <rFont val="Times New Roman"/>
        <family val="1"/>
      </rPr>
      <t>6 школа:</t>
    </r>
    <r>
      <rPr>
        <sz val="12"/>
        <color theme="1"/>
        <rFont val="Times New Roman"/>
        <family val="1"/>
      </rPr>
      <t xml:space="preserve"> https://dzhankoy.rk.gov.ru/uploads/txteditor/dzhankoy/attachments//d4/1d/8c/d98f00b204e9800998ecf8427e/phpJygZwQ_протокол%203%20от%2010.10.pdf                              https://dzhankoy.rk.gov.ru/uploads/txteditor/dzhankoy/attachments//d4/1d/8c/d98f00b204e9800998ecf8427e/phpXn28Lv_протокол5%2025.11.pdf                                 https://dzhankoy.rk.gov.ru/uploads/txteditor/dzhankoy/attachments//d4/1d/8c/d98f00b204e9800998ecf8427e/php0b2eoa_выписка%20из%20протокола%20№17%20от%2029.12.2021%20заседания%20педагогического%20совета.pdf                                                                                                                                                                                                                                                                                                                             </t>
    </r>
    <r>
      <rPr>
        <b/>
        <sz val="12"/>
        <color theme="1"/>
        <rFont val="Times New Roman"/>
        <family val="1"/>
      </rPr>
      <t>5 школа</t>
    </r>
    <r>
      <rPr>
        <sz val="12"/>
        <color theme="1"/>
        <rFont val="Times New Roman"/>
        <family val="1"/>
      </rPr>
      <t xml:space="preserve">. https://dzhankoy.rk.gov.ru/uploads/txteditor/dzhankoy/attachments//d4/1d/8c/d98f00b204e9800998ecf8427e/phpkGjteG_Протокол%202%20от%2011.2021.pdf                                    https://dzhankoy.rk.gov.ru/uploads/txteditor/dzhankoy/attachments//d4/1d/8c/d98f00b204e9800998ecf8427e/phpd2CauM_Протокол%203%20от%2011.2021.pdf                                                                          https://dzhankoy.rk.gov.ru/uploads/txteditor/dzhankoy/attachments//d4/1d/8c/d98f00b204e9800998ecf8427e/phpVQ8iYg_Протокол%204%20от%2011.2021.pdf                                                                                                                                                                                                                                                                                   </t>
    </r>
    <r>
      <rPr>
        <b/>
        <sz val="12"/>
        <color theme="1"/>
        <rFont val="Times New Roman"/>
        <family val="1"/>
      </rPr>
      <t>7 школа:</t>
    </r>
    <r>
      <rPr>
        <sz val="12"/>
        <color theme="1"/>
        <rFont val="Times New Roman"/>
        <family val="1"/>
      </rPr>
      <t xml:space="preserve"> https://dzhankoy.rk.gov.ru/uploads/txteditor/dzhankoy/attachments//d4/1d/8c/d98f00b204e9800998ecf8427e/phpA8NwPH_Протокол%201%2022.09.pdf                    https://dzhankoy.rk.gov.ru/uploads/txteditor/dzhankoy/attachments//d4/1d/8c/d98f00b204e9800998ecf8427e/php61TYKn_Протокол%202%2027.10.pdf          https://dzhankoy.rk.gov.ru/uploads/txteditor/dzhankoy/attachments//d4/1d/8c/d98f00b204e9800998ecf8427e/phplQ1Qqd_Протокол%203%2017.11.pdf         https://dzhankoy.rk.gov.ru/uploads/txteditor/dzhankoy/attachments//d4/1d/8c/d98f00b204e9800998ecf8427e/phptiTC1R_Протокол%204%2007.12.pdf        </t>
    </r>
    <r>
      <rPr>
        <b/>
        <sz val="12"/>
        <color theme="1"/>
        <rFont val="Times New Roman"/>
        <family val="1"/>
      </rPr>
      <t xml:space="preserve">8 школа: </t>
    </r>
    <r>
      <rPr>
        <sz val="12"/>
        <color theme="1"/>
        <rFont val="Times New Roman"/>
        <family val="1"/>
      </rPr>
      <t xml:space="preserve">https://dzhankoy.rk.gov.ru/uploads/txteditor/dzhankoy/attachments//d4/1d/8c/d98f00b204e9800998ecf8427e/phpE1RsUM_Протокол%20№1%2015.10.2021.PDF                    https://dzhankoy.rk.gov.ru/uploads/txteditor/dzhankoy/attachments//d4/1d/8c/d98f00b204e9800998ecf8427e/php9G2ylR_Протокол%20№2%2020.11.2021.PDF      https://dzhankoy.rk.gov.ru/uploads/txteditor/dzhankoy/attachments//d4/1d/8c/d98f00b204e9800998ecf8427e/phpPrKfoC_Протокол%20№3%2024.12.2021.PDF                                                                                                                                  </t>
    </r>
  </si>
  <si>
    <t>Комитетом в 2022 году проводились 05.10.2022, 07.11.2022, 01.12.2022 образовательные онлайн - семинары, посвященные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</si>
  <si>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r>
      <rPr>
        <sz val="12"/>
        <color theme="1"/>
        <rFont val="Times New Roman"/>
        <family val="1"/>
      </rPr>
      <t xml:space="preserve">листы регистрации к протоколам заседаний, размещенные в тематических группах в социальной сети ВКонтакте; отбор инициатив для реализации определяется путем подсчета голосов при голосовании за инициативы с положительным экспертным заключением на заседании бюджетной комиссии </t>
    </r>
    <r>
      <rPr>
        <u/>
        <sz val="12"/>
        <color theme="1"/>
        <rFont val="Times New Roman"/>
        <family val="1"/>
      </rPr>
      <t>https://vk.com/public197984081?w=wall-197984081_224 https://vk.com/narodbudget_shimsk?w=wall-186718337_176%2Fall</t>
    </r>
  </si>
  <si>
    <t>Пунктами 1.1.6 и 1.1.7 Методики оценки местных инициатив для предоставления субсидий бюджетам муниципальных районов,  муниципальных округов, городского округа Новгородской области в рамках приоритетного регионального проекта "Наш выбор"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</si>
  <si>
    <r>
      <rPr>
        <sz val="12"/>
        <color theme="1"/>
        <rFont val="Times New Roman"/>
        <family val="1"/>
      </rPr>
      <t>путем прямого подсчета</t>
    </r>
    <r>
      <rPr>
        <u/>
        <sz val="12"/>
        <color theme="1"/>
        <rFont val="Times New Roman"/>
        <family val="1"/>
      </rPr>
      <t xml:space="preserve"> https://vk.com/wall-160413159?offset=440&amp;q=%D0%9D%D0%B0%D1%88%20%D0%B2%D1%8B%D0%B1%D0%BE%D1%80&amp;w=wall-160413159_7946   https://vk.com/wall-160413159?offset=440&amp;q=%D0%9D%D0%B0%D1%88%20%D0%B2%D1%8B%D0%B1%D0%BE%D1%80&amp;w=wall-160413159_7930 https://vk.com/wall-160413159?offset=440&amp;q=%D0%9D%D0%B0%D1%88%20%D0%B2%D1%8B%D0%B1%D0%BE%D1%80&amp;w=wall-160413159_7772</t>
    </r>
  </si>
  <si>
    <t xml:space="preserve">В рамках ПРП "Наш выбор" критерием участия является определенный тип муниципальных образований: муниципальные районы, муниципальные округа, городской округ Великий Новгород.                                                                     Критерием отбора муниципальных районов, округов для предоставления субсидий является наличие в муниципальном районе, округе проекта, отобранного населением муниципального района, округа на собрании (конференции) граждан.  Критерием отбора городского округа для предоставления субсидий является наличие в городском округе проектов, отобранных на собрании (конференции) жителей территории городского округа, закрепленного за отделом-центром по работе с населением по месту жительства в Администрации Великого Новгорода.                                                                            Кроме того, объект инфраструктуры, предлагаемый для реализации в рамках проекта, должен находиться в собственности, оперативном управлении или безвозмездном пользовании округа или района. </t>
  </si>
  <si>
    <r>
      <rPr>
        <sz val="12"/>
        <color theme="1"/>
        <rFont val="Times New Roman"/>
        <family val="1"/>
      </rPr>
      <t>В 2022 году ПРП "Наш выбор"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по проекту "Наш выбор" размещено 101 уникальная публикация в тематических группах в социальных сетях ВКонтакте, Телеграмм, ЯндексДзен, набравших 107354 просмотра. На региональном ТВ в 2022 году вышло 19 телесюжетов о проекте.</t>
    </r>
    <r>
      <rPr>
        <u/>
        <sz val="12"/>
        <color theme="1"/>
        <rFont val="Times New Roman"/>
        <family val="1"/>
      </rPr>
      <t xml:space="preserve">
https://vk.com/wall-160413159_8329
https://vk.com/wall-160413159_8333
https://vk.com/wall-160413159_8335
https://vk.com/wall-160413159_8352
https://vk.com/wall-160413159_8360
https://vk.com/wall-160413159_8414
https://vk.com/wall-160413159_8416
https://vk.com/wall-160413159?q=%D0%B2%D1%8B%D0%B1%D0%BE%D1%80&amp;w=wall-160413159_8465
https://vk.com/wall-160413159_8577
https://vk.com/wall-160413159_8478
https://vk.com/ppmi53?w=wall-160413159_8775
https://vk.com/wall-160413159_8716
https://vk.com/wall-160413159_8817
https://vk.com/wall-160413159_8923
https://vk.com/wall-160413159_8919
https://vk.com/wall-160413159_8889
https://vk.com/wall-160413159_8848
https://vk.com/wall-160413159_8975
https://vk.com/wall-160413159_8982
https://vk.com/wall-160413159_8987
https://vk.com/wall-160413159_9071
https://vk.com/wall-160413159_9075
https://vk.com/wall-160413159_9085
https://www.facebook.com/groups/1825803114105110/posts/5066099476742108/
https://www.facebook.com/groups/1825803114105110/posts/5065317740153615/
https://www.facebook.com/groups/1825803114105110/posts/5087147801303942/
https://www.facebook.com/groups/1825803114105110/posts/5123252437693478/
https://www.facebook.com/groups/1825803114105110/posts/5123979154287473/
https://www.facebook.com/groups/1825803114105110/posts/5157755144243207/
https://t.me/ppmi53/12
https://t.me/ppmi53/24
https://t.me/ppmi53/55
https://t.me/ppmi53/108?single
https://t.me/ppmi53/102
https://t.me/ppmi53/101
https://vk.com/wall-160413159_9140
https://vk.com/wall-160413159_9180
https://vk.com/wall-160413159_9247
https://vk.com/wall-160413159_9324
https://vk.com/wall-160413159_9389
https://vk.com/wall-160413159_9390
https://vk.com/wall-160413159_9480
https://vk.com/wall-160413159_9487
https://vk.com/wall-160413159_9490
https://vk.com/wall-160413159_9491
https://t.me/ppmi53/139?single
https://t.me/ppmi53/127
https://t.me/ppmi53/119
https://t.me/ppmi53/113
https://t.me/ppmi53/108
https://vk.com/wall-160413159_9600
https://vk.com/wall-160413159_9612
https://vk.com/wall-160413159_9649
https://vk.com/wall-160413159_9690
https://vk.com/wall-160413159_9718
https://vk.com/wall-160413159_9788
https://vk.com/wall-160413159_10058
https://vk.com/wall-160413159_9909
https://vk.com/wall-160413159_9882
https://vk.com/wall-160413159_9875
https://vk.com/wall-160413159_9859
https://vk.com/wall-160413159_9858
https://vk.com/wall-160413159_9856
https://vk.com/wall-160413159_9848
https://vk.com/wall-160413159_9830
https://t.me/ppmi53/189
https://t.me/ppmi53/205
https://t.me/ppmi53/213
https://t.me/ppmi53/223
https://t.me/ppmi53/230
https://t.me/ppmi53/233
https://t.me/ppmi53/239
https://t.me/ppmi53/243
https://t.me/ppmi53/250
https://vk.com/wall523073103_408
https://vk.com/wall-160413159_10205
https://vk.com/wall-160413159_10112
https://vk.com/wall-160413159_10058
https://vk.com/wall-160413159_10604
https://vk.com/wall-160413159_10463
https://t.me/ppmi53/314
https://t.me/ppmi53/326
https://vk.com/wall-172382376_551
https://vk.com/wall-172382376_550
https://vk.com/wall-172837323_375
https://vk.com/wall32795965_6208
https://vk.com/wall647627120_1296
https://vk.com/wall-112347667_8609
https://vk.com/wall-16840961_105840
https://vk.com/wall-208055272_352
https://vk.com/wall-202587270_295
https://vk.com/wall-160413159_10507
https://vk.com/wall-160413159_10566
https://vk.com/wall-160413159_10749
https://vk.com/wall-160413159_11028
https://vk.com/wall-160413159_10892
https://vk.com/wall-160413159_10925
https://vk.com/wall-160413159_10972
https://vk.com/wall-160413159_10989
https://vk.com/wall-160413159_11050
https://t.me/ppmi53/326
</t>
    </r>
  </si>
  <si>
    <t>технологический подсчёт, протоколы заседаний рабочих групп https://vk.com/club172332438?w=wall-172332438_512%2Fall  https://vk.com/club172332438?w=wall-172332438_409%2Fall                                       https://vk.com/wall-171303510?q=%D0%B0%D0%BD%D0%BA%D0%B5%D1%82%D0%B8%D1%80%D0%BE%D0%B2%D0%B0%D0%BD%D0%B8%D0%B5&amp;w=wall-171303510_1769   https://vk.com/wall-171495409?q=%D0%B0%D0%BD%D0%BA%D0%B5%D1%82%D0%B8%D1%80%D0%BE%D0%B2%D0%B0%D0%BD%D0%B8%D0%B5&amp;w=wall-171495409_1273 https://vk.com/wall-171495409?q=%D0%B0%D0%BD%D0%BA%D0%B5%D1%82%D0%B8%D1%80%D0%BE%D0%B2%D0%B0%D0%BD%D0%B8%D0%B5&amp;w=wall-171495409_1261  https://vk.com/wall-187364286?q=%D0%B0%D0%BD%D0%BA%D0%B5%D1%82%D0%B8%D1%80%D0%BE%D0%B2%D0%B0%D0%BD%D0%B8%D0%B5&amp;w=wall-187364286_2322</t>
  </si>
  <si>
    <r>
      <rPr>
        <sz val="12"/>
        <color theme="1"/>
        <rFont val="Times New Roman"/>
        <family val="1"/>
      </rPr>
      <t>В 2022 году ПРП ППМИ был включен в Губернаторскую программу инициативного бюджетирования. Для программы была разработана айдентика и осуществлено общее брендирование региональных и муниципальных информационных ресурсов по инициативному бюджетированию. 
В единой стилистике были оформлены оффлайн материалы - это стенды, буклеты, флаеры, лифлеты и плакаты. 
Участники проекта получили возможность одеть своих волонтеров в единую брендированную форму и оформить места сбора инициатив в едином стиле.
По завершении этапа мониторинга и информирования населения волонтёрами привлечено более тридцати тысяч жителей, ранее не участвующих в проектах.                 В 2022 году по проекту ППМИ размещено 106 уникальных публикаций в тематических группах в социальных сетях ВКонтакте, Телеграмм, ЯндексДзен, набравших 110934 просмотров. На региональном ТВ в 2022 году вышло 17 телесюжетов о проекте.</t>
    </r>
    <r>
      <rPr>
        <u/>
        <sz val="12"/>
        <color theme="1"/>
        <rFont val="Times New Roman"/>
        <family val="1"/>
      </rPr>
      <t xml:space="preserve">
https://novvedomosti.ru/news/region/81079/
https://novvedomosti.ru/news/sport/82285/
https://novvedomosti.ru/news/society/84755/
https://novvedomosti.ru/news/society/86069/
https://pressa53.ru/news/81533/
https://pressa53.ru/news/81590/
https://pressa53.ru/news/81629/
https://pressa53.ru/news/81645/
https://pressa53.ru/news/81665/
https://pressa53.ru/news/81687/
https://pressa53.ru/news/81703/
https://pressa53.ru/news/81732/
https://pressa53.ru/news/81770/
https://pressa53.ru/news/81629/
https://pressa53.ru/news/81700/
https://pressa53.ru/news/81703/
https://vesti53.com/projects/vesti-velikij-novgorod/2401-okolo-chetyrekhsot-uchastnikov-sobral-v-velikom-novgorode-mezhregionalnyj-seminar-vovlechenie-grazhdan-v-proekty-initsiativnogo-byudzhetirovaniya.html
https://novgorod-tv.ru/news/55934-v-marjovskom-okruge-mestnye-zhiteli-i-obshchestvenniki-aktivno-oblagorazhivayut-rodnoj-kraj/
https://novgorod-tv.ru/news/edinaya-programma-inicziativnogo-byudzhetirovaniya-startovala-v-novgorodskoj-oblasti/
https://novgorod-tv.ru/news/prezentacziya-programmy-inicziativnoe-byudzhetirovanie-sostoyalas-v-velikom-novgorode/
https://novgorod-tv.ru/news/seminar-shkola-inicziativnogo-byudzhetirovaniya-proshel-dlya-chinovnikov-novgorodskoj-oblasti/
https://novgorod-tv.ru/news/na-beregu-ilmenya-poyavilsya-novyj-plyazh/
https://novgorod-tv.ru/news/volontery-pomogut-novgorodczam-prinyat-uchastie-v-proekte-inicziativnoe-byudzhetirovanie/
https://novgorod-tv.ru/news/programmu-inicziativnoe-byudzhetirovanie-prezentovali-v-staroj-russe/
https://novgorod-tv.ru/news/zhiteli-borovichej-razrabatyvayut-proekty-dlya-programmy-inicziativnoe-byudzhetirovanie/
https://novgorod-tv.ru/news/prezentacziya-programmy-inicziativnoe-byudzhetirovanie-sostoyalas-v-velikom-novgorode/
https://tvmsta.ru/%d0%bf%d0%bf%d0%bc%d0%b8-%d0%b6%d0%b5%d0%bb%d0%b5%d0%b7%d0%ba%d0%be%d0%b2%d0%be-2/
https://tvmsta.ru/%d0%ba%d0%be%d0%bd%d1%84%d0%b5%d1%80%d0%b5%d0%bd%d1%86%d0%b8%d1%8f-%d0%bf%d0%be-%d0%b2%d1%8b%d0%b1%d0%be%d1%80%d1%83-%d0%bf%d1%80%d0%be%d0%b5%d0%ba%d1%82%d0%be%d0%b2-%d0%b8%d0%bd%d0%b8%d1%86%d0%b8/</t>
    </r>
  </si>
  <si>
    <t>Критерием участия является определенный тип муниципальных образований: сельские поселения, городские поселения, муниципальные округа, городской округ Великий Новгород.  Исключение составляют муниципальные районы.              Критерием отбора городского округа, муниципальных округов, поселений для предоставления субсидий является наличие проекта территориального общественного самоуправления, включенного в муниципальную программу развития территорий соответствующего городского округа, муниципального округа, поселения, на соответствующий финансовый год.                                                                          Условиями предоставления и расходования субсидии являются: наличие в бюджете (сводной бюджетной росписи бюджета) муниципалитета бюджетных ассигнований на исполнение расходных обязательств, связанных с исполнением мероприятий, направленных на реализацию проекта ТОС, включенного в муниципальную программу развития территорий, в целях софинансирования которого предоставляется субсидия, включая размер субсидии, планируемой к предоставлению из областного бюджета; наличие в утвержденной муниципальной программе развития территорий мероприятий по реализации проекта ТОС на соответствующий финансовый год; наличие в границах одного городского округа, муниципального округа, поселения не менее 2 зарегистрированных в соответствии со статьей 27 Федерального закона от 6 октября 2003 года № 131-ФЗ "Об общих принципах организации местного самоуправления в Российской Федерации" ТОС; реализация в границах одного поселения не более одного проекта ТОС (на территории которого учреждено от 2 до 4 ТОС), включенного в муниципальную программу развития территорий; реализация в границах одного поселения не более 2 проектов ТОС (на территории которого учреждено от 5 до 10 ТОС), включенного в муниципальную программу развития территорий;  реализация в границах одного поселения не более 3 проектов ТОС (на территории которого учреждено 11 и более ТОС), включенного в муниципальную программу развития территорий; реализация в границах городского округа не более 10 проектов ТОС, включенных в муниципальную программу развития территорий; реализация в границах Волотовского муниципального округа не более 4 проектов ТОС, включенных в муниципальную программу развития территорий; реализация в границах Марёвского муниципального округа не более 4 проектов ТОС, включенных в муниципальную программу  развития территорий; реализация в границах Солецкого муниципального округа не более 8 проектов ТОС, включенных в муниципальную программу развития территорий; реализация в границах Хвойнинского муниципального округа не более 18 проектов ТОС, включенных в муниципальную программу развития территорий</t>
  </si>
  <si>
    <t xml:space="preserve">Приказ комитета по образованию Администрации Великого Новгорода от 11.02.2022№ 54 «Об утверждении Положения о проведении конкурсного отбора проектов "Школьный бюджет" ; приказ комитета по образованию Администрации Великого Новгорода от 18.05.2022№ 195 «О финансировании мероприятий Проектов общеобразовательных учреждений - победителей   Конкурсного отбора проектов «Школьный бюджет" в 2022 году.
</t>
  </si>
  <si>
    <r>
      <t>государственная программа Омской области "Формирование комфорной городской среды" (</t>
    </r>
    <r>
      <rPr>
        <u/>
        <sz val="12"/>
        <color theme="1"/>
        <rFont val="Times New Roman"/>
        <family val="1"/>
      </rPr>
      <t>подпрограмма</t>
    </r>
    <r>
      <rPr>
        <sz val="12"/>
        <color theme="1"/>
        <rFont val="Times New Roman"/>
        <family val="1"/>
      </rPr>
      <t xml:space="preserve"> "Благоустройство общественных территорий муниципальных образований Омской области")
 </t>
    </r>
    <r>
      <rPr>
        <u/>
        <sz val="12"/>
        <rFont val="Calibri"/>
        <family val="2"/>
        <charset val="204"/>
        <scheme val="minor"/>
      </rPr>
      <t/>
    </r>
  </si>
  <si>
    <r>
      <t>государственная программа Омской области "Формирование комфорной городской среды",
(</t>
    </r>
    <r>
      <rPr>
        <u/>
        <sz val="12"/>
        <color theme="1"/>
        <rFont val="Times New Roman"/>
        <family val="1"/>
      </rPr>
      <t>подпрограмма</t>
    </r>
    <r>
      <rPr>
        <sz val="12"/>
        <color theme="1"/>
        <rFont val="Times New Roman"/>
        <family val="1"/>
      </rPr>
      <t xml:space="preserve"> "Благоустройство дворовых территорий многоквартирных домов населенных пунктов")</t>
    </r>
  </si>
  <si>
    <r>
      <rPr>
        <b/>
        <sz val="12"/>
        <color theme="1"/>
        <rFont val="Times New Roman"/>
        <family val="1"/>
      </rPr>
      <t>Государственная программа</t>
    </r>
    <r>
      <rPr>
        <sz val="12"/>
        <color theme="1"/>
        <rFont val="Times New Roman"/>
        <family val="1"/>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2"/>
        <color theme="1"/>
        <rFont val="Times New Roman"/>
        <family val="1"/>
      </rPr>
      <t>подпрограмма 4</t>
    </r>
    <r>
      <rPr>
        <sz val="12"/>
        <color theme="1"/>
        <rFont val="Times New Roman"/>
        <family val="1"/>
      </rPr>
      <t xml:space="preserve"> «Повышение эффективности бюджетных расходов Оренбургской области»;
</t>
    </r>
    <r>
      <rPr>
        <b/>
        <sz val="12"/>
        <color theme="1"/>
        <rFont val="Times New Roman"/>
        <family val="1"/>
      </rPr>
      <t>приоритетный проект</t>
    </r>
    <r>
      <rPr>
        <sz val="12"/>
        <color theme="1"/>
        <rFont val="Times New Roman"/>
        <family val="1"/>
      </rPr>
      <t xml:space="preserve"> «Вовлечение жителей муниципальных образований Оренбургской области в процесс выбора и реализации инициативных проектов»</t>
    </r>
  </si>
  <si>
    <r>
      <t>https://orel-region.ru/</t>
    </r>
    <r>
      <rPr>
        <sz val="12"/>
        <color theme="1"/>
        <rFont val="Times New Roman"/>
        <family val="1"/>
      </rPr>
      <t xml:space="preserve">                                                                                                                       </t>
    </r>
    <r>
      <rPr>
        <u/>
        <sz val="12"/>
        <color theme="1"/>
        <rFont val="Times New Roman"/>
        <family val="1"/>
      </rPr>
      <t>https://gorodsreda.ru/ 
57.gorodsreda.ru</t>
    </r>
  </si>
  <si>
    <t>Муниципальные образования Пермского края (городские округа, муниципальные округа)</t>
  </si>
  <si>
    <r>
      <t xml:space="preserve">https://vk.com/brz_official </t>
    </r>
    <r>
      <rPr>
        <sz val="12"/>
        <color theme="1"/>
        <rFont val="Times New Roman"/>
        <family val="1"/>
      </rPr>
      <t>; https://adm-brz.ru/press-tsentr/gazeta-dva-berega-kamy/</t>
    </r>
  </si>
  <si>
    <r>
      <t xml:space="preserve">Практика ИБ транслируется территориями. Причем гос.программой предусмотрен механизм оценки транслируемой информации. А именно, критерий "наличие информирования населения". Также по итогам реализации проектов территории предоставляют отчет о количестве публикаций, размещенных в процессе реализации общественных проектов. За 2022 год количество таких публикаций составило 1301 шт. По итогам анализа заявочной документации, на 2022 год территориями было сделано 1597 шт. публикаций (618 в первый конкурс, 979 во второй конкурс) в преддверии конкурсного отбора.  Максимальное количество баллов присваивается общественному проекту, информация о котором была размещена более 10 раз в следующих источниках:
источники официального опубликования муниципальных правовых актов в соответствии с уставом муниципального образования, от которого поступила заявка для участия в конкурсном отборе;
сайты администраций муниципальных образований, на территории которых планируется реализация общественного проекта (поселений муниципальных районов Самарской области, муниципальных районов Самарской области, городских округов Самарской области и внутригородских районов городского округа Самара Самарской области);
группы, каналы, сообщества, страницы в социальных сетях;
видеохостинги;
информационные порталы;
интернет-издания;
иные средства массовой информации.
В случае если информация об общественном проекте была размещена менее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- 1,
где КП(i) - количество публикаций в источниках информирования населения об общественном проекте.
В случае если информация об общественном проекте была размещена более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где КП(i) - количество публикаций в источниках информирования населения об общественном проекте.
Размещаемая в соответствии с настоящим подпунктом публикация должна содержать следующую информацию:
</t>
    </r>
    <r>
      <rPr>
        <b/>
        <sz val="12"/>
        <color theme="1"/>
        <rFont val="Times New Roman"/>
        <family val="1"/>
      </rPr>
      <t>наименование общественного проекта и (или) краткое описание общественного проекта;
наименование государственной программы.</t>
    </r>
    <r>
      <rPr>
        <sz val="12"/>
        <color theme="1"/>
        <rFont val="Times New Roman"/>
        <family val="1"/>
      </rPr>
      <t xml:space="preserve">
</t>
    </r>
  </si>
  <si>
    <r>
      <t xml:space="preserve">Всего численность благополучателей равна численности граждан, проживавших в сельском поселении Исаклы на 01.01.2023г. </t>
    </r>
    <r>
      <rPr>
        <b/>
        <sz val="12"/>
        <color theme="1"/>
        <rFont val="Times New Roman"/>
        <family val="1"/>
      </rPr>
      <t>Непосредственных благополучателей получили расчетным способом:</t>
    </r>
    <r>
      <rPr>
        <sz val="12"/>
        <color theme="1"/>
        <rFont val="Times New Roman"/>
        <family val="1"/>
      </rPr>
      <t xml:space="preserve"> (853чел.дети+161чел. подростки)=</t>
    </r>
    <r>
      <rPr>
        <b/>
        <sz val="12"/>
        <color theme="1"/>
        <rFont val="Times New Roman"/>
        <family val="1"/>
      </rPr>
      <t>1014чел.</t>
    </r>
  </si>
  <si>
    <r>
      <rPr>
        <sz val="12"/>
        <color theme="1"/>
        <rFont val="Times New Roman"/>
        <family val="1"/>
      </rPr>
      <t xml:space="preserve">Информационное сопровождение проекта Твой бюджет в школах - 2022 активно велось как на официальном сайте проекта, так и на странице в соцсети ВКонтакте. На ресурсах публиковались материалы как о реализации проектов 2021 года, так и обо всех этапах проекта 2022 года. В итоге, за период с августа по декабрь 2022 года на сайте было опубликовано 29 информационных материалов, количество участников группы в соцсети ВКонтакте увеличилось с 500 до 2 100 человек. 
На мероприятия проекта приглашались журналисты, представители организаторов принимали участие в телепередачах, посвященных проекту. Информационные материалы активно распространялись на официальных ресурсах районных администраций и школ-участниц проекта, в Дайджесте петербургского образования (https://centercoop.ru/tsentr/o-daydzheste/).
Публикации были размещены в следующих изданиях: Город+, "Петербургский дневник", "Вечерний Санкт-Петербург" и др.; сюжеты о ходе реализации проекта были подготовлены для новостных и информационных программ телеканалов "Санкт-Петербург", 78, НТВ. Представители Комитета финансов принимали участие в информационных программах телеканала "Санкт-Петербург" "Петербург - город решений", "Утро в Петербурге" и др. 
</t>
    </r>
    <r>
      <rPr>
        <u/>
        <sz val="12"/>
        <color theme="1"/>
        <rFont val="Times New Roman"/>
        <family val="1"/>
      </rPr>
      <t xml:space="preserve">Примеры публикаций: </t>
    </r>
    <r>
      <rPr>
        <b/>
        <sz val="12"/>
        <color theme="1"/>
        <rFont val="Times New Roman"/>
        <family val="1"/>
      </rPr>
      <t xml:space="preserve">
ТВ:                                                                                                                                                                                      </t>
    </r>
    <r>
      <rPr>
        <sz val="12"/>
        <color theme="1"/>
        <rFont val="Times New Roman"/>
        <family val="1"/>
      </rPr>
      <t>https://www.ntv.ru/video/2162785</t>
    </r>
    <r>
      <rPr>
        <b/>
        <sz val="12"/>
        <color theme="1"/>
        <rFont val="Times New Roman"/>
        <family val="1"/>
      </rPr>
      <t xml:space="preserve">
</t>
    </r>
    <r>
      <rPr>
        <sz val="12"/>
        <color theme="1"/>
        <rFont val="Times New Roman"/>
        <family val="1"/>
      </rPr>
      <t>https://tvspb.ru/programs/stories/2989408</t>
    </r>
    <r>
      <rPr>
        <b/>
        <sz val="12"/>
        <color theme="1"/>
        <rFont val="Times New Roman"/>
        <family val="1"/>
      </rPr>
      <t xml:space="preserve">
</t>
    </r>
    <r>
      <rPr>
        <sz val="12"/>
        <color theme="1"/>
        <rFont val="Times New Roman"/>
        <family val="1"/>
      </rPr>
      <t xml:space="preserve">https://tvspb.ru/programs/releases/111655/
https://tvspb.ru/programs/stories/2894988
https://tvspb.ru/news/2022/08/16/pochti-sotnya-peterburgskih-shkol-predstavyat-svoi-idei-dlya-proekta-tvoj-byudzhet-v-shkolah
https://tvspb.ru/programs/releases/111760/
https://tvspb.ru/news/2022/08/30/90-peterburgskih-shkol-stanut-uchastnikami-proekta-tvoj-byudzhet-v-shkolah-v-etom-godu
https://tvspb.ru/news/2022/09/16/v-peterburgskoj-gimnazii-171-realizovali-grant-proekta-tvoj-byudzhet-v-shkolah
https://tvspb.ru/news/2022/09/24/aleksandr-beglov-peredal-mikroavtobus-shkole-616-dlya-detej-s-narusheniyami-oporno-dvigatelnogo-apparata
https://tvspb.ru/news/2022/09/23/v-peterburge-startoval-proekt-tvoj-byudzhet-v-shkolah
</t>
    </r>
    <r>
      <rPr>
        <b/>
        <sz val="12"/>
        <color theme="1"/>
        <rFont val="Times New Roman"/>
        <family val="1"/>
      </rPr>
      <t xml:space="preserve">Печатные СМИ:
</t>
    </r>
    <r>
      <rPr>
        <sz val="12"/>
        <color theme="1"/>
        <rFont val="Times New Roman"/>
        <family val="1"/>
      </rPr>
      <t xml:space="preserve">https://spbdnevnik.ru/news/2022-08-16/90-peterburgskih-shkol-predstavyat-svoi-idei-dlya-proekta-tvoy-byudzhet-v-shkolah
https://spbdnevnik.ru/news/2022-09-23/protsess-vazhnee-rezultata-v-peterburge-startoval-gorodskoy-proekt-tvoy-byudzhet-v-shkolah2022
https://spbdnevnik.ru/news/2022-10-24/peterburgskiy-pedagog-predstavit-podkast-po-itogam-foruma-klassnyh-rukovoditeley
https://vecherka-spb.ru/2022/11/23/kogda-process-vazhnee-rezultata-kak-v-peterburge-rabotaet-proekt-tvoj-byudzhet-v-shkolax/
</t>
    </r>
    <r>
      <rPr>
        <b/>
        <sz val="12"/>
        <color theme="1"/>
        <rFont val="Times New Roman"/>
        <family val="1"/>
      </rPr>
      <t xml:space="preserve">Инфолента:
</t>
    </r>
    <r>
      <rPr>
        <sz val="12"/>
        <color theme="1"/>
        <rFont val="Times New Roman"/>
        <family val="1"/>
      </rPr>
      <t>https://78.ru/news/2022-11-22/shkolnikov_pushkinskogo_raiona_nauchat_finansovoi_gramotnosti
https://gorod-plus.tv/news/106807
https://gorod-plus.tv/news/107289
https://gorod-plus.tv/news/107289
https://gorod-plus.tv/videos/108136
https://tvspb.ru/news/2022/11/28/novaya-tochka-rosta-i-podderzhka-peterburgskih-predpriyatij-aleksandr-beglov-rasskazal-o-glavnyh-sobytiyah-proshedshej-nedeli</t>
    </r>
  </si>
  <si>
    <t>https://kgo66.ru/component/jdownloads/?task=download.send&amp;id=8240&amp;catid=72&amp;m=0&amp;Itemid=101 https://kgo66.ru/component/jdownloads/?task=download.send&amp;id=8559&amp;catid=80&amp;m=0&amp;Itemid=101</t>
  </si>
  <si>
    <t>https://vk.com/wall-89375734_12362, https://vk.com/wall-89375734_13246</t>
  </si>
  <si>
    <r>
      <t>Отдел культуры администрации Александровского муниципального округа Ставропольского края;
Александровский территориальный отдел администрации Александровского муниципального округа Ставропольского края;
Калиновский территориальный отдел администрации Александровского муниципального округа Ставропольского края;
Круглолесский территориальный отдел администрации Александровского муниципального округа Ставропольского края</t>
    </r>
    <r>
      <rPr>
        <u/>
        <sz val="12"/>
        <color theme="1"/>
        <rFont val="Times New Roman"/>
        <family val="1"/>
      </rPr>
      <t xml:space="preserve">;
</t>
    </r>
    <r>
      <rPr>
        <sz val="12"/>
        <color theme="1"/>
        <rFont val="Times New Roman"/>
        <family val="1"/>
      </rPr>
      <t>Средненский территориальный отдел администрации Александровского муниципального округа Ставропольского края.</t>
    </r>
  </si>
  <si>
    <r>
      <rPr>
        <b/>
        <sz val="12"/>
        <color theme="1"/>
        <rFont val="Times New Roman"/>
        <family val="1"/>
      </rPr>
      <t>1) Закон Томской области от 10 июля 2017 года № 82-ОЗ</t>
    </r>
    <r>
      <rPr>
        <sz val="12"/>
        <color theme="1"/>
        <rFont val="Times New Roman"/>
        <family val="1"/>
      </rPr>
      <t xml:space="preserve"> "О внесении изменений в Закон Томской области "О межбюджетных отношениях в Томской области"; 
</t>
    </r>
    <r>
      <rPr>
        <b/>
        <sz val="12"/>
        <color theme="1"/>
        <rFont val="Times New Roman"/>
        <family val="1"/>
      </rPr>
      <t>2)</t>
    </r>
    <r>
      <rPr>
        <sz val="12"/>
        <color theme="1"/>
        <rFont val="Times New Roman"/>
        <family val="1"/>
      </rPr>
      <t xml:space="preserve"> </t>
    </r>
    <r>
      <rPr>
        <b/>
        <sz val="12"/>
        <color theme="1"/>
        <rFont val="Times New Roman"/>
        <family val="1"/>
      </rPr>
      <t xml:space="preserve">Распоряжение Департамента финансов Томской области от 05.08.2020 № 16/47-р </t>
    </r>
    <r>
      <rPr>
        <sz val="12"/>
        <color theme="1"/>
        <rFont val="Times New Roman"/>
        <family val="1"/>
      </rPr>
      <t xml:space="preserve">"Об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2"/>
        <color theme="1"/>
        <rFont val="Times New Roman"/>
        <family val="1"/>
      </rPr>
      <t>3) Распоряжение Администрации Томской области от 15.07.2020 № 463-ра</t>
    </r>
    <r>
      <rPr>
        <sz val="12"/>
        <color theme="1"/>
        <rFont val="Times New Roman"/>
        <family val="1"/>
      </rPr>
      <t xml:space="preserve">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t>
    </r>
    <r>
      <rPr>
        <b/>
        <sz val="11"/>
        <color rgb="FFFF0000"/>
        <rFont val="Calibri"/>
        <family val="2"/>
        <charset val="204"/>
        <scheme val="minor"/>
      </rPr>
      <t/>
    </r>
  </si>
  <si>
    <r>
      <rPr>
        <i/>
        <sz val="12"/>
        <color theme="1"/>
        <rFont val="Times New Roman"/>
        <family val="1"/>
      </rPr>
      <t>Козырева Юлия Каримовна</t>
    </r>
    <r>
      <rPr>
        <sz val="12"/>
        <color theme="1"/>
        <rFont val="Times New Roman"/>
        <family val="1"/>
      </rPr>
      <t xml:space="preserve">
Главный специалист-экономист комитета методологии и бюджетной политики Департамента финансов Томской области
</t>
    </r>
  </si>
  <si>
    <t>Участие принимают органы местного самоуправления или органы территориального общественного самоуправления, расположенные на сельской территории в Тюменской области</t>
  </si>
  <si>
    <t>1. https://t.me/apkto72/154 
2. https://t.me/apkto72/128</t>
  </si>
  <si>
    <r>
      <t xml:space="preserve">да, ссылка: </t>
    </r>
    <r>
      <rPr>
        <u/>
        <sz val="12"/>
        <color theme="1"/>
        <rFont val="Times New Roman"/>
        <family val="1"/>
      </rPr>
      <t>ob.ulminfin.ru:8080/ppmi/o-proekte</t>
    </r>
  </si>
  <si>
    <r>
      <rPr>
        <i/>
        <sz val="12"/>
        <color theme="1"/>
        <rFont val="Times New Roman"/>
        <family val="1"/>
      </rPr>
      <t xml:space="preserve">Министерством финансов Ульяновской области 1 раз в  квартал в режиме ВКС проводились обучающие мероприятия (семинары, совещания) для участников реализации ППМИ и заинтересованных лиц, в т.ч. для руководителей финансовых органов муниципальных образований, Глав муниципальных образований, сельских старост, представителей инициативных групп,  депутов, представителей НКО, территориальных общественных самоуправлений. </t>
    </r>
    <r>
      <rPr>
        <sz val="12"/>
        <color theme="1"/>
        <rFont val="Times New Roman"/>
        <family val="1"/>
      </rPr>
      <t>В августе 2022 года во всех муниципальных районах и городских округах были проведены  семинары на тему "Твоя инициатива - твое благополучие. Инициативное бюджетирование 20.23". На семинарах рассмотрены вопросы участия муниципальных образований  в рамках федеральных государственных программ, предварительных итогах реализации ППМИ-2022, о новациях ППМИ-2023, о типовых ошибках, допускаемых муниципальными образованиями при подаче заявок  при разработке сметной документации, конкурсных процедурах. В связи с обсуждением широкого круга вопросов теоретических и практических аспектов реализации ППМИ в Ульяновской области, к участию в семинаре были приглашены представители Управления внутренней политики администрации Губернатора Ульяновской области, Министерства строительства и архитектуры Ульяновской области, Министерства транспорта Ульяновской области, Агентства по развитию сельских территорий, Агентства государственных закупок Ульяновской области.</t>
    </r>
  </si>
  <si>
    <t>Общее количество благополучателей по пяти проектам -  184,3 тыс.чел., в том числе:
1) 2,84 тыс.чел. по проекту "Веревочный комплек  в п. Снежный".  Количество благопорлучателей указано в соответствии с информацией о количестве проживающих в поселке. Информация предоставлена Территориальным общественным самоуправлением № 1, сформированным на территории реализации инициативного проекта;
2,3) 1 тыс.чел.  по проектам "Спортивная площадка "Черный мыс" и "Детско-подростковая площадка "Черный Мыс". Количество благополучателей указано в соответствии с информацией о количесте проживающих в многоквартирных домах на придомовой территории которых обустроены площадки. Информация предоставлена Территориальным общественным самоуправлением №9, сформированным на территории реализации инициативного проекта;
4) 0,46 тыс.чел. по проекту ""Цифровая лига Сургута (Digital league of Surgut - DLS)" - представители молодежи от 14 до 23 лет, принявших участие в турнире по киберспорту;
5) 180 тыс.чел.  по проекту "ТОС в каждый двор". Количество благополучателей рассчитано исходя из общего числа проживающих в границах территориальных общественных самоуправлений города.</t>
  </si>
  <si>
    <t>https://www.n-vartovsk.ru/documents/agRasp/#DOCTYPE=agRasp&amp;Y=2021&amp;M=3                         https://www.n-vartovsk.ru/documents/agRasp/#DOCTYPE=agRasp&amp;Y=2021&amp;M=4  https://www.n-vartovsk.ru/documents/agRasp/#DOCTYPE=agRasp&amp;Y=2021&amp;M= 6</t>
  </si>
  <si>
    <t>https://www.n-vartovsk.ru/documents/agPost/#DOCTYPE=agPost&amp;Y=2014&amp;M=9                         https://www.n-vartovsk.ru/documents/agPost/#DOCTYPE=agPost&amp;Y=2017&amp;M=10 https://www.n-vartovsk.ru/documents/agPost/#DOCTYPE=agPost&amp;Y=2018&amp;M=8</t>
  </si>
  <si>
    <t xml:space="preserve">Внесение инициативных проектов, https://isib.myopenugra.ru/     </t>
  </si>
  <si>
    <r>
      <t xml:space="preserve">Решение Совета депутатов гп Междуреченский от 02 февраля 2021 года №116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Междуреченский» </t>
    </r>
    <r>
      <rPr>
        <i/>
        <sz val="12"/>
        <color theme="1"/>
        <rFont val="Times New Roman"/>
        <family val="1"/>
      </rPr>
      <t>(в новой редакции от 31.10.2022 решение №195)</t>
    </r>
  </si>
  <si>
    <r>
      <t xml:space="preserve">1) http://www.a-martan.ru/index.php?option=com_content&amp;view=article&amp;id=2543:izveshchenie-o-provedenii-konkursnogo-otbora-initsiativnykh-proektov&amp;catid=143&amp;Itemid=713 </t>
    </r>
    <r>
      <rPr>
        <sz val="12"/>
        <color theme="1"/>
        <rFont val="Times New Roman"/>
        <family val="1"/>
      </rPr>
      <t xml:space="preserve">                             2) http://www.itumkali.com/new/sxod-grazhdan-ob-uchastii-v-konkursnom-otbore-iniciativnyx-proektov.htm                                                                                                                                                                                                                                                    3) https://grozmer.ru/objavlenija/iniciativnoe-byudzhetirovanie.html                                                                                     4) d0%b2%d0%b5%d1%89%d0%b5%d0%bd%d0%b8%d0%b5-%d0%be-%d0%bf%d1%80%d0%be%d0%b2%d0%b5%d0%b4%d0%b5%d0%bd%d0%b8%d0%b8-%d0%ba%d0%be%d0%bd%d0%ba%d1%83%d1%80%d1%81%d0%bd%d0%be%d0%b3%d0%be-%d0%be-2/</t>
    </r>
  </si>
  <si>
    <r>
      <rPr>
        <b/>
        <sz val="12"/>
        <color theme="1"/>
        <rFont val="Times New Roman"/>
        <family val="1"/>
      </rPr>
      <t>1.</t>
    </r>
    <r>
      <rPr>
        <sz val="12"/>
        <color theme="1"/>
        <rFont val="Times New Roman"/>
        <family val="1"/>
      </rPr>
      <t xml:space="preserve"> В рамках выездов Главы Чувашской Республики и руководителей исполнительных органов Чувашской Республики в муниципальные образования Чувашской Республики в целях обсуждения итогов социально-экономического развития муниципальных образований за отчетный период (2 раза в год в каждый муниципальный район и городской округ) обсуждались вопросы реализации инициативных проектов. Количество участников - 1630 ед.</t>
    </r>
    <r>
      <rPr>
        <b/>
        <sz val="12"/>
        <color theme="1"/>
        <rFont val="Times New Roman"/>
        <family val="1"/>
      </rPr>
      <t xml:space="preserve"> </t>
    </r>
    <r>
      <rPr>
        <sz val="12"/>
        <color theme="1"/>
        <rFont val="Times New Roman"/>
        <family val="1"/>
      </rPr>
      <t xml:space="preserve">  
2</t>
    </r>
    <r>
      <rPr>
        <b/>
        <sz val="12"/>
        <color theme="1"/>
        <rFont val="Times New Roman"/>
        <family val="1"/>
      </rPr>
      <t xml:space="preserve">. </t>
    </r>
    <r>
      <rPr>
        <sz val="12"/>
        <color theme="1"/>
        <rFont val="Times New Roman"/>
        <family val="1"/>
      </rPr>
      <t>Сотрудниками Министерства финансов Чувашской Республики с участием представителей финансовых органов муниципальных районов и городских округов ежеквартально проводятся Коллегии Министерства финансов Чувашской Республики, где также обсуждаются вопросы финансирования  инициативных проектов. Количество участников -  115 ед. 
3</t>
    </r>
    <r>
      <rPr>
        <b/>
        <sz val="12"/>
        <color theme="1"/>
        <rFont val="Times New Roman"/>
        <family val="1"/>
      </rPr>
      <t xml:space="preserve">. </t>
    </r>
    <r>
      <rPr>
        <sz val="12"/>
        <color theme="1"/>
        <rFont val="Times New Roman"/>
        <family val="1"/>
      </rPr>
      <t xml:space="preserve">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инициативных проектов. Количество участников - 220 ед.
 4. В сентябре-декабре 2022 года ответственные сотрудники Минфина Чувашии, Минстроя Чувашии и Минсельхоза Чувашии приняли участие в вебинаре, организованном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 Количество участников - 12 ед.
</t>
    </r>
  </si>
  <si>
    <t>На территории города Салехарда размещена наружная реклама 3 баннера (билборд, фасады зданий). В информационном поле города Салехарда по данным автоматической системы мониторинга и анализа средств массовой информации и социальных медиа «Медиология» зафиксировано 325 информационных материалов. Количество просмотров более 1,5 млн. 
https://www.yamal.kp.ru/online/news/4916231/    
https://vesti-yamal.ru/ru/vjesti_jamal/podarok_ko_dnyu_goroda_v_salekharde_poyavilas_novaya_zona_otdykha/
https://www.salekhard.org/about/info/news/32420/
https://vk.com/salekhard_adm?trackcode=2ce5e929bUXZNtuQ03S9JH9bjRLUi0y0QIFP9fyKjEB32CzXhAvgJH-acsG6DaosZFS-D9a3TqBAkEX79JGWRXr-BcqWALYidPcCqA&amp;w=wall-118907081_32471
https://vk.com/salekhard_adm?trackcode=2ce5e929bUXZNtuQ03S9JH9bjRLUi0y0QIFP9fyKjEB32CzXhAvgJH-acsG6DaosZFS-D9a3TqBAkEX79JGWRXr-BcqWALYidPcCqA&amp;w=wall-118907081_41199
 https://sever-press.ru/news/ekonomika/ujutnyj-jamal-salehardcy-uvideli-prezentaciju-luchshih-idej-po-blagoustrojstvu-goroda/</t>
  </si>
  <si>
    <t xml:space="preserve">https://budget.depfinnbr.ru/initsiativnoe-byudzhetirovanie/proekt-ritm 
https://vk.com/public183473795 </t>
  </si>
  <si>
    <t xml:space="preserve">https://noyabrsk24.ru/novosti/2022/02/15/v-noiabr-ske-dan-start-kampanii/ 
https://tvmig.ru/news/dve-initsiativy-noyabryan-v-ramkakh-proektov-uyutnyy-yamal-ritm-realizuyut-uzhe-v-2022-godu/  
https://tvmig.ru/news/v-noyabrske-nachali-prinimat-initsiativy-po-uluchsheniya-zhizni-v-gorode/
https://tvmig.ru/news/dlya-noyabryan-na-ulitse-ryadom-s-zenitom-ustanovyat-trenazhyery/
https://tvmig.ru/news/v-noyabrske-startoval-turnir-po-mini-futbolu-kubok-druzhby/
https://tvmig.ru/news/v-noyabrske-proshla-ekskursiya-dlya-zhiteley-dnr-i-lnr/
https://dobro.ru/organizations/767063/info 
</t>
  </si>
  <si>
    <t>https://vk.com/iapriuralye?w=wall-150214082_17029  https://www.youtube.com/watch?v=rENLWtZiUmo    https://vk.com/iapriuralye?w=wall-150214082_17078</t>
  </si>
  <si>
    <t xml:space="preserve">Журнал регистрации заявок на участие в конкурсе по отбору инициативных проектов
на территории муниципального образования Красноселькупский район в рамках проекта «Бюджетная инициатива граждан» («Уютный Ямал»)
http://raduga-ks.ru/activ/pb/1190-zashchita-proektov-20 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</si>
</sst>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0.000"/>
    <numFmt numFmtId="165" formatCode="[$-FC19]dd\ mmmm\ yyyy\ \г\.;@"/>
    <numFmt numFmtId="166" formatCode="#,##0.0"/>
    <numFmt numFmtId="167" formatCode="0.000"/>
    <numFmt numFmtId="168" formatCode="#,##0.00\ &quot;₽&quot;"/>
    <numFmt numFmtId="169" formatCode="0.0%"/>
    <numFmt numFmtId="170" formatCode="0.000000%"/>
    <numFmt numFmtId="171" formatCode="0.0000%"/>
    <numFmt numFmtId="172" formatCode="0.0"/>
    <numFmt numFmtId="173" formatCode="0.000%"/>
    <numFmt numFmtId="174" formatCode="dd/mm/yy;@"/>
    <numFmt numFmtId="175" formatCode="[$-FC19]dd\ mmmm\ yyyy\ \г\."/>
    <numFmt numFmtId="176" formatCode="[$-FC19]dd\ mmmm\ yyyy&quot; г.&quot;;@"/>
    <numFmt numFmtId="177" formatCode="#,##0.00000"/>
    <numFmt numFmtId="178" formatCode="0.00000"/>
    <numFmt numFmtId="179" formatCode="#"/>
    <numFmt numFmtId="180" formatCode="#,##0.0000"/>
    <numFmt numFmtId="181" formatCode="#,##0.00000000"/>
    <numFmt numFmtId="182" formatCode="0.00000%"/>
    <numFmt numFmtId="183" formatCode="0.000000"/>
    <numFmt numFmtId="184" formatCode="#,##0.0000000"/>
    <numFmt numFmtId="185" formatCode="0.0000"/>
    <numFmt numFmtId="186" formatCode="0.00000000"/>
    <numFmt numFmtId="187" formatCode="0.0000000"/>
    <numFmt numFmtId="188" formatCode="0.00&quot;   &quot;"/>
    <numFmt numFmtId="189" formatCode="_-* #,##0&quot;р.&quot;_-;\-* #,##0&quot;р.&quot;_-;_-* &quot;-р.&quot;_-;_-@_-"/>
    <numFmt numFmtId="190" formatCode="#,##0.00;[Red]#,##0.00"/>
    <numFmt numFmtId="191" formatCode="0.00;[Red]0.00"/>
    <numFmt numFmtId="192" formatCode="#,##0.000;[Red]#,##0.000"/>
    <numFmt numFmtId="193" formatCode="#,##0;[Red]#,##0"/>
    <numFmt numFmtId="194" formatCode="[$-F800]dddd\,\ mmmm\ dd\,\ yyyy"/>
    <numFmt numFmtId="195" formatCode="[$-FC19]dd\ mmmm\ yyyy\ &quot;г&quot;\.;@"/>
    <numFmt numFmtId="196" formatCode="dd\ mmmm\ yyyy&quot; г.&quot;;@"/>
  </numFmts>
  <fonts count="97" x14ac:knownFonts="1">
    <font>
      <sz val="12"/>
      <color theme="1"/>
      <name val="Calibri"/>
      <family val="2"/>
      <charset val="204"/>
      <scheme val="minor"/>
    </font>
    <font>
      <sz val="12"/>
      <name val="Calibri"/>
      <family val="2"/>
      <charset val="204"/>
      <scheme val="minor"/>
    </font>
    <font>
      <b/>
      <sz val="9"/>
      <color rgb="FF000000"/>
      <name val="Tahoma"/>
      <family val="2"/>
      <charset val="204"/>
    </font>
    <font>
      <sz val="9"/>
      <color rgb="FF000000"/>
      <name val="Tahoma"/>
      <family val="2"/>
      <charset val="204"/>
    </font>
    <font>
      <b/>
      <sz val="9"/>
      <color indexed="81"/>
      <name val="Tahoma"/>
      <family val="2"/>
      <charset val="204"/>
    </font>
    <font>
      <sz val="9"/>
      <color indexed="81"/>
      <name val="Tahoma"/>
      <family val="2"/>
      <charset val="204"/>
    </font>
    <font>
      <u/>
      <sz val="12"/>
      <color theme="10"/>
      <name val="Calibri"/>
      <family val="2"/>
      <charset val="204"/>
      <scheme val="minor"/>
    </font>
    <font>
      <sz val="12"/>
      <name val="Times New Roman"/>
      <family val="1"/>
      <charset val="204"/>
    </font>
    <font>
      <sz val="12"/>
      <color rgb="FF000000"/>
      <name val="Times New Roman"/>
      <family val="1"/>
      <charset val="204"/>
    </font>
    <font>
      <sz val="12"/>
      <color theme="1"/>
      <name val="Times New Roman"/>
      <family val="1"/>
      <charset val="204"/>
    </font>
    <font>
      <u/>
      <sz val="12"/>
      <color theme="10"/>
      <name val="Times New Roman"/>
      <family val="1"/>
      <charset val="204"/>
    </font>
    <font>
      <sz val="12"/>
      <color theme="1"/>
      <name val="Calibri"/>
      <family val="2"/>
      <charset val="204"/>
      <scheme val="minor"/>
    </font>
    <font>
      <b/>
      <sz val="11"/>
      <color rgb="FFFF0000"/>
      <name val="Calibri"/>
      <family val="2"/>
      <charset val="204"/>
      <scheme val="minor"/>
    </font>
    <font>
      <u/>
      <sz val="11"/>
      <color theme="10"/>
      <name val="Calibri"/>
      <family val="2"/>
      <charset val="204"/>
      <scheme val="minor"/>
    </font>
    <font>
      <b/>
      <sz val="12"/>
      <name val="Times New Roman"/>
      <family val="1"/>
      <charset val="204"/>
    </font>
    <font>
      <u/>
      <sz val="12"/>
      <name val="Calibri"/>
      <family val="2"/>
      <charset val="204"/>
      <scheme val="minor"/>
    </font>
    <font>
      <u/>
      <sz val="11"/>
      <color rgb="FF0563C1"/>
      <name val="Calibri"/>
      <family val="2"/>
      <charset val="204"/>
    </font>
    <font>
      <sz val="8"/>
      <name val="Calibri"/>
      <family val="2"/>
      <charset val="204"/>
      <scheme val="minor"/>
    </font>
    <font>
      <sz val="12"/>
      <color theme="10"/>
      <name val="Times New Roman"/>
      <family val="1"/>
      <charset val="204"/>
    </font>
    <font>
      <sz val="12"/>
      <color theme="1"/>
      <name val="Arial"/>
      <family val="2"/>
      <charset val="204"/>
    </font>
    <font>
      <u/>
      <sz val="12"/>
      <name val="Times New Roman"/>
      <family val="1"/>
      <charset val="204"/>
    </font>
    <font>
      <sz val="11"/>
      <color indexed="8"/>
      <name val="Calibri"/>
      <family val="2"/>
    </font>
    <font>
      <u/>
      <sz val="11"/>
      <color indexed="30"/>
      <name val="Calibri"/>
      <family val="2"/>
      <charset val="204"/>
    </font>
    <font>
      <u/>
      <sz val="11"/>
      <color rgb="FF0066CC"/>
      <name val="Calibri"/>
      <family val="2"/>
    </font>
    <font>
      <sz val="10"/>
      <name val="Arial"/>
      <family val="2"/>
    </font>
    <font>
      <sz val="11"/>
      <color indexed="8"/>
      <name val="Calibri"/>
      <family val="2"/>
      <charset val="204"/>
    </font>
    <font>
      <u/>
      <sz val="11"/>
      <color rgb="FF0066CC"/>
      <name val="Calibri"/>
      <family val="2"/>
      <charset val="204"/>
    </font>
    <font>
      <sz val="12"/>
      <color indexed="10"/>
      <name val="Calibri"/>
      <family val="2"/>
      <charset val="204"/>
    </font>
    <font>
      <b/>
      <sz val="12"/>
      <color rgb="FF000000"/>
      <name val="Times New Roman"/>
      <family val="1"/>
    </font>
    <font>
      <sz val="12"/>
      <color rgb="FF000000"/>
      <name val="Times New Roman"/>
      <family val="1"/>
    </font>
    <font>
      <sz val="12"/>
      <color theme="1"/>
      <name val="Times New Roman"/>
      <family val="1"/>
    </font>
    <font>
      <sz val="11"/>
      <color rgb="FF000000"/>
      <name val="Calibri"/>
      <family val="2"/>
      <charset val="204"/>
    </font>
    <font>
      <sz val="14"/>
      <color theme="1"/>
      <name val="Times New Roman"/>
      <family val="1"/>
    </font>
    <font>
      <sz val="12"/>
      <color theme="0"/>
      <name val="Times New Roman"/>
      <family val="1"/>
    </font>
    <font>
      <sz val="12"/>
      <color theme="0"/>
      <name val="Calibri"/>
      <family val="2"/>
      <charset val="204"/>
      <scheme val="minor"/>
    </font>
    <font>
      <sz val="12"/>
      <color rgb="FFFF0000"/>
      <name val="Times New Roman"/>
      <family val="1"/>
    </font>
    <font>
      <sz val="12"/>
      <name val="Times New Roman"/>
      <family val="1"/>
    </font>
    <font>
      <b/>
      <sz val="12"/>
      <color rgb="FFC00000"/>
      <name val="Times New Roman"/>
      <family val="1"/>
    </font>
    <font>
      <i/>
      <sz val="12"/>
      <color theme="1"/>
      <name val="Times New Roman"/>
      <family val="1"/>
    </font>
    <font>
      <u/>
      <sz val="12"/>
      <color theme="10"/>
      <name val="Times New Roman"/>
      <family val="1"/>
    </font>
    <font>
      <b/>
      <sz val="12"/>
      <name val="Times New Roman"/>
      <family val="1"/>
    </font>
    <font>
      <u/>
      <sz val="12"/>
      <color rgb="FF0563C1"/>
      <name val="Times New Roman"/>
      <family val="1"/>
    </font>
    <font>
      <sz val="12"/>
      <color theme="4" tint="-0.499984740745262"/>
      <name val="Times New Roman"/>
      <family val="1"/>
    </font>
    <font>
      <sz val="12"/>
      <color theme="10"/>
      <name val="Times New Roman"/>
      <family val="1"/>
    </font>
    <font>
      <u/>
      <sz val="12"/>
      <color rgb="FFFF0000"/>
      <name val="Times New Roman"/>
      <family val="1"/>
    </font>
    <font>
      <u/>
      <sz val="12"/>
      <name val="Times New Roman"/>
      <family val="1"/>
    </font>
    <font>
      <sz val="12"/>
      <color indexed="8"/>
      <name val="Times New Roman"/>
      <family val="1"/>
    </font>
    <font>
      <u/>
      <sz val="12"/>
      <color indexed="30"/>
      <name val="Times New Roman"/>
      <family val="1"/>
    </font>
    <font>
      <u/>
      <sz val="12"/>
      <color theme="1"/>
      <name val="Times New Roman"/>
      <family val="1"/>
    </font>
    <font>
      <i/>
      <u/>
      <sz val="12"/>
      <color rgb="FF000000"/>
      <name val="Times New Roman"/>
      <family val="1"/>
    </font>
    <font>
      <sz val="12"/>
      <color indexed="12"/>
      <name val="Times New Roman"/>
      <family val="1"/>
    </font>
    <font>
      <sz val="12"/>
      <color rgb="FF00B050"/>
      <name val="Times New Roman"/>
      <family val="1"/>
    </font>
    <font>
      <u/>
      <sz val="12"/>
      <color indexed="12"/>
      <name val="Times New Roman"/>
      <family val="1"/>
    </font>
    <font>
      <i/>
      <sz val="12"/>
      <name val="Times New Roman"/>
      <family val="1"/>
    </font>
    <font>
      <u/>
      <sz val="12"/>
      <color indexed="8"/>
      <name val="Times New Roman"/>
      <family val="1"/>
    </font>
    <font>
      <b/>
      <sz val="12"/>
      <color theme="1"/>
      <name val="Times New Roman"/>
      <family val="1"/>
    </font>
    <font>
      <i/>
      <sz val="12"/>
      <color rgb="FF000000"/>
      <name val="Times New Roman"/>
      <family val="1"/>
    </font>
    <font>
      <sz val="12"/>
      <color rgb="FF0000FF"/>
      <name val="Times New Roman"/>
      <family val="1"/>
    </font>
    <font>
      <sz val="12"/>
      <color rgb="FF1F497D"/>
      <name val="Times New Roman"/>
      <family val="1"/>
    </font>
    <font>
      <sz val="12"/>
      <color rgb="FF333333"/>
      <name val="Times New Roman"/>
      <family val="1"/>
    </font>
    <font>
      <sz val="12"/>
      <color rgb="FF7030A0"/>
      <name val="Times New Roman"/>
      <family val="1"/>
    </font>
    <font>
      <sz val="12"/>
      <color indexed="30"/>
      <name val="Times New Roman"/>
      <family val="1"/>
    </font>
    <font>
      <u/>
      <sz val="12"/>
      <color rgb="FF0000FF"/>
      <name val="Times New Roman"/>
      <family val="1"/>
    </font>
    <font>
      <sz val="12"/>
      <color indexed="10"/>
      <name val="Times New Roman"/>
      <family val="1"/>
    </font>
    <font>
      <u/>
      <sz val="12"/>
      <color theme="4" tint="-0.249977111117893"/>
      <name val="Times New Roman"/>
      <family val="1"/>
    </font>
    <font>
      <i/>
      <sz val="12"/>
      <color indexed="8"/>
      <name val="Times New Roman"/>
      <family val="1"/>
    </font>
    <font>
      <b/>
      <i/>
      <sz val="12"/>
      <color theme="1"/>
      <name val="Times New Roman"/>
      <family val="1"/>
    </font>
    <font>
      <i/>
      <u/>
      <sz val="12"/>
      <color theme="1"/>
      <name val="Times New Roman"/>
      <family val="1"/>
    </font>
    <font>
      <sz val="12"/>
      <color rgb="FF0563C1"/>
      <name val="Times New Roman"/>
      <family val="1"/>
    </font>
    <font>
      <sz val="12"/>
      <color rgb="FF0070C0"/>
      <name val="Times New Roman"/>
      <family val="1"/>
    </font>
    <font>
      <b/>
      <sz val="12"/>
      <color indexed="60"/>
      <name val="Times New Roman"/>
      <family val="1"/>
    </font>
    <font>
      <b/>
      <i/>
      <sz val="12"/>
      <color indexed="8"/>
      <name val="Times New Roman"/>
      <family val="1"/>
    </font>
    <font>
      <b/>
      <sz val="12"/>
      <color theme="1"/>
      <name val="Times New Roman"/>
      <family val="1"/>
      <charset val="204"/>
    </font>
    <font>
      <i/>
      <sz val="12"/>
      <name val="Times New Roman"/>
      <family val="1"/>
      <charset val="204"/>
    </font>
    <font>
      <i/>
      <sz val="12"/>
      <color rgb="FF000000"/>
      <name val="Times New Roman"/>
      <family val="1"/>
      <charset val="204"/>
    </font>
    <font>
      <sz val="12"/>
      <color indexed="8"/>
      <name val="Times New Roman"/>
      <family val="1"/>
      <charset val="204"/>
    </font>
    <font>
      <sz val="12"/>
      <color rgb="FFFF0000"/>
      <name val="Times New Roman"/>
      <family val="1"/>
      <charset val="204"/>
    </font>
    <font>
      <u/>
      <sz val="12"/>
      <color theme="1"/>
      <name val="Times New Roman"/>
      <family val="1"/>
      <charset val="204"/>
    </font>
    <font>
      <sz val="12"/>
      <color indexed="12"/>
      <name val="Times New Roman"/>
      <family val="1"/>
      <charset val="204"/>
    </font>
    <font>
      <u/>
      <sz val="12"/>
      <color indexed="30"/>
      <name val="Times New Roman"/>
      <family val="1"/>
      <charset val="204"/>
    </font>
    <font>
      <u/>
      <sz val="12"/>
      <color indexed="12"/>
      <name val="Times New Roman"/>
      <family val="1"/>
      <charset val="204"/>
    </font>
    <font>
      <u/>
      <sz val="12"/>
      <color rgb="FF0563C1"/>
      <name val="Times New Roman"/>
      <family val="1"/>
      <charset val="204"/>
    </font>
    <font>
      <sz val="12"/>
      <color rgb="FF0000FF"/>
      <name val="Times New Roman"/>
      <family val="1"/>
      <charset val="204"/>
    </font>
    <font>
      <u/>
      <sz val="12"/>
      <color rgb="FF0066CC"/>
      <name val="Times New Roman"/>
      <family val="1"/>
      <charset val="204"/>
    </font>
    <font>
      <u/>
      <sz val="12"/>
      <color rgb="FF0000FF"/>
      <name val="Times New Roman"/>
      <family val="1"/>
      <charset val="204"/>
    </font>
    <font>
      <sz val="12"/>
      <color rgb="FF2C2D2E"/>
      <name val="Times New Roman"/>
      <family val="1"/>
      <charset val="204"/>
    </font>
    <font>
      <u/>
      <sz val="12"/>
      <color indexed="4"/>
      <name val="Times New Roman"/>
      <family val="1"/>
      <charset val="204"/>
    </font>
    <font>
      <i/>
      <u/>
      <sz val="12"/>
      <name val="Times New Roman"/>
      <family val="1"/>
      <charset val="204"/>
    </font>
    <font>
      <i/>
      <sz val="12"/>
      <color theme="1"/>
      <name val="Times New Roman"/>
      <family val="1"/>
      <charset val="204"/>
    </font>
    <font>
      <b/>
      <sz val="12"/>
      <color rgb="FF000000"/>
      <name val="Times New Roman"/>
      <family val="1"/>
      <charset val="204"/>
    </font>
    <font>
      <sz val="12"/>
      <color rgb="FF282828"/>
      <name val="Times New Roman"/>
      <family val="1"/>
      <charset val="204"/>
    </font>
    <font>
      <sz val="12"/>
      <color theme="5" tint="0.79998168889431442"/>
      <name val="Times New Roman"/>
      <family val="1"/>
      <charset val="204"/>
    </font>
    <font>
      <sz val="12"/>
      <color indexed="2"/>
      <name val="Times New Roman"/>
      <family val="1"/>
      <charset val="204"/>
    </font>
    <font>
      <i/>
      <sz val="12"/>
      <color indexed="12"/>
      <name val="Times New Roman"/>
      <family val="1"/>
      <charset val="204"/>
    </font>
    <font>
      <sz val="12"/>
      <color rgb="FF87898F"/>
      <name val="Times New Roman"/>
      <family val="1"/>
      <charset val="204"/>
    </font>
    <font>
      <sz val="12"/>
      <color indexed="18"/>
      <name val="Times New Roman"/>
      <family val="1"/>
      <charset val="204"/>
    </font>
    <font>
      <b/>
      <i/>
      <u/>
      <sz val="12"/>
      <color theme="1"/>
      <name val="Times New Roman"/>
      <family val="1"/>
    </font>
  </fonts>
  <fills count="53">
    <fill>
      <patternFill patternType="none"/>
    </fill>
    <fill>
      <patternFill patternType="gray125"/>
    </fill>
    <fill>
      <patternFill patternType="lightGray">
        <bgColor rgb="FF3E6695"/>
      </patternFill>
    </fill>
    <fill>
      <patternFill patternType="solid">
        <fgColor theme="4" tint="0.79998168889431442"/>
        <bgColor indexed="64"/>
      </patternFill>
    </fill>
    <fill>
      <patternFill patternType="solid">
        <fgColor theme="0"/>
        <bgColor indexed="64"/>
      </patternFill>
    </fill>
    <fill>
      <patternFill patternType="lightGray">
        <bgColor theme="4" tint="0.79998168889431442"/>
      </patternFill>
    </fill>
    <fill>
      <patternFill patternType="solid">
        <fgColor theme="4" tint="0.79998168889431442"/>
        <bgColor indexed="65"/>
      </patternFill>
    </fill>
    <fill>
      <patternFill patternType="solid">
        <fgColor theme="4" tint="0.79998168889431442"/>
        <bgColor theme="4" tint="0.79998168889431442"/>
      </patternFill>
    </fill>
    <fill>
      <patternFill patternType="solid">
        <fgColor rgb="FFDDEBF7"/>
        <bgColor rgb="FF000000"/>
      </patternFill>
    </fill>
    <fill>
      <patternFill patternType="solid">
        <fgColor theme="4" tint="0.79998168889431442"/>
        <bgColor rgb="FFDEEAF6"/>
      </patternFill>
    </fill>
    <fill>
      <patternFill patternType="solid">
        <fgColor theme="0"/>
        <bgColor theme="0"/>
      </patternFill>
    </fill>
    <fill>
      <patternFill patternType="solid">
        <fgColor theme="0"/>
        <bgColor theme="4" tint="0.79998168889431442"/>
      </patternFill>
    </fill>
    <fill>
      <patternFill patternType="solid">
        <fgColor theme="0"/>
        <bgColor indexed="27"/>
      </patternFill>
    </fill>
    <fill>
      <patternFill patternType="solid">
        <fgColor rgb="FFFDE5D7"/>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4" tint="0.79998168889431442"/>
        <bgColor rgb="FFDEEBF7"/>
      </patternFill>
    </fill>
    <fill>
      <patternFill patternType="solid">
        <fgColor theme="0"/>
        <bgColor rgb="FF2E75B5"/>
      </patternFill>
    </fill>
    <fill>
      <patternFill patternType="solid">
        <fgColor theme="4" tint="0.79998168889431442"/>
        <bgColor rgb="FF000000"/>
      </patternFill>
    </fill>
    <fill>
      <patternFill patternType="solid">
        <fgColor theme="5" tint="0.79998168889431442"/>
        <bgColor indexed="22"/>
      </patternFill>
    </fill>
    <fill>
      <patternFill patternType="solid">
        <fgColor theme="4" tint="0.79998168889431442"/>
        <bgColor theme="0"/>
      </patternFill>
    </fill>
    <fill>
      <patternFill patternType="solid">
        <fgColor theme="4" tint="0.79998168889431442"/>
        <bgColor rgb="FFCCFFFF"/>
      </patternFill>
    </fill>
    <fill>
      <patternFill patternType="solid">
        <fgColor theme="4" tint="0.79998168889431442"/>
        <bgColor rgb="FFDEE6EF"/>
      </patternFill>
    </fill>
    <fill>
      <patternFill patternType="solid">
        <fgColor theme="4" tint="0.79998168889431442"/>
        <bgColor indexed="27"/>
      </patternFill>
    </fill>
    <fill>
      <patternFill patternType="lightGray">
        <bgColor theme="5" tint="0.79998168889431442"/>
      </patternFill>
    </fill>
    <fill>
      <patternFill patternType="solid">
        <fgColor theme="5" tint="0.79998168889431442"/>
        <bgColor rgb="FFDEEBF7"/>
      </patternFill>
    </fill>
    <fill>
      <patternFill patternType="solid">
        <fgColor theme="5" tint="0.79998168889431442"/>
        <bgColor indexed="43"/>
      </patternFill>
    </fill>
    <fill>
      <patternFill patternType="solid">
        <fgColor theme="5" tint="0.79998168889431442"/>
        <bgColor rgb="FFFFCC99"/>
      </patternFill>
    </fill>
    <fill>
      <patternFill patternType="solid">
        <fgColor theme="5" tint="0.79998168889431442"/>
        <bgColor rgb="FFFAC090"/>
      </patternFill>
    </fill>
    <fill>
      <patternFill patternType="solid">
        <fgColor theme="5" tint="0.79998168889431442"/>
        <bgColor indexed="47"/>
      </patternFill>
    </fill>
    <fill>
      <patternFill patternType="solid">
        <fgColor theme="5" tint="0.79998168889431442"/>
        <bgColor rgb="FFFBE4D5"/>
      </patternFill>
    </fill>
    <fill>
      <patternFill patternType="solid">
        <fgColor theme="5" tint="0.79998168889431442"/>
        <bgColor indexed="26"/>
      </patternFill>
    </fill>
    <fill>
      <patternFill patternType="solid">
        <fgColor theme="5" tint="0.79998168889431442"/>
        <bgColor theme="5" tint="0.79998168889431442"/>
      </patternFill>
    </fill>
    <fill>
      <patternFill patternType="solid">
        <fgColor theme="5" tint="0.79998168889431442"/>
        <bgColor rgb="FFFFFFFF"/>
      </patternFill>
    </fill>
    <fill>
      <patternFill patternType="solid">
        <fgColor theme="5" tint="0.79998168889431442"/>
        <bgColor theme="5" tint="0.79995117038483843"/>
      </patternFill>
    </fill>
    <fill>
      <patternFill patternType="solid">
        <fgColor theme="5" tint="0.79998168889431442"/>
        <bgColor indexed="34"/>
      </patternFill>
    </fill>
    <fill>
      <patternFill patternType="solid">
        <fgColor theme="0"/>
        <bgColor rgb="FF000000"/>
      </patternFill>
    </fill>
    <fill>
      <patternFill patternType="solid">
        <fgColor theme="0"/>
        <bgColor indexed="22"/>
      </patternFill>
    </fill>
    <fill>
      <patternFill patternType="solid">
        <fgColor theme="0"/>
      </patternFill>
    </fill>
    <fill>
      <patternFill patternType="solid">
        <fgColor theme="0"/>
        <bgColor indexed="34"/>
      </patternFill>
    </fill>
    <fill>
      <patternFill patternType="solid">
        <fgColor theme="0"/>
        <bgColor rgb="FFFFCC99"/>
      </patternFill>
    </fill>
    <fill>
      <patternFill patternType="solid">
        <fgColor theme="0"/>
        <bgColor theme="5" tint="0.79998168889431442"/>
      </patternFill>
    </fill>
    <fill>
      <patternFill patternType="solid">
        <fgColor theme="0"/>
        <bgColor rgb="FFFFFFFF"/>
      </patternFill>
    </fill>
    <fill>
      <patternFill patternType="solid">
        <fgColor theme="0"/>
        <bgColor rgb="FFDEEAF6"/>
      </patternFill>
    </fill>
    <fill>
      <patternFill patternType="solid">
        <fgColor theme="0"/>
        <bgColor rgb="FFCCFFFF"/>
      </patternFill>
    </fill>
    <fill>
      <patternFill patternType="solid">
        <fgColor theme="0"/>
        <bgColor theme="5" tint="0.79995117038483843"/>
      </patternFill>
    </fill>
    <fill>
      <patternFill patternType="solid">
        <fgColor theme="0"/>
        <bgColor rgb="FFDEE6EF"/>
      </patternFill>
    </fill>
    <fill>
      <patternFill patternType="solid">
        <fgColor theme="0"/>
        <bgColor rgb="FFDEEBF7"/>
      </patternFill>
    </fill>
    <fill>
      <patternFill patternType="solid">
        <fgColor theme="0"/>
        <bgColor indexed="26"/>
      </patternFill>
    </fill>
    <fill>
      <patternFill patternType="solid">
        <fgColor theme="0"/>
        <bgColor rgb="FFFBE4D5"/>
      </patternFill>
    </fill>
    <fill>
      <patternFill patternType="solid">
        <fgColor theme="0"/>
        <bgColor indexed="43"/>
      </patternFill>
    </fill>
    <fill>
      <patternFill patternType="solid">
        <fgColor theme="0"/>
        <bgColor indexed="47"/>
      </patternFill>
    </fill>
    <fill>
      <patternFill patternType="solid">
        <fgColor theme="0"/>
        <bgColor rgb="FFFAC090"/>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15">
    <xf numFmtId="0" fontId="0" fillId="0" borderId="0"/>
    <xf numFmtId="0" fontId="6" fillId="0" borderId="0" applyNumberFormat="0" applyFill="0" applyBorder="0" applyAlignment="0" applyProtection="0"/>
    <xf numFmtId="9" fontId="11" fillId="0" borderId="0" applyFont="0" applyFill="0" applyBorder="0" applyAlignment="0" applyProtection="0"/>
    <xf numFmtId="0" fontId="11" fillId="6" borderId="0" applyNumberFormat="0" applyBorder="0" applyAlignment="0" applyProtection="0"/>
    <xf numFmtId="0" fontId="16" fillId="0" borderId="0" applyBorder="0" applyProtection="0"/>
    <xf numFmtId="0" fontId="19" fillId="0" borderId="0"/>
    <xf numFmtId="0" fontId="21" fillId="0" borderId="0"/>
    <xf numFmtId="0" fontId="13" fillId="0" borderId="0" applyNumberFormat="0" applyFill="0" applyBorder="0" applyAlignment="0" applyProtection="0"/>
    <xf numFmtId="0" fontId="22" fillId="0" borderId="0" applyNumberFormat="0" applyFill="0" applyBorder="0" applyAlignment="0" applyProtection="0"/>
    <xf numFmtId="0" fontId="23" fillId="0" borderId="0"/>
    <xf numFmtId="189" fontId="24" fillId="0" borderId="0"/>
    <xf numFmtId="0" fontId="25" fillId="0" borderId="0"/>
    <xf numFmtId="0" fontId="26" fillId="0" borderId="0" applyNumberFormat="0" applyBorder="0" applyProtection="0"/>
    <xf numFmtId="0" fontId="31" fillId="0" borderId="0"/>
    <xf numFmtId="9" fontId="31" fillId="0" borderId="0" applyFont="0" applyFill="0" applyBorder="0" applyAlignment="0" applyProtection="0"/>
  </cellStyleXfs>
  <cellXfs count="1250">
    <xf numFmtId="0" fontId="0" fillId="0" borderId="0" xfId="0"/>
    <xf numFmtId="0" fontId="0" fillId="0" borderId="4" xfId="0" applyBorder="1"/>
    <xf numFmtId="0" fontId="28" fillId="0" borderId="4" xfId="0" applyFont="1" applyBorder="1" applyAlignment="1">
      <alignment wrapText="1"/>
    </xf>
    <xf numFmtId="0" fontId="29" fillId="0" borderId="4" xfId="0" applyFont="1" applyBorder="1" applyAlignment="1">
      <alignment wrapText="1"/>
    </xf>
    <xf numFmtId="4" fontId="29" fillId="0" borderId="4" xfId="0" applyNumberFormat="1" applyFont="1" applyBorder="1" applyAlignment="1">
      <alignment horizontal="center" vertical="center" wrapText="1"/>
    </xf>
    <xf numFmtId="0" fontId="29" fillId="0" borderId="4" xfId="0" applyFont="1" applyBorder="1" applyAlignment="1">
      <alignment horizontal="center" vertical="center" wrapText="1"/>
    </xf>
    <xf numFmtId="2" fontId="30" fillId="0" borderId="4" xfId="0" applyNumberFormat="1" applyFont="1" applyBorder="1" applyAlignment="1">
      <alignment horizontal="center" vertical="center"/>
    </xf>
    <xf numFmtId="0" fontId="28" fillId="0" borderId="4" xfId="0" applyFont="1" applyFill="1" applyBorder="1" applyAlignment="1">
      <alignment wrapText="1"/>
    </xf>
    <xf numFmtId="0" fontId="32" fillId="0" borderId="4" xfId="0" applyFont="1" applyBorder="1" applyAlignment="1">
      <alignment wrapText="1"/>
    </xf>
    <xf numFmtId="0" fontId="32" fillId="0" borderId="4" xfId="0" applyFont="1" applyBorder="1"/>
    <xf numFmtId="0" fontId="0" fillId="0" borderId="4" xfId="0" applyBorder="1" applyAlignment="1">
      <alignment wrapText="1"/>
    </xf>
    <xf numFmtId="0" fontId="32" fillId="0" borderId="4" xfId="0" applyFont="1" applyFill="1" applyBorder="1"/>
    <xf numFmtId="0" fontId="32" fillId="0" borderId="9" xfId="0" applyFont="1" applyFill="1" applyBorder="1"/>
    <xf numFmtId="0" fontId="34" fillId="0" borderId="0" xfId="0" applyFont="1" applyFill="1" applyBorder="1"/>
    <xf numFmtId="0" fontId="33" fillId="0" borderId="0" xfId="0" applyFont="1" applyFill="1" applyBorder="1" applyAlignment="1">
      <alignment horizontal="center" vertical="center"/>
    </xf>
    <xf numFmtId="0" fontId="33" fillId="0" borderId="0" xfId="0" applyFont="1" applyFill="1" applyBorder="1" applyAlignment="1">
      <alignment horizontal="center" vertical="center" wrapText="1"/>
    </xf>
    <xf numFmtId="10" fontId="33" fillId="0" borderId="0" xfId="0" applyNumberFormat="1" applyFont="1" applyFill="1" applyBorder="1" applyAlignment="1">
      <alignment horizontal="center" vertical="center"/>
    </xf>
    <xf numFmtId="0" fontId="30" fillId="0" borderId="4" xfId="0" applyFont="1" applyBorder="1"/>
    <xf numFmtId="2" fontId="30" fillId="0" borderId="4" xfId="0" applyNumberFormat="1" applyFont="1" applyBorder="1"/>
    <xf numFmtId="0" fontId="30" fillId="0" borderId="4" xfId="0" applyFont="1" applyBorder="1" applyAlignment="1">
      <alignment wrapText="1"/>
    </xf>
    <xf numFmtId="0" fontId="30" fillId="0" borderId="0" xfId="0" applyFont="1" applyBorder="1" applyAlignment="1">
      <alignment wrapText="1"/>
    </xf>
    <xf numFmtId="0" fontId="30" fillId="0" borderId="0" xfId="0" applyFont="1" applyBorder="1"/>
    <xf numFmtId="0" fontId="30" fillId="0" borderId="4" xfId="0" applyFont="1" applyBorder="1" applyAlignment="1">
      <alignment horizontal="center" vertical="center"/>
    </xf>
    <xf numFmtId="0" fontId="36" fillId="14" borderId="4" xfId="0" applyFont="1" applyFill="1" applyBorder="1" applyAlignment="1">
      <alignment horizontal="left" vertical="center" wrapText="1"/>
    </xf>
    <xf numFmtId="0" fontId="36" fillId="4" borderId="4" xfId="0" applyFont="1" applyFill="1" applyBorder="1" applyAlignment="1">
      <alignment vertical="center" wrapText="1"/>
    </xf>
    <xf numFmtId="49" fontId="30" fillId="14" borderId="4" xfId="0" applyNumberFormat="1" applyFont="1" applyFill="1" applyBorder="1" applyAlignment="1">
      <alignment horizontal="center" vertical="center" wrapText="1"/>
    </xf>
    <xf numFmtId="1" fontId="30" fillId="0" borderId="4" xfId="0" applyNumberFormat="1" applyFont="1" applyBorder="1" applyAlignment="1">
      <alignment horizontal="center" vertical="center" wrapText="1"/>
    </xf>
    <xf numFmtId="0" fontId="30" fillId="14" borderId="4" xfId="0" applyFont="1" applyFill="1" applyBorder="1" applyAlignment="1">
      <alignment horizontal="left" vertical="center" wrapText="1"/>
    </xf>
    <xf numFmtId="0" fontId="30" fillId="0" borderId="4" xfId="0" applyFont="1" applyBorder="1" applyAlignment="1">
      <alignment horizontal="right" vertical="center" wrapText="1"/>
    </xf>
    <xf numFmtId="0" fontId="36" fillId="3" borderId="4" xfId="0" applyFont="1" applyFill="1" applyBorder="1" applyAlignment="1">
      <alignment horizontal="left" vertical="center" wrapText="1"/>
    </xf>
    <xf numFmtId="1" fontId="36" fillId="3" borderId="4" xfId="0" applyNumberFormat="1" applyFont="1" applyFill="1" applyBorder="1" applyAlignment="1">
      <alignment horizontal="left" vertical="center" wrapText="1"/>
    </xf>
    <xf numFmtId="165" fontId="36" fillId="3" borderId="4" xfId="0" applyNumberFormat="1" applyFont="1" applyFill="1" applyBorder="1" applyAlignment="1">
      <alignment horizontal="left" vertical="center" wrapText="1"/>
    </xf>
    <xf numFmtId="0" fontId="39" fillId="3" borderId="4" xfId="1" applyFont="1" applyFill="1" applyBorder="1" applyAlignment="1">
      <alignment horizontal="left" vertical="center" wrapText="1"/>
    </xf>
    <xf numFmtId="2" fontId="36" fillId="3" borderId="4" xfId="0" applyNumberFormat="1" applyFont="1" applyFill="1" applyBorder="1" applyAlignment="1">
      <alignment horizontal="center" vertical="center" wrapText="1"/>
    </xf>
    <xf numFmtId="10" fontId="36" fillId="3" borderId="4" xfId="0" applyNumberFormat="1" applyFont="1" applyFill="1" applyBorder="1" applyAlignment="1">
      <alignment horizontal="left" vertical="center" wrapText="1"/>
    </xf>
    <xf numFmtId="167" fontId="36" fillId="3" borderId="4" xfId="0" applyNumberFormat="1" applyFont="1" applyFill="1" applyBorder="1" applyAlignment="1">
      <alignment horizontal="left" vertical="center" wrapText="1"/>
    </xf>
    <xf numFmtId="3" fontId="36" fillId="3" borderId="4" xfId="0" applyNumberFormat="1" applyFont="1" applyFill="1" applyBorder="1" applyAlignment="1">
      <alignment horizontal="left" vertical="center" wrapText="1"/>
    </xf>
    <xf numFmtId="164" fontId="36" fillId="3" borderId="4" xfId="0" applyNumberFormat="1" applyFont="1" applyFill="1" applyBorder="1" applyAlignment="1">
      <alignment horizontal="left" vertical="center" wrapText="1"/>
    </xf>
    <xf numFmtId="166" fontId="36" fillId="3" borderId="4" xfId="0" applyNumberFormat="1" applyFont="1" applyFill="1" applyBorder="1" applyAlignment="1">
      <alignment horizontal="left" vertical="center" wrapText="1"/>
    </xf>
    <xf numFmtId="173" fontId="36" fillId="3" borderId="4" xfId="0" applyNumberFormat="1" applyFont="1" applyFill="1" applyBorder="1" applyAlignment="1">
      <alignment horizontal="left" vertical="center" wrapText="1"/>
    </xf>
    <xf numFmtId="0" fontId="36" fillId="8" borderId="4" xfId="0" applyFont="1" applyFill="1" applyBorder="1" applyAlignment="1">
      <alignment horizontal="left" vertical="center" wrapText="1"/>
    </xf>
    <xf numFmtId="10" fontId="39" fillId="3" borderId="4" xfId="1" applyNumberFormat="1" applyFont="1" applyFill="1" applyBorder="1" applyAlignment="1">
      <alignment horizontal="left" vertical="center" wrapText="1"/>
    </xf>
    <xf numFmtId="0" fontId="30" fillId="3" borderId="4" xfId="1" applyFont="1" applyFill="1" applyBorder="1" applyAlignment="1">
      <alignment horizontal="left" vertical="center" wrapText="1"/>
    </xf>
    <xf numFmtId="14" fontId="36" fillId="3" borderId="4" xfId="0" applyNumberFormat="1" applyFont="1" applyFill="1" applyBorder="1" applyAlignment="1">
      <alignment horizontal="left" vertical="center" wrapText="1"/>
    </xf>
    <xf numFmtId="2" fontId="36" fillId="3" borderId="4" xfId="0" applyNumberFormat="1" applyFont="1" applyFill="1" applyBorder="1" applyAlignment="1">
      <alignment horizontal="left" vertical="center" wrapText="1"/>
    </xf>
    <xf numFmtId="9" fontId="36" fillId="3" borderId="4" xfId="0" applyNumberFormat="1" applyFont="1" applyFill="1" applyBorder="1" applyAlignment="1">
      <alignment horizontal="left" vertical="center" wrapText="1"/>
    </xf>
    <xf numFmtId="0" fontId="39" fillId="3" borderId="4" xfId="1" applyFont="1" applyFill="1" applyBorder="1" applyAlignment="1">
      <alignment horizontal="justify" vertical="center"/>
    </xf>
    <xf numFmtId="165" fontId="36" fillId="3" borderId="4" xfId="0" applyNumberFormat="1" applyFont="1" applyFill="1" applyBorder="1" applyAlignment="1">
      <alignment horizontal="center" vertical="center" wrapText="1"/>
    </xf>
    <xf numFmtId="0" fontId="36" fillId="3" borderId="4" xfId="0" applyFont="1" applyFill="1" applyBorder="1" applyAlignment="1">
      <alignment horizontal="center" vertical="center" wrapText="1"/>
    </xf>
    <xf numFmtId="10" fontId="36" fillId="3" borderId="4" xfId="0" applyNumberFormat="1" applyFont="1" applyFill="1" applyBorder="1" applyAlignment="1">
      <alignment horizontal="center" vertical="center" wrapText="1"/>
    </xf>
    <xf numFmtId="3" fontId="36" fillId="3" borderId="4" xfId="0" applyNumberFormat="1" applyFont="1" applyFill="1" applyBorder="1" applyAlignment="1">
      <alignment horizontal="center" vertical="center" wrapText="1"/>
    </xf>
    <xf numFmtId="0" fontId="40" fillId="3" borderId="4" xfId="0" applyFont="1" applyFill="1" applyBorder="1" applyAlignment="1">
      <alignment horizontal="center" vertical="center" wrapText="1"/>
    </xf>
    <xf numFmtId="4" fontId="36" fillId="3" borderId="4" xfId="0" applyNumberFormat="1" applyFont="1" applyFill="1" applyBorder="1" applyAlignment="1">
      <alignment horizontal="left" vertical="center" wrapText="1"/>
    </xf>
    <xf numFmtId="165" fontId="29" fillId="3" borderId="4" xfId="0" applyNumberFormat="1" applyFont="1" applyFill="1" applyBorder="1" applyAlignment="1">
      <alignment horizontal="left" vertical="center" wrapText="1"/>
    </xf>
    <xf numFmtId="0" fontId="29" fillId="3" borderId="4" xfId="0" applyFont="1" applyFill="1" applyBorder="1" applyAlignment="1">
      <alignment horizontal="left" vertical="center" wrapText="1"/>
    </xf>
    <xf numFmtId="3" fontId="29" fillId="3" borderId="4" xfId="0" applyNumberFormat="1" applyFont="1" applyFill="1" applyBorder="1" applyAlignment="1">
      <alignment horizontal="left" vertical="center" wrapText="1"/>
    </xf>
    <xf numFmtId="164" fontId="29" fillId="3" borderId="4" xfId="0" applyNumberFormat="1" applyFont="1" applyFill="1" applyBorder="1" applyAlignment="1">
      <alignment horizontal="left" vertical="center" wrapText="1"/>
    </xf>
    <xf numFmtId="0" fontId="39" fillId="3" borderId="4" xfId="1" applyFont="1" applyFill="1" applyBorder="1" applyAlignment="1" applyProtection="1">
      <alignment horizontal="left" vertical="center" wrapText="1"/>
    </xf>
    <xf numFmtId="0" fontId="42" fillId="3" borderId="4" xfId="0" applyFont="1" applyFill="1" applyBorder="1" applyAlignment="1">
      <alignment horizontal="left" vertical="center" wrapText="1"/>
    </xf>
    <xf numFmtId="0" fontId="36" fillId="3" borderId="4" xfId="2" applyNumberFormat="1" applyFont="1" applyFill="1" applyBorder="1" applyAlignment="1">
      <alignment horizontal="left" vertical="center" wrapText="1"/>
    </xf>
    <xf numFmtId="0" fontId="35" fillId="3" borderId="4" xfId="0" applyFont="1" applyFill="1" applyBorder="1" applyAlignment="1">
      <alignment horizontal="left" vertical="center" wrapText="1"/>
    </xf>
    <xf numFmtId="3" fontId="30" fillId="3" borderId="4" xfId="0" applyNumberFormat="1" applyFont="1" applyFill="1" applyBorder="1" applyAlignment="1">
      <alignment horizontal="left" vertical="center" wrapText="1"/>
    </xf>
    <xf numFmtId="166" fontId="30" fillId="3" borderId="4" xfId="0" applyNumberFormat="1" applyFont="1" applyFill="1" applyBorder="1" applyAlignment="1">
      <alignment horizontal="left" vertical="center" wrapText="1"/>
    </xf>
    <xf numFmtId="10" fontId="29" fillId="3" borderId="4" xfId="0" applyNumberFormat="1" applyFont="1" applyFill="1" applyBorder="1" applyAlignment="1">
      <alignment horizontal="left" vertical="center" wrapText="1"/>
    </xf>
    <xf numFmtId="2" fontId="29" fillId="3" borderId="4" xfId="0" applyNumberFormat="1" applyFont="1" applyFill="1" applyBorder="1" applyAlignment="1">
      <alignment horizontal="left" vertical="center" wrapText="1"/>
    </xf>
    <xf numFmtId="2" fontId="36" fillId="3" borderId="4" xfId="2" applyNumberFormat="1" applyFont="1" applyFill="1" applyBorder="1" applyAlignment="1">
      <alignment horizontal="left" vertical="center" wrapText="1"/>
    </xf>
    <xf numFmtId="1" fontId="29" fillId="3" borderId="4" xfId="0" applyNumberFormat="1" applyFont="1" applyFill="1" applyBorder="1" applyAlignment="1">
      <alignment horizontal="left" vertical="center" wrapText="1"/>
    </xf>
    <xf numFmtId="3" fontId="39" fillId="3" borderId="4" xfId="1" applyNumberFormat="1" applyFont="1" applyFill="1" applyBorder="1" applyAlignment="1">
      <alignment horizontal="left" vertical="center" wrapText="1"/>
    </xf>
    <xf numFmtId="164" fontId="36" fillId="3" borderId="4" xfId="0" applyNumberFormat="1" applyFont="1" applyFill="1" applyBorder="1" applyAlignment="1">
      <alignment horizontal="center" vertical="center" wrapText="1"/>
    </xf>
    <xf numFmtId="10" fontId="36" fillId="3" borderId="4" xfId="2" applyNumberFormat="1" applyFont="1" applyFill="1" applyBorder="1" applyAlignment="1">
      <alignment horizontal="left" vertical="center" wrapText="1"/>
    </xf>
    <xf numFmtId="14" fontId="29" fillId="3" borderId="4" xfId="0" applyNumberFormat="1" applyFont="1" applyFill="1" applyBorder="1" applyAlignment="1">
      <alignment horizontal="left" vertical="center" wrapText="1"/>
    </xf>
    <xf numFmtId="9" fontId="29" fillId="3" borderId="4" xfId="0" applyNumberFormat="1" applyFont="1" applyFill="1" applyBorder="1" applyAlignment="1">
      <alignment horizontal="left" vertical="center" wrapText="1"/>
    </xf>
    <xf numFmtId="1" fontId="36" fillId="3" borderId="4" xfId="0" applyNumberFormat="1" applyFont="1" applyFill="1" applyBorder="1" applyAlignment="1">
      <alignment horizontal="center" vertical="center" wrapText="1"/>
    </xf>
    <xf numFmtId="9" fontId="36" fillId="3" borderId="4" xfId="0" applyNumberFormat="1" applyFont="1" applyFill="1" applyBorder="1" applyAlignment="1">
      <alignment horizontal="center" vertical="center" wrapText="1"/>
    </xf>
    <xf numFmtId="166" fontId="36" fillId="3" borderId="4" xfId="0" applyNumberFormat="1" applyFont="1" applyFill="1" applyBorder="1" applyAlignment="1">
      <alignment horizontal="center" vertical="center" wrapText="1"/>
    </xf>
    <xf numFmtId="0" fontId="39" fillId="6" borderId="4" xfId="1" applyFont="1" applyFill="1" applyBorder="1" applyAlignment="1">
      <alignment horizontal="left" vertical="center" wrapText="1"/>
    </xf>
    <xf numFmtId="172" fontId="36" fillId="3" borderId="4" xfId="0" applyNumberFormat="1" applyFont="1" applyFill="1" applyBorder="1" applyAlignment="1">
      <alignment horizontal="left" vertical="center" wrapText="1"/>
    </xf>
    <xf numFmtId="0" fontId="30" fillId="14" borderId="4" xfId="0" applyFont="1" applyFill="1" applyBorder="1"/>
    <xf numFmtId="10" fontId="39" fillId="3" borderId="4" xfId="1" applyNumberFormat="1" applyFont="1" applyFill="1" applyBorder="1" applyAlignment="1" applyProtection="1">
      <alignment horizontal="left" vertical="center" wrapText="1"/>
    </xf>
    <xf numFmtId="3" fontId="39" fillId="3" borderId="4" xfId="1" applyNumberFormat="1" applyFont="1" applyFill="1" applyBorder="1" applyAlignment="1" applyProtection="1">
      <alignment horizontal="left" vertical="center" wrapText="1"/>
    </xf>
    <xf numFmtId="49" fontId="36" fillId="3" borderId="4" xfId="0" applyNumberFormat="1" applyFont="1" applyFill="1" applyBorder="1" applyAlignment="1">
      <alignment horizontal="left" vertical="center" wrapText="1"/>
    </xf>
    <xf numFmtId="0" fontId="39" fillId="3" borderId="4" xfId="1" applyFont="1" applyFill="1" applyBorder="1" applyAlignment="1">
      <alignment horizontal="center" vertical="center" wrapText="1"/>
    </xf>
    <xf numFmtId="0" fontId="36" fillId="4" borderId="4" xfId="0" applyFont="1" applyFill="1" applyBorder="1" applyAlignment="1">
      <alignment horizontal="left" vertical="center" wrapText="1"/>
    </xf>
    <xf numFmtId="3" fontId="30" fillId="4" borderId="4" xfId="0" applyNumberFormat="1" applyFont="1" applyFill="1" applyBorder="1" applyAlignment="1">
      <alignment horizontal="left" vertical="center" wrapText="1"/>
    </xf>
    <xf numFmtId="0" fontId="30" fillId="3" borderId="4" xfId="0" applyFont="1" applyFill="1" applyBorder="1" applyAlignment="1">
      <alignment vertical="center" wrapText="1"/>
    </xf>
    <xf numFmtId="0" fontId="39" fillId="3" borderId="4" xfId="1" applyFont="1" applyFill="1" applyBorder="1" applyAlignment="1">
      <alignment vertical="center"/>
    </xf>
    <xf numFmtId="169" fontId="36" fillId="3" borderId="4" xfId="0" applyNumberFormat="1" applyFont="1" applyFill="1" applyBorder="1" applyAlignment="1">
      <alignment horizontal="left" vertical="center" wrapText="1"/>
    </xf>
    <xf numFmtId="0" fontId="39" fillId="3" borderId="4" xfId="1" applyFont="1" applyFill="1" applyBorder="1" applyAlignment="1">
      <alignment vertical="center" wrapText="1"/>
    </xf>
    <xf numFmtId="0" fontId="51" fillId="3" borderId="4" xfId="0" applyFont="1" applyFill="1" applyBorder="1" applyAlignment="1">
      <alignment horizontal="left" vertical="center" wrapText="1"/>
    </xf>
    <xf numFmtId="0" fontId="36" fillId="3" borderId="4" xfId="1" applyFont="1" applyFill="1" applyBorder="1" applyAlignment="1" applyProtection="1">
      <alignment horizontal="left" vertical="center" wrapText="1"/>
    </xf>
    <xf numFmtId="0" fontId="29" fillId="3" borderId="4" xfId="0" applyFont="1" applyFill="1" applyBorder="1" applyAlignment="1">
      <alignment horizontal="center" vertical="center" wrapText="1"/>
    </xf>
    <xf numFmtId="0" fontId="30" fillId="3" borderId="4" xfId="0" applyFont="1" applyFill="1" applyBorder="1" applyAlignment="1">
      <alignment horizontal="center" vertical="center"/>
    </xf>
    <xf numFmtId="0" fontId="45" fillId="3" borderId="4" xfId="0" applyFont="1" applyFill="1" applyBorder="1" applyAlignment="1">
      <alignment horizontal="left" vertical="center" wrapText="1"/>
    </xf>
    <xf numFmtId="0" fontId="30" fillId="4" borderId="4" xfId="0" applyFont="1" applyFill="1" applyBorder="1" applyAlignment="1">
      <alignment wrapText="1"/>
    </xf>
    <xf numFmtId="0" fontId="30" fillId="4" borderId="4" xfId="0" applyFont="1" applyFill="1" applyBorder="1" applyAlignment="1">
      <alignment horizontal="center" vertical="center"/>
    </xf>
    <xf numFmtId="0" fontId="30" fillId="4" borderId="4" xfId="0" applyFont="1" applyFill="1" applyBorder="1"/>
    <xf numFmtId="3" fontId="30" fillId="4" borderId="4" xfId="0"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14" fontId="30" fillId="4" borderId="4" xfId="0" applyNumberFormat="1" applyFont="1" applyFill="1" applyBorder="1" applyAlignment="1">
      <alignment horizontal="center" vertical="center" wrapText="1"/>
    </xf>
    <xf numFmtId="0" fontId="55" fillId="4" borderId="4" xfId="0" applyFont="1" applyFill="1" applyBorder="1" applyAlignment="1">
      <alignment horizontal="center" vertical="center" wrapText="1"/>
    </xf>
    <xf numFmtId="0" fontId="30" fillId="0" borderId="4" xfId="0" applyFont="1" applyBorder="1" applyAlignment="1">
      <alignment horizontal="center" vertical="center" wrapText="1"/>
    </xf>
    <xf numFmtId="0" fontId="30" fillId="9" borderId="4" xfId="0" applyFont="1" applyFill="1" applyBorder="1" applyAlignment="1">
      <alignment horizontal="left" vertical="center" wrapText="1"/>
    </xf>
    <xf numFmtId="0" fontId="45" fillId="3" borderId="4" xfId="1" applyFont="1" applyFill="1" applyBorder="1" applyAlignment="1">
      <alignment horizontal="left" vertical="center" wrapText="1"/>
    </xf>
    <xf numFmtId="0" fontId="36" fillId="3" borderId="4" xfId="1" applyFont="1" applyFill="1" applyBorder="1" applyAlignment="1">
      <alignment horizontal="left" vertical="center" wrapText="1"/>
    </xf>
    <xf numFmtId="3" fontId="40" fillId="3" borderId="4" xfId="0" applyNumberFormat="1" applyFont="1" applyFill="1" applyBorder="1" applyAlignment="1">
      <alignment horizontal="left" vertical="center" wrapText="1"/>
    </xf>
    <xf numFmtId="2" fontId="30" fillId="3" borderId="4" xfId="0" applyNumberFormat="1" applyFont="1" applyFill="1" applyBorder="1" applyAlignment="1">
      <alignment horizontal="left" vertical="center" wrapText="1"/>
    </xf>
    <xf numFmtId="10" fontId="45" fillId="3" borderId="4" xfId="1" applyNumberFormat="1" applyFont="1" applyFill="1" applyBorder="1" applyAlignment="1" applyProtection="1">
      <alignment horizontal="left" vertical="center" wrapText="1"/>
    </xf>
    <xf numFmtId="3" fontId="35" fillId="3" borderId="4" xfId="0" applyNumberFormat="1" applyFont="1" applyFill="1" applyBorder="1" applyAlignment="1">
      <alignment horizontal="left" vertical="center" wrapText="1"/>
    </xf>
    <xf numFmtId="0" fontId="59" fillId="3" borderId="4" xfId="0" applyFont="1" applyFill="1" applyBorder="1" applyAlignment="1">
      <alignment vertical="center"/>
    </xf>
    <xf numFmtId="0" fontId="36" fillId="6" borderId="4" xfId="0" applyFont="1" applyFill="1" applyBorder="1" applyAlignment="1">
      <alignment vertical="center" wrapText="1"/>
    </xf>
    <xf numFmtId="0" fontId="36" fillId="6" borderId="4" xfId="0" applyFont="1" applyFill="1" applyBorder="1" applyAlignment="1">
      <alignment horizontal="left" vertical="center" wrapText="1"/>
    </xf>
    <xf numFmtId="1" fontId="36" fillId="6" borderId="4" xfId="0" applyNumberFormat="1" applyFont="1" applyFill="1" applyBorder="1" applyAlignment="1">
      <alignment horizontal="left" vertical="center" wrapText="1"/>
    </xf>
    <xf numFmtId="165" fontId="36" fillId="6" borderId="4" xfId="0" applyNumberFormat="1" applyFont="1" applyFill="1" applyBorder="1" applyAlignment="1">
      <alignment horizontal="left" vertical="center" wrapText="1"/>
    </xf>
    <xf numFmtId="10" fontId="36" fillId="6" borderId="4" xfId="0" applyNumberFormat="1" applyFont="1" applyFill="1" applyBorder="1" applyAlignment="1">
      <alignment horizontal="left" vertical="center" wrapText="1"/>
    </xf>
    <xf numFmtId="167" fontId="36" fillId="6" borderId="4" xfId="0" applyNumberFormat="1" applyFont="1" applyFill="1" applyBorder="1" applyAlignment="1">
      <alignment horizontal="left" vertical="center" wrapText="1"/>
    </xf>
    <xf numFmtId="3" fontId="36" fillId="6" borderId="4" xfId="0" applyNumberFormat="1" applyFont="1" applyFill="1" applyBorder="1" applyAlignment="1">
      <alignment horizontal="left" vertical="center" wrapText="1"/>
    </xf>
    <xf numFmtId="164" fontId="36" fillId="6" borderId="4" xfId="0" applyNumberFormat="1" applyFont="1" applyFill="1" applyBorder="1" applyAlignment="1">
      <alignment horizontal="left" vertical="center" wrapText="1"/>
    </xf>
    <xf numFmtId="10" fontId="39" fillId="6" borderId="4" xfId="1" applyNumberFormat="1" applyFont="1" applyFill="1" applyBorder="1" applyAlignment="1">
      <alignment horizontal="left" vertical="center" wrapText="1"/>
    </xf>
    <xf numFmtId="0" fontId="36" fillId="6" borderId="4" xfId="1" applyFont="1" applyFill="1" applyBorder="1" applyAlignment="1">
      <alignment horizontal="left" vertical="center" wrapText="1"/>
    </xf>
    <xf numFmtId="166" fontId="36" fillId="6" borderId="4" xfId="0" applyNumberFormat="1" applyFont="1" applyFill="1" applyBorder="1" applyAlignment="1">
      <alignment horizontal="left" vertical="center" wrapText="1"/>
    </xf>
    <xf numFmtId="0" fontId="36" fillId="3" borderId="4" xfId="0" applyFont="1" applyFill="1" applyBorder="1" applyAlignment="1">
      <alignment horizontal="justify" vertical="center" wrapText="1"/>
    </xf>
    <xf numFmtId="0" fontId="39" fillId="3" borderId="4" xfId="1" applyFont="1" applyFill="1" applyBorder="1" applyAlignment="1" applyProtection="1">
      <alignment vertical="center"/>
    </xf>
    <xf numFmtId="170" fontId="36" fillId="3" borderId="4" xfId="0" applyNumberFormat="1" applyFont="1" applyFill="1" applyBorder="1" applyAlignment="1">
      <alignment horizontal="left" vertical="center" wrapText="1"/>
    </xf>
    <xf numFmtId="171" fontId="36" fillId="3" borderId="4" xfId="0" applyNumberFormat="1" applyFont="1" applyFill="1" applyBorder="1" applyAlignment="1">
      <alignment horizontal="left" vertical="center" wrapText="1"/>
    </xf>
    <xf numFmtId="0" fontId="60" fillId="3" borderId="4" xfId="0" applyFont="1" applyFill="1" applyBorder="1" applyAlignment="1">
      <alignment horizontal="left" vertical="center" wrapText="1"/>
    </xf>
    <xf numFmtId="3" fontId="60" fillId="3" borderId="4" xfId="0" applyNumberFormat="1" applyFont="1" applyFill="1" applyBorder="1" applyAlignment="1">
      <alignment horizontal="left" vertical="center" wrapText="1"/>
    </xf>
    <xf numFmtId="0" fontId="30" fillId="3" borderId="4" xfId="0" applyFont="1" applyFill="1" applyBorder="1" applyAlignment="1">
      <alignment horizontal="left" vertical="center"/>
    </xf>
    <xf numFmtId="0" fontId="36" fillId="7" borderId="4" xfId="0" applyFont="1" applyFill="1" applyBorder="1" applyAlignment="1">
      <alignment horizontal="left" vertical="center" wrapText="1"/>
    </xf>
    <xf numFmtId="1" fontId="36" fillId="7" borderId="4" xfId="0" applyNumberFormat="1" applyFont="1" applyFill="1" applyBorder="1" applyAlignment="1">
      <alignment horizontal="left" vertical="center" wrapText="1"/>
    </xf>
    <xf numFmtId="165" fontId="36" fillId="7" borderId="4" xfId="0" applyNumberFormat="1" applyFont="1" applyFill="1" applyBorder="1" applyAlignment="1">
      <alignment horizontal="left" vertical="center" wrapText="1"/>
    </xf>
    <xf numFmtId="10" fontId="36" fillId="7" borderId="4" xfId="0" applyNumberFormat="1" applyFont="1" applyFill="1" applyBorder="1" applyAlignment="1">
      <alignment horizontal="left" vertical="center" wrapText="1"/>
    </xf>
    <xf numFmtId="164" fontId="36" fillId="7" borderId="4" xfId="0" applyNumberFormat="1" applyFont="1" applyFill="1" applyBorder="1" applyAlignment="1">
      <alignment horizontal="left" vertical="center" wrapText="1"/>
    </xf>
    <xf numFmtId="3" fontId="36" fillId="7" borderId="4" xfId="0" applyNumberFormat="1" applyFont="1" applyFill="1" applyBorder="1" applyAlignment="1">
      <alignment horizontal="left" vertical="center" wrapText="1"/>
    </xf>
    <xf numFmtId="9" fontId="36" fillId="7" borderId="4" xfId="0" applyNumberFormat="1" applyFont="1" applyFill="1" applyBorder="1" applyAlignment="1">
      <alignment horizontal="left" vertical="center" wrapText="1"/>
    </xf>
    <xf numFmtId="166" fontId="36" fillId="7" borderId="4" xfId="0" applyNumberFormat="1" applyFont="1" applyFill="1" applyBorder="1" applyAlignment="1">
      <alignment horizontal="left" vertical="center" wrapText="1"/>
    </xf>
    <xf numFmtId="0" fontId="43" fillId="3" borderId="4" xfId="1" applyFont="1" applyFill="1" applyBorder="1" applyAlignment="1">
      <alignment horizontal="left" vertical="center" wrapText="1"/>
    </xf>
    <xf numFmtId="0" fontId="48" fillId="3" borderId="4" xfId="1" applyFont="1" applyFill="1" applyBorder="1" applyAlignment="1">
      <alignment horizontal="left" vertical="center" wrapText="1"/>
    </xf>
    <xf numFmtId="10" fontId="30" fillId="4" borderId="4" xfId="0" applyNumberFormat="1" applyFont="1" applyFill="1" applyBorder="1" applyAlignment="1">
      <alignment horizontal="left" vertical="center" wrapText="1"/>
    </xf>
    <xf numFmtId="186" fontId="36" fillId="3" borderId="4" xfId="0" applyNumberFormat="1" applyFont="1" applyFill="1" applyBorder="1" applyAlignment="1">
      <alignment horizontal="left" vertical="center" wrapText="1"/>
    </xf>
    <xf numFmtId="181" fontId="36" fillId="3" borderId="4" xfId="0" applyNumberFormat="1" applyFont="1" applyFill="1" applyBorder="1" applyAlignment="1">
      <alignment horizontal="left" vertical="center" wrapText="1"/>
    </xf>
    <xf numFmtId="0" fontId="36" fillId="3" borderId="4" xfId="0" quotePrefix="1" applyFont="1" applyFill="1" applyBorder="1" applyAlignment="1">
      <alignment horizontal="left" vertical="center" wrapText="1"/>
    </xf>
    <xf numFmtId="174" fontId="36" fillId="3" borderId="4" xfId="0" applyNumberFormat="1" applyFont="1" applyFill="1" applyBorder="1" applyAlignment="1">
      <alignment horizontal="left" vertical="center" wrapText="1"/>
    </xf>
    <xf numFmtId="0" fontId="40" fillId="7" borderId="4" xfId="0" applyFont="1" applyFill="1" applyBorder="1" applyAlignment="1">
      <alignment horizontal="left" vertical="center" wrapText="1"/>
    </xf>
    <xf numFmtId="171" fontId="36" fillId="7" borderId="4" xfId="0" applyNumberFormat="1" applyFont="1" applyFill="1" applyBorder="1" applyAlignment="1">
      <alignment horizontal="left" vertical="center" wrapText="1"/>
    </xf>
    <xf numFmtId="180" fontId="36" fillId="3" borderId="4" xfId="0" applyNumberFormat="1" applyFont="1" applyFill="1" applyBorder="1" applyAlignment="1">
      <alignment horizontal="left" vertical="center" wrapText="1"/>
    </xf>
    <xf numFmtId="167" fontId="36" fillId="7" borderId="4" xfId="0" applyNumberFormat="1" applyFont="1" applyFill="1" applyBorder="1" applyAlignment="1">
      <alignment horizontal="left" vertical="center" wrapText="1"/>
    </xf>
    <xf numFmtId="168" fontId="36" fillId="7" borderId="4" xfId="0" applyNumberFormat="1" applyFont="1" applyFill="1" applyBorder="1" applyAlignment="1">
      <alignment horizontal="left" vertical="center" wrapText="1"/>
    </xf>
    <xf numFmtId="0" fontId="28" fillId="3" borderId="4" xfId="0" applyFont="1" applyFill="1" applyBorder="1" applyAlignment="1">
      <alignment horizontal="left" vertical="center" wrapText="1"/>
    </xf>
    <xf numFmtId="0" fontId="40" fillId="3" borderId="4" xfId="0" applyFont="1" applyFill="1" applyBorder="1" applyAlignment="1">
      <alignment horizontal="left" vertical="center" wrapText="1"/>
    </xf>
    <xf numFmtId="182" fontId="36" fillId="3" borderId="4" xfId="0" applyNumberFormat="1" applyFont="1" applyFill="1" applyBorder="1" applyAlignment="1">
      <alignment horizontal="left" vertical="center" wrapText="1"/>
    </xf>
    <xf numFmtId="185" fontId="36" fillId="3" borderId="4" xfId="0" applyNumberFormat="1" applyFont="1" applyFill="1" applyBorder="1" applyAlignment="1">
      <alignment horizontal="left" vertical="center" wrapText="1"/>
    </xf>
    <xf numFmtId="0" fontId="43" fillId="3" borderId="4" xfId="1" applyFont="1" applyFill="1" applyBorder="1" applyAlignment="1" applyProtection="1">
      <alignment horizontal="left" vertical="center" wrapText="1"/>
    </xf>
    <xf numFmtId="169" fontId="36" fillId="3" borderId="4" xfId="2" applyNumberFormat="1" applyFont="1" applyFill="1" applyBorder="1" applyAlignment="1">
      <alignment horizontal="left" vertical="center" wrapText="1"/>
    </xf>
    <xf numFmtId="9" fontId="36" fillId="3" borderId="4" xfId="2" applyFont="1" applyFill="1" applyBorder="1" applyAlignment="1">
      <alignment horizontal="left" vertical="center" wrapText="1"/>
    </xf>
    <xf numFmtId="164" fontId="39" fillId="3" borderId="4" xfId="1" applyNumberFormat="1" applyFont="1" applyFill="1" applyBorder="1" applyAlignment="1">
      <alignment horizontal="left" vertical="center" wrapText="1"/>
    </xf>
    <xf numFmtId="9" fontId="36" fillId="3" borderId="4" xfId="2" applyFont="1" applyFill="1" applyBorder="1" applyAlignment="1">
      <alignment horizontal="center" vertical="center" wrapText="1"/>
    </xf>
    <xf numFmtId="4" fontId="36" fillId="3" borderId="4" xfId="0" applyNumberFormat="1" applyFont="1" applyFill="1" applyBorder="1" applyAlignment="1">
      <alignment horizontal="center" vertical="center" wrapText="1"/>
    </xf>
    <xf numFmtId="3" fontId="39" fillId="3" borderId="4" xfId="1" applyNumberFormat="1" applyFont="1" applyFill="1" applyBorder="1" applyAlignment="1">
      <alignment horizontal="center" vertical="center" wrapText="1"/>
    </xf>
    <xf numFmtId="165" fontId="36" fillId="18" borderId="4" xfId="0" applyNumberFormat="1" applyFont="1" applyFill="1" applyBorder="1" applyAlignment="1">
      <alignment horizontal="left" vertical="center" wrapText="1"/>
    </xf>
    <xf numFmtId="164" fontId="36" fillId="18" borderId="4" xfId="0" applyNumberFormat="1" applyFont="1" applyFill="1" applyBorder="1" applyAlignment="1">
      <alignment horizontal="left" vertical="center" wrapText="1"/>
    </xf>
    <xf numFmtId="10" fontId="36" fillId="18" borderId="4" xfId="0" applyNumberFormat="1" applyFont="1" applyFill="1" applyBorder="1" applyAlignment="1">
      <alignment horizontal="left" vertical="center" wrapText="1"/>
    </xf>
    <xf numFmtId="3" fontId="36" fillId="18" borderId="4" xfId="0" applyNumberFormat="1" applyFont="1" applyFill="1" applyBorder="1" applyAlignment="1">
      <alignment horizontal="left" vertical="center" wrapText="1"/>
    </xf>
    <xf numFmtId="0" fontId="30" fillId="0" borderId="4" xfId="0" applyFont="1" applyBorder="1" applyAlignment="1"/>
    <xf numFmtId="2" fontId="30" fillId="0" borderId="4" xfId="0" applyNumberFormat="1" applyFont="1" applyBorder="1" applyAlignment="1"/>
    <xf numFmtId="1" fontId="30" fillId="0" borderId="4" xfId="0" applyNumberFormat="1" applyFont="1" applyBorder="1" applyAlignment="1"/>
    <xf numFmtId="0" fontId="36" fillId="0" borderId="4" xfId="0" applyFont="1" applyBorder="1" applyAlignment="1">
      <alignment vertical="center" wrapText="1"/>
    </xf>
    <xf numFmtId="0" fontId="36" fillId="0" borderId="4" xfId="0" applyFont="1" applyBorder="1" applyAlignment="1">
      <alignment horizontal="left" vertical="center" wrapText="1"/>
    </xf>
    <xf numFmtId="49" fontId="30" fillId="0" borderId="4" xfId="0" applyNumberFormat="1" applyFont="1" applyBorder="1" applyAlignment="1">
      <alignment horizontal="center" vertical="center" wrapText="1"/>
    </xf>
    <xf numFmtId="0" fontId="30" fillId="0" borderId="4" xfId="0" applyFont="1" applyBorder="1" applyAlignment="1">
      <alignment horizontal="left" vertical="center" wrapText="1"/>
    </xf>
    <xf numFmtId="0" fontId="30" fillId="3" borderId="4" xfId="0" applyFont="1" applyFill="1" applyBorder="1" applyAlignment="1">
      <alignment horizontal="left" vertical="center" wrapText="1"/>
    </xf>
    <xf numFmtId="0" fontId="30" fillId="0" borderId="0" xfId="0" applyFont="1"/>
    <xf numFmtId="49" fontId="30" fillId="3" borderId="4" xfId="0" applyNumberFormat="1" applyFont="1" applyFill="1" applyBorder="1" applyAlignment="1">
      <alignment vertical="center" wrapText="1"/>
    </xf>
    <xf numFmtId="0" fontId="39" fillId="21" borderId="4" xfId="1" applyFont="1" applyFill="1" applyBorder="1" applyAlignment="1">
      <alignment horizontal="left" vertical="center" wrapText="1"/>
    </xf>
    <xf numFmtId="0" fontId="39" fillId="7" borderId="4" xfId="1" applyFont="1" applyFill="1" applyBorder="1" applyAlignment="1">
      <alignment horizontal="left" vertical="center" wrapText="1"/>
    </xf>
    <xf numFmtId="10" fontId="35" fillId="3" borderId="4" xfId="0" applyNumberFormat="1" applyFont="1" applyFill="1" applyBorder="1" applyAlignment="1">
      <alignment horizontal="left" vertical="center" wrapText="1"/>
    </xf>
    <xf numFmtId="0" fontId="36" fillId="7" borderId="4" xfId="1" applyNumberFormat="1" applyFont="1" applyFill="1" applyBorder="1" applyAlignment="1">
      <alignment horizontal="left" vertical="center" wrapText="1"/>
    </xf>
    <xf numFmtId="0" fontId="59" fillId="3" borderId="4" xfId="0" applyFont="1" applyFill="1" applyBorder="1" applyAlignment="1">
      <alignment horizontal="left" vertical="center" wrapText="1"/>
    </xf>
    <xf numFmtId="172" fontId="30" fillId="3" borderId="4" xfId="0" applyNumberFormat="1" applyFont="1" applyFill="1" applyBorder="1" applyAlignment="1">
      <alignment horizontal="left" vertical="center" wrapText="1"/>
    </xf>
    <xf numFmtId="188" fontId="36" fillId="3" borderId="4" xfId="5" applyNumberFormat="1" applyFont="1" applyFill="1" applyBorder="1" applyAlignment="1" applyProtection="1">
      <alignment horizontal="left" vertical="center" wrapText="1"/>
      <protection locked="0"/>
    </xf>
    <xf numFmtId="3" fontId="36" fillId="9" borderId="4" xfId="0" applyNumberFormat="1" applyFont="1" applyFill="1" applyBorder="1" applyAlignment="1">
      <alignment horizontal="left" vertical="center" wrapText="1"/>
    </xf>
    <xf numFmtId="0" fontId="36" fillId="7" borderId="4" xfId="1" applyFont="1" applyFill="1" applyBorder="1" applyAlignment="1">
      <alignment horizontal="left" vertical="center" wrapText="1"/>
    </xf>
    <xf numFmtId="0" fontId="39" fillId="3" borderId="4" xfId="1" applyFont="1" applyFill="1" applyBorder="1" applyAlignment="1" applyProtection="1">
      <alignment vertical="center" wrapText="1"/>
    </xf>
    <xf numFmtId="0" fontId="55" fillId="5" borderId="4" xfId="0" applyFont="1" applyFill="1" applyBorder="1" applyAlignment="1">
      <alignment horizontal="center" vertical="center" wrapText="1"/>
    </xf>
    <xf numFmtId="0" fontId="44" fillId="3" borderId="4" xfId="1" applyFont="1" applyFill="1" applyBorder="1" applyAlignment="1">
      <alignment horizontal="left" vertical="center" wrapText="1"/>
    </xf>
    <xf numFmtId="0" fontId="29" fillId="21" borderId="4" xfId="0" applyFont="1" applyFill="1" applyBorder="1" applyAlignment="1">
      <alignment horizontal="left" vertical="center" wrapText="1"/>
    </xf>
    <xf numFmtId="0" fontId="38" fillId="0" borderId="4" xfId="0" applyFont="1" applyBorder="1" applyAlignment="1">
      <alignment horizontal="left" vertical="center" wrapText="1"/>
    </xf>
    <xf numFmtId="0" fontId="36" fillId="21" borderId="4" xfId="0" applyFont="1" applyFill="1" applyBorder="1" applyAlignment="1">
      <alignment horizontal="left" vertical="center" wrapText="1"/>
    </xf>
    <xf numFmtId="0" fontId="38" fillId="0" borderId="4" xfId="0" applyFont="1" applyBorder="1" applyAlignment="1">
      <alignment horizontal="left" vertical="center"/>
    </xf>
    <xf numFmtId="0" fontId="38" fillId="0" borderId="4" xfId="0" applyFont="1" applyBorder="1" applyAlignment="1">
      <alignment vertical="center" wrapText="1"/>
    </xf>
    <xf numFmtId="164" fontId="30" fillId="3" borderId="4" xfId="1" applyNumberFormat="1" applyFont="1" applyFill="1" applyBorder="1" applyAlignment="1">
      <alignment horizontal="left" vertical="center" wrapText="1"/>
    </xf>
    <xf numFmtId="0" fontId="36" fillId="21" borderId="4" xfId="4" applyFont="1" applyFill="1" applyBorder="1" applyAlignment="1" applyProtection="1">
      <alignment horizontal="left" vertical="center" wrapText="1"/>
    </xf>
    <xf numFmtId="0" fontId="41" fillId="21" borderId="4" xfId="4" applyFont="1" applyFill="1" applyBorder="1" applyAlignment="1" applyProtection="1">
      <alignment horizontal="left" vertical="center" wrapText="1"/>
    </xf>
    <xf numFmtId="0" fontId="68" fillId="21" borderId="4" xfId="4" applyFont="1" applyFill="1" applyBorder="1" applyAlignment="1" applyProtection="1">
      <alignment horizontal="left" vertical="center" wrapText="1"/>
    </xf>
    <xf numFmtId="0" fontId="43" fillId="3" borderId="4" xfId="1" applyFont="1" applyFill="1" applyBorder="1" applyAlignment="1" applyProtection="1">
      <alignment horizontal="center" vertical="center" wrapText="1"/>
    </xf>
    <xf numFmtId="49" fontId="36" fillId="4" borderId="4" xfId="0" applyNumberFormat="1" applyFont="1" applyFill="1" applyBorder="1" applyAlignment="1">
      <alignment horizontal="center" vertical="center" wrapText="1"/>
    </xf>
    <xf numFmtId="0" fontId="30" fillId="4" borderId="4" xfId="0" applyFont="1" applyFill="1" applyBorder="1" applyAlignment="1">
      <alignment vertical="center" wrapText="1"/>
    </xf>
    <xf numFmtId="49" fontId="36" fillId="0" borderId="4" xfId="0" applyNumberFormat="1" applyFont="1" applyBorder="1" applyAlignment="1">
      <alignment horizontal="center" vertical="center" wrapText="1"/>
    </xf>
    <xf numFmtId="0" fontId="36" fillId="3" borderId="4" xfId="0" applyFont="1" applyFill="1" applyBorder="1" applyAlignment="1">
      <alignment vertical="center" wrapText="1"/>
    </xf>
    <xf numFmtId="0" fontId="30" fillId="4" borderId="4" xfId="0" applyFont="1" applyFill="1" applyBorder="1" applyAlignment="1">
      <alignment horizontal="left" vertical="center" wrapText="1"/>
    </xf>
    <xf numFmtId="49" fontId="30" fillId="4" borderId="4" xfId="0" applyNumberFormat="1" applyFont="1" applyFill="1" applyBorder="1" applyAlignment="1">
      <alignment horizontal="center" vertical="center" wrapText="1"/>
    </xf>
    <xf numFmtId="0" fontId="7" fillId="4" borderId="4" xfId="0"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10" fillId="13" borderId="4" xfId="7"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49" fontId="7" fillId="0" borderId="4" xfId="0" applyNumberFormat="1" applyFont="1" applyBorder="1" applyAlignment="1">
      <alignment horizontal="center" vertical="center" wrapText="1"/>
    </xf>
    <xf numFmtId="0" fontId="87" fillId="3" borderId="4" xfId="0" applyFont="1" applyFill="1" applyBorder="1" applyAlignment="1">
      <alignment horizontal="center" vertical="center" wrapText="1"/>
    </xf>
    <xf numFmtId="3" fontId="7" fillId="13" borderId="4" xfId="0" applyNumberFormat="1" applyFont="1" applyFill="1" applyBorder="1" applyAlignment="1">
      <alignment horizontal="center" vertical="center" wrapText="1"/>
    </xf>
    <xf numFmtId="0" fontId="7" fillId="4" borderId="4" xfId="0" applyFont="1" applyFill="1" applyBorder="1" applyAlignment="1">
      <alignment horizontal="center" vertical="center"/>
    </xf>
    <xf numFmtId="49" fontId="9" fillId="4" borderId="4" xfId="0" applyNumberFormat="1" applyFont="1" applyFill="1" applyBorder="1" applyAlignment="1">
      <alignment horizontal="center" vertical="center" wrapText="1"/>
    </xf>
    <xf numFmtId="3" fontId="7" fillId="3" borderId="4" xfId="0" applyNumberFormat="1" applyFont="1" applyFill="1" applyBorder="1" applyAlignment="1">
      <alignment horizontal="center" vertical="center" wrapText="1"/>
    </xf>
    <xf numFmtId="0" fontId="73" fillId="4"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9" fillId="0" borderId="4" xfId="0" applyFont="1" applyBorder="1" applyAlignment="1">
      <alignment horizontal="center" vertical="center" wrapText="1"/>
    </xf>
    <xf numFmtId="0" fontId="87" fillId="0" borderId="4" xfId="0" applyFont="1" applyBorder="1" applyAlignment="1">
      <alignment horizontal="center" vertical="center" wrapText="1"/>
    </xf>
    <xf numFmtId="0" fontId="87" fillId="4" borderId="4" xfId="0" applyFont="1" applyFill="1" applyBorder="1" applyAlignment="1">
      <alignment horizontal="center" vertical="center" wrapText="1"/>
    </xf>
    <xf numFmtId="0" fontId="87" fillId="4" borderId="4" xfId="0" applyFont="1" applyFill="1" applyBorder="1" applyAlignment="1">
      <alignment horizontal="center" vertical="center"/>
    </xf>
    <xf numFmtId="0" fontId="88" fillId="4" borderId="4" xfId="0" applyFont="1" applyFill="1" applyBorder="1" applyAlignment="1">
      <alignment horizontal="center" vertical="center" wrapText="1"/>
    </xf>
    <xf numFmtId="0" fontId="9" fillId="4" borderId="4" xfId="0" applyFont="1" applyFill="1" applyBorder="1" applyAlignment="1">
      <alignment horizontal="center" vertical="center"/>
    </xf>
    <xf numFmtId="0" fontId="72" fillId="24" borderId="4"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9" fillId="14" borderId="4" xfId="0" applyFont="1" applyFill="1" applyBorder="1" applyAlignment="1">
      <alignment horizontal="center" vertical="center" wrapText="1"/>
    </xf>
    <xf numFmtId="0" fontId="9" fillId="19" borderId="4"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14" fillId="14" borderId="4" xfId="0" applyFont="1" applyFill="1" applyBorder="1" applyAlignment="1">
      <alignment horizontal="center" vertical="center" wrapText="1"/>
    </xf>
    <xf numFmtId="0" fontId="14" fillId="25" borderId="4" xfId="0" applyFont="1" applyFill="1" applyBorder="1" applyAlignment="1">
      <alignment horizontal="center" vertical="center" wrapText="1"/>
    </xf>
    <xf numFmtId="1" fontId="7" fillId="14" borderId="4" xfId="0" applyNumberFormat="1"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 fillId="19" borderId="4" xfId="6" applyFont="1" applyFill="1" applyBorder="1" applyAlignment="1">
      <alignment horizontal="center" vertical="center" wrapText="1"/>
    </xf>
    <xf numFmtId="0" fontId="7" fillId="27" borderId="4" xfId="0" applyFont="1" applyFill="1" applyBorder="1" applyAlignment="1">
      <alignment horizontal="center" vertical="center" wrapText="1"/>
    </xf>
    <xf numFmtId="0" fontId="7" fillId="28" borderId="4" xfId="0" applyFont="1" applyFill="1" applyBorder="1" applyAlignment="1">
      <alignment horizontal="center" vertical="center" wrapText="1"/>
    </xf>
    <xf numFmtId="0" fontId="7" fillId="25" borderId="4" xfId="0" applyFont="1" applyFill="1" applyBorder="1" applyAlignment="1">
      <alignment horizontal="center" vertical="center" wrapText="1"/>
    </xf>
    <xf numFmtId="14" fontId="7" fillId="14" borderId="4" xfId="0" applyNumberFormat="1" applyFont="1" applyFill="1" applyBorder="1" applyAlignment="1">
      <alignment horizontal="center" vertical="center" wrapText="1"/>
    </xf>
    <xf numFmtId="1" fontId="7" fillId="28" borderId="4" xfId="0" applyNumberFormat="1" applyFont="1" applyFill="1" applyBorder="1" applyAlignment="1">
      <alignment horizontal="center" vertical="center" wrapText="1"/>
    </xf>
    <xf numFmtId="1" fontId="7" fillId="27" borderId="4" xfId="0" applyNumberFormat="1" applyFont="1" applyFill="1" applyBorder="1" applyAlignment="1">
      <alignment horizontal="center" vertical="center" wrapText="1"/>
    </xf>
    <xf numFmtId="1" fontId="9" fillId="19" borderId="4" xfId="0" applyNumberFormat="1" applyFont="1" applyFill="1" applyBorder="1" applyAlignment="1">
      <alignment horizontal="center" vertical="center" wrapText="1"/>
    </xf>
    <xf numFmtId="1" fontId="8" fillId="14" borderId="4" xfId="0" applyNumberFormat="1" applyFont="1" applyFill="1" applyBorder="1" applyAlignment="1">
      <alignment horizontal="center" vertical="center" wrapText="1"/>
    </xf>
    <xf numFmtId="1" fontId="7" fillId="19" borderId="4" xfId="0" applyNumberFormat="1" applyFont="1" applyFill="1" applyBorder="1" applyAlignment="1">
      <alignment horizontal="center" vertical="center" wrapText="1"/>
    </xf>
    <xf numFmtId="1" fontId="7" fillId="25" borderId="4" xfId="0" applyNumberFormat="1" applyFont="1" applyFill="1" applyBorder="1" applyAlignment="1">
      <alignment horizontal="center" vertical="center" wrapText="1"/>
    </xf>
    <xf numFmtId="1" fontId="7" fillId="19" borderId="4" xfId="6" applyNumberFormat="1" applyFont="1" applyFill="1" applyBorder="1" applyAlignment="1">
      <alignment horizontal="center" vertical="center" wrapText="1"/>
    </xf>
    <xf numFmtId="165" fontId="7" fillId="14" borderId="4" xfId="0" applyNumberFormat="1" applyFont="1" applyFill="1" applyBorder="1" applyAlignment="1">
      <alignment horizontal="center" vertical="center" wrapText="1"/>
    </xf>
    <xf numFmtId="176" fontId="9" fillId="19" borderId="4" xfId="0" applyNumberFormat="1" applyFont="1" applyFill="1" applyBorder="1" applyAlignment="1">
      <alignment horizontal="center" vertical="center" wrapText="1"/>
    </xf>
    <xf numFmtId="165" fontId="8" fillId="14" borderId="4" xfId="0" applyNumberFormat="1" applyFont="1" applyFill="1" applyBorder="1" applyAlignment="1">
      <alignment horizontal="center" vertical="center" wrapText="1"/>
    </xf>
    <xf numFmtId="194" fontId="7" fillId="14" borderId="4" xfId="0" applyNumberFormat="1" applyFont="1" applyFill="1" applyBorder="1" applyAlignment="1">
      <alignment horizontal="center" vertical="center" wrapText="1"/>
    </xf>
    <xf numFmtId="176" fontId="7" fillId="19" borderId="4" xfId="0" applyNumberFormat="1" applyFont="1" applyFill="1" applyBorder="1" applyAlignment="1">
      <alignment horizontal="center" vertical="center" wrapText="1"/>
    </xf>
    <xf numFmtId="176" fontId="7" fillId="25" borderId="4" xfId="0" applyNumberFormat="1" applyFont="1" applyFill="1" applyBorder="1" applyAlignment="1">
      <alignment horizontal="center" vertical="center" wrapText="1"/>
    </xf>
    <xf numFmtId="174" fontId="7" fillId="14" borderId="4" xfId="0" applyNumberFormat="1" applyFont="1" applyFill="1" applyBorder="1" applyAlignment="1">
      <alignment horizontal="center" vertical="center" wrapText="1"/>
    </xf>
    <xf numFmtId="176" fontId="7" fillId="19" borderId="4" xfId="6" applyNumberFormat="1" applyFont="1" applyFill="1" applyBorder="1" applyAlignment="1">
      <alignment horizontal="center" vertical="center" wrapText="1"/>
    </xf>
    <xf numFmtId="49" fontId="7" fillId="14" borderId="4" xfId="0" applyNumberFormat="1" applyFont="1" applyFill="1" applyBorder="1" applyAlignment="1">
      <alignment horizontal="center" vertical="center" wrapText="1"/>
    </xf>
    <xf numFmtId="176" fontId="7" fillId="27" borderId="4" xfId="0" applyNumberFormat="1" applyFont="1" applyFill="1" applyBorder="1" applyAlignment="1">
      <alignment horizontal="center" vertical="center" wrapText="1"/>
    </xf>
    <xf numFmtId="176" fontId="7" fillId="28" borderId="4" xfId="0" applyNumberFormat="1" applyFont="1" applyFill="1" applyBorder="1" applyAlignment="1">
      <alignment horizontal="center" vertical="center" wrapText="1"/>
    </xf>
    <xf numFmtId="165" fontId="7" fillId="15" borderId="4" xfId="0" applyNumberFormat="1" applyFont="1" applyFill="1" applyBorder="1" applyAlignment="1">
      <alignment horizontal="center" vertical="center" wrapText="1"/>
    </xf>
    <xf numFmtId="49" fontId="7" fillId="29" borderId="4" xfId="0" applyNumberFormat="1" applyFont="1" applyFill="1" applyBorder="1" applyAlignment="1">
      <alignment horizontal="center" vertical="center" wrapText="1"/>
    </xf>
    <xf numFmtId="14" fontId="7" fillId="27" borderId="4" xfId="0" applyNumberFormat="1" applyFont="1" applyFill="1" applyBorder="1" applyAlignment="1">
      <alignment horizontal="center" vertical="center" wrapText="1"/>
    </xf>
    <xf numFmtId="0" fontId="10" fillId="14" borderId="4" xfId="1" applyFont="1" applyFill="1" applyBorder="1" applyAlignment="1">
      <alignment horizontal="center" vertical="center" wrapText="1"/>
    </xf>
    <xf numFmtId="0" fontId="77" fillId="19" borderId="4" xfId="1" applyNumberFormat="1" applyFont="1" applyFill="1" applyBorder="1" applyAlignment="1" applyProtection="1">
      <alignment horizontal="center" vertical="center" wrapText="1"/>
    </xf>
    <xf numFmtId="0" fontId="77" fillId="14" borderId="4" xfId="1" applyNumberFormat="1" applyFont="1" applyFill="1" applyBorder="1" applyAlignment="1" applyProtection="1">
      <alignment horizontal="center" vertical="center" wrapText="1"/>
    </xf>
    <xf numFmtId="0" fontId="10" fillId="14" borderId="4" xfId="7" applyFont="1" applyFill="1" applyBorder="1" applyAlignment="1">
      <alignment horizontal="center" vertical="center" wrapText="1"/>
    </xf>
    <xf numFmtId="0" fontId="10" fillId="14" borderId="4" xfId="1" applyFont="1" applyFill="1" applyBorder="1" applyAlignment="1" applyProtection="1">
      <alignment horizontal="center" vertical="center" wrapText="1"/>
    </xf>
    <xf numFmtId="0" fontId="20" fillId="14" borderId="4" xfId="1" applyFont="1" applyFill="1" applyBorder="1" applyAlignment="1">
      <alignment horizontal="center" vertical="center" wrapText="1"/>
    </xf>
    <xf numFmtId="0" fontId="7" fillId="14" borderId="4" xfId="1" applyFont="1" applyFill="1" applyBorder="1" applyAlignment="1">
      <alignment horizontal="center" vertical="center" wrapText="1"/>
    </xf>
    <xf numFmtId="0" fontId="10" fillId="14" borderId="4" xfId="1" applyNumberFormat="1" applyFont="1" applyFill="1" applyBorder="1" applyAlignment="1">
      <alignment horizontal="center" vertical="center" wrapText="1"/>
    </xf>
    <xf numFmtId="0" fontId="78" fillId="19" borderId="4" xfId="6" applyFont="1" applyFill="1" applyBorder="1" applyAlignment="1">
      <alignment horizontal="center" vertical="center" wrapText="1"/>
    </xf>
    <xf numFmtId="0" fontId="81" fillId="27" borderId="4" xfId="0" applyFont="1" applyFill="1" applyBorder="1" applyAlignment="1">
      <alignment horizontal="center" vertical="center" wrapText="1"/>
    </xf>
    <xf numFmtId="0" fontId="81" fillId="27" borderId="4" xfId="10" applyNumberFormat="1" applyFont="1" applyFill="1" applyBorder="1" applyAlignment="1">
      <alignment horizontal="center" vertical="center" wrapText="1"/>
    </xf>
    <xf numFmtId="0" fontId="82" fillId="28" borderId="4" xfId="0" applyFont="1" applyFill="1" applyBorder="1" applyAlignment="1">
      <alignment horizontal="center" vertical="center" wrapText="1"/>
    </xf>
    <xf numFmtId="0" fontId="83" fillId="28" borderId="4" xfId="0" applyFont="1" applyFill="1" applyBorder="1" applyAlignment="1">
      <alignment horizontal="center" vertical="center" wrapText="1"/>
    </xf>
    <xf numFmtId="0" fontId="10" fillId="28" borderId="4" xfId="1" applyFont="1" applyFill="1" applyBorder="1" applyAlignment="1">
      <alignment horizontal="center" vertical="center" wrapText="1"/>
    </xf>
    <xf numFmtId="0" fontId="84" fillId="28" borderId="4" xfId="0" applyFont="1" applyFill="1" applyBorder="1" applyAlignment="1">
      <alignment horizontal="center" vertical="center" wrapText="1"/>
    </xf>
    <xf numFmtId="0" fontId="84" fillId="27" borderId="4" xfId="0" applyFont="1" applyFill="1" applyBorder="1" applyAlignment="1">
      <alignment horizontal="center" vertical="center" wrapText="1"/>
    </xf>
    <xf numFmtId="0" fontId="83" fillId="27" borderId="4" xfId="1" applyFont="1" applyFill="1" applyBorder="1" applyAlignment="1" applyProtection="1">
      <alignment horizontal="center" vertical="center" wrapText="1"/>
    </xf>
    <xf numFmtId="0" fontId="7" fillId="30" borderId="4" xfId="0" applyFont="1" applyFill="1" applyBorder="1" applyAlignment="1">
      <alignment horizontal="center" vertical="center" wrapText="1"/>
    </xf>
    <xf numFmtId="0" fontId="10" fillId="19" borderId="4" xfId="1" applyFont="1" applyFill="1" applyBorder="1" applyAlignment="1">
      <alignment horizontal="center" vertical="center" wrapText="1"/>
    </xf>
    <xf numFmtId="0" fontId="10" fillId="14" borderId="4" xfId="7" applyFont="1" applyFill="1" applyBorder="1" applyAlignment="1" applyProtection="1">
      <alignment horizontal="center" vertical="center" wrapText="1"/>
    </xf>
    <xf numFmtId="0" fontId="82" fillId="25" borderId="4" xfId="0" applyFont="1" applyFill="1" applyBorder="1" applyAlignment="1">
      <alignment horizontal="center" vertical="center" wrapText="1"/>
    </xf>
    <xf numFmtId="0" fontId="10" fillId="30" borderId="4" xfId="1" applyFont="1" applyFill="1" applyBorder="1" applyAlignment="1">
      <alignment horizontal="center" vertical="center" wrapText="1"/>
    </xf>
    <xf numFmtId="165" fontId="20" fillId="14" borderId="4" xfId="1" applyNumberFormat="1" applyFont="1" applyFill="1" applyBorder="1" applyAlignment="1">
      <alignment horizontal="center" vertical="center" wrapText="1"/>
    </xf>
    <xf numFmtId="0" fontId="79" fillId="19" borderId="4" xfId="6" applyFont="1" applyFill="1" applyBorder="1" applyAlignment="1">
      <alignment horizontal="center" vertical="center" wrapText="1"/>
    </xf>
    <xf numFmtId="0" fontId="82" fillId="27" borderId="4" xfId="0" applyFont="1" applyFill="1" applyBorder="1" applyAlignment="1">
      <alignment horizontal="center" vertical="center" wrapText="1"/>
    </xf>
    <xf numFmtId="0" fontId="84" fillId="27" borderId="4" xfId="10" applyNumberFormat="1" applyFont="1" applyFill="1" applyBorder="1" applyAlignment="1">
      <alignment horizontal="center" vertical="center" wrapText="1"/>
    </xf>
    <xf numFmtId="0" fontId="83" fillId="28" borderId="4" xfId="9" applyFont="1" applyFill="1" applyBorder="1" applyAlignment="1">
      <alignment horizontal="center" vertical="center" wrapText="1"/>
    </xf>
    <xf numFmtId="0" fontId="84" fillId="28" borderId="4" xfId="9" applyFont="1" applyFill="1" applyBorder="1" applyAlignment="1">
      <alignment horizontal="center" vertical="center" wrapText="1"/>
    </xf>
    <xf numFmtId="0" fontId="86" fillId="14" borderId="4" xfId="0" applyFont="1" applyFill="1" applyBorder="1" applyAlignment="1">
      <alignment horizontal="center" vertical="center" wrapText="1"/>
    </xf>
    <xf numFmtId="0" fontId="20" fillId="14" borderId="4" xfId="7" applyFont="1" applyFill="1" applyBorder="1" applyAlignment="1">
      <alignment horizontal="center" vertical="center" wrapText="1"/>
    </xf>
    <xf numFmtId="0" fontId="81" fillId="27" borderId="4" xfId="9" applyFont="1" applyFill="1" applyBorder="1" applyAlignment="1">
      <alignment horizontal="center" vertical="center" wrapText="1"/>
    </xf>
    <xf numFmtId="2" fontId="9" fillId="19" borderId="4" xfId="0" applyNumberFormat="1" applyFont="1" applyFill="1" applyBorder="1" applyAlignment="1">
      <alignment horizontal="center" vertical="center" wrapText="1"/>
    </xf>
    <xf numFmtId="0" fontId="9" fillId="14" borderId="4" xfId="1" applyFont="1" applyFill="1" applyBorder="1" applyAlignment="1" applyProtection="1">
      <alignment horizontal="center" vertical="center" wrapText="1"/>
    </xf>
    <xf numFmtId="0" fontId="7" fillId="14" borderId="4" xfId="6" applyFont="1" applyFill="1" applyBorder="1" applyAlignment="1">
      <alignment horizontal="center" vertical="center" wrapText="1"/>
    </xf>
    <xf numFmtId="164" fontId="7" fillId="14" borderId="4" xfId="0" applyNumberFormat="1" applyFont="1" applyFill="1" applyBorder="1" applyAlignment="1">
      <alignment horizontal="center" vertical="center" wrapText="1"/>
    </xf>
    <xf numFmtId="164" fontId="9" fillId="19" borderId="4" xfId="0" applyNumberFormat="1" applyFont="1" applyFill="1" applyBorder="1" applyAlignment="1">
      <alignment horizontal="center" vertical="center" wrapText="1"/>
    </xf>
    <xf numFmtId="164" fontId="7" fillId="19" borderId="4" xfId="0" applyNumberFormat="1" applyFont="1" applyFill="1" applyBorder="1" applyAlignment="1">
      <alignment horizontal="center" vertical="center" wrapText="1"/>
    </xf>
    <xf numFmtId="180" fontId="7" fillId="14" borderId="4" xfId="0" applyNumberFormat="1" applyFont="1" applyFill="1" applyBorder="1" applyAlignment="1">
      <alignment horizontal="center" vertical="center" wrapText="1"/>
    </xf>
    <xf numFmtId="164" fontId="7" fillId="25" borderId="4" xfId="0" applyNumberFormat="1" applyFont="1" applyFill="1" applyBorder="1" applyAlignment="1">
      <alignment horizontal="center" vertical="center" wrapText="1"/>
    </xf>
    <xf numFmtId="167" fontId="7" fillId="14" borderId="4" xfId="0" applyNumberFormat="1" applyFont="1" applyFill="1" applyBorder="1" applyAlignment="1">
      <alignment horizontal="center" vertical="center" wrapText="1"/>
    </xf>
    <xf numFmtId="192" fontId="7" fillId="14" borderId="4" xfId="0" applyNumberFormat="1" applyFont="1" applyFill="1" applyBorder="1" applyAlignment="1">
      <alignment horizontal="center" vertical="center" wrapText="1"/>
    </xf>
    <xf numFmtId="193" fontId="7" fillId="14" borderId="4" xfId="0" applyNumberFormat="1" applyFont="1" applyFill="1" applyBorder="1" applyAlignment="1">
      <alignment horizontal="center" vertical="center" wrapText="1"/>
    </xf>
    <xf numFmtId="164" fontId="7" fillId="19" borderId="4" xfId="6" applyNumberFormat="1" applyFont="1" applyFill="1" applyBorder="1" applyAlignment="1">
      <alignment horizontal="center" vertical="center" wrapText="1"/>
    </xf>
    <xf numFmtId="164" fontId="7" fillId="27" borderId="4" xfId="0" applyNumberFormat="1" applyFont="1" applyFill="1" applyBorder="1" applyAlignment="1">
      <alignment horizontal="center" vertical="center" wrapText="1"/>
    </xf>
    <xf numFmtId="164" fontId="7" fillId="28" borderId="4" xfId="0" applyNumberFormat="1" applyFont="1" applyFill="1" applyBorder="1" applyAlignment="1">
      <alignment horizontal="center" vertical="center" wrapText="1"/>
    </xf>
    <xf numFmtId="10" fontId="7" fillId="14" borderId="4" xfId="0" applyNumberFormat="1" applyFont="1" applyFill="1" applyBorder="1" applyAlignment="1">
      <alignment horizontal="center" vertical="center" wrapText="1"/>
    </xf>
    <xf numFmtId="10" fontId="9" fillId="19" borderId="4" xfId="0" applyNumberFormat="1" applyFont="1" applyFill="1" applyBorder="1" applyAlignment="1">
      <alignment horizontal="center" vertical="center" wrapText="1"/>
    </xf>
    <xf numFmtId="10" fontId="7" fillId="31" borderId="4" xfId="0" applyNumberFormat="1" applyFont="1" applyFill="1" applyBorder="1" applyAlignment="1">
      <alignment horizontal="center" vertical="center" wrapText="1"/>
    </xf>
    <xf numFmtId="169" fontId="7" fillId="14" borderId="4" xfId="0" applyNumberFormat="1" applyFont="1" applyFill="1" applyBorder="1" applyAlignment="1">
      <alignment horizontal="center" vertical="center" wrapText="1"/>
    </xf>
    <xf numFmtId="10" fontId="7" fillId="25" borderId="4" xfId="0" applyNumberFormat="1" applyFont="1" applyFill="1" applyBorder="1" applyAlignment="1">
      <alignment horizontal="center" vertical="center" wrapText="1"/>
    </xf>
    <xf numFmtId="2" fontId="7" fillId="14" borderId="4" xfId="0" applyNumberFormat="1" applyFont="1" applyFill="1" applyBorder="1" applyAlignment="1">
      <alignment horizontal="center" vertical="center" wrapText="1"/>
    </xf>
    <xf numFmtId="10" fontId="7" fillId="19" borderId="4" xfId="6" applyNumberFormat="1" applyFont="1" applyFill="1" applyBorder="1" applyAlignment="1">
      <alignment horizontal="center" vertical="center" wrapText="1"/>
    </xf>
    <xf numFmtId="9" fontId="7" fillId="14" borderId="4" xfId="0" applyNumberFormat="1" applyFont="1" applyFill="1" applyBorder="1" applyAlignment="1">
      <alignment horizontal="center" vertical="center" wrapText="1"/>
    </xf>
    <xf numFmtId="10" fontId="7" fillId="27" borderId="4" xfId="0" applyNumberFormat="1" applyFont="1" applyFill="1" applyBorder="1" applyAlignment="1">
      <alignment horizontal="center" vertical="center" wrapText="1"/>
    </xf>
    <xf numFmtId="10" fontId="7" fillId="28" borderId="4" xfId="0" applyNumberFormat="1" applyFont="1" applyFill="1" applyBorder="1" applyAlignment="1">
      <alignment horizontal="center" vertical="center" wrapText="1"/>
    </xf>
    <xf numFmtId="171" fontId="7" fillId="14" borderId="4" xfId="0" applyNumberFormat="1" applyFont="1" applyFill="1" applyBorder="1" applyAlignment="1">
      <alignment horizontal="center" vertical="center" wrapText="1"/>
    </xf>
    <xf numFmtId="173" fontId="7" fillId="14" borderId="4" xfId="0" applyNumberFormat="1" applyFont="1" applyFill="1" applyBorder="1" applyAlignment="1">
      <alignment horizontal="center" vertical="center" wrapText="1"/>
    </xf>
    <xf numFmtId="10" fontId="7" fillId="19" borderId="4" xfId="0" applyNumberFormat="1" applyFont="1" applyFill="1" applyBorder="1" applyAlignment="1">
      <alignment horizontal="center" vertical="center" wrapText="1"/>
    </xf>
    <xf numFmtId="10" fontId="9" fillId="14" borderId="4" xfId="0" applyNumberFormat="1" applyFont="1" applyFill="1" applyBorder="1" applyAlignment="1">
      <alignment horizontal="center" vertical="center" wrapText="1"/>
    </xf>
    <xf numFmtId="183" fontId="7" fillId="14" borderId="4" xfId="0" applyNumberFormat="1" applyFont="1" applyFill="1" applyBorder="1" applyAlignment="1">
      <alignment horizontal="center" vertical="center" wrapText="1"/>
    </xf>
    <xf numFmtId="190" fontId="7" fillId="14" borderId="4" xfId="0" applyNumberFormat="1" applyFont="1" applyFill="1" applyBorder="1" applyAlignment="1">
      <alignment horizontal="center" vertical="center" wrapText="1"/>
    </xf>
    <xf numFmtId="191" fontId="7" fillId="14" borderId="4" xfId="0" applyNumberFormat="1" applyFont="1" applyFill="1" applyBorder="1" applyAlignment="1">
      <alignment horizontal="center" vertical="center" wrapText="1"/>
    </xf>
    <xf numFmtId="3" fontId="7" fillId="14" borderId="4" xfId="0" applyNumberFormat="1" applyFont="1" applyFill="1" applyBorder="1" applyAlignment="1">
      <alignment horizontal="center" vertical="center" wrapText="1"/>
    </xf>
    <xf numFmtId="4" fontId="7" fillId="14" borderId="4" xfId="0" applyNumberFormat="1" applyFont="1" applyFill="1" applyBorder="1" applyAlignment="1">
      <alignment horizontal="center" vertical="center" wrapText="1"/>
    </xf>
    <xf numFmtId="185" fontId="7" fillId="14" borderId="4" xfId="0" applyNumberFormat="1" applyFont="1" applyFill="1" applyBorder="1" applyAlignment="1">
      <alignment horizontal="center" vertical="center" wrapText="1"/>
    </xf>
    <xf numFmtId="2" fontId="7" fillId="27" borderId="4" xfId="0" applyNumberFormat="1" applyFont="1" applyFill="1" applyBorder="1" applyAlignment="1">
      <alignment horizontal="center" vertical="center" wrapText="1"/>
    </xf>
    <xf numFmtId="164" fontId="7" fillId="27" borderId="4" xfId="1" applyNumberFormat="1" applyFont="1" applyFill="1" applyBorder="1" applyAlignment="1" applyProtection="1">
      <alignment horizontal="center" vertical="center" wrapText="1"/>
    </xf>
    <xf numFmtId="2" fontId="7" fillId="28" borderId="4" xfId="0" applyNumberFormat="1" applyFont="1" applyFill="1" applyBorder="1" applyAlignment="1">
      <alignment horizontal="center" vertical="center" wrapText="1"/>
    </xf>
    <xf numFmtId="173" fontId="7" fillId="28" borderId="4" xfId="0" applyNumberFormat="1" applyFont="1" applyFill="1" applyBorder="1" applyAlignment="1">
      <alignment horizontal="center" vertical="center" wrapText="1"/>
    </xf>
    <xf numFmtId="10" fontId="7" fillId="15" borderId="4" xfId="0" applyNumberFormat="1" applyFont="1" applyFill="1" applyBorder="1" applyAlignment="1">
      <alignment horizontal="center" vertical="center" wrapText="1"/>
    </xf>
    <xf numFmtId="10" fontId="7" fillId="26" borderId="4" xfId="0" applyNumberFormat="1" applyFont="1" applyFill="1" applyBorder="1" applyAlignment="1">
      <alignment horizontal="center" vertical="center" wrapText="1"/>
    </xf>
    <xf numFmtId="10" fontId="10" fillId="14" borderId="4" xfId="1" applyNumberFormat="1" applyFont="1" applyFill="1" applyBorder="1" applyAlignment="1" applyProtection="1">
      <alignment horizontal="center" vertical="center" wrapText="1"/>
    </xf>
    <xf numFmtId="10" fontId="10" fillId="14" borderId="4" xfId="1" applyNumberFormat="1" applyFont="1" applyFill="1" applyBorder="1" applyAlignment="1">
      <alignment horizontal="center" vertical="center" wrapText="1"/>
    </xf>
    <xf numFmtId="10" fontId="79" fillId="19" borderId="4" xfId="6" applyNumberFormat="1" applyFont="1" applyFill="1" applyBorder="1" applyAlignment="1">
      <alignment horizontal="center" vertical="center" wrapText="1"/>
    </xf>
    <xf numFmtId="10" fontId="84" fillId="27" borderId="4" xfId="0" applyNumberFormat="1" applyFont="1" applyFill="1" applyBorder="1" applyAlignment="1">
      <alignment horizontal="center" vertical="center" wrapText="1"/>
    </xf>
    <xf numFmtId="10" fontId="83" fillId="28" borderId="4" xfId="9" applyNumberFormat="1" applyFont="1" applyFill="1" applyBorder="1" applyAlignment="1">
      <alignment horizontal="center" vertical="center" wrapText="1"/>
    </xf>
    <xf numFmtId="167" fontId="9" fillId="19" borderId="4" xfId="0" applyNumberFormat="1" applyFont="1" applyFill="1" applyBorder="1" applyAlignment="1">
      <alignment horizontal="center" vertical="center" wrapText="1"/>
    </xf>
    <xf numFmtId="167" fontId="7" fillId="19" borderId="4" xfId="0" applyNumberFormat="1" applyFont="1" applyFill="1" applyBorder="1" applyAlignment="1">
      <alignment horizontal="center" vertical="center" wrapText="1"/>
    </xf>
    <xf numFmtId="167" fontId="7" fillId="25" borderId="4" xfId="0" applyNumberFormat="1" applyFont="1" applyFill="1" applyBorder="1" applyAlignment="1">
      <alignment horizontal="center" vertical="center" wrapText="1"/>
    </xf>
    <xf numFmtId="167" fontId="7" fillId="19" borderId="4" xfId="6" applyNumberFormat="1" applyFont="1" applyFill="1" applyBorder="1" applyAlignment="1">
      <alignment horizontal="center" vertical="center" wrapText="1"/>
    </xf>
    <xf numFmtId="167" fontId="7" fillId="27" borderId="4" xfId="0" applyNumberFormat="1" applyFont="1" applyFill="1" applyBorder="1" applyAlignment="1">
      <alignment horizontal="center" vertical="center" wrapText="1"/>
    </xf>
    <xf numFmtId="167" fontId="7" fillId="28" borderId="4" xfId="0" applyNumberFormat="1" applyFont="1" applyFill="1" applyBorder="1" applyAlignment="1">
      <alignment horizontal="center" vertical="center" wrapText="1"/>
    </xf>
    <xf numFmtId="166" fontId="7" fillId="14" borderId="4" xfId="0" applyNumberFormat="1" applyFont="1" applyFill="1" applyBorder="1" applyAlignment="1">
      <alignment horizontal="center" vertical="center" wrapText="1"/>
    </xf>
    <xf numFmtId="3" fontId="9" fillId="19" borderId="4" xfId="0" applyNumberFormat="1" applyFont="1" applyFill="1" applyBorder="1" applyAlignment="1">
      <alignment horizontal="center" vertical="center" wrapText="1"/>
    </xf>
    <xf numFmtId="3" fontId="7" fillId="19" borderId="4" xfId="0" applyNumberFormat="1" applyFont="1" applyFill="1" applyBorder="1" applyAlignment="1">
      <alignment horizontal="center" vertical="center" wrapText="1"/>
    </xf>
    <xf numFmtId="3" fontId="7" fillId="25" borderId="4" xfId="0" applyNumberFormat="1" applyFont="1" applyFill="1" applyBorder="1" applyAlignment="1">
      <alignment horizontal="center" vertical="center" wrapText="1"/>
    </xf>
    <xf numFmtId="3" fontId="7" fillId="19" borderId="4" xfId="6" applyNumberFormat="1" applyFont="1" applyFill="1" applyBorder="1" applyAlignment="1">
      <alignment horizontal="center" vertical="center" wrapText="1"/>
    </xf>
    <xf numFmtId="3" fontId="7" fillId="27" borderId="4" xfId="0" applyNumberFormat="1" applyFont="1" applyFill="1" applyBorder="1" applyAlignment="1">
      <alignment horizontal="center" vertical="center" wrapText="1"/>
    </xf>
    <xf numFmtId="3" fontId="7" fillId="28" borderId="4" xfId="0" applyNumberFormat="1" applyFont="1" applyFill="1" applyBorder="1" applyAlignment="1">
      <alignment horizontal="center" vertical="center" wrapText="1"/>
    </xf>
    <xf numFmtId="3" fontId="14" fillId="14" borderId="4" xfId="0" applyNumberFormat="1" applyFont="1" applyFill="1" applyBorder="1" applyAlignment="1">
      <alignment horizontal="center" vertical="center" wrapText="1"/>
    </xf>
    <xf numFmtId="3" fontId="72" fillId="19" borderId="4" xfId="0" applyNumberFormat="1" applyFont="1" applyFill="1" applyBorder="1" applyAlignment="1">
      <alignment horizontal="center" vertical="center" wrapText="1"/>
    </xf>
    <xf numFmtId="3" fontId="14" fillId="31" borderId="4" xfId="0" applyNumberFormat="1" applyFont="1" applyFill="1" applyBorder="1" applyAlignment="1">
      <alignment horizontal="center" vertical="center" wrapText="1"/>
    </xf>
    <xf numFmtId="3" fontId="14" fillId="25" borderId="4" xfId="0" applyNumberFormat="1" applyFont="1" applyFill="1" applyBorder="1" applyAlignment="1">
      <alignment horizontal="center" vertical="center" wrapText="1"/>
    </xf>
    <xf numFmtId="3" fontId="14" fillId="19" borderId="4" xfId="6" applyNumberFormat="1" applyFont="1" applyFill="1" applyBorder="1" applyAlignment="1">
      <alignment horizontal="center" vertical="center" wrapText="1"/>
    </xf>
    <xf numFmtId="3" fontId="14" fillId="27" borderId="4" xfId="0" applyNumberFormat="1" applyFont="1" applyFill="1" applyBorder="1" applyAlignment="1">
      <alignment horizontal="center" vertical="center" wrapText="1"/>
    </xf>
    <xf numFmtId="3" fontId="14" fillId="28" borderId="4" xfId="0" applyNumberFormat="1" applyFont="1" applyFill="1" applyBorder="1" applyAlignment="1">
      <alignment horizontal="center" vertical="center" wrapText="1"/>
    </xf>
    <xf numFmtId="166" fontId="7" fillId="19" borderId="4" xfId="0" applyNumberFormat="1" applyFont="1" applyFill="1" applyBorder="1" applyAlignment="1">
      <alignment horizontal="center" vertical="center" wrapText="1"/>
    </xf>
    <xf numFmtId="0" fontId="90" fillId="14" borderId="4" xfId="0" applyFont="1" applyFill="1" applyBorder="1" applyAlignment="1">
      <alignment horizontal="center" vertical="center" wrapText="1"/>
    </xf>
    <xf numFmtId="172" fontId="9" fillId="19" borderId="4" xfId="0" applyNumberFormat="1" applyFont="1" applyFill="1" applyBorder="1" applyAlignment="1">
      <alignment horizontal="center" vertical="center" wrapText="1"/>
    </xf>
    <xf numFmtId="10" fontId="7" fillId="14" borderId="4" xfId="2" applyNumberFormat="1" applyFont="1" applyFill="1" applyBorder="1" applyAlignment="1">
      <alignment horizontal="center" vertical="center" wrapText="1"/>
    </xf>
    <xf numFmtId="9" fontId="7" fillId="14" borderId="4" xfId="2" applyFont="1" applyFill="1" applyBorder="1" applyAlignment="1">
      <alignment horizontal="center" vertical="center" wrapText="1"/>
    </xf>
    <xf numFmtId="172" fontId="7" fillId="14" borderId="4" xfId="0" applyNumberFormat="1" applyFont="1" applyFill="1" applyBorder="1" applyAlignment="1">
      <alignment horizontal="center" vertical="center" wrapText="1"/>
    </xf>
    <xf numFmtId="169" fontId="7" fillId="14" borderId="4" xfId="2" applyNumberFormat="1" applyFont="1" applyFill="1" applyBorder="1" applyAlignment="1">
      <alignment horizontal="center" vertical="center" wrapText="1"/>
    </xf>
    <xf numFmtId="9" fontId="7" fillId="25" borderId="4" xfId="0" applyNumberFormat="1" applyFont="1" applyFill="1" applyBorder="1" applyAlignment="1">
      <alignment horizontal="center" vertical="center" wrapText="1"/>
    </xf>
    <xf numFmtId="9" fontId="7" fillId="27" borderId="4" xfId="0" applyNumberFormat="1" applyFont="1" applyFill="1" applyBorder="1" applyAlignment="1">
      <alignment horizontal="center" vertical="center" wrapText="1"/>
    </xf>
    <xf numFmtId="172" fontId="8" fillId="14" borderId="4" xfId="0" applyNumberFormat="1" applyFont="1" applyFill="1" applyBorder="1" applyAlignment="1">
      <alignment horizontal="center" vertical="center" wrapText="1"/>
    </xf>
    <xf numFmtId="10" fontId="77" fillId="19" borderId="4" xfId="1" applyNumberFormat="1" applyFont="1" applyFill="1" applyBorder="1" applyAlignment="1" applyProtection="1">
      <alignment horizontal="center" vertical="center" wrapText="1"/>
    </xf>
    <xf numFmtId="164" fontId="77" fillId="19" borderId="4" xfId="1" applyNumberFormat="1" applyFont="1" applyFill="1" applyBorder="1" applyAlignment="1" applyProtection="1">
      <alignment horizontal="center" vertical="center" wrapText="1"/>
    </xf>
    <xf numFmtId="10" fontId="7" fillId="14" borderId="4" xfId="1" applyNumberFormat="1" applyFont="1" applyFill="1" applyBorder="1" applyAlignment="1">
      <alignment horizontal="center" vertical="center" wrapText="1"/>
    </xf>
    <xf numFmtId="10" fontId="10" fillId="14" borderId="4" xfId="7" applyNumberFormat="1" applyFont="1" applyFill="1" applyBorder="1" applyAlignment="1">
      <alignment horizontal="center" vertical="center" wrapText="1"/>
    </xf>
    <xf numFmtId="10" fontId="10" fillId="14" borderId="4" xfId="7" applyNumberFormat="1" applyFont="1" applyFill="1" applyBorder="1" applyAlignment="1" applyProtection="1">
      <alignment horizontal="center" vertical="center" wrapText="1"/>
    </xf>
    <xf numFmtId="10" fontId="82" fillId="25" borderId="4" xfId="0" applyNumberFormat="1" applyFont="1" applyFill="1" applyBorder="1" applyAlignment="1">
      <alignment horizontal="center" vertical="center" wrapText="1"/>
    </xf>
    <xf numFmtId="10" fontId="84" fillId="27" borderId="4" xfId="9" applyNumberFormat="1" applyFont="1" applyFill="1" applyBorder="1" applyAlignment="1">
      <alignment horizontal="center" vertical="center" wrapText="1"/>
    </xf>
    <xf numFmtId="10" fontId="84" fillId="28" borderId="4" xfId="9" applyNumberFormat="1" applyFont="1" applyFill="1" applyBorder="1" applyAlignment="1">
      <alignment horizontal="center" vertical="center" wrapText="1"/>
    </xf>
    <xf numFmtId="164" fontId="84" fillId="28" borderId="4" xfId="0" applyNumberFormat="1" applyFont="1" applyFill="1" applyBorder="1" applyAlignment="1">
      <alignment horizontal="center" vertical="center" wrapText="1"/>
    </xf>
    <xf numFmtId="10" fontId="82" fillId="28" borderId="4" xfId="0" applyNumberFormat="1" applyFont="1" applyFill="1" applyBorder="1" applyAlignment="1">
      <alignment horizontal="center" vertical="center" wrapText="1"/>
    </xf>
    <xf numFmtId="10" fontId="84" fillId="28" borderId="4" xfId="0" applyNumberFormat="1" applyFont="1" applyFill="1" applyBorder="1" applyAlignment="1">
      <alignment horizontal="center" vertical="center" wrapText="1"/>
    </xf>
    <xf numFmtId="10" fontId="81" fillId="27" borderId="4" xfId="0" applyNumberFormat="1" applyFont="1" applyFill="1" applyBorder="1" applyAlignment="1">
      <alignment horizontal="center" vertical="center" wrapText="1"/>
    </xf>
    <xf numFmtId="10" fontId="84" fillId="27" borderId="4" xfId="1" applyNumberFormat="1" applyFont="1" applyFill="1" applyBorder="1" applyAlignment="1" applyProtection="1">
      <alignment horizontal="center" vertical="center" wrapText="1"/>
    </xf>
    <xf numFmtId="3" fontId="81" fillId="27" borderId="4" xfId="9" applyNumberFormat="1" applyFont="1" applyFill="1" applyBorder="1" applyAlignment="1">
      <alignment horizontal="center" vertical="center" wrapText="1"/>
    </xf>
    <xf numFmtId="3" fontId="10" fillId="14" borderId="4" xfId="1" applyNumberFormat="1" applyFont="1" applyFill="1" applyBorder="1" applyAlignment="1">
      <alignment horizontal="center" vertical="center" wrapText="1"/>
    </xf>
    <xf numFmtId="0" fontId="20" fillId="14" borderId="4" xfId="1" applyFont="1" applyFill="1" applyBorder="1" applyAlignment="1" applyProtection="1">
      <alignment horizontal="center" vertical="center" wrapText="1"/>
    </xf>
    <xf numFmtId="0" fontId="7" fillId="14" borderId="4" xfId="1" applyFont="1" applyFill="1" applyBorder="1" applyAlignment="1" applyProtection="1">
      <alignment horizontal="center" vertical="center" wrapText="1"/>
    </xf>
    <xf numFmtId="3" fontId="7" fillId="15" borderId="4" xfId="0" applyNumberFormat="1" applyFont="1" applyFill="1" applyBorder="1" applyAlignment="1">
      <alignment horizontal="center" vertical="center" wrapText="1"/>
    </xf>
    <xf numFmtId="3" fontId="78" fillId="19" borderId="4" xfId="6" applyNumberFormat="1" applyFont="1" applyFill="1" applyBorder="1" applyAlignment="1">
      <alignment horizontal="center" vertical="center" wrapText="1"/>
    </xf>
    <xf numFmtId="3" fontId="81" fillId="27" borderId="4" xfId="0" applyNumberFormat="1" applyFont="1" applyFill="1" applyBorder="1" applyAlignment="1">
      <alignment horizontal="center" vertical="center" wrapText="1"/>
    </xf>
    <xf numFmtId="3" fontId="7" fillId="26" borderId="4" xfId="0" applyNumberFormat="1" applyFont="1" applyFill="1" applyBorder="1" applyAlignment="1">
      <alignment horizontal="center" vertical="center" wrapText="1"/>
    </xf>
    <xf numFmtId="49" fontId="10" fillId="30" borderId="4" xfId="1" applyNumberFormat="1" applyFont="1" applyFill="1" applyBorder="1" applyAlignment="1" applyProtection="1">
      <alignment horizontal="center" vertical="center" wrapText="1"/>
    </xf>
    <xf numFmtId="0" fontId="10" fillId="32" borderId="4" xfId="0" applyFont="1" applyFill="1" applyBorder="1" applyAlignment="1">
      <alignment horizontal="center" vertical="center" wrapText="1"/>
    </xf>
    <xf numFmtId="0" fontId="75" fillId="19" borderId="4" xfId="6" applyFont="1" applyFill="1" applyBorder="1" applyAlignment="1">
      <alignment horizontal="center" vertical="center" wrapText="1"/>
    </xf>
    <xf numFmtId="0" fontId="10" fillId="19" borderId="4" xfId="1" applyNumberFormat="1" applyFont="1" applyFill="1" applyBorder="1" applyAlignment="1" applyProtection="1">
      <alignment horizontal="center" vertical="center" wrapText="1"/>
    </xf>
    <xf numFmtId="0" fontId="84" fillId="14" borderId="4" xfId="0" applyFont="1" applyFill="1" applyBorder="1" applyAlignment="1">
      <alignment horizontal="center" vertical="center" wrapText="1"/>
    </xf>
    <xf numFmtId="0" fontId="7" fillId="14" borderId="4" xfId="7" applyFont="1" applyFill="1" applyBorder="1" applyAlignment="1">
      <alignment horizontal="center" vertical="center" wrapText="1"/>
    </xf>
    <xf numFmtId="49" fontId="7" fillId="30" borderId="4" xfId="0" applyNumberFormat="1" applyFont="1" applyFill="1" applyBorder="1" applyAlignment="1">
      <alignment horizontal="center" vertical="center" wrapText="1"/>
    </xf>
    <xf numFmtId="0" fontId="7" fillId="32" borderId="4" xfId="0" applyFont="1" applyFill="1" applyBorder="1" applyAlignment="1">
      <alignment horizontal="center" vertical="center" wrapText="1"/>
    </xf>
    <xf numFmtId="0" fontId="81" fillId="15" borderId="4" xfId="1" applyFont="1" applyFill="1" applyBorder="1" applyAlignment="1">
      <alignment horizontal="center" vertical="center" wrapText="1"/>
    </xf>
    <xf numFmtId="0" fontId="8" fillId="25" borderId="4" xfId="0" applyFont="1" applyFill="1" applyBorder="1" applyAlignment="1">
      <alignment horizontal="center" vertical="center" wrapText="1"/>
    </xf>
    <xf numFmtId="0" fontId="10" fillId="14" borderId="4" xfId="1" applyFont="1" applyFill="1" applyBorder="1" applyAlignment="1" applyProtection="1">
      <alignment horizontal="center" vertical="center"/>
    </xf>
    <xf numFmtId="0" fontId="84" fillId="27" borderId="4" xfId="1" applyFont="1" applyFill="1" applyBorder="1" applyAlignment="1" applyProtection="1">
      <alignment horizontal="center" vertical="center" wrapText="1"/>
    </xf>
    <xf numFmtId="0" fontId="8" fillId="15" borderId="4" xfId="0" applyFont="1" applyFill="1" applyBorder="1" applyAlignment="1">
      <alignment horizontal="center" vertical="center" wrapText="1"/>
    </xf>
    <xf numFmtId="0" fontId="7" fillId="19" borderId="4" xfId="11" applyFont="1" applyFill="1" applyBorder="1" applyAlignment="1">
      <alignment horizontal="center" vertical="center" wrapText="1"/>
    </xf>
    <xf numFmtId="0" fontId="74" fillId="14" borderId="4" xfId="0" applyFont="1" applyFill="1" applyBorder="1" applyAlignment="1">
      <alignment horizontal="center" vertical="center" wrapText="1"/>
    </xf>
    <xf numFmtId="0" fontId="7" fillId="14" borderId="4" xfId="11" applyFont="1" applyFill="1" applyBorder="1" applyAlignment="1">
      <alignment horizontal="center" vertical="center" wrapText="1"/>
    </xf>
    <xf numFmtId="0" fontId="7" fillId="33" borderId="4"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5" fillId="14" borderId="4" xfId="0" applyFont="1" applyFill="1" applyBorder="1" applyAlignment="1">
      <alignment horizontal="center" vertical="center" wrapText="1"/>
    </xf>
    <xf numFmtId="0" fontId="8" fillId="27" borderId="4" xfId="0" applyFont="1" applyFill="1" applyBorder="1" applyAlignment="1">
      <alignment horizontal="center" vertical="center" wrapText="1"/>
    </xf>
    <xf numFmtId="1" fontId="7" fillId="19" borderId="4" xfId="11" applyNumberFormat="1" applyFont="1" applyFill="1" applyBorder="1" applyAlignment="1">
      <alignment horizontal="center" vertical="center" wrapText="1"/>
    </xf>
    <xf numFmtId="1" fontId="7" fillId="32" borderId="4" xfId="0" applyNumberFormat="1" applyFont="1" applyFill="1" applyBorder="1" applyAlignment="1">
      <alignment horizontal="center" vertical="center" wrapText="1"/>
    </xf>
    <xf numFmtId="1" fontId="7" fillId="14" borderId="4" xfId="11" applyNumberFormat="1" applyFont="1" applyFill="1" applyBorder="1" applyAlignment="1">
      <alignment horizontal="center" vertical="center" wrapText="1"/>
    </xf>
    <xf numFmtId="1" fontId="7" fillId="33" borderId="4" xfId="0" applyNumberFormat="1" applyFont="1" applyFill="1" applyBorder="1" applyAlignment="1">
      <alignment horizontal="center" vertical="center" wrapText="1"/>
    </xf>
    <xf numFmtId="1" fontId="7" fillId="34" borderId="4" xfId="0" applyNumberFormat="1" applyFont="1" applyFill="1" applyBorder="1" applyAlignment="1">
      <alignment horizontal="center" vertical="center" wrapText="1"/>
    </xf>
    <xf numFmtId="176" fontId="7" fillId="19" borderId="4" xfId="11" applyNumberFormat="1" applyFont="1" applyFill="1" applyBorder="1" applyAlignment="1">
      <alignment horizontal="center" vertical="center" wrapText="1"/>
    </xf>
    <xf numFmtId="196" fontId="7" fillId="19" borderId="4" xfId="0" applyNumberFormat="1" applyFont="1" applyFill="1" applyBorder="1" applyAlignment="1">
      <alignment horizontal="center" vertical="center" wrapText="1"/>
    </xf>
    <xf numFmtId="165" fontId="7" fillId="32" borderId="4" xfId="0" applyNumberFormat="1" applyFont="1" applyFill="1" applyBorder="1" applyAlignment="1">
      <alignment horizontal="center" vertical="center" wrapText="1"/>
    </xf>
    <xf numFmtId="165" fontId="7" fillId="14" borderId="4" xfId="11" applyNumberFormat="1" applyFont="1" applyFill="1" applyBorder="1" applyAlignment="1">
      <alignment horizontal="center" vertical="center" wrapText="1"/>
    </xf>
    <xf numFmtId="195" fontId="7" fillId="34" borderId="4" xfId="0" applyNumberFormat="1" applyFont="1" applyFill="1" applyBorder="1" applyAlignment="1">
      <alignment horizontal="center" vertical="center" wrapText="1"/>
    </xf>
    <xf numFmtId="0" fontId="76" fillId="14" borderId="4" xfId="0" applyFont="1" applyFill="1" applyBorder="1" applyAlignment="1">
      <alignment horizontal="center" vertical="center" wrapText="1"/>
    </xf>
    <xf numFmtId="14" fontId="9" fillId="14" borderId="4" xfId="0" applyNumberFormat="1" applyFont="1" applyFill="1" applyBorder="1" applyAlignment="1">
      <alignment horizontal="center" vertical="center" wrapText="1"/>
    </xf>
    <xf numFmtId="14" fontId="7" fillId="32" borderId="4" xfId="0" applyNumberFormat="1" applyFont="1" applyFill="1" applyBorder="1" applyAlignment="1">
      <alignment horizontal="center" vertical="center" wrapText="1"/>
    </xf>
    <xf numFmtId="0" fontId="7" fillId="32" borderId="4" xfId="0" applyFont="1" applyFill="1" applyBorder="1" applyAlignment="1">
      <alignment horizontal="center" vertical="center" wrapText="1" shrinkToFit="1"/>
    </xf>
    <xf numFmtId="0" fontId="10" fillId="19" borderId="4" xfId="1" applyFont="1" applyFill="1" applyBorder="1" applyAlignment="1" applyProtection="1">
      <alignment horizontal="center" vertical="center" wrapText="1"/>
    </xf>
    <xf numFmtId="0" fontId="77" fillId="14" borderId="4" xfId="7" applyFont="1" applyFill="1" applyBorder="1" applyAlignment="1" applyProtection="1">
      <alignment horizontal="center" vertical="center" wrapText="1"/>
    </xf>
    <xf numFmtId="176" fontId="78" fillId="19" borderId="4" xfId="0" applyNumberFormat="1" applyFont="1" applyFill="1" applyBorder="1" applyAlignment="1">
      <alignment horizontal="center" vertical="center" wrapText="1"/>
    </xf>
    <xf numFmtId="0" fontId="78" fillId="19" borderId="4" xfId="0" applyFont="1" applyFill="1" applyBorder="1" applyAlignment="1">
      <alignment horizontal="center" vertical="center" wrapText="1"/>
    </xf>
    <xf numFmtId="0" fontId="79" fillId="19" borderId="4" xfId="8" applyFont="1" applyFill="1" applyBorder="1" applyAlignment="1">
      <alignment horizontal="center" vertical="center" wrapText="1"/>
    </xf>
    <xf numFmtId="0" fontId="79" fillId="14" borderId="4" xfId="8" applyFont="1" applyFill="1" applyBorder="1" applyAlignment="1" applyProtection="1">
      <alignment horizontal="center" vertical="center" wrapText="1"/>
    </xf>
    <xf numFmtId="0" fontId="10" fillId="14" borderId="4" xfId="1" applyNumberFormat="1" applyFont="1" applyFill="1" applyBorder="1" applyAlignment="1" applyProtection="1">
      <alignment horizontal="center" vertical="center" wrapText="1"/>
    </xf>
    <xf numFmtId="0" fontId="79" fillId="14" borderId="4" xfId="8" applyFont="1" applyFill="1" applyBorder="1" applyAlignment="1">
      <alignment horizontal="center" vertical="center" wrapText="1"/>
    </xf>
    <xf numFmtId="0" fontId="85" fillId="14" borderId="4" xfId="0" applyFont="1" applyFill="1" applyBorder="1" applyAlignment="1">
      <alignment horizontal="center" vertical="center" wrapText="1"/>
    </xf>
    <xf numFmtId="0" fontId="77" fillId="19" borderId="4" xfId="1" applyFont="1" applyFill="1" applyBorder="1" applyAlignment="1" applyProtection="1">
      <alignment horizontal="center" vertical="center" wrapText="1"/>
    </xf>
    <xf numFmtId="0" fontId="7" fillId="33" borderId="4" xfId="11" applyFont="1" applyFill="1" applyBorder="1" applyAlignment="1">
      <alignment horizontal="center" vertical="center" wrapText="1"/>
    </xf>
    <xf numFmtId="0" fontId="20" fillId="14" borderId="4" xfId="8" applyFont="1" applyFill="1" applyBorder="1" applyAlignment="1" applyProtection="1">
      <alignment horizontal="center" vertical="center" wrapText="1"/>
    </xf>
    <xf numFmtId="0" fontId="72" fillId="14" borderId="4"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9" fillId="32" borderId="4" xfId="0" applyFont="1" applyFill="1" applyBorder="1" applyAlignment="1">
      <alignment horizontal="center" vertical="center" wrapText="1"/>
    </xf>
    <xf numFmtId="0" fontId="87" fillId="14" borderId="4" xfId="0" applyFont="1" applyFill="1" applyBorder="1" applyAlignment="1">
      <alignment horizontal="center" vertical="center" wrapText="1"/>
    </xf>
    <xf numFmtId="164" fontId="7" fillId="19" borderId="4" xfId="11" applyNumberFormat="1" applyFont="1" applyFill="1" applyBorder="1" applyAlignment="1">
      <alignment horizontal="center" vertical="center" wrapText="1"/>
    </xf>
    <xf numFmtId="164" fontId="8" fillId="27" borderId="4" xfId="0" applyNumberFormat="1" applyFont="1" applyFill="1" applyBorder="1" applyAlignment="1">
      <alignment horizontal="center" vertical="center" wrapText="1"/>
    </xf>
    <xf numFmtId="164" fontId="7" fillId="32" borderId="4" xfId="0" applyNumberFormat="1" applyFont="1" applyFill="1" applyBorder="1" applyAlignment="1">
      <alignment horizontal="center" vertical="center" wrapText="1"/>
    </xf>
    <xf numFmtId="164" fontId="7" fillId="34" borderId="4" xfId="0" applyNumberFormat="1" applyFont="1" applyFill="1" applyBorder="1" applyAlignment="1">
      <alignment horizontal="center" vertical="center" wrapText="1"/>
    </xf>
    <xf numFmtId="177" fontId="7" fillId="32" borderId="4" xfId="0" applyNumberFormat="1" applyFont="1" applyFill="1" applyBorder="1" applyAlignment="1">
      <alignment horizontal="center" vertical="center" wrapText="1"/>
    </xf>
    <xf numFmtId="10" fontId="7" fillId="19" borderId="4" xfId="11" applyNumberFormat="1" applyFont="1" applyFill="1" applyBorder="1" applyAlignment="1">
      <alignment horizontal="center" vertical="center" wrapText="1"/>
    </xf>
    <xf numFmtId="9" fontId="73" fillId="14" borderId="4" xfId="0" applyNumberFormat="1" applyFont="1" applyFill="1" applyBorder="1" applyAlignment="1">
      <alignment horizontal="center" vertical="center" wrapText="1"/>
    </xf>
    <xf numFmtId="10" fontId="8" fillId="27" borderId="4" xfId="0" applyNumberFormat="1" applyFont="1" applyFill="1" applyBorder="1" applyAlignment="1">
      <alignment horizontal="center" vertical="center" wrapText="1"/>
    </xf>
    <xf numFmtId="10" fontId="7" fillId="32" borderId="4" xfId="0" applyNumberFormat="1" applyFont="1" applyFill="1" applyBorder="1" applyAlignment="1">
      <alignment horizontal="center" vertical="center" wrapText="1"/>
    </xf>
    <xf numFmtId="10" fontId="7" fillId="34" borderId="4" xfId="0" applyNumberFormat="1" applyFont="1" applyFill="1" applyBorder="1" applyAlignment="1">
      <alignment horizontal="center" vertical="center" wrapText="1"/>
    </xf>
    <xf numFmtId="167" fontId="20" fillId="14" borderId="4" xfId="0" applyNumberFormat="1" applyFont="1" applyFill="1" applyBorder="1" applyAlignment="1">
      <alignment horizontal="center" vertical="center" wrapText="1"/>
    </xf>
    <xf numFmtId="4" fontId="7" fillId="32" borderId="4" xfId="0" applyNumberFormat="1" applyFont="1" applyFill="1" applyBorder="1" applyAlignment="1">
      <alignment horizontal="center" vertical="center" wrapText="1"/>
    </xf>
    <xf numFmtId="164" fontId="8" fillId="14" borderId="4" xfId="0" applyNumberFormat="1" applyFont="1" applyFill="1" applyBorder="1" applyAlignment="1">
      <alignment horizontal="center" vertical="center" wrapText="1"/>
    </xf>
    <xf numFmtId="167" fontId="7" fillId="32" borderId="4" xfId="0" applyNumberFormat="1" applyFont="1" applyFill="1" applyBorder="1" applyAlignment="1">
      <alignment horizontal="center" vertical="center" wrapText="1"/>
    </xf>
    <xf numFmtId="2" fontId="7" fillId="32" borderId="4" xfId="0" applyNumberFormat="1" applyFont="1" applyFill="1" applyBorder="1" applyAlignment="1">
      <alignment horizontal="center" vertical="center" wrapText="1"/>
    </xf>
    <xf numFmtId="49" fontId="7" fillId="32" borderId="4" xfId="0" applyNumberFormat="1" applyFont="1" applyFill="1" applyBorder="1" applyAlignment="1">
      <alignment horizontal="center" vertical="center" wrapText="1"/>
    </xf>
    <xf numFmtId="178" fontId="7" fillId="32" borderId="4" xfId="0" applyNumberFormat="1" applyFont="1" applyFill="1" applyBorder="1" applyAlignment="1">
      <alignment horizontal="center" vertical="center" wrapText="1"/>
    </xf>
    <xf numFmtId="10" fontId="7" fillId="33" borderId="4" xfId="0" applyNumberFormat="1" applyFont="1" applyFill="1" applyBorder="1" applyAlignment="1">
      <alignment horizontal="center" vertical="center" wrapText="1"/>
    </xf>
    <xf numFmtId="10" fontId="7" fillId="14" borderId="4" xfId="11" applyNumberFormat="1" applyFont="1" applyFill="1" applyBorder="1" applyAlignment="1">
      <alignment horizontal="center" vertical="center" wrapText="1"/>
    </xf>
    <xf numFmtId="3" fontId="78" fillId="19" borderId="4" xfId="0" applyNumberFormat="1" applyFont="1" applyFill="1" applyBorder="1" applyAlignment="1">
      <alignment horizontal="center" vertical="center" wrapText="1"/>
    </xf>
    <xf numFmtId="10" fontId="10" fillId="32" borderId="4" xfId="0" applyNumberFormat="1" applyFont="1" applyFill="1" applyBorder="1" applyAlignment="1">
      <alignment horizontal="center" vertical="center" wrapText="1"/>
    </xf>
    <xf numFmtId="167" fontId="7" fillId="19" borderId="4" xfId="11" applyNumberFormat="1" applyFont="1" applyFill="1" applyBorder="1" applyAlignment="1">
      <alignment horizontal="center" vertical="center" wrapText="1"/>
    </xf>
    <xf numFmtId="167" fontId="8" fillId="27" borderId="4" xfId="0" applyNumberFormat="1" applyFont="1" applyFill="1" applyBorder="1" applyAlignment="1">
      <alignment horizontal="center" vertical="center" wrapText="1"/>
    </xf>
    <xf numFmtId="3" fontId="9" fillId="14" borderId="4" xfId="0" applyNumberFormat="1" applyFont="1" applyFill="1" applyBorder="1" applyAlignment="1">
      <alignment horizontal="center" vertical="center" wrapText="1"/>
    </xf>
    <xf numFmtId="180" fontId="7" fillId="32" borderId="4" xfId="0" applyNumberFormat="1" applyFont="1" applyFill="1" applyBorder="1" applyAlignment="1">
      <alignment horizontal="center" vertical="center" wrapText="1"/>
    </xf>
    <xf numFmtId="10" fontId="73" fillId="14" borderId="4" xfId="0" applyNumberFormat="1" applyFont="1" applyFill="1" applyBorder="1" applyAlignment="1">
      <alignment horizontal="center" vertical="center" wrapText="1"/>
    </xf>
    <xf numFmtId="3" fontId="7" fillId="19" borderId="4" xfId="11" applyNumberFormat="1" applyFont="1" applyFill="1" applyBorder="1" applyAlignment="1">
      <alignment horizontal="center" vertical="center" wrapText="1"/>
    </xf>
    <xf numFmtId="3" fontId="8" fillId="27" borderId="4" xfId="0" applyNumberFormat="1" applyFont="1" applyFill="1" applyBorder="1" applyAlignment="1">
      <alignment horizontal="center" vertical="center" wrapText="1"/>
    </xf>
    <xf numFmtId="3" fontId="7" fillId="32" borderId="4" xfId="0" applyNumberFormat="1" applyFont="1" applyFill="1" applyBorder="1" applyAlignment="1">
      <alignment horizontal="center" vertical="center" wrapText="1"/>
    </xf>
    <xf numFmtId="3" fontId="7" fillId="34" borderId="4" xfId="0" applyNumberFormat="1" applyFont="1" applyFill="1" applyBorder="1" applyAlignment="1">
      <alignment horizontal="center" vertical="center" wrapText="1"/>
    </xf>
    <xf numFmtId="3" fontId="76" fillId="14" borderId="4" xfId="0" applyNumberFormat="1" applyFont="1" applyFill="1" applyBorder="1" applyAlignment="1">
      <alignment horizontal="center" vertical="center" wrapText="1"/>
    </xf>
    <xf numFmtId="0" fontId="88" fillId="14" borderId="4" xfId="0" applyFont="1" applyFill="1" applyBorder="1" applyAlignment="1">
      <alignment horizontal="center" vertical="center" wrapText="1"/>
    </xf>
    <xf numFmtId="3" fontId="14" fillId="19" borderId="4" xfId="11" applyNumberFormat="1" applyFont="1" applyFill="1" applyBorder="1" applyAlignment="1">
      <alignment horizontal="center" vertical="center" wrapText="1"/>
    </xf>
    <xf numFmtId="3" fontId="14" fillId="19" borderId="4" xfId="0" applyNumberFormat="1" applyFont="1" applyFill="1" applyBorder="1" applyAlignment="1">
      <alignment horizontal="center" vertical="center" wrapText="1"/>
    </xf>
    <xf numFmtId="3" fontId="89" fillId="27" borderId="4" xfId="0" applyNumberFormat="1" applyFont="1" applyFill="1" applyBorder="1" applyAlignment="1">
      <alignment horizontal="center" vertical="center" wrapText="1"/>
    </xf>
    <xf numFmtId="3" fontId="14" fillId="32" borderId="4" xfId="0" applyNumberFormat="1" applyFont="1" applyFill="1" applyBorder="1" applyAlignment="1">
      <alignment horizontal="center" vertical="center" wrapText="1"/>
    </xf>
    <xf numFmtId="3" fontId="14" fillId="34" borderId="4" xfId="0" applyNumberFormat="1" applyFont="1" applyFill="1" applyBorder="1" applyAlignment="1">
      <alignment horizontal="center" vertical="center" wrapText="1"/>
    </xf>
    <xf numFmtId="9" fontId="7" fillId="19" borderId="4" xfId="0" applyNumberFormat="1" applyFont="1" applyFill="1" applyBorder="1" applyAlignment="1">
      <alignment horizontal="center" vertical="center" wrapText="1"/>
    </xf>
    <xf numFmtId="0" fontId="75" fillId="19" borderId="4" xfId="0" applyFont="1" applyFill="1" applyBorder="1" applyAlignment="1">
      <alignment horizontal="center" vertical="center" wrapText="1"/>
    </xf>
    <xf numFmtId="164" fontId="10" fillId="19" borderId="4" xfId="1" applyNumberFormat="1" applyFont="1" applyFill="1" applyBorder="1" applyAlignment="1">
      <alignment horizontal="center" vertical="center" wrapText="1"/>
    </xf>
    <xf numFmtId="10" fontId="8" fillId="14" borderId="4" xfId="0" applyNumberFormat="1" applyFont="1" applyFill="1" applyBorder="1" applyAlignment="1">
      <alignment horizontal="center" vertical="center" wrapText="1"/>
    </xf>
    <xf numFmtId="10" fontId="78" fillId="19" borderId="4" xfId="0" applyNumberFormat="1" applyFont="1" applyFill="1" applyBorder="1" applyAlignment="1">
      <alignment horizontal="center" vertical="center" wrapText="1"/>
    </xf>
    <xf numFmtId="10" fontId="79" fillId="19" borderId="4" xfId="8" applyNumberFormat="1" applyFont="1" applyFill="1" applyBorder="1" applyAlignment="1">
      <alignment horizontal="center" vertical="center" wrapText="1"/>
    </xf>
    <xf numFmtId="10" fontId="10" fillId="19" borderId="4" xfId="1" applyNumberFormat="1" applyFont="1" applyFill="1" applyBorder="1" applyAlignment="1">
      <alignment horizontal="center" vertical="center" wrapText="1"/>
    </xf>
    <xf numFmtId="10" fontId="79" fillId="14" borderId="4" xfId="8" applyNumberFormat="1" applyFont="1" applyFill="1" applyBorder="1" applyAlignment="1" applyProtection="1">
      <alignment horizontal="center" vertical="center" wrapText="1"/>
    </xf>
    <xf numFmtId="10" fontId="79" fillId="14" borderId="4" xfId="8" applyNumberFormat="1" applyFont="1" applyFill="1" applyBorder="1" applyAlignment="1">
      <alignment horizontal="center" vertical="center" wrapText="1"/>
    </xf>
    <xf numFmtId="3" fontId="7" fillId="14" borderId="4" xfId="11" applyNumberFormat="1" applyFont="1" applyFill="1" applyBorder="1" applyAlignment="1">
      <alignment horizontal="center" vertical="center" wrapText="1"/>
    </xf>
    <xf numFmtId="3" fontId="92" fillId="32" borderId="4" xfId="0" applyNumberFormat="1" applyFont="1" applyFill="1" applyBorder="1" applyAlignment="1">
      <alignment horizontal="center" vertical="center" wrapText="1"/>
    </xf>
    <xf numFmtId="3" fontId="10" fillId="14" borderId="4" xfId="7" applyNumberFormat="1" applyFont="1" applyFill="1" applyBorder="1" applyAlignment="1">
      <alignment horizontal="center" vertical="center" wrapText="1"/>
    </xf>
    <xf numFmtId="3" fontId="10" fillId="32" borderId="4" xfId="0" applyNumberFormat="1" applyFont="1" applyFill="1" applyBorder="1" applyAlignment="1">
      <alignment horizontal="center" vertical="center" wrapText="1"/>
    </xf>
    <xf numFmtId="3" fontId="10" fillId="14" borderId="4" xfId="1" applyNumberFormat="1" applyFont="1" applyFill="1" applyBorder="1" applyAlignment="1" applyProtection="1">
      <alignment horizontal="center" vertical="center" wrapText="1"/>
    </xf>
    <xf numFmtId="0" fontId="78" fillId="14" borderId="4" xfId="1" applyFont="1" applyFill="1" applyBorder="1" applyAlignment="1" applyProtection="1">
      <alignment horizontal="center" vertical="center" wrapText="1"/>
    </xf>
    <xf numFmtId="0" fontId="18" fillId="14" borderId="4" xfId="7" applyFont="1" applyFill="1" applyBorder="1" applyAlignment="1">
      <alignment horizontal="center" vertical="center" wrapText="1"/>
    </xf>
    <xf numFmtId="0" fontId="83" fillId="14" borderId="4" xfId="12" applyFont="1" applyFill="1" applyBorder="1" applyAlignment="1" applyProtection="1">
      <alignment horizontal="center" vertical="center" wrapText="1"/>
    </xf>
    <xf numFmtId="0" fontId="10" fillId="14" borderId="4" xfId="8" applyFont="1" applyFill="1" applyBorder="1" applyAlignment="1" applyProtection="1">
      <alignment horizontal="center" vertical="center" wrapText="1"/>
    </xf>
    <xf numFmtId="0" fontId="80" fillId="14" borderId="4" xfId="1" applyFont="1" applyFill="1" applyBorder="1" applyAlignment="1" applyProtection="1">
      <alignment horizontal="center" vertical="center" wrapText="1"/>
    </xf>
    <xf numFmtId="0" fontId="75" fillId="19" borderId="4" xfId="11" applyFont="1" applyFill="1" applyBorder="1" applyAlignment="1">
      <alignment horizontal="center" vertical="center" wrapText="1"/>
    </xf>
    <xf numFmtId="0" fontId="79" fillId="19" borderId="4" xfId="8" applyNumberFormat="1" applyFont="1" applyFill="1" applyBorder="1" applyAlignment="1" applyProtection="1">
      <alignment horizontal="center" vertical="center" wrapText="1"/>
    </xf>
    <xf numFmtId="0" fontId="94" fillId="14" borderId="4" xfId="0" applyFont="1" applyFill="1" applyBorder="1" applyAlignment="1">
      <alignment horizontal="center" vertical="center" wrapText="1"/>
    </xf>
    <xf numFmtId="0" fontId="79" fillId="19" borderId="4" xfId="1" applyNumberFormat="1" applyFont="1" applyFill="1" applyBorder="1" applyAlignment="1" applyProtection="1">
      <alignment horizontal="center" vertical="center" wrapText="1"/>
    </xf>
    <xf numFmtId="3" fontId="8" fillId="14" borderId="4" xfId="0" applyNumberFormat="1" applyFont="1" applyFill="1" applyBorder="1" applyAlignment="1">
      <alignment horizontal="center" vertical="center" wrapText="1"/>
    </xf>
    <xf numFmtId="0" fontId="81" fillId="14" borderId="4" xfId="1" applyFont="1" applyFill="1" applyBorder="1" applyAlignment="1">
      <alignment horizontal="center" vertical="center" wrapText="1"/>
    </xf>
    <xf numFmtId="0" fontId="95" fillId="19" borderId="4" xfId="0" applyFont="1" applyFill="1" applyBorder="1" applyAlignment="1">
      <alignment horizontal="center" vertical="center" wrapText="1"/>
    </xf>
    <xf numFmtId="0" fontId="10" fillId="32" borderId="4" xfId="1" applyFont="1" applyFill="1" applyBorder="1" applyAlignment="1">
      <alignment horizontal="center" vertical="center" wrapText="1"/>
    </xf>
    <xf numFmtId="0" fontId="10" fillId="14" borderId="4" xfId="0"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0" fontId="30" fillId="4" borderId="4" xfId="1" applyFont="1" applyFill="1" applyBorder="1" applyAlignment="1">
      <alignment horizontal="left" vertical="center" wrapText="1"/>
    </xf>
    <xf numFmtId="164" fontId="30" fillId="4" borderId="4" xfId="0" applyNumberFormat="1" applyFont="1" applyFill="1" applyBorder="1" applyAlignment="1">
      <alignment horizontal="center" vertical="center" wrapText="1"/>
    </xf>
    <xf numFmtId="166" fontId="30" fillId="4" borderId="4" xfId="0" applyNumberFormat="1" applyFont="1" applyFill="1" applyBorder="1" applyAlignment="1">
      <alignment horizontal="left" vertical="center" wrapText="1"/>
    </xf>
    <xf numFmtId="0" fontId="48" fillId="4" borderId="4" xfId="7" applyFont="1" applyFill="1" applyBorder="1" applyAlignment="1" applyProtection="1">
      <alignment horizontal="center" vertical="center" wrapText="1"/>
    </xf>
    <xf numFmtId="10" fontId="30" fillId="4" borderId="4" xfId="0" applyNumberFormat="1" applyFont="1" applyFill="1" applyBorder="1" applyAlignment="1">
      <alignment horizontal="center" vertical="center" wrapText="1"/>
    </xf>
    <xf numFmtId="0" fontId="30" fillId="38" borderId="4" xfId="3" applyFont="1" applyFill="1" applyBorder="1" applyAlignment="1">
      <alignment horizontal="center"/>
    </xf>
    <xf numFmtId="0" fontId="30" fillId="38" borderId="4" xfId="3" applyFont="1" applyFill="1" applyBorder="1" applyAlignment="1">
      <alignment horizontal="left" vertical="center" wrapText="1"/>
    </xf>
    <xf numFmtId="2" fontId="30" fillId="4" borderId="4" xfId="0" applyNumberFormat="1" applyFont="1" applyFill="1" applyBorder="1" applyAlignment="1">
      <alignment horizontal="center" vertical="center"/>
    </xf>
    <xf numFmtId="0" fontId="30" fillId="4" borderId="4" xfId="0" applyFont="1" applyFill="1" applyBorder="1" applyAlignment="1">
      <alignment horizontal="center"/>
    </xf>
    <xf numFmtId="1" fontId="30" fillId="4" borderId="4" xfId="0" applyNumberFormat="1" applyFont="1" applyFill="1" applyBorder="1"/>
    <xf numFmtId="0" fontId="38" fillId="4" borderId="4" xfId="0" applyFont="1" applyFill="1" applyBorder="1" applyAlignment="1">
      <alignment horizontal="center" vertical="center" wrapText="1"/>
    </xf>
    <xf numFmtId="0" fontId="48" fillId="37" borderId="4" xfId="1" applyFont="1" applyFill="1" applyBorder="1" applyAlignment="1" applyProtection="1">
      <alignment horizontal="center" vertical="center" wrapText="1"/>
    </xf>
    <xf numFmtId="0" fontId="30" fillId="4" borderId="4" xfId="0" applyFont="1" applyFill="1" applyBorder="1" applyAlignment="1">
      <alignment vertical="top" wrapText="1"/>
    </xf>
    <xf numFmtId="2" fontId="30" fillId="4" borderId="4" xfId="0" applyNumberFormat="1" applyFont="1" applyFill="1" applyBorder="1" applyAlignment="1">
      <alignment horizontal="center" vertical="center" wrapText="1"/>
    </xf>
    <xf numFmtId="0" fontId="30" fillId="43" borderId="4" xfId="0" applyFont="1" applyFill="1" applyBorder="1" applyAlignment="1">
      <alignment horizontal="left" vertical="center" wrapText="1"/>
    </xf>
    <xf numFmtId="1" fontId="30" fillId="43" borderId="4" xfId="0" applyNumberFormat="1" applyFont="1" applyFill="1" applyBorder="1" applyAlignment="1">
      <alignment horizontal="left" vertical="center" wrapText="1"/>
    </xf>
    <xf numFmtId="175" fontId="30" fillId="43" borderId="4" xfId="0" applyNumberFormat="1" applyFont="1" applyFill="1" applyBorder="1" applyAlignment="1">
      <alignment horizontal="left" vertical="center" wrapText="1"/>
    </xf>
    <xf numFmtId="2" fontId="30" fillId="4" borderId="4" xfId="0" applyNumberFormat="1" applyFont="1" applyFill="1" applyBorder="1" applyAlignment="1">
      <alignment horizontal="left" vertical="center" wrapText="1"/>
    </xf>
    <xf numFmtId="0" fontId="30" fillId="4" borderId="4" xfId="0" applyFont="1" applyFill="1" applyBorder="1" applyAlignment="1">
      <alignment horizontal="left" vertical="center"/>
    </xf>
    <xf numFmtId="0" fontId="30" fillId="41" borderId="4" xfId="0" applyFont="1" applyFill="1" applyBorder="1" applyAlignment="1">
      <alignment horizontal="center" vertical="center" wrapText="1"/>
    </xf>
    <xf numFmtId="0" fontId="30" fillId="46" borderId="4" xfId="0" applyFont="1" applyFill="1" applyBorder="1" applyAlignment="1">
      <alignment horizontal="left" vertical="center" wrapText="1"/>
    </xf>
    <xf numFmtId="1" fontId="30" fillId="46" borderId="4" xfId="0" applyNumberFormat="1" applyFont="1" applyFill="1" applyBorder="1" applyAlignment="1">
      <alignment horizontal="left" vertical="center" wrapText="1"/>
    </xf>
    <xf numFmtId="176" fontId="30" fillId="46" borderId="4" xfId="0" applyNumberFormat="1" applyFont="1" applyFill="1" applyBorder="1" applyAlignment="1">
      <alignment horizontal="left" vertical="center" wrapText="1"/>
    </xf>
    <xf numFmtId="2" fontId="30" fillId="46" borderId="4" xfId="0" applyNumberFormat="1" applyFont="1" applyFill="1" applyBorder="1" applyAlignment="1">
      <alignment horizontal="center" vertical="center" wrapText="1"/>
    </xf>
    <xf numFmtId="10" fontId="30" fillId="46" borderId="4" xfId="0" applyNumberFormat="1" applyFont="1" applyFill="1" applyBorder="1" applyAlignment="1">
      <alignment horizontal="left" vertical="center" wrapText="1"/>
    </xf>
    <xf numFmtId="164" fontId="30" fillId="46" borderId="4" xfId="0" applyNumberFormat="1" applyFont="1" applyFill="1" applyBorder="1" applyAlignment="1">
      <alignment vertical="center" wrapText="1"/>
    </xf>
    <xf numFmtId="164" fontId="30" fillId="46" borderId="4" xfId="0" applyNumberFormat="1" applyFont="1" applyFill="1" applyBorder="1" applyAlignment="1">
      <alignment horizontal="left" vertical="center" wrapText="1"/>
    </xf>
    <xf numFmtId="3" fontId="30" fillId="46" borderId="4" xfId="0" applyNumberFormat="1" applyFont="1" applyFill="1" applyBorder="1" applyAlignment="1">
      <alignment horizontal="left" vertical="center" wrapText="1"/>
    </xf>
    <xf numFmtId="1" fontId="55" fillId="46" borderId="4" xfId="0" applyNumberFormat="1" applyFont="1" applyFill="1" applyBorder="1" applyAlignment="1">
      <alignment horizontal="left" vertical="center" wrapText="1"/>
    </xf>
    <xf numFmtId="10" fontId="30" fillId="47" borderId="4" xfId="0" applyNumberFormat="1" applyFont="1" applyFill="1" applyBorder="1" applyAlignment="1">
      <alignment horizontal="left" vertical="center" wrapText="1"/>
    </xf>
    <xf numFmtId="164" fontId="30" fillId="47" borderId="4" xfId="0" applyNumberFormat="1" applyFont="1" applyFill="1" applyBorder="1" applyAlignment="1">
      <alignment horizontal="left" vertical="center" wrapText="1"/>
    </xf>
    <xf numFmtId="166" fontId="30" fillId="46" borderId="4" xfId="0" applyNumberFormat="1" applyFont="1" applyFill="1" applyBorder="1" applyAlignment="1">
      <alignment horizontal="left" vertical="center" wrapText="1"/>
    </xf>
    <xf numFmtId="0" fontId="30" fillId="37" borderId="4" xfId="0" applyFont="1" applyFill="1" applyBorder="1" applyAlignment="1">
      <alignment horizontal="center" vertical="center" wrapText="1"/>
    </xf>
    <xf numFmtId="1" fontId="30" fillId="37" borderId="4" xfId="0" applyNumberFormat="1" applyFont="1" applyFill="1" applyBorder="1" applyAlignment="1">
      <alignment horizontal="center" vertical="center" wrapText="1"/>
    </xf>
    <xf numFmtId="176" fontId="30" fillId="37" borderId="4" xfId="0" applyNumberFormat="1" applyFont="1" applyFill="1" applyBorder="1" applyAlignment="1">
      <alignment horizontal="center" vertical="center" wrapText="1"/>
    </xf>
    <xf numFmtId="0" fontId="48" fillId="37" borderId="4" xfId="1" applyNumberFormat="1" applyFont="1" applyFill="1" applyBorder="1" applyAlignment="1" applyProtection="1">
      <alignment horizontal="center" vertical="center" wrapText="1"/>
    </xf>
    <xf numFmtId="10" fontId="30" fillId="37" borderId="4" xfId="0" applyNumberFormat="1" applyFont="1" applyFill="1" applyBorder="1" applyAlignment="1">
      <alignment horizontal="center" vertical="center" wrapText="1"/>
    </xf>
    <xf numFmtId="167" fontId="30" fillId="37" borderId="4" xfId="0" applyNumberFormat="1" applyFont="1" applyFill="1" applyBorder="1" applyAlignment="1">
      <alignment horizontal="center" vertical="center" wrapText="1"/>
    </xf>
    <xf numFmtId="164" fontId="30" fillId="37" borderId="4" xfId="0" applyNumberFormat="1" applyFont="1" applyFill="1" applyBorder="1" applyAlignment="1">
      <alignment horizontal="center" vertical="center" wrapText="1"/>
    </xf>
    <xf numFmtId="3" fontId="30" fillId="37" borderId="4" xfId="0" applyNumberFormat="1" applyFont="1" applyFill="1" applyBorder="1" applyAlignment="1">
      <alignment horizontal="center" vertical="center" wrapText="1"/>
    </xf>
    <xf numFmtId="1" fontId="55" fillId="37" borderId="4" xfId="0" applyNumberFormat="1" applyFont="1" applyFill="1" applyBorder="1" applyAlignment="1">
      <alignment horizontal="center" vertical="center" wrapText="1"/>
    </xf>
    <xf numFmtId="10" fontId="48" fillId="37" borderId="4" xfId="1" applyNumberFormat="1" applyFont="1" applyFill="1" applyBorder="1" applyAlignment="1" applyProtection="1">
      <alignment horizontal="center" vertical="center" wrapText="1"/>
    </xf>
    <xf numFmtId="2" fontId="30" fillId="37" borderId="4" xfId="0" applyNumberFormat="1" applyFont="1" applyFill="1" applyBorder="1" applyAlignment="1">
      <alignment horizontal="center" vertical="center" wrapText="1"/>
    </xf>
    <xf numFmtId="0" fontId="48" fillId="4" borderId="4" xfId="1" applyNumberFormat="1" applyFont="1" applyFill="1" applyBorder="1" applyAlignment="1" applyProtection="1">
      <alignment horizontal="center" vertical="center" wrapText="1"/>
    </xf>
    <xf numFmtId="172" fontId="30" fillId="37" borderId="4" xfId="0" applyNumberFormat="1" applyFont="1" applyFill="1" applyBorder="1" applyAlignment="1">
      <alignment horizontal="center" vertical="center" wrapText="1"/>
    </xf>
    <xf numFmtId="164" fontId="48" fillId="37" borderId="4" xfId="1" applyNumberFormat="1" applyFont="1" applyFill="1" applyBorder="1" applyAlignment="1" applyProtection="1">
      <alignment horizontal="center" vertical="center" wrapText="1"/>
    </xf>
    <xf numFmtId="0" fontId="48" fillId="4" borderId="4" xfId="1" applyFont="1" applyFill="1" applyBorder="1" applyAlignment="1">
      <alignment horizontal="left" vertical="center" wrapText="1"/>
    </xf>
    <xf numFmtId="0" fontId="30" fillId="4" borderId="4" xfId="0" applyFont="1" applyFill="1" applyBorder="1" applyAlignment="1">
      <alignment horizontal="left" vertical="top" wrapText="1"/>
    </xf>
    <xf numFmtId="49" fontId="30" fillId="4" borderId="4" xfId="0" applyNumberFormat="1" applyFont="1" applyFill="1" applyBorder="1" applyAlignment="1">
      <alignment wrapText="1"/>
    </xf>
    <xf numFmtId="0" fontId="30" fillId="43" borderId="4" xfId="0" applyFont="1" applyFill="1" applyBorder="1" applyAlignment="1">
      <alignment vertical="top" wrapText="1"/>
    </xf>
    <xf numFmtId="172" fontId="30" fillId="4" borderId="4" xfId="0" applyNumberFormat="1" applyFont="1" applyFill="1" applyBorder="1" applyAlignment="1">
      <alignment horizontal="left" vertical="top" wrapText="1"/>
    </xf>
    <xf numFmtId="0" fontId="30" fillId="4" borderId="4" xfId="1" applyFont="1" applyFill="1" applyBorder="1" applyAlignment="1" applyProtection="1">
      <alignment horizontal="center" vertical="center" wrapText="1"/>
    </xf>
    <xf numFmtId="0" fontId="38" fillId="4" borderId="4" xfId="0" applyFont="1" applyFill="1" applyBorder="1" applyAlignment="1">
      <alignment horizontal="left" vertical="center" wrapText="1"/>
    </xf>
    <xf numFmtId="0" fontId="67" fillId="4" borderId="4" xfId="0" applyFont="1" applyFill="1" applyBorder="1" applyAlignment="1">
      <alignment horizontal="left" vertical="center" wrapText="1"/>
    </xf>
    <xf numFmtId="164" fontId="30" fillId="4" borderId="4" xfId="1" applyNumberFormat="1" applyFont="1" applyFill="1" applyBorder="1" applyAlignment="1">
      <alignment horizontal="left" vertical="center" wrapText="1"/>
    </xf>
    <xf numFmtId="0" fontId="48" fillId="46" borderId="4" xfId="4" applyFont="1" applyFill="1" applyBorder="1" applyAlignment="1" applyProtection="1">
      <alignment horizontal="left" vertical="center" wrapText="1"/>
    </xf>
    <xf numFmtId="0" fontId="48" fillId="47" borderId="4" xfId="4" applyFont="1" applyFill="1" applyBorder="1" applyAlignment="1" applyProtection="1">
      <alignment horizontal="left" vertical="center" wrapText="1"/>
    </xf>
    <xf numFmtId="0" fontId="30" fillId="4" borderId="4" xfId="0" applyFont="1" applyFill="1" applyBorder="1" applyAlignment="1">
      <alignment vertical="center"/>
    </xf>
    <xf numFmtId="10" fontId="30" fillId="0" borderId="4" xfId="0" applyNumberFormat="1" applyFont="1" applyBorder="1"/>
    <xf numFmtId="4" fontId="30" fillId="0" borderId="4" xfId="0" applyNumberFormat="1" applyFont="1" applyBorder="1"/>
    <xf numFmtId="0" fontId="30" fillId="0" borderId="4" xfId="0" applyFont="1" applyBorder="1" applyAlignment="1">
      <alignment horizontal="left" wrapText="1"/>
    </xf>
    <xf numFmtId="0" fontId="55" fillId="0" borderId="4" xfId="0" applyFont="1" applyBorder="1"/>
    <xf numFmtId="10" fontId="55" fillId="0" borderId="4" xfId="0" applyNumberFormat="1" applyFont="1" applyBorder="1"/>
    <xf numFmtId="10" fontId="30" fillId="0" borderId="4" xfId="0" applyNumberFormat="1" applyFont="1" applyBorder="1" applyAlignment="1">
      <alignment horizontal="center" vertical="center"/>
    </xf>
    <xf numFmtId="0" fontId="30" fillId="0" borderId="0" xfId="0" applyFont="1" applyAlignment="1">
      <alignment wrapText="1"/>
    </xf>
    <xf numFmtId="2" fontId="30" fillId="0" borderId="0" xfId="0" applyNumberFormat="1" applyFont="1"/>
    <xf numFmtId="2" fontId="30" fillId="4" borderId="4" xfId="0" applyNumberFormat="1" applyFont="1" applyFill="1" applyBorder="1"/>
    <xf numFmtId="49" fontId="30" fillId="4" borderId="4" xfId="0" applyNumberFormat="1" applyFont="1" applyFill="1" applyBorder="1" applyAlignment="1">
      <alignment horizontal="left" vertical="center" wrapText="1"/>
    </xf>
    <xf numFmtId="0" fontId="55" fillId="4" borderId="4" xfId="0" applyFont="1" applyFill="1" applyBorder="1"/>
    <xf numFmtId="10" fontId="55" fillId="4" borderId="4" xfId="0" applyNumberFormat="1" applyFont="1" applyFill="1" applyBorder="1" applyAlignment="1">
      <alignment horizontal="center" vertical="center" wrapText="1"/>
    </xf>
    <xf numFmtId="10" fontId="30" fillId="4" borderId="4" xfId="0" applyNumberFormat="1" applyFont="1" applyFill="1" applyBorder="1" applyAlignment="1">
      <alignment horizontal="center" vertical="center"/>
    </xf>
    <xf numFmtId="190" fontId="30" fillId="4" borderId="4" xfId="0" applyNumberFormat="1" applyFont="1" applyFill="1" applyBorder="1" applyAlignment="1">
      <alignment horizontal="center" vertical="center"/>
    </xf>
    <xf numFmtId="3" fontId="30" fillId="4" borderId="4" xfId="0" applyNumberFormat="1" applyFont="1" applyFill="1" applyBorder="1" applyAlignment="1">
      <alignment horizontal="center" vertical="center"/>
    </xf>
    <xf numFmtId="0" fontId="55" fillId="4" borderId="4" xfId="0" applyFont="1" applyFill="1" applyBorder="1" applyAlignment="1">
      <alignment vertical="center" wrapText="1"/>
    </xf>
    <xf numFmtId="0" fontId="66" fillId="4" borderId="4" xfId="0" applyFont="1" applyFill="1" applyBorder="1" applyAlignment="1">
      <alignment horizontal="center" vertical="center" wrapText="1"/>
    </xf>
    <xf numFmtId="1" fontId="30" fillId="4" borderId="4" xfId="0" applyNumberFormat="1" applyFont="1" applyFill="1" applyBorder="1" applyAlignment="1">
      <alignment horizontal="left" vertical="center" wrapText="1"/>
    </xf>
    <xf numFmtId="164" fontId="30" fillId="4" borderId="4" xfId="0" applyNumberFormat="1" applyFont="1" applyFill="1" applyBorder="1" applyAlignment="1">
      <alignment horizontal="center" vertical="center"/>
    </xf>
    <xf numFmtId="164" fontId="30" fillId="4" borderId="4" xfId="0" applyNumberFormat="1" applyFont="1" applyFill="1" applyBorder="1" applyAlignment="1">
      <alignment horizontal="left" vertical="center" wrapText="1"/>
    </xf>
    <xf numFmtId="4" fontId="30" fillId="4" borderId="4" xfId="0" applyNumberFormat="1" applyFont="1" applyFill="1" applyBorder="1" applyAlignment="1">
      <alignment horizontal="left" vertical="center" wrapText="1"/>
    </xf>
    <xf numFmtId="164" fontId="30" fillId="36" borderId="4" xfId="0" applyNumberFormat="1" applyFont="1" applyFill="1" applyBorder="1" applyAlignment="1">
      <alignment horizontal="left" vertical="center" wrapText="1"/>
    </xf>
    <xf numFmtId="164" fontId="30" fillId="44" borderId="4" xfId="0" applyNumberFormat="1" applyFont="1" applyFill="1" applyBorder="1" applyAlignment="1">
      <alignment horizontal="left" vertical="center" wrapText="1"/>
    </xf>
    <xf numFmtId="164" fontId="30" fillId="38" borderId="4" xfId="0" applyNumberFormat="1" applyFont="1" applyFill="1" applyBorder="1" applyAlignment="1">
      <alignment horizontal="left" vertical="center" wrapText="1"/>
    </xf>
    <xf numFmtId="164" fontId="30" fillId="11" borderId="4" xfId="0" applyNumberFormat="1" applyFont="1" applyFill="1" applyBorder="1" applyAlignment="1">
      <alignment horizontal="left" vertical="center" wrapText="1"/>
    </xf>
    <xf numFmtId="172" fontId="30" fillId="4" borderId="4" xfId="0" applyNumberFormat="1" applyFont="1" applyFill="1" applyBorder="1" applyAlignment="1">
      <alignment horizontal="left" vertical="center" wrapText="1"/>
    </xf>
    <xf numFmtId="3" fontId="30" fillId="11" borderId="4" xfId="0" applyNumberFormat="1" applyFont="1" applyFill="1" applyBorder="1" applyAlignment="1">
      <alignment horizontal="left" vertical="center" wrapText="1"/>
    </xf>
    <xf numFmtId="164" fontId="30" fillId="10" borderId="4" xfId="0" applyNumberFormat="1" applyFont="1" applyFill="1" applyBorder="1" applyAlignment="1">
      <alignment horizontal="left" vertical="center" wrapText="1"/>
    </xf>
    <xf numFmtId="0" fontId="30" fillId="44" borderId="4" xfId="0" applyFont="1" applyFill="1" applyBorder="1" applyAlignment="1">
      <alignment horizontal="left" vertical="center" wrapText="1"/>
    </xf>
    <xf numFmtId="4" fontId="30" fillId="36" borderId="4" xfId="0" applyNumberFormat="1" applyFont="1" applyFill="1" applyBorder="1" applyAlignment="1">
      <alignment horizontal="left" vertical="center" wrapText="1"/>
    </xf>
    <xf numFmtId="164" fontId="30" fillId="4" borderId="4" xfId="0" applyNumberFormat="1" applyFont="1" applyFill="1" applyBorder="1" applyAlignment="1">
      <alignment horizontal="left" vertical="top" wrapText="1"/>
    </xf>
    <xf numFmtId="0" fontId="55" fillId="4" borderId="4" xfId="0" applyFont="1" applyFill="1" applyBorder="1" applyAlignment="1">
      <alignment horizontal="left" vertical="center" wrapText="1"/>
    </xf>
    <xf numFmtId="164" fontId="30" fillId="4" borderId="4" xfId="0" applyNumberFormat="1" applyFont="1" applyFill="1" applyBorder="1" applyAlignment="1">
      <alignment vertical="center" wrapText="1"/>
    </xf>
    <xf numFmtId="164" fontId="55" fillId="4" borderId="4" xfId="0" applyNumberFormat="1" applyFont="1" applyFill="1" applyBorder="1" applyAlignment="1">
      <alignment horizontal="center" vertical="center"/>
    </xf>
    <xf numFmtId="10" fontId="55" fillId="4" borderId="4" xfId="0" applyNumberFormat="1" applyFont="1" applyFill="1" applyBorder="1" applyAlignment="1">
      <alignment horizontal="center" vertical="center"/>
    </xf>
    <xf numFmtId="171" fontId="55" fillId="4" borderId="4" xfId="0" applyNumberFormat="1" applyFont="1" applyFill="1" applyBorder="1" applyAlignment="1">
      <alignment horizontal="center" vertical="center"/>
    </xf>
    <xf numFmtId="2" fontId="55" fillId="4" borderId="4" xfId="0" applyNumberFormat="1" applyFont="1" applyFill="1" applyBorder="1" applyAlignment="1">
      <alignment horizontal="center" vertical="center"/>
    </xf>
    <xf numFmtId="0" fontId="30" fillId="4" borderId="4" xfId="0" quotePrefix="1" applyFont="1" applyFill="1" applyBorder="1" applyAlignment="1">
      <alignment horizontal="left" vertical="center" wrapText="1"/>
    </xf>
    <xf numFmtId="0" fontId="30" fillId="4" borderId="4" xfId="0" quotePrefix="1" applyFont="1" applyFill="1" applyBorder="1" applyAlignment="1">
      <alignment horizontal="center" vertical="center" wrapText="1"/>
    </xf>
    <xf numFmtId="4" fontId="30" fillId="4" borderId="4" xfId="0" applyNumberFormat="1" applyFont="1" applyFill="1" applyBorder="1" applyAlignment="1">
      <alignment horizontal="center" vertical="center"/>
    </xf>
    <xf numFmtId="191" fontId="30" fillId="4" borderId="4" xfId="0" applyNumberFormat="1" applyFont="1" applyFill="1" applyBorder="1" applyAlignment="1">
      <alignment horizontal="center" vertical="center"/>
    </xf>
    <xf numFmtId="49" fontId="55" fillId="4" borderId="4" xfId="0" applyNumberFormat="1" applyFont="1" applyFill="1" applyBorder="1" applyAlignment="1">
      <alignment horizontal="center" vertical="center" wrapText="1"/>
    </xf>
    <xf numFmtId="0" fontId="55" fillId="17" borderId="4" xfId="0" applyFont="1" applyFill="1" applyBorder="1" applyAlignment="1">
      <alignment horizontal="center" vertical="center" wrapText="1"/>
    </xf>
    <xf numFmtId="0" fontId="30" fillId="4" borderId="4" xfId="0" quotePrefix="1" applyFont="1" applyFill="1" applyBorder="1" applyAlignment="1">
      <alignment horizontal="center" vertical="center"/>
    </xf>
    <xf numFmtId="2" fontId="55" fillId="4" borderId="4" xfId="0" applyNumberFormat="1" applyFont="1" applyFill="1" applyBorder="1" applyAlignment="1">
      <alignment horizontal="center" vertical="center" wrapText="1"/>
    </xf>
    <xf numFmtId="0" fontId="55" fillId="4" borderId="4" xfId="0" applyFont="1" applyFill="1" applyBorder="1" applyAlignment="1">
      <alignment horizontal="center" vertical="center"/>
    </xf>
    <xf numFmtId="164" fontId="55" fillId="4" borderId="4" xfId="0" applyNumberFormat="1" applyFont="1" applyFill="1" applyBorder="1" applyAlignment="1">
      <alignment horizontal="center" vertical="center" wrapText="1"/>
    </xf>
    <xf numFmtId="2" fontId="66" fillId="4" borderId="4" xfId="0" applyNumberFormat="1" applyFont="1" applyFill="1" applyBorder="1" applyAlignment="1">
      <alignment horizontal="center" vertical="center"/>
    </xf>
    <xf numFmtId="2" fontId="30" fillId="4" borderId="4" xfId="0" quotePrefix="1" applyNumberFormat="1" applyFont="1" applyFill="1" applyBorder="1" applyAlignment="1">
      <alignment horizontal="center" vertical="center"/>
    </xf>
    <xf numFmtId="167" fontId="55" fillId="4" borderId="4" xfId="0" applyNumberFormat="1" applyFont="1" applyFill="1" applyBorder="1" applyAlignment="1">
      <alignment horizontal="center" vertical="center" wrapText="1"/>
    </xf>
    <xf numFmtId="166" fontId="30" fillId="4" borderId="4" xfId="0" applyNumberFormat="1" applyFont="1" applyFill="1" applyBorder="1" applyAlignment="1">
      <alignment horizontal="center" vertical="center" wrapText="1"/>
    </xf>
    <xf numFmtId="4" fontId="30" fillId="4" borderId="4" xfId="0" applyNumberFormat="1" applyFont="1" applyFill="1" applyBorder="1" applyAlignment="1">
      <alignment horizontal="center" vertical="center" wrapText="1"/>
    </xf>
    <xf numFmtId="164" fontId="30" fillId="36" borderId="4" xfId="0" applyNumberFormat="1" applyFont="1" applyFill="1" applyBorder="1" applyAlignment="1">
      <alignment horizontal="center" vertical="center" wrapText="1"/>
    </xf>
    <xf numFmtId="164" fontId="30" fillId="44" borderId="4" xfId="0" applyNumberFormat="1" applyFont="1" applyFill="1" applyBorder="1" applyAlignment="1">
      <alignment horizontal="center" vertical="center" wrapText="1"/>
    </xf>
    <xf numFmtId="164" fontId="30" fillId="4" borderId="4" xfId="1" applyNumberFormat="1" applyFont="1" applyFill="1" applyBorder="1" applyAlignment="1">
      <alignment horizontal="center" vertical="center" wrapText="1"/>
    </xf>
    <xf numFmtId="164" fontId="30" fillId="38" borderId="4" xfId="0" applyNumberFormat="1" applyFont="1" applyFill="1" applyBorder="1" applyAlignment="1">
      <alignment horizontal="center" vertical="center" wrapText="1"/>
    </xf>
    <xf numFmtId="164" fontId="30" fillId="11" borderId="4" xfId="0" applyNumberFormat="1" applyFont="1" applyFill="1" applyBorder="1" applyAlignment="1">
      <alignment horizontal="center" vertical="center" wrapText="1"/>
    </xf>
    <xf numFmtId="164" fontId="30" fillId="47" borderId="4" xfId="0" applyNumberFormat="1" applyFont="1" applyFill="1" applyBorder="1" applyAlignment="1">
      <alignment horizontal="center" vertical="center" wrapText="1"/>
    </xf>
    <xf numFmtId="172" fontId="30" fillId="4" borderId="4" xfId="0" applyNumberFormat="1" applyFont="1" applyFill="1" applyBorder="1" applyAlignment="1">
      <alignment horizontal="center" vertical="center" wrapText="1"/>
    </xf>
    <xf numFmtId="3" fontId="30" fillId="11" borderId="4" xfId="0" applyNumberFormat="1" applyFont="1" applyFill="1" applyBorder="1" applyAlignment="1">
      <alignment horizontal="center" vertical="center" wrapText="1"/>
    </xf>
    <xf numFmtId="164" fontId="30" fillId="10" borderId="4" xfId="0" applyNumberFormat="1" applyFont="1" applyFill="1" applyBorder="1" applyAlignment="1">
      <alignment horizontal="center" vertical="center" wrapText="1"/>
    </xf>
    <xf numFmtId="0" fontId="30" fillId="44" borderId="4" xfId="0" applyFont="1" applyFill="1" applyBorder="1" applyAlignment="1">
      <alignment horizontal="center" vertical="center" wrapText="1"/>
    </xf>
    <xf numFmtId="4" fontId="30" fillId="36" borderId="4" xfId="0" applyNumberFormat="1" applyFont="1" applyFill="1" applyBorder="1" applyAlignment="1">
      <alignment horizontal="center" vertical="center" wrapText="1"/>
    </xf>
    <xf numFmtId="0" fontId="33" fillId="0" borderId="0" xfId="0" applyFont="1" applyFill="1"/>
    <xf numFmtId="2" fontId="33" fillId="0" borderId="0" xfId="0" applyNumberFormat="1" applyFont="1" applyFill="1"/>
    <xf numFmtId="0" fontId="30" fillId="0" borderId="0" xfId="0" applyFont="1" applyBorder="1" applyAlignment="1">
      <alignment horizontal="left" vertical="center" wrapText="1"/>
    </xf>
    <xf numFmtId="1" fontId="30" fillId="0" borderId="0" xfId="0" applyNumberFormat="1" applyFont="1"/>
    <xf numFmtId="0" fontId="29" fillId="0" borderId="4" xfId="13" applyFont="1" applyBorder="1" applyAlignment="1">
      <alignment horizontal="center" wrapText="1"/>
    </xf>
    <xf numFmtId="0" fontId="28" fillId="0" borderId="4" xfId="13" applyFont="1" applyBorder="1" applyAlignment="1">
      <alignment horizontal="center" wrapText="1"/>
    </xf>
    <xf numFmtId="0" fontId="28" fillId="0" borderId="4" xfId="13" applyFont="1" applyBorder="1" applyAlignment="1">
      <alignment horizontal="center"/>
    </xf>
    <xf numFmtId="0" fontId="28" fillId="0" borderId="4" xfId="13" applyFont="1" applyFill="1" applyBorder="1" applyAlignment="1">
      <alignment horizontal="center"/>
    </xf>
    <xf numFmtId="10" fontId="29" fillId="0" borderId="4" xfId="13" applyNumberFormat="1" applyFont="1" applyBorder="1" applyAlignment="1">
      <alignment horizontal="center"/>
    </xf>
    <xf numFmtId="10" fontId="29" fillId="0" borderId="4" xfId="0" applyNumberFormat="1" applyFont="1" applyBorder="1" applyAlignment="1">
      <alignment horizontal="center"/>
    </xf>
    <xf numFmtId="10" fontId="30" fillId="0" borderId="4" xfId="0" applyNumberFormat="1" applyFont="1" applyBorder="1" applyAlignment="1">
      <alignment horizontal="center"/>
    </xf>
    <xf numFmtId="10" fontId="29" fillId="0" borderId="4" xfId="14" applyNumberFormat="1" applyFont="1" applyFill="1" applyBorder="1" applyAlignment="1">
      <alignment horizontal="center"/>
    </xf>
    <xf numFmtId="0" fontId="55" fillId="0" borderId="4" xfId="0" applyFont="1" applyBorder="1" applyAlignment="1">
      <alignment wrapText="1"/>
    </xf>
    <xf numFmtId="10" fontId="55" fillId="0" borderId="4" xfId="0" applyNumberFormat="1" applyFont="1" applyBorder="1" applyAlignment="1">
      <alignment wrapText="1"/>
    </xf>
    <xf numFmtId="10" fontId="30" fillId="0" borderId="4" xfId="0" applyNumberFormat="1" applyFont="1" applyBorder="1" applyAlignment="1">
      <alignment horizontal="right" wrapText="1"/>
    </xf>
    <xf numFmtId="10" fontId="30" fillId="0" borderId="4" xfId="0" applyNumberFormat="1" applyFont="1" applyBorder="1" applyAlignment="1">
      <alignment wrapText="1"/>
    </xf>
    <xf numFmtId="0" fontId="30" fillId="0" borderId="4" xfId="0" applyFont="1" applyBorder="1" applyAlignment="1">
      <alignment horizontal="left"/>
    </xf>
    <xf numFmtId="1" fontId="30" fillId="0" borderId="4" xfId="0" applyNumberFormat="1" applyFont="1" applyBorder="1" applyAlignment="1">
      <alignment horizontal="left"/>
    </xf>
    <xf numFmtId="2" fontId="30" fillId="0" borderId="4" xfId="0" applyNumberFormat="1" applyFont="1" applyBorder="1" applyAlignment="1">
      <alignment horizontal="left"/>
    </xf>
    <xf numFmtId="0" fontId="55" fillId="0" borderId="4" xfId="0" applyFont="1" applyBorder="1" applyAlignment="1">
      <alignment horizontal="center" vertical="center"/>
    </xf>
    <xf numFmtId="0" fontId="55" fillId="0" borderId="4" xfId="0" applyFont="1" applyFill="1" applyBorder="1" applyAlignment="1">
      <alignment horizontal="center" vertical="center"/>
    </xf>
    <xf numFmtId="0" fontId="30" fillId="0" borderId="1" xfId="0" applyFont="1" applyBorder="1"/>
    <xf numFmtId="0" fontId="30" fillId="0" borderId="1" xfId="0" applyFont="1" applyBorder="1" applyAlignment="1">
      <alignment wrapText="1"/>
    </xf>
    <xf numFmtId="0" fontId="55" fillId="0" borderId="1" xfId="0" applyFont="1" applyBorder="1" applyAlignment="1">
      <alignment wrapText="1"/>
    </xf>
    <xf numFmtId="2" fontId="55" fillId="0" borderId="1" xfId="0" applyNumberFormat="1" applyFont="1" applyBorder="1"/>
    <xf numFmtId="2" fontId="30" fillId="0" borderId="1" xfId="0" applyNumberFormat="1" applyFont="1" applyBorder="1"/>
    <xf numFmtId="0" fontId="33" fillId="0" borderId="0" xfId="0" applyFont="1" applyBorder="1" applyAlignment="1">
      <alignment wrapText="1"/>
    </xf>
    <xf numFmtId="0" fontId="33" fillId="0" borderId="0" xfId="0" applyFont="1" applyBorder="1"/>
    <xf numFmtId="4" fontId="33" fillId="0" borderId="0" xfId="0" applyNumberFormat="1" applyFont="1" applyBorder="1"/>
    <xf numFmtId="2" fontId="33" fillId="0" borderId="0" xfId="0" applyNumberFormat="1" applyFont="1" applyBorder="1"/>
    <xf numFmtId="0" fontId="33" fillId="4" borderId="0" xfId="0" applyFont="1" applyFill="1" applyBorder="1"/>
    <xf numFmtId="0" fontId="33" fillId="4" borderId="0" xfId="0" applyFont="1" applyFill="1" applyBorder="1" applyAlignment="1">
      <alignment wrapText="1"/>
    </xf>
    <xf numFmtId="1" fontId="33" fillId="4" borderId="0" xfId="0" applyNumberFormat="1" applyFont="1" applyFill="1" applyBorder="1"/>
    <xf numFmtId="0" fontId="55" fillId="0" borderId="4" xfId="0" applyFont="1" applyBorder="1" applyAlignment="1">
      <alignment horizontal="center" vertical="center" wrapText="1"/>
    </xf>
    <xf numFmtId="2" fontId="33" fillId="4" borderId="0" xfId="0" applyNumberFormat="1" applyFont="1" applyFill="1" applyBorder="1"/>
    <xf numFmtId="49" fontId="40" fillId="2"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0" fontId="36" fillId="0" borderId="4" xfId="0" applyFont="1" applyBorder="1" applyAlignment="1">
      <alignment horizontal="center" vertical="center" wrapText="1"/>
    </xf>
    <xf numFmtId="0" fontId="36" fillId="18" borderId="4" xfId="0" applyFont="1" applyFill="1" applyBorder="1" applyAlignment="1">
      <alignment horizontal="left" vertical="center" wrapText="1"/>
    </xf>
    <xf numFmtId="0" fontId="30" fillId="3" borderId="4" xfId="0" applyFont="1" applyFill="1" applyBorder="1" applyAlignment="1">
      <alignment vertical="center"/>
    </xf>
    <xf numFmtId="0" fontId="30" fillId="22" borderId="4" xfId="0" applyFont="1" applyFill="1" applyBorder="1" applyAlignment="1">
      <alignment horizontal="left" vertical="center" wrapText="1"/>
    </xf>
    <xf numFmtId="0" fontId="36" fillId="9" borderId="4" xfId="0" applyFont="1" applyFill="1" applyBorder="1" applyAlignment="1">
      <alignment horizontal="left" vertical="center" wrapText="1"/>
    </xf>
    <xf numFmtId="0" fontId="36" fillId="20" borderId="4" xfId="0" applyFont="1" applyFill="1" applyBorder="1" applyAlignment="1">
      <alignment horizontal="left" vertical="center" wrapText="1"/>
    </xf>
    <xf numFmtId="0" fontId="36" fillId="23" borderId="4" xfId="0" applyFont="1" applyFill="1" applyBorder="1" applyAlignment="1">
      <alignment horizontal="left" vertical="center" wrapText="1"/>
    </xf>
    <xf numFmtId="0" fontId="40" fillId="9" borderId="4" xfId="0" applyFont="1" applyFill="1" applyBorder="1" applyAlignment="1">
      <alignment horizontal="left" vertical="center" wrapText="1"/>
    </xf>
    <xf numFmtId="1" fontId="36" fillId="18" borderId="4" xfId="0" applyNumberFormat="1" applyFont="1" applyFill="1" applyBorder="1" applyAlignment="1">
      <alignment horizontal="left" vertical="center" wrapText="1"/>
    </xf>
    <xf numFmtId="1" fontId="30" fillId="9" borderId="4" xfId="0" applyNumberFormat="1" applyFont="1" applyFill="1" applyBorder="1" applyAlignment="1">
      <alignment horizontal="left" vertical="center" wrapText="1"/>
    </xf>
    <xf numFmtId="1" fontId="36" fillId="21" borderId="4" xfId="0" applyNumberFormat="1" applyFont="1" applyFill="1" applyBorder="1" applyAlignment="1">
      <alignment horizontal="left" vertical="center" wrapText="1"/>
    </xf>
    <xf numFmtId="1" fontId="30" fillId="22" borderId="4" xfId="0" applyNumberFormat="1" applyFont="1" applyFill="1" applyBorder="1" applyAlignment="1">
      <alignment horizontal="left" vertical="center" wrapText="1"/>
    </xf>
    <xf numFmtId="1" fontId="36" fillId="9" borderId="4" xfId="0" applyNumberFormat="1" applyFont="1" applyFill="1" applyBorder="1" applyAlignment="1">
      <alignment horizontal="left" vertical="center" wrapText="1"/>
    </xf>
    <xf numFmtId="1" fontId="36" fillId="20" borderId="4" xfId="0" applyNumberFormat="1" applyFont="1" applyFill="1" applyBorder="1" applyAlignment="1">
      <alignment horizontal="left" vertical="center" wrapText="1"/>
    </xf>
    <xf numFmtId="164" fontId="36" fillId="21" borderId="4" xfId="0" applyNumberFormat="1" applyFont="1" applyFill="1" applyBorder="1" applyAlignment="1">
      <alignment horizontal="left" vertical="center" wrapText="1"/>
    </xf>
    <xf numFmtId="175" fontId="30" fillId="9" borderId="4" xfId="0" applyNumberFormat="1" applyFont="1" applyFill="1" applyBorder="1" applyAlignment="1">
      <alignment horizontal="left" vertical="center" wrapText="1"/>
    </xf>
    <xf numFmtId="176" fontId="36" fillId="21" borderId="4" xfId="0" applyNumberFormat="1" applyFont="1" applyFill="1" applyBorder="1" applyAlignment="1">
      <alignment horizontal="left" vertical="center" wrapText="1"/>
    </xf>
    <xf numFmtId="176" fontId="30" fillId="22" borderId="4" xfId="0" applyNumberFormat="1" applyFont="1" applyFill="1" applyBorder="1" applyAlignment="1">
      <alignment horizontal="left" vertical="center" wrapText="1"/>
    </xf>
    <xf numFmtId="175" fontId="36" fillId="9" borderId="4" xfId="0" applyNumberFormat="1" applyFont="1" applyFill="1" applyBorder="1" applyAlignment="1">
      <alignment horizontal="left" vertical="center" wrapText="1"/>
    </xf>
    <xf numFmtId="165" fontId="36" fillId="20" borderId="4" xfId="0" applyNumberFormat="1" applyFont="1" applyFill="1" applyBorder="1" applyAlignment="1">
      <alignment horizontal="left" vertical="center" wrapText="1"/>
    </xf>
    <xf numFmtId="176" fontId="36" fillId="3" borderId="4" xfId="0" applyNumberFormat="1" applyFont="1" applyFill="1" applyBorder="1" applyAlignment="1">
      <alignment horizontal="left" vertical="center" wrapText="1"/>
    </xf>
    <xf numFmtId="0" fontId="39" fillId="18" borderId="4" xfId="1" applyFont="1" applyFill="1" applyBorder="1" applyAlignment="1">
      <alignment horizontal="left" vertical="center" wrapText="1"/>
    </xf>
    <xf numFmtId="0" fontId="45" fillId="3" borderId="4" xfId="1" applyFont="1" applyFill="1" applyBorder="1" applyAlignment="1">
      <alignment vertical="center" wrapText="1"/>
    </xf>
    <xf numFmtId="0" fontId="39" fillId="9" borderId="4" xfId="1" applyFont="1" applyFill="1" applyBorder="1" applyAlignment="1">
      <alignment horizontal="left" vertical="center" wrapText="1"/>
    </xf>
    <xf numFmtId="0" fontId="41" fillId="3" borderId="4" xfId="4" applyFont="1" applyFill="1" applyBorder="1" applyAlignment="1">
      <alignment horizontal="left" vertical="center" wrapText="1"/>
    </xf>
    <xf numFmtId="0" fontId="39" fillId="7" borderId="4" xfId="0" applyFont="1" applyFill="1" applyBorder="1" applyAlignment="1">
      <alignment horizontal="left" vertical="center" wrapText="1"/>
    </xf>
    <xf numFmtId="0" fontId="48" fillId="22" borderId="4" xfId="4" applyFont="1" applyFill="1" applyBorder="1" applyAlignment="1" applyProtection="1">
      <alignment horizontal="left" vertical="center" wrapText="1"/>
    </xf>
    <xf numFmtId="10" fontId="39" fillId="7" borderId="4" xfId="1" applyNumberFormat="1" applyFont="1" applyFill="1" applyBorder="1" applyAlignment="1">
      <alignment horizontal="left" vertical="center" wrapText="1"/>
    </xf>
    <xf numFmtId="0" fontId="45" fillId="20" borderId="4" xfId="0" applyFont="1" applyFill="1" applyBorder="1" applyAlignment="1">
      <alignment horizontal="left" vertical="center" wrapText="1"/>
    </xf>
    <xf numFmtId="0" fontId="45" fillId="23" borderId="4" xfId="0" applyFont="1" applyFill="1" applyBorder="1" applyAlignment="1">
      <alignment horizontal="left" vertical="center" wrapText="1"/>
    </xf>
    <xf numFmtId="0" fontId="36" fillId="21" borderId="4" xfId="0" applyFont="1" applyFill="1" applyBorder="1" applyAlignment="1">
      <alignment horizontal="justify" vertical="center" wrapText="1"/>
    </xf>
    <xf numFmtId="2" fontId="39" fillId="3" borderId="4" xfId="1" applyNumberFormat="1" applyFont="1" applyFill="1" applyBorder="1" applyAlignment="1">
      <alignment vertical="center" wrapText="1"/>
    </xf>
    <xf numFmtId="49" fontId="64" fillId="3" borderId="4" xfId="1" applyNumberFormat="1" applyFont="1" applyFill="1" applyBorder="1" applyAlignment="1" applyProtection="1">
      <alignment horizontal="left" vertical="center" wrapText="1"/>
    </xf>
    <xf numFmtId="0" fontId="62" fillId="18" borderId="4" xfId="1" applyFont="1" applyFill="1" applyBorder="1" applyAlignment="1">
      <alignment horizontal="left" vertical="center" wrapText="1"/>
    </xf>
    <xf numFmtId="0" fontId="29" fillId="18" borderId="4" xfId="0" applyFont="1" applyFill="1" applyBorder="1" applyAlignment="1">
      <alignment horizontal="left" vertical="center" wrapText="1"/>
    </xf>
    <xf numFmtId="49" fontId="36" fillId="14" borderId="4" xfId="0" applyNumberFormat="1" applyFont="1" applyFill="1" applyBorder="1" applyAlignment="1">
      <alignment horizontal="center" vertical="center" wrapText="1"/>
    </xf>
    <xf numFmtId="0" fontId="38" fillId="14" borderId="4" xfId="0" applyFont="1" applyFill="1" applyBorder="1" applyAlignment="1">
      <alignment horizontal="left" vertical="center" wrapText="1"/>
    </xf>
    <xf numFmtId="0" fontId="29" fillId="21" borderId="4" xfId="0" applyFont="1" applyFill="1" applyBorder="1" applyAlignment="1">
      <alignment horizontal="justify" vertical="center"/>
    </xf>
    <xf numFmtId="0" fontId="67" fillId="0" borderId="4" xfId="0" applyFont="1" applyBorder="1" applyAlignment="1">
      <alignment horizontal="left" vertical="center" wrapText="1"/>
    </xf>
    <xf numFmtId="164" fontId="30" fillId="22" borderId="4" xfId="0" applyNumberFormat="1" applyFont="1" applyFill="1" applyBorder="1" applyAlignment="1">
      <alignment horizontal="left" vertical="center" wrapText="1"/>
    </xf>
    <xf numFmtId="164" fontId="36" fillId="20" borderId="4" xfId="0" applyNumberFormat="1" applyFont="1" applyFill="1" applyBorder="1" applyAlignment="1">
      <alignment horizontal="left" vertical="center" wrapText="1"/>
    </xf>
    <xf numFmtId="164" fontId="36" fillId="23" borderId="4" xfId="0" applyNumberFormat="1" applyFont="1" applyFill="1" applyBorder="1" applyAlignment="1">
      <alignment horizontal="left" vertical="center" wrapText="1"/>
    </xf>
    <xf numFmtId="177" fontId="36" fillId="21" borderId="4" xfId="0" applyNumberFormat="1" applyFont="1" applyFill="1" applyBorder="1" applyAlignment="1">
      <alignment horizontal="left" vertical="center" wrapText="1"/>
    </xf>
    <xf numFmtId="10" fontId="36" fillId="21" borderId="4" xfId="0" applyNumberFormat="1" applyFont="1" applyFill="1" applyBorder="1" applyAlignment="1">
      <alignment horizontal="left" vertical="center" wrapText="1"/>
    </xf>
    <xf numFmtId="10" fontId="30" fillId="22" borderId="4" xfId="0" applyNumberFormat="1" applyFont="1" applyFill="1" applyBorder="1" applyAlignment="1">
      <alignment horizontal="left" vertical="center" wrapText="1"/>
    </xf>
    <xf numFmtId="10" fontId="30" fillId="3" borderId="4" xfId="0" applyNumberFormat="1" applyFont="1" applyFill="1" applyBorder="1" applyAlignment="1">
      <alignment horizontal="left" vertical="center" wrapText="1"/>
    </xf>
    <xf numFmtId="10" fontId="36" fillId="20" borderId="4" xfId="0" applyNumberFormat="1" applyFont="1" applyFill="1" applyBorder="1" applyAlignment="1">
      <alignment horizontal="left" vertical="center" wrapText="1"/>
    </xf>
    <xf numFmtId="10" fontId="36" fillId="23" borderId="4" xfId="0" applyNumberFormat="1" applyFont="1" applyFill="1" applyBorder="1" applyAlignment="1">
      <alignment horizontal="left" vertical="center" wrapText="1"/>
    </xf>
    <xf numFmtId="169" fontId="36" fillId="21" borderId="4" xfId="0" applyNumberFormat="1" applyFont="1" applyFill="1" applyBorder="1" applyAlignment="1">
      <alignment horizontal="left" vertical="center" wrapText="1"/>
    </xf>
    <xf numFmtId="171" fontId="36" fillId="18" borderId="4" xfId="0" applyNumberFormat="1" applyFont="1" applyFill="1" applyBorder="1" applyAlignment="1">
      <alignment horizontal="left" vertical="center" wrapText="1"/>
    </xf>
    <xf numFmtId="170" fontId="36" fillId="18" borderId="4" xfId="0" applyNumberFormat="1" applyFont="1" applyFill="1" applyBorder="1" applyAlignment="1">
      <alignment horizontal="left" vertical="center" wrapText="1"/>
    </xf>
    <xf numFmtId="173" fontId="36" fillId="21" borderId="4" xfId="0" applyNumberFormat="1" applyFont="1" applyFill="1" applyBorder="1" applyAlignment="1">
      <alignment horizontal="left" vertical="center" wrapText="1"/>
    </xf>
    <xf numFmtId="171" fontId="36" fillId="21" borderId="4" xfId="0" applyNumberFormat="1" applyFont="1" applyFill="1" applyBorder="1" applyAlignment="1">
      <alignment horizontal="left" vertical="center" wrapText="1"/>
    </xf>
    <xf numFmtId="4" fontId="36" fillId="7" borderId="4" xfId="0" applyNumberFormat="1" applyFont="1" applyFill="1" applyBorder="1" applyAlignment="1">
      <alignment horizontal="left" vertical="center" wrapText="1"/>
    </xf>
    <xf numFmtId="164" fontId="30" fillId="3" borderId="4" xfId="0" applyNumberFormat="1" applyFont="1" applyFill="1" applyBorder="1" applyAlignment="1">
      <alignment horizontal="left" vertical="center" wrapText="1"/>
    </xf>
    <xf numFmtId="0" fontId="36" fillId="14" borderId="4" xfId="0" applyFont="1" applyFill="1" applyBorder="1" applyAlignment="1">
      <alignment vertical="center" wrapText="1"/>
    </xf>
    <xf numFmtId="164" fontId="35" fillId="3" borderId="4" xfId="0" applyNumberFormat="1" applyFont="1" applyFill="1" applyBorder="1" applyAlignment="1">
      <alignment horizontal="left" vertical="center" wrapText="1"/>
    </xf>
    <xf numFmtId="4" fontId="30" fillId="22" borderId="4" xfId="0" applyNumberFormat="1" applyFont="1" applyFill="1" applyBorder="1" applyAlignment="1">
      <alignment horizontal="left" vertical="center" wrapText="1"/>
    </xf>
    <xf numFmtId="164" fontId="29" fillId="3" borderId="4" xfId="0" applyNumberFormat="1" applyFont="1" applyFill="1" applyBorder="1" applyAlignment="1">
      <alignment horizontal="left" vertical="center"/>
    </xf>
    <xf numFmtId="169" fontId="36" fillId="3" borderId="4" xfId="0" applyNumberFormat="1" applyFont="1" applyFill="1" applyBorder="1" applyAlignment="1">
      <alignment horizontal="center" vertical="center" wrapText="1"/>
    </xf>
    <xf numFmtId="187" fontId="36" fillId="3" borderId="4" xfId="0" applyNumberFormat="1" applyFont="1" applyFill="1" applyBorder="1" applyAlignment="1">
      <alignment horizontal="left" vertical="center" wrapText="1"/>
    </xf>
    <xf numFmtId="2" fontId="36" fillId="7" borderId="4" xfId="0" applyNumberFormat="1" applyFont="1" applyFill="1" applyBorder="1" applyAlignment="1">
      <alignment horizontal="left" vertical="center" wrapText="1"/>
    </xf>
    <xf numFmtId="183" fontId="36" fillId="3" borderId="4" xfId="0" applyNumberFormat="1" applyFont="1" applyFill="1" applyBorder="1" applyAlignment="1">
      <alignment horizontal="left" vertical="center" wrapText="1"/>
    </xf>
    <xf numFmtId="164" fontId="63" fillId="3" borderId="4" xfId="0" applyNumberFormat="1" applyFont="1" applyFill="1" applyBorder="1" applyAlignment="1">
      <alignment horizontal="left" vertical="center" wrapText="1"/>
    </xf>
    <xf numFmtId="167" fontId="36" fillId="21" borderId="4" xfId="0" applyNumberFormat="1" applyFont="1" applyFill="1" applyBorder="1" applyAlignment="1">
      <alignment horizontal="left" vertical="center" wrapText="1"/>
    </xf>
    <xf numFmtId="10" fontId="63" fillId="3" borderId="4" xfId="0" applyNumberFormat="1" applyFont="1" applyFill="1" applyBorder="1" applyAlignment="1">
      <alignment horizontal="left" vertical="center" wrapText="1"/>
    </xf>
    <xf numFmtId="184" fontId="36" fillId="3" borderId="4" xfId="0" applyNumberFormat="1" applyFont="1" applyFill="1" applyBorder="1" applyAlignment="1">
      <alignment horizontal="left" vertical="center" wrapText="1"/>
    </xf>
    <xf numFmtId="0" fontId="45" fillId="3" borderId="4" xfId="1" applyFont="1" applyFill="1" applyBorder="1" applyAlignment="1" applyProtection="1">
      <alignment horizontal="left" vertical="center" wrapText="1"/>
    </xf>
    <xf numFmtId="4" fontId="36" fillId="18" borderId="4" xfId="0" applyNumberFormat="1" applyFont="1" applyFill="1" applyBorder="1" applyAlignment="1">
      <alignment horizontal="left" vertical="center" wrapText="1"/>
    </xf>
    <xf numFmtId="178" fontId="36" fillId="21" borderId="4" xfId="0" applyNumberFormat="1" applyFont="1" applyFill="1" applyBorder="1" applyAlignment="1">
      <alignment horizontal="left" vertical="center" wrapText="1"/>
    </xf>
    <xf numFmtId="2" fontId="36" fillId="18" borderId="4" xfId="0" applyNumberFormat="1" applyFont="1" applyFill="1" applyBorder="1" applyAlignment="1">
      <alignment horizontal="left" vertical="center" wrapText="1"/>
    </xf>
    <xf numFmtId="167" fontId="36" fillId="20" borderId="4" xfId="0" applyNumberFormat="1" applyFont="1" applyFill="1" applyBorder="1" applyAlignment="1">
      <alignment horizontal="left" vertical="center" wrapText="1"/>
    </xf>
    <xf numFmtId="3" fontId="36" fillId="21" borderId="4" xfId="0" applyNumberFormat="1" applyFont="1" applyFill="1" applyBorder="1" applyAlignment="1">
      <alignment horizontal="left" vertical="center" wrapText="1"/>
    </xf>
    <xf numFmtId="3" fontId="30" fillId="22" borderId="4" xfId="0" applyNumberFormat="1" applyFont="1" applyFill="1" applyBorder="1" applyAlignment="1">
      <alignment horizontal="left" vertical="center" wrapText="1"/>
    </xf>
    <xf numFmtId="3" fontId="40" fillId="9" borderId="4" xfId="0" applyNumberFormat="1" applyFont="1" applyFill="1" applyBorder="1" applyAlignment="1">
      <alignment horizontal="left" vertical="center" wrapText="1"/>
    </xf>
    <xf numFmtId="3" fontId="36" fillId="20" borderId="4" xfId="0" applyNumberFormat="1" applyFont="1" applyFill="1" applyBorder="1" applyAlignment="1">
      <alignment horizontal="left" vertical="center" wrapText="1"/>
    </xf>
    <xf numFmtId="3" fontId="36" fillId="23" borderId="4" xfId="0" applyNumberFormat="1" applyFont="1" applyFill="1" applyBorder="1" applyAlignment="1">
      <alignment horizontal="left" vertical="center" wrapText="1"/>
    </xf>
    <xf numFmtId="3" fontId="40" fillId="18" borderId="4" xfId="0" applyNumberFormat="1" applyFont="1" applyFill="1" applyBorder="1" applyAlignment="1">
      <alignment horizontal="left" vertical="center" wrapText="1"/>
    </xf>
    <xf numFmtId="3" fontId="40" fillId="3" borderId="4" xfId="0" applyNumberFormat="1" applyFont="1" applyFill="1" applyBorder="1" applyAlignment="1">
      <alignment horizontal="center" vertical="center" wrapText="1"/>
    </xf>
    <xf numFmtId="3" fontId="40" fillId="21" borderId="4" xfId="0" applyNumberFormat="1" applyFont="1" applyFill="1" applyBorder="1" applyAlignment="1">
      <alignment horizontal="left" vertical="center" wrapText="1"/>
    </xf>
    <xf numFmtId="3" fontId="40" fillId="6" borderId="4" xfId="0" applyNumberFormat="1" applyFont="1" applyFill="1" applyBorder="1" applyAlignment="1">
      <alignment horizontal="left" vertical="center" wrapText="1"/>
    </xf>
    <xf numFmtId="3" fontId="40" fillId="7" borderId="4" xfId="0" applyNumberFormat="1" applyFont="1" applyFill="1" applyBorder="1" applyAlignment="1">
      <alignment horizontal="left" vertical="center" wrapText="1"/>
    </xf>
    <xf numFmtId="3" fontId="55" fillId="22" borderId="4" xfId="0" applyNumberFormat="1" applyFont="1" applyFill="1" applyBorder="1" applyAlignment="1">
      <alignment horizontal="left" vertical="center" wrapText="1"/>
    </xf>
    <xf numFmtId="3" fontId="40" fillId="20" borderId="4" xfId="0" applyNumberFormat="1" applyFont="1" applyFill="1" applyBorder="1" applyAlignment="1">
      <alignment horizontal="left" vertical="center" wrapText="1"/>
    </xf>
    <xf numFmtId="3" fontId="40" fillId="23" borderId="4" xfId="0" applyNumberFormat="1" applyFont="1" applyFill="1" applyBorder="1" applyAlignment="1">
      <alignment horizontal="left" vertical="center" wrapText="1"/>
    </xf>
    <xf numFmtId="166" fontId="36" fillId="21" borderId="4" xfId="0" applyNumberFormat="1" applyFont="1" applyFill="1" applyBorder="1" applyAlignment="1">
      <alignment horizontal="left" vertical="center" wrapText="1"/>
    </xf>
    <xf numFmtId="166" fontId="36" fillId="23" borderId="4" xfId="0" applyNumberFormat="1" applyFont="1" applyFill="1" applyBorder="1" applyAlignment="1">
      <alignment horizontal="left" vertical="center" wrapText="1"/>
    </xf>
    <xf numFmtId="166" fontId="36" fillId="18" borderId="4" xfId="0" applyNumberFormat="1" applyFont="1" applyFill="1" applyBorder="1" applyAlignment="1">
      <alignment horizontal="left" vertical="center" wrapText="1"/>
    </xf>
    <xf numFmtId="0" fontId="39" fillId="7" borderId="4" xfId="1" applyFont="1" applyFill="1" applyBorder="1" applyAlignment="1">
      <alignment vertical="center"/>
    </xf>
    <xf numFmtId="0" fontId="45" fillId="7" borderId="4" xfId="0" applyFont="1" applyFill="1" applyBorder="1" applyAlignment="1">
      <alignment horizontal="left" vertical="center" wrapText="1"/>
    </xf>
    <xf numFmtId="10" fontId="30" fillId="16" borderId="4" xfId="0" applyNumberFormat="1" applyFont="1" applyFill="1" applyBorder="1" applyAlignment="1">
      <alignment horizontal="left" vertical="center" wrapText="1"/>
    </xf>
    <xf numFmtId="167" fontId="36" fillId="9" borderId="4" xfId="0" applyNumberFormat="1" applyFont="1" applyFill="1" applyBorder="1" applyAlignment="1">
      <alignment horizontal="left" vertical="center" wrapText="1"/>
    </xf>
    <xf numFmtId="164" fontId="30" fillId="16" borderId="4" xfId="0" applyNumberFormat="1" applyFont="1" applyFill="1" applyBorder="1" applyAlignment="1">
      <alignment horizontal="left" vertical="center" wrapText="1"/>
    </xf>
    <xf numFmtId="10" fontId="36" fillId="3" borderId="4" xfId="1" applyNumberFormat="1" applyFont="1" applyFill="1" applyBorder="1" applyAlignment="1">
      <alignment horizontal="left" vertical="center" wrapText="1"/>
    </xf>
    <xf numFmtId="49" fontId="36" fillId="21" borderId="4" xfId="0" applyNumberFormat="1" applyFont="1" applyFill="1" applyBorder="1" applyAlignment="1">
      <alignment horizontal="left" vertical="center" wrapText="1"/>
    </xf>
    <xf numFmtId="10" fontId="45" fillId="3" borderId="4" xfId="1" applyNumberFormat="1" applyFont="1" applyFill="1" applyBorder="1" applyAlignment="1">
      <alignment horizontal="left" vertical="center" wrapText="1"/>
    </xf>
    <xf numFmtId="10" fontId="41" fillId="3" borderId="4" xfId="4" applyNumberFormat="1" applyFont="1" applyFill="1" applyBorder="1" applyAlignment="1">
      <alignment horizontal="left" vertical="center" wrapText="1"/>
    </xf>
    <xf numFmtId="10" fontId="39" fillId="3" borderId="4" xfId="4" applyNumberFormat="1" applyFont="1" applyFill="1" applyBorder="1" applyAlignment="1">
      <alignment horizontal="left" vertical="center" wrapText="1"/>
    </xf>
    <xf numFmtId="10" fontId="39" fillId="7" borderId="4" xfId="1" applyNumberFormat="1" applyFont="1" applyFill="1" applyBorder="1" applyAlignment="1">
      <alignment vertical="center"/>
    </xf>
    <xf numFmtId="10" fontId="45" fillId="20" borderId="4" xfId="0" applyNumberFormat="1" applyFont="1" applyFill="1" applyBorder="1" applyAlignment="1">
      <alignment horizontal="left" vertical="center" wrapText="1"/>
    </xf>
    <xf numFmtId="10" fontId="39" fillId="21" borderId="4" xfId="1" applyNumberFormat="1" applyFont="1" applyFill="1" applyBorder="1" applyAlignment="1">
      <alignment horizontal="left" vertical="center" wrapText="1"/>
    </xf>
    <xf numFmtId="10" fontId="62" fillId="18" borderId="4" xfId="1" applyNumberFormat="1" applyFont="1" applyFill="1" applyBorder="1" applyAlignment="1">
      <alignment horizontal="left" vertical="center" wrapText="1"/>
    </xf>
    <xf numFmtId="10" fontId="39" fillId="18" borderId="4" xfId="1" applyNumberFormat="1" applyFont="1" applyFill="1" applyBorder="1" applyAlignment="1">
      <alignment horizontal="left" vertical="center" wrapText="1"/>
    </xf>
    <xf numFmtId="0" fontId="57" fillId="21" borderId="4" xfId="0" applyFont="1" applyFill="1" applyBorder="1" applyAlignment="1">
      <alignment horizontal="left" vertical="center" wrapText="1"/>
    </xf>
    <xf numFmtId="3" fontId="36" fillId="3" borderId="4" xfId="1" applyNumberFormat="1" applyFont="1" applyFill="1" applyBorder="1" applyAlignment="1">
      <alignment horizontal="left" vertical="center" wrapText="1"/>
    </xf>
    <xf numFmtId="0" fontId="30" fillId="6" borderId="4" xfId="3" applyFont="1" applyFill="1" applyBorder="1" applyAlignment="1">
      <alignment horizontal="left" vertical="center" wrapText="1"/>
    </xf>
    <xf numFmtId="0" fontId="36" fillId="3" borderId="4" xfId="0" applyFont="1" applyFill="1" applyBorder="1" applyAlignment="1">
      <alignment vertical="center"/>
    </xf>
    <xf numFmtId="0" fontId="30" fillId="6" borderId="4" xfId="3" applyFont="1" applyFill="1" applyBorder="1" applyAlignment="1">
      <alignment horizontal="center" vertical="center"/>
    </xf>
    <xf numFmtId="10" fontId="46" fillId="3" borderId="4" xfId="0" applyNumberFormat="1" applyFont="1" applyFill="1" applyBorder="1" applyAlignment="1">
      <alignment horizontal="left" vertical="center" wrapText="1"/>
    </xf>
    <xf numFmtId="0" fontId="46" fillId="3" borderId="4" xfId="0" applyFont="1" applyFill="1" applyBorder="1" applyAlignment="1">
      <alignment horizontal="left" vertical="center" wrapText="1"/>
    </xf>
    <xf numFmtId="0" fontId="45" fillId="7" borderId="4" xfId="1" applyFont="1" applyFill="1" applyBorder="1" applyAlignment="1">
      <alignment horizontal="left" vertical="center" wrapText="1"/>
    </xf>
    <xf numFmtId="9" fontId="36" fillId="18" borderId="4" xfId="0" applyNumberFormat="1" applyFont="1" applyFill="1" applyBorder="1" applyAlignment="1">
      <alignment horizontal="left" vertical="center" wrapText="1"/>
    </xf>
    <xf numFmtId="9" fontId="36" fillId="20" borderId="4" xfId="0" applyNumberFormat="1" applyFont="1" applyFill="1" applyBorder="1" applyAlignment="1">
      <alignment horizontal="left" vertical="center" wrapText="1"/>
    </xf>
    <xf numFmtId="9" fontId="29" fillId="21" borderId="4" xfId="0" applyNumberFormat="1" applyFont="1" applyFill="1" applyBorder="1" applyAlignment="1">
      <alignment horizontal="left" vertical="center" wrapText="1"/>
    </xf>
    <xf numFmtId="3" fontId="29" fillId="21" borderId="4" xfId="0" applyNumberFormat="1" applyFont="1" applyFill="1" applyBorder="1" applyAlignment="1">
      <alignment horizontal="left" vertical="center" wrapText="1"/>
    </xf>
    <xf numFmtId="166" fontId="30" fillId="22" borderId="4" xfId="0" applyNumberFormat="1" applyFont="1" applyFill="1" applyBorder="1" applyAlignment="1">
      <alignment horizontal="left" vertical="center" wrapText="1"/>
    </xf>
    <xf numFmtId="166" fontId="36" fillId="20" borderId="4" xfId="0" applyNumberFormat="1" applyFont="1" applyFill="1" applyBorder="1" applyAlignment="1">
      <alignment horizontal="left" vertical="center" wrapText="1"/>
    </xf>
    <xf numFmtId="179" fontId="36" fillId="21" borderId="4" xfId="0" applyNumberFormat="1" applyFont="1" applyFill="1" applyBorder="1" applyAlignment="1">
      <alignment horizontal="left" vertical="center" wrapText="1"/>
    </xf>
    <xf numFmtId="0" fontId="47" fillId="3" borderId="4" xfId="1" applyFont="1" applyFill="1" applyBorder="1" applyAlignment="1" applyProtection="1">
      <alignment horizontal="left" vertical="center" wrapText="1"/>
    </xf>
    <xf numFmtId="0" fontId="45" fillId="3" borderId="4" xfId="1" applyFont="1" applyFill="1" applyBorder="1" applyAlignment="1">
      <alignment horizontal="center" vertical="center" wrapText="1"/>
    </xf>
    <xf numFmtId="0" fontId="48" fillId="16" borderId="4" xfId="4" applyFont="1" applyFill="1" applyBorder="1" applyAlignment="1" applyProtection="1">
      <alignment horizontal="left" vertical="center" wrapText="1"/>
    </xf>
    <xf numFmtId="0" fontId="45" fillId="9" borderId="4" xfId="0" applyFont="1" applyFill="1" applyBorder="1" applyAlignment="1">
      <alignment horizontal="left" vertical="center" wrapText="1"/>
    </xf>
    <xf numFmtId="0" fontId="39" fillId="3" borderId="4" xfId="1" applyFont="1" applyFill="1" applyBorder="1" applyAlignment="1">
      <alignment horizontal="justify" vertical="center" wrapText="1"/>
    </xf>
    <xf numFmtId="0" fontId="30" fillId="9" borderId="4" xfId="0" applyFont="1" applyFill="1" applyBorder="1" applyAlignment="1">
      <alignment vertical="center" wrapText="1"/>
    </xf>
    <xf numFmtId="49" fontId="29" fillId="3" borderId="4" xfId="0" applyNumberFormat="1" applyFont="1" applyFill="1" applyBorder="1" applyAlignment="1">
      <alignment horizontal="left" vertical="center" wrapText="1"/>
    </xf>
    <xf numFmtId="49" fontId="36" fillId="20" borderId="4" xfId="0" applyNumberFormat="1" applyFont="1" applyFill="1" applyBorder="1" applyAlignment="1">
      <alignment horizontal="left" vertical="center" wrapText="1"/>
    </xf>
    <xf numFmtId="0" fontId="36" fillId="3" borderId="4" xfId="1" applyFont="1" applyFill="1" applyBorder="1" applyAlignment="1">
      <alignment horizontal="center" vertical="center" wrapText="1"/>
    </xf>
    <xf numFmtId="0" fontId="39" fillId="3" borderId="4" xfId="4" applyFont="1" applyFill="1" applyBorder="1" applyAlignment="1">
      <alignment horizontal="left" vertical="center" wrapText="1"/>
    </xf>
    <xf numFmtId="0" fontId="41" fillId="18" borderId="4" xfId="1" applyFont="1" applyFill="1" applyBorder="1" applyAlignment="1">
      <alignment horizontal="left" vertical="center" wrapText="1"/>
    </xf>
    <xf numFmtId="0" fontId="14" fillId="2" borderId="4" xfId="0"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9" fillId="0" borderId="4" xfId="0" applyFont="1" applyBorder="1" applyAlignment="1">
      <alignment horizontal="center" vertical="center"/>
    </xf>
    <xf numFmtId="0" fontId="7" fillId="26" borderId="4" xfId="0" applyFont="1" applyFill="1" applyBorder="1" applyAlignment="1">
      <alignment horizontal="center" vertical="center" wrapText="1"/>
    </xf>
    <xf numFmtId="1" fontId="7" fillId="15" borderId="4" xfId="0" applyNumberFormat="1" applyFont="1" applyFill="1" applyBorder="1" applyAlignment="1">
      <alignment horizontal="center" vertical="center" wrapText="1"/>
    </xf>
    <xf numFmtId="1" fontId="7" fillId="26"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xf>
    <xf numFmtId="0" fontId="7" fillId="29" borderId="4" xfId="0" applyFont="1" applyFill="1" applyBorder="1" applyAlignment="1">
      <alignment horizontal="center" vertical="center" wrapText="1"/>
    </xf>
    <xf numFmtId="0" fontId="10" fillId="15" borderId="4" xfId="1" applyFont="1" applyFill="1" applyBorder="1" applyAlignment="1">
      <alignment horizontal="center" vertical="center" wrapText="1"/>
    </xf>
    <xf numFmtId="0" fontId="80" fillId="29" borderId="4" xfId="1" applyNumberFormat="1" applyFont="1" applyFill="1" applyBorder="1" applyAlignment="1" applyProtection="1">
      <alignment horizontal="center" vertical="center" wrapText="1"/>
    </xf>
    <xf numFmtId="165" fontId="10" fillId="14" borderId="4" xfId="1" applyNumberFormat="1" applyFont="1" applyFill="1" applyBorder="1" applyAlignment="1" applyProtection="1">
      <alignment horizontal="center" vertical="center" wrapText="1"/>
    </xf>
    <xf numFmtId="0" fontId="78" fillId="29" borderId="4" xfId="0" applyFont="1" applyFill="1" applyBorder="1" applyAlignment="1">
      <alignment horizontal="center" vertical="center" wrapText="1"/>
    </xf>
    <xf numFmtId="164" fontId="7" fillId="15" borderId="4" xfId="0" applyNumberFormat="1" applyFont="1" applyFill="1" applyBorder="1" applyAlignment="1">
      <alignment horizontal="center" vertical="center" wrapText="1"/>
    </xf>
    <xf numFmtId="164" fontId="7" fillId="26" borderId="4" xfId="0" applyNumberFormat="1" applyFont="1" applyFill="1" applyBorder="1" applyAlignment="1">
      <alignment horizontal="center" vertical="center" wrapText="1"/>
    </xf>
    <xf numFmtId="167" fontId="7" fillId="15" borderId="4" xfId="0" applyNumberFormat="1" applyFont="1" applyFill="1" applyBorder="1" applyAlignment="1">
      <alignment horizontal="center" vertical="center" wrapText="1"/>
    </xf>
    <xf numFmtId="167" fontId="7" fillId="26" borderId="4" xfId="0" applyNumberFormat="1" applyFont="1" applyFill="1" applyBorder="1" applyAlignment="1">
      <alignment horizontal="center" vertical="center" wrapText="1"/>
    </xf>
    <xf numFmtId="3" fontId="14" fillId="15" borderId="4" xfId="0" applyNumberFormat="1" applyFont="1" applyFill="1" applyBorder="1" applyAlignment="1">
      <alignment horizontal="center" vertical="center" wrapText="1"/>
    </xf>
    <xf numFmtId="3" fontId="14" fillId="26" borderId="4" xfId="0" applyNumberFormat="1" applyFont="1" applyFill="1" applyBorder="1" applyAlignment="1">
      <alignment horizontal="center" vertical="center" wrapText="1"/>
    </xf>
    <xf numFmtId="164" fontId="10" fillId="15" borderId="4" xfId="1" applyNumberFormat="1" applyFont="1" applyFill="1" applyBorder="1" applyAlignment="1">
      <alignment horizontal="center" vertical="center" wrapText="1"/>
    </xf>
    <xf numFmtId="0" fontId="80" fillId="26" borderId="4" xfId="1" applyNumberFormat="1" applyFont="1" applyFill="1" applyBorder="1" applyAlignment="1" applyProtection="1">
      <alignment horizontal="center" vertical="center"/>
    </xf>
    <xf numFmtId="164" fontId="10" fillId="14" borderId="4" xfId="1" applyNumberFormat="1" applyFont="1" applyFill="1" applyBorder="1" applyAlignment="1" applyProtection="1">
      <alignment horizontal="center" vertical="center" wrapText="1"/>
    </xf>
    <xf numFmtId="0" fontId="91" fillId="14" borderId="4" xfId="0" applyFont="1" applyFill="1" applyBorder="1" applyAlignment="1">
      <alignment horizontal="center" vertical="center"/>
    </xf>
    <xf numFmtId="0" fontId="93" fillId="29" borderId="4" xfId="0" applyFont="1" applyFill="1" applyBorder="1" applyAlignment="1">
      <alignment horizontal="center" vertical="center" wrapText="1"/>
    </xf>
    <xf numFmtId="3" fontId="7" fillId="0" borderId="4" xfId="0" applyNumberFormat="1" applyFont="1" applyBorder="1" applyAlignment="1">
      <alignment horizontal="center" vertical="center" wrapText="1"/>
    </xf>
    <xf numFmtId="0" fontId="10" fillId="0" borderId="4" xfId="7" applyFont="1" applyFill="1" applyBorder="1" applyAlignment="1">
      <alignment horizontal="center" vertical="center" wrapText="1"/>
    </xf>
    <xf numFmtId="1" fontId="55" fillId="4" borderId="4" xfId="0" applyNumberFormat="1" applyFont="1" applyFill="1" applyBorder="1" applyAlignment="1">
      <alignment horizontal="center" vertical="center" wrapText="1"/>
    </xf>
    <xf numFmtId="0" fontId="55" fillId="4" borderId="4" xfId="0" applyFont="1" applyFill="1" applyBorder="1" applyAlignment="1">
      <alignment wrapText="1"/>
    </xf>
    <xf numFmtId="0" fontId="55" fillId="4" borderId="4" xfId="0" applyFont="1" applyFill="1" applyBorder="1" applyAlignment="1">
      <alignment horizontal="right" vertical="center" wrapText="1"/>
    </xf>
    <xf numFmtId="0" fontId="66" fillId="4" borderId="4" xfId="0" applyFont="1" applyFill="1" applyBorder="1" applyAlignment="1">
      <alignment horizontal="left" vertical="center" wrapText="1"/>
    </xf>
    <xf numFmtId="0" fontId="96" fillId="4" borderId="4" xfId="0" applyFont="1" applyFill="1" applyBorder="1" applyAlignment="1">
      <alignment horizontal="left" vertical="center" wrapText="1"/>
    </xf>
    <xf numFmtId="0" fontId="66" fillId="4" borderId="4" xfId="0" applyFont="1" applyFill="1" applyBorder="1" applyAlignment="1">
      <alignment horizontal="left" vertical="center"/>
    </xf>
    <xf numFmtId="0" fontId="66" fillId="4" borderId="4" xfId="0" applyFont="1" applyFill="1" applyBorder="1" applyAlignment="1">
      <alignment vertical="center" wrapText="1"/>
    </xf>
    <xf numFmtId="165" fontId="30" fillId="4" borderId="4" xfId="0" applyNumberFormat="1" applyFont="1" applyFill="1" applyBorder="1" applyAlignment="1">
      <alignment horizontal="left" vertical="center" wrapText="1"/>
    </xf>
    <xf numFmtId="167" fontId="30" fillId="4" borderId="4" xfId="0" applyNumberFormat="1" applyFont="1" applyFill="1" applyBorder="1" applyAlignment="1">
      <alignment horizontal="left" vertical="center" wrapText="1"/>
    </xf>
    <xf numFmtId="1" fontId="55" fillId="4" borderId="4" xfId="0" applyNumberFormat="1" applyFont="1" applyFill="1" applyBorder="1" applyAlignment="1">
      <alignment horizontal="left" vertical="center" wrapText="1"/>
    </xf>
    <xf numFmtId="173" fontId="30" fillId="4" borderId="4" xfId="0" applyNumberFormat="1" applyFont="1" applyFill="1" applyBorder="1" applyAlignment="1">
      <alignment horizontal="left" vertical="center" wrapText="1"/>
    </xf>
    <xf numFmtId="0" fontId="30" fillId="36" borderId="4" xfId="0" applyFont="1" applyFill="1" applyBorder="1" applyAlignment="1">
      <alignment horizontal="left" vertical="center" wrapText="1"/>
    </xf>
    <xf numFmtId="1" fontId="30" fillId="36" borderId="4" xfId="0" applyNumberFormat="1" applyFont="1" applyFill="1" applyBorder="1" applyAlignment="1">
      <alignment horizontal="left" vertical="center" wrapText="1"/>
    </xf>
    <xf numFmtId="165" fontId="30" fillId="36" borderId="4" xfId="0" applyNumberFormat="1" applyFont="1" applyFill="1" applyBorder="1" applyAlignment="1">
      <alignment horizontal="left" vertical="center" wrapText="1"/>
    </xf>
    <xf numFmtId="2" fontId="30" fillId="36" borderId="4" xfId="0" applyNumberFormat="1" applyFont="1" applyFill="1" applyBorder="1" applyAlignment="1">
      <alignment horizontal="center" vertical="center" wrapText="1"/>
    </xf>
    <xf numFmtId="10" fontId="30" fillId="36" borderId="4" xfId="0" applyNumberFormat="1" applyFont="1" applyFill="1" applyBorder="1" applyAlignment="1">
      <alignment horizontal="left" vertical="center" wrapText="1"/>
    </xf>
    <xf numFmtId="171" fontId="30" fillId="36" borderId="4" xfId="0" applyNumberFormat="1" applyFont="1" applyFill="1" applyBorder="1" applyAlignment="1">
      <alignment horizontal="left" vertical="center" wrapText="1"/>
    </xf>
    <xf numFmtId="3" fontId="30" fillId="36" borderId="4" xfId="0" applyNumberFormat="1" applyFont="1" applyFill="1" applyBorder="1" applyAlignment="1">
      <alignment horizontal="left" vertical="center" wrapText="1"/>
    </xf>
    <xf numFmtId="1" fontId="55" fillId="36" borderId="4" xfId="0" applyNumberFormat="1" applyFont="1" applyFill="1" applyBorder="1" applyAlignment="1">
      <alignment horizontal="left" vertical="center" wrapText="1"/>
    </xf>
    <xf numFmtId="10" fontId="48" fillId="4" borderId="4" xfId="1" applyNumberFormat="1" applyFont="1" applyFill="1" applyBorder="1" applyAlignment="1">
      <alignment horizontal="left" vertical="center" wrapText="1"/>
    </xf>
    <xf numFmtId="14" fontId="30" fillId="4" borderId="4" xfId="0" applyNumberFormat="1" applyFont="1" applyFill="1" applyBorder="1" applyAlignment="1">
      <alignment horizontal="left" vertical="top" wrapText="1"/>
    </xf>
    <xf numFmtId="14" fontId="30" fillId="4" borderId="4" xfId="0" applyNumberFormat="1" applyFont="1" applyFill="1" applyBorder="1" applyAlignment="1">
      <alignment horizontal="left" vertical="center" wrapText="1"/>
    </xf>
    <xf numFmtId="9" fontId="30" fillId="4" borderId="4" xfId="0" applyNumberFormat="1" applyFont="1" applyFill="1" applyBorder="1" applyAlignment="1">
      <alignment horizontal="left" vertical="center" wrapText="1"/>
    </xf>
    <xf numFmtId="0" fontId="48" fillId="4" borderId="4" xfId="1" applyFont="1" applyFill="1" applyBorder="1" applyAlignment="1">
      <alignment vertical="top" wrapText="1"/>
    </xf>
    <xf numFmtId="169" fontId="30" fillId="4" borderId="4" xfId="0" applyNumberFormat="1" applyFont="1" applyFill="1" applyBorder="1" applyAlignment="1">
      <alignment horizontal="left" vertical="center" wrapText="1"/>
    </xf>
    <xf numFmtId="0" fontId="48" fillId="4" borderId="4" xfId="1" applyFont="1" applyFill="1" applyBorder="1" applyAlignment="1">
      <alignment horizontal="justify" vertical="center"/>
    </xf>
    <xf numFmtId="165" fontId="30" fillId="4" borderId="4" xfId="0" applyNumberFormat="1" applyFont="1" applyFill="1" applyBorder="1" applyAlignment="1">
      <alignment horizontal="center" vertical="center" wrapText="1"/>
    </xf>
    <xf numFmtId="0" fontId="48" fillId="4" borderId="4" xfId="1" applyFont="1" applyFill="1" applyBorder="1" applyAlignment="1">
      <alignment horizontal="center" vertical="center" wrapText="1"/>
    </xf>
    <xf numFmtId="0" fontId="30" fillId="4" borderId="4" xfId="1" applyFont="1" applyFill="1" applyBorder="1" applyAlignment="1">
      <alignment horizontal="center" vertical="center" wrapText="1"/>
    </xf>
    <xf numFmtId="0" fontId="48" fillId="4" borderId="4" xfId="1" applyFont="1" applyFill="1" applyBorder="1" applyAlignment="1" applyProtection="1">
      <alignment horizontal="left" vertical="center" wrapText="1"/>
    </xf>
    <xf numFmtId="0" fontId="30" fillId="4" borderId="4" xfId="2" applyNumberFormat="1" applyFont="1" applyFill="1" applyBorder="1" applyAlignment="1">
      <alignment horizontal="left" vertical="center" wrapText="1"/>
    </xf>
    <xf numFmtId="0" fontId="48" fillId="4" borderId="4" xfId="1" applyFont="1" applyFill="1" applyBorder="1" applyAlignment="1">
      <alignment horizontal="left" vertical="top" wrapText="1"/>
    </xf>
    <xf numFmtId="2" fontId="30" fillId="4" borderId="4" xfId="2" applyNumberFormat="1" applyFont="1" applyFill="1" applyBorder="1" applyAlignment="1">
      <alignment horizontal="left" vertical="center" wrapText="1"/>
    </xf>
    <xf numFmtId="3" fontId="48" fillId="4" borderId="4" xfId="1" applyNumberFormat="1" applyFont="1" applyFill="1" applyBorder="1" applyAlignment="1">
      <alignment horizontal="left" vertical="center" wrapText="1"/>
    </xf>
    <xf numFmtId="0" fontId="48" fillId="4" borderId="4" xfId="7" applyFont="1" applyFill="1" applyBorder="1" applyAlignment="1">
      <alignment horizontal="center" vertical="center" wrapText="1"/>
    </xf>
    <xf numFmtId="10" fontId="48" fillId="4" borderId="4" xfId="7" applyNumberFormat="1" applyFont="1" applyFill="1" applyBorder="1" applyAlignment="1">
      <alignment horizontal="center" vertical="center" wrapText="1"/>
    </xf>
    <xf numFmtId="0" fontId="30" fillId="4" borderId="4" xfId="7" applyFont="1" applyFill="1" applyBorder="1" applyAlignment="1">
      <alignment horizontal="center" vertical="center" wrapText="1"/>
    </xf>
    <xf numFmtId="167" fontId="30" fillId="4" borderId="4" xfId="0" applyNumberFormat="1" applyFont="1" applyFill="1" applyBorder="1" applyAlignment="1">
      <alignment horizontal="center" vertical="center" wrapText="1"/>
    </xf>
    <xf numFmtId="2" fontId="48" fillId="4" borderId="4" xfId="0" applyNumberFormat="1" applyFont="1" applyFill="1" applyBorder="1" applyAlignment="1">
      <alignment horizontal="center" vertical="center" wrapText="1"/>
    </xf>
    <xf numFmtId="3" fontId="55" fillId="4" borderId="4" xfId="0" applyNumberFormat="1" applyFont="1" applyFill="1" applyBorder="1" applyAlignment="1">
      <alignment horizontal="center" vertical="center" wrapText="1"/>
    </xf>
    <xf numFmtId="10" fontId="30" fillId="4" borderId="4" xfId="1" applyNumberFormat="1" applyFont="1" applyFill="1" applyBorder="1" applyAlignment="1">
      <alignment horizontal="left" vertical="center" wrapText="1"/>
    </xf>
    <xf numFmtId="0" fontId="30" fillId="4" borderId="4" xfId="7" applyFont="1" applyFill="1" applyBorder="1" applyAlignment="1">
      <alignment horizontal="left" vertical="center" wrapText="1"/>
    </xf>
    <xf numFmtId="3" fontId="55" fillId="4" borderId="4" xfId="0" applyNumberFormat="1" applyFont="1" applyFill="1" applyBorder="1" applyAlignment="1">
      <alignment horizontal="left" vertical="center" wrapText="1"/>
    </xf>
    <xf numFmtId="10" fontId="30" fillId="4" borderId="4" xfId="7" applyNumberFormat="1" applyFont="1" applyFill="1" applyBorder="1" applyAlignment="1">
      <alignment horizontal="left" vertical="center" wrapText="1"/>
    </xf>
    <xf numFmtId="0" fontId="30" fillId="37" borderId="4" xfId="11" applyFont="1" applyFill="1" applyBorder="1" applyAlignment="1">
      <alignment horizontal="center" vertical="center" wrapText="1"/>
    </xf>
    <xf numFmtId="1" fontId="30" fillId="37" borderId="4" xfId="11" applyNumberFormat="1" applyFont="1" applyFill="1" applyBorder="1" applyAlignment="1">
      <alignment horizontal="center" vertical="center" wrapText="1"/>
    </xf>
    <xf numFmtId="176" fontId="30" fillId="37" borderId="4" xfId="11" applyNumberFormat="1" applyFont="1" applyFill="1" applyBorder="1" applyAlignment="1">
      <alignment horizontal="center" vertical="center" wrapText="1"/>
    </xf>
    <xf numFmtId="2" fontId="30" fillId="4" borderId="4" xfId="11" applyNumberFormat="1" applyFont="1" applyFill="1" applyBorder="1" applyAlignment="1">
      <alignment horizontal="center" vertical="center" wrapText="1"/>
    </xf>
    <xf numFmtId="0" fontId="30" fillId="4" borderId="4" xfId="11" applyFont="1" applyFill="1" applyBorder="1" applyAlignment="1">
      <alignment horizontal="center" vertical="center" wrapText="1"/>
    </xf>
    <xf numFmtId="164" fontId="30" fillId="4" borderId="4" xfId="11" applyNumberFormat="1" applyFont="1" applyFill="1" applyBorder="1" applyAlignment="1">
      <alignment horizontal="center" vertical="center" wrapText="1"/>
    </xf>
    <xf numFmtId="10" fontId="30" fillId="4" borderId="4" xfId="11" applyNumberFormat="1" applyFont="1" applyFill="1" applyBorder="1" applyAlignment="1">
      <alignment horizontal="center" vertical="center" wrapText="1"/>
    </xf>
    <xf numFmtId="10" fontId="30" fillId="37" borderId="4" xfId="11" applyNumberFormat="1" applyFont="1" applyFill="1" applyBorder="1" applyAlignment="1">
      <alignment horizontal="center" vertical="center" wrapText="1"/>
    </xf>
    <xf numFmtId="167" fontId="30" fillId="37" borderId="4" xfId="11" applyNumberFormat="1" applyFont="1" applyFill="1" applyBorder="1" applyAlignment="1">
      <alignment horizontal="center" vertical="center" wrapText="1"/>
    </xf>
    <xf numFmtId="164" fontId="30" fillId="37" borderId="4" xfId="11" applyNumberFormat="1" applyFont="1" applyFill="1" applyBorder="1" applyAlignment="1">
      <alignment horizontal="center" vertical="center" wrapText="1"/>
    </xf>
    <xf numFmtId="3" fontId="30" fillId="37" borderId="4" xfId="11" applyNumberFormat="1" applyFont="1" applyFill="1" applyBorder="1" applyAlignment="1">
      <alignment horizontal="center" vertical="center" wrapText="1"/>
    </xf>
    <xf numFmtId="1" fontId="55" fillId="37" borderId="4" xfId="11" applyNumberFormat="1" applyFont="1" applyFill="1" applyBorder="1" applyAlignment="1">
      <alignment horizontal="center" vertical="center" wrapText="1"/>
    </xf>
    <xf numFmtId="0" fontId="48" fillId="37" borderId="4" xfId="8" applyNumberFormat="1" applyFont="1" applyFill="1" applyBorder="1" applyAlignment="1" applyProtection="1">
      <alignment horizontal="center" vertical="center" wrapText="1"/>
    </xf>
    <xf numFmtId="0" fontId="48" fillId="4" borderId="4" xfId="1" applyFont="1" applyFill="1" applyBorder="1" applyAlignment="1" applyProtection="1">
      <alignment horizontal="center" vertical="center" wrapText="1"/>
    </xf>
    <xf numFmtId="10" fontId="48" fillId="4" borderId="4" xfId="1" applyNumberFormat="1" applyFont="1" applyFill="1" applyBorder="1" applyAlignment="1" applyProtection="1">
      <alignment horizontal="left" vertical="center" wrapText="1"/>
    </xf>
    <xf numFmtId="10" fontId="48" fillId="4" borderId="4" xfId="7" applyNumberFormat="1" applyFont="1" applyFill="1" applyBorder="1" applyAlignment="1" applyProtection="1">
      <alignment horizontal="center" vertical="center" wrapText="1"/>
    </xf>
    <xf numFmtId="10" fontId="30" fillId="4" borderId="4" xfId="2" applyNumberFormat="1" applyFont="1" applyFill="1" applyBorder="1" applyAlignment="1">
      <alignment horizontal="left" vertical="center" wrapText="1"/>
    </xf>
    <xf numFmtId="9" fontId="30" fillId="4" borderId="4" xfId="0" applyNumberFormat="1" applyFont="1" applyFill="1" applyBorder="1" applyAlignment="1">
      <alignment horizontal="center" vertical="center" wrapText="1"/>
    </xf>
    <xf numFmtId="0" fontId="48" fillId="36" borderId="4" xfId="1" applyFont="1" applyFill="1" applyBorder="1" applyAlignment="1">
      <alignment horizontal="left" vertical="center" wrapText="1"/>
    </xf>
    <xf numFmtId="170" fontId="30" fillId="36" borderId="4" xfId="0" applyNumberFormat="1" applyFont="1" applyFill="1" applyBorder="1" applyAlignment="1">
      <alignment horizontal="left" vertical="center" wrapText="1"/>
    </xf>
    <xf numFmtId="9" fontId="30" fillId="36" borderId="4" xfId="0" applyNumberFormat="1" applyFont="1" applyFill="1" applyBorder="1" applyAlignment="1">
      <alignment horizontal="left" vertical="center" wrapText="1"/>
    </xf>
    <xf numFmtId="166" fontId="30" fillId="36" borderId="4" xfId="0" applyNumberFormat="1" applyFont="1" applyFill="1" applyBorder="1" applyAlignment="1">
      <alignment horizontal="left" vertical="center" wrapText="1"/>
    </xf>
    <xf numFmtId="0" fontId="48" fillId="38" borderId="4" xfId="1" applyFont="1" applyFill="1" applyBorder="1" applyAlignment="1">
      <alignment horizontal="left" vertical="center" wrapText="1"/>
    </xf>
    <xf numFmtId="3" fontId="48" fillId="4" borderId="4" xfId="1" applyNumberFormat="1" applyFont="1" applyFill="1" applyBorder="1" applyAlignment="1" applyProtection="1">
      <alignment horizontal="left" vertical="center" wrapText="1"/>
    </xf>
    <xf numFmtId="0" fontId="48" fillId="4" borderId="4" xfId="1" applyFont="1" applyFill="1" applyBorder="1" applyAlignment="1">
      <alignment vertical="top"/>
    </xf>
    <xf numFmtId="0" fontId="48" fillId="4" borderId="4" xfId="1" applyFont="1" applyFill="1" applyBorder="1" applyAlignment="1">
      <alignment wrapText="1"/>
    </xf>
    <xf numFmtId="0" fontId="30" fillId="4" borderId="4" xfId="0" applyFont="1" applyFill="1" applyBorder="1" applyAlignment="1">
      <alignment horizontal="center" vertical="top" wrapText="1"/>
    </xf>
    <xf numFmtId="10" fontId="30" fillId="4" borderId="4" xfId="2" applyNumberFormat="1" applyFont="1" applyFill="1" applyBorder="1" applyAlignment="1">
      <alignment horizontal="center" vertical="center" wrapText="1"/>
    </xf>
    <xf numFmtId="10" fontId="48" fillId="4" borderId="4" xfId="1" applyNumberFormat="1" applyFont="1" applyFill="1" applyBorder="1" applyAlignment="1">
      <alignment horizontal="center" vertical="center" wrapText="1"/>
    </xf>
    <xf numFmtId="10" fontId="48" fillId="4" borderId="4" xfId="1" applyNumberFormat="1" applyFont="1" applyFill="1" applyBorder="1" applyAlignment="1" applyProtection="1">
      <alignment horizontal="center" vertical="center" wrapText="1"/>
    </xf>
    <xf numFmtId="164" fontId="48" fillId="37" borderId="4" xfId="1" applyNumberFormat="1" applyFont="1" applyFill="1" applyBorder="1" applyAlignment="1">
      <alignment horizontal="center" vertical="center" wrapText="1"/>
    </xf>
    <xf numFmtId="0" fontId="48" fillId="4" borderId="4" xfId="1" applyFont="1" applyFill="1" applyBorder="1" applyAlignment="1">
      <alignment vertical="center"/>
    </xf>
    <xf numFmtId="0" fontId="48" fillId="4" borderId="4" xfId="1" applyFont="1" applyFill="1" applyBorder="1" applyAlignment="1">
      <alignment vertical="center" wrapText="1"/>
    </xf>
    <xf numFmtId="0" fontId="48" fillId="4" borderId="4" xfId="1" applyFont="1" applyFill="1" applyBorder="1" applyAlignment="1" applyProtection="1">
      <alignment wrapText="1"/>
    </xf>
    <xf numFmtId="0" fontId="30" fillId="4" borderId="4" xfId="1" applyFont="1" applyFill="1" applyBorder="1" applyAlignment="1" applyProtection="1">
      <alignment horizontal="left" vertical="center" wrapText="1"/>
    </xf>
    <xf numFmtId="3" fontId="48" fillId="4" borderId="4" xfId="1" applyNumberFormat="1" applyFont="1" applyFill="1" applyBorder="1" applyAlignment="1" applyProtection="1">
      <alignment horizontal="center" vertical="center" wrapText="1"/>
    </xf>
    <xf numFmtId="3" fontId="30" fillId="4" borderId="4" xfId="0" applyNumberFormat="1" applyFont="1" applyFill="1" applyBorder="1" applyAlignment="1">
      <alignment horizontal="left" vertical="top" wrapText="1"/>
    </xf>
    <xf numFmtId="10" fontId="30" fillId="4" borderId="4" xfId="1" applyNumberFormat="1" applyFont="1" applyFill="1" applyBorder="1" applyAlignment="1">
      <alignment horizontal="center" vertical="center" wrapText="1"/>
    </xf>
    <xf numFmtId="196" fontId="30" fillId="37" borderId="4" xfId="0" applyNumberFormat="1" applyFont="1" applyFill="1" applyBorder="1" applyAlignment="1">
      <alignment horizontal="center" vertical="center" wrapText="1"/>
    </xf>
    <xf numFmtId="0" fontId="30" fillId="39" borderId="4" xfId="0" applyFont="1" applyFill="1" applyBorder="1" applyAlignment="1">
      <alignment horizontal="center" vertical="center" wrapText="1"/>
    </xf>
    <xf numFmtId="0" fontId="48" fillId="37" borderId="4" xfId="1" applyFont="1" applyFill="1" applyBorder="1" applyAlignment="1">
      <alignment horizontal="center" vertical="center" wrapText="1"/>
    </xf>
    <xf numFmtId="174" fontId="30" fillId="4" borderId="4" xfId="0" applyNumberFormat="1" applyFont="1" applyFill="1" applyBorder="1" applyAlignment="1">
      <alignment horizontal="center" vertical="center" wrapText="1"/>
    </xf>
    <xf numFmtId="0" fontId="48" fillId="4" borderId="4" xfId="0" applyFont="1" applyFill="1" applyBorder="1" applyAlignment="1">
      <alignment horizontal="left" vertical="center" wrapText="1"/>
    </xf>
    <xf numFmtId="164" fontId="67" fillId="4" borderId="4" xfId="0" applyNumberFormat="1" applyFont="1" applyFill="1" applyBorder="1" applyAlignment="1">
      <alignment horizontal="center" vertical="center" wrapText="1"/>
    </xf>
    <xf numFmtId="2" fontId="67" fillId="4" borderId="4" xfId="0" applyNumberFormat="1" applyFont="1" applyFill="1" applyBorder="1" applyAlignment="1">
      <alignment horizontal="center" vertical="center" wrapText="1"/>
    </xf>
    <xf numFmtId="0" fontId="67" fillId="4" borderId="4" xfId="0" applyFont="1" applyFill="1" applyBorder="1" applyAlignment="1">
      <alignment horizontal="center" vertical="center" wrapText="1"/>
    </xf>
    <xf numFmtId="9" fontId="38" fillId="4" borderId="4" xfId="0" applyNumberFormat="1" applyFont="1" applyFill="1" applyBorder="1" applyAlignment="1">
      <alignment horizontal="center" vertical="center" wrapText="1"/>
    </xf>
    <xf numFmtId="2" fontId="38" fillId="4" borderId="4" xfId="0" applyNumberFormat="1" applyFont="1" applyFill="1" applyBorder="1" applyAlignment="1">
      <alignment horizontal="center" vertical="center" wrapText="1"/>
    </xf>
    <xf numFmtId="10" fontId="38" fillId="4" borderId="4" xfId="0" applyNumberFormat="1" applyFont="1" applyFill="1" applyBorder="1" applyAlignment="1">
      <alignment horizontal="center" vertical="center" wrapText="1"/>
    </xf>
    <xf numFmtId="173" fontId="30" fillId="4" borderId="4" xfId="0" applyNumberFormat="1" applyFont="1" applyFill="1" applyBorder="1" applyAlignment="1">
      <alignment horizontal="center" vertical="center" wrapText="1"/>
    </xf>
    <xf numFmtId="10" fontId="48" fillId="4" borderId="4" xfId="7" applyNumberFormat="1" applyFont="1" applyFill="1" applyBorder="1" applyAlignment="1" applyProtection="1">
      <alignment horizontal="left" vertical="center" wrapText="1"/>
    </xf>
    <xf numFmtId="0" fontId="48" fillId="4" borderId="4" xfId="7" applyFont="1" applyFill="1" applyBorder="1" applyAlignment="1" applyProtection="1"/>
    <xf numFmtId="0" fontId="30" fillId="37" borderId="4" xfId="0" applyFont="1" applyFill="1" applyBorder="1" applyAlignment="1">
      <alignment horizontal="left" vertical="center" wrapText="1"/>
    </xf>
    <xf numFmtId="1" fontId="30" fillId="37" borderId="4" xfId="0" applyNumberFormat="1" applyFont="1" applyFill="1" applyBorder="1" applyAlignment="1">
      <alignment horizontal="left" vertical="center" wrapText="1"/>
    </xf>
    <xf numFmtId="196" fontId="30" fillId="37" borderId="4" xfId="0" applyNumberFormat="1" applyFont="1" applyFill="1" applyBorder="1" applyAlignment="1">
      <alignment horizontal="left" vertical="center" wrapText="1"/>
    </xf>
    <xf numFmtId="164" fontId="30" fillId="37" borderId="4" xfId="0" applyNumberFormat="1" applyFont="1" applyFill="1" applyBorder="1" applyAlignment="1">
      <alignment horizontal="left" vertical="center" wrapText="1"/>
    </xf>
    <xf numFmtId="10" fontId="30" fillId="37" borderId="4" xfId="0" applyNumberFormat="1" applyFont="1" applyFill="1" applyBorder="1" applyAlignment="1">
      <alignment horizontal="left" vertical="center" wrapText="1"/>
    </xf>
    <xf numFmtId="167" fontId="30" fillId="37" borderId="4" xfId="0" applyNumberFormat="1" applyFont="1" applyFill="1" applyBorder="1" applyAlignment="1">
      <alignment horizontal="left" vertical="center" wrapText="1"/>
    </xf>
    <xf numFmtId="3" fontId="30" fillId="37" borderId="4" xfId="0" applyNumberFormat="1" applyFont="1" applyFill="1" applyBorder="1" applyAlignment="1">
      <alignment horizontal="left" vertical="center" wrapText="1"/>
    </xf>
    <xf numFmtId="3" fontId="55" fillId="37" borderId="4" xfId="0" applyNumberFormat="1" applyFont="1" applyFill="1" applyBorder="1" applyAlignment="1">
      <alignment horizontal="left" vertical="center" wrapText="1"/>
    </xf>
    <xf numFmtId="10" fontId="48" fillId="37" borderId="4" xfId="8" applyNumberFormat="1" applyFont="1" applyFill="1" applyBorder="1" applyAlignment="1">
      <alignment horizontal="left" vertical="center" wrapText="1"/>
    </xf>
    <xf numFmtId="9" fontId="30" fillId="37" borderId="4" xfId="0" applyNumberFormat="1" applyFont="1" applyFill="1" applyBorder="1" applyAlignment="1">
      <alignment horizontal="center" vertical="center" wrapText="1"/>
    </xf>
    <xf numFmtId="10" fontId="48" fillId="37" borderId="4" xfId="1" applyNumberFormat="1" applyFont="1" applyFill="1" applyBorder="1" applyAlignment="1">
      <alignment horizontal="center" vertical="center" wrapText="1"/>
    </xf>
    <xf numFmtId="0" fontId="48" fillId="37" borderId="4" xfId="8" applyFont="1" applyFill="1" applyBorder="1" applyAlignment="1">
      <alignment horizontal="center" vertical="center" wrapText="1"/>
    </xf>
    <xf numFmtId="10" fontId="48" fillId="37" borderId="4" xfId="8" applyNumberFormat="1" applyFont="1" applyFill="1" applyBorder="1" applyAlignment="1">
      <alignment horizontal="center" vertical="center" wrapText="1"/>
    </xf>
    <xf numFmtId="176" fontId="30" fillId="4" borderId="4" xfId="0" applyNumberFormat="1" applyFont="1" applyFill="1" applyBorder="1" applyAlignment="1">
      <alignment horizontal="center" vertical="center" wrapText="1"/>
    </xf>
    <xf numFmtId="0" fontId="48" fillId="4" borderId="4" xfId="8" applyFont="1" applyFill="1" applyBorder="1" applyAlignment="1">
      <alignment horizontal="center" vertical="center" wrapText="1"/>
    </xf>
    <xf numFmtId="0" fontId="30" fillId="40" borderId="4" xfId="0" applyFont="1" applyFill="1" applyBorder="1" applyAlignment="1">
      <alignment horizontal="center" vertical="center" wrapText="1"/>
    </xf>
    <xf numFmtId="10" fontId="30" fillId="40" borderId="4" xfId="0" applyNumberFormat="1" applyFont="1" applyFill="1" applyBorder="1" applyAlignment="1">
      <alignment horizontal="center" vertical="center" wrapText="1"/>
    </xf>
    <xf numFmtId="167" fontId="30" fillId="40" borderId="4" xfId="0" applyNumberFormat="1" applyFont="1" applyFill="1" applyBorder="1" applyAlignment="1">
      <alignment horizontal="center" vertical="center" wrapText="1"/>
    </xf>
    <xf numFmtId="164" fontId="30" fillId="40" borderId="4" xfId="0" applyNumberFormat="1" applyFont="1" applyFill="1" applyBorder="1" applyAlignment="1">
      <alignment horizontal="center" vertical="center" wrapText="1"/>
    </xf>
    <xf numFmtId="3" fontId="30" fillId="40" borderId="4" xfId="0" applyNumberFormat="1" applyFont="1" applyFill="1" applyBorder="1" applyAlignment="1">
      <alignment horizontal="center" vertical="center" wrapText="1"/>
    </xf>
    <xf numFmtId="1" fontId="55" fillId="40" borderId="4" xfId="0" applyNumberFormat="1" applyFont="1" applyFill="1" applyBorder="1" applyAlignment="1">
      <alignment horizontal="center" vertical="center" wrapText="1"/>
    </xf>
    <xf numFmtId="0" fontId="48" fillId="4" borderId="4" xfId="12" applyFont="1" applyFill="1" applyBorder="1" applyAlignment="1" applyProtection="1">
      <alignment horizontal="center" vertical="center" wrapText="1"/>
    </xf>
    <xf numFmtId="1" fontId="30" fillId="41" borderId="4" xfId="0" applyNumberFormat="1" applyFont="1" applyFill="1" applyBorder="1" applyAlignment="1">
      <alignment horizontal="center" vertical="center" wrapText="1"/>
    </xf>
    <xf numFmtId="165" fontId="30" fillId="41" borderId="4" xfId="0" applyNumberFormat="1" applyFont="1" applyFill="1" applyBorder="1" applyAlignment="1">
      <alignment horizontal="center" vertical="center" wrapText="1"/>
    </xf>
    <xf numFmtId="0" fontId="48" fillId="41" borderId="4" xfId="0" applyFont="1" applyFill="1" applyBorder="1" applyAlignment="1">
      <alignment horizontal="center" vertical="center" wrapText="1"/>
    </xf>
    <xf numFmtId="10" fontId="30" fillId="41" borderId="4" xfId="0" applyNumberFormat="1" applyFont="1" applyFill="1" applyBorder="1" applyAlignment="1">
      <alignment horizontal="center" vertical="center" wrapText="1"/>
    </xf>
    <xf numFmtId="167" fontId="30" fillId="41" borderId="4" xfId="0" applyNumberFormat="1" applyFont="1" applyFill="1" applyBorder="1" applyAlignment="1">
      <alignment horizontal="center" vertical="center" wrapText="1"/>
    </xf>
    <xf numFmtId="164" fontId="30" fillId="41" borderId="4" xfId="0" applyNumberFormat="1" applyFont="1" applyFill="1" applyBorder="1" applyAlignment="1">
      <alignment horizontal="center" vertical="center" wrapText="1"/>
    </xf>
    <xf numFmtId="3" fontId="30" fillId="41" borderId="4" xfId="0" applyNumberFormat="1" applyFont="1" applyFill="1" applyBorder="1" applyAlignment="1">
      <alignment horizontal="center" vertical="center" wrapText="1"/>
    </xf>
    <xf numFmtId="1" fontId="55" fillId="41" borderId="4" xfId="0" applyNumberFormat="1" applyFont="1" applyFill="1" applyBorder="1" applyAlignment="1">
      <alignment horizontal="center" vertical="center" wrapText="1"/>
    </xf>
    <xf numFmtId="1" fontId="30" fillId="4" borderId="4" xfId="11" applyNumberFormat="1" applyFont="1" applyFill="1" applyBorder="1" applyAlignment="1">
      <alignment horizontal="center" vertical="center" wrapText="1"/>
    </xf>
    <xf numFmtId="165" fontId="30" fillId="4" borderId="4" xfId="11" applyNumberFormat="1" applyFont="1" applyFill="1" applyBorder="1" applyAlignment="1">
      <alignment horizontal="center" vertical="center" wrapText="1"/>
    </xf>
    <xf numFmtId="0" fontId="48" fillId="4" borderId="4" xfId="8" applyFont="1" applyFill="1" applyBorder="1" applyAlignment="1" applyProtection="1">
      <alignment horizontal="center" vertical="center" wrapText="1"/>
    </xf>
    <xf numFmtId="3" fontId="30" fillId="4" borderId="4" xfId="11" applyNumberFormat="1" applyFont="1" applyFill="1" applyBorder="1" applyAlignment="1">
      <alignment horizontal="center" vertical="center" wrapText="1"/>
    </xf>
    <xf numFmtId="0" fontId="30" fillId="42" borderId="4" xfId="0" applyFont="1" applyFill="1" applyBorder="1" applyAlignment="1">
      <alignment horizontal="center" vertical="center" wrapText="1"/>
    </xf>
    <xf numFmtId="1" fontId="30" fillId="42" borderId="4" xfId="0" applyNumberFormat="1" applyFont="1" applyFill="1" applyBorder="1" applyAlignment="1">
      <alignment horizontal="center" vertical="center" wrapText="1"/>
    </xf>
    <xf numFmtId="10" fontId="30" fillId="42" borderId="4" xfId="0" applyNumberFormat="1" applyFont="1" applyFill="1" applyBorder="1" applyAlignment="1">
      <alignment horizontal="center" vertical="center" wrapText="1"/>
    </xf>
    <xf numFmtId="3" fontId="48" fillId="4" borderId="4" xfId="1" applyNumberFormat="1" applyFont="1" applyFill="1" applyBorder="1" applyAlignment="1">
      <alignment horizontal="center" vertical="center" wrapText="1"/>
    </xf>
    <xf numFmtId="9" fontId="30" fillId="4" borderId="4" xfId="2" applyFont="1" applyFill="1" applyBorder="1" applyAlignment="1">
      <alignment horizontal="left" vertical="center" wrapText="1"/>
    </xf>
    <xf numFmtId="0" fontId="48" fillId="4" borderId="4" xfId="7" applyFont="1" applyFill="1" applyBorder="1" applyAlignment="1">
      <alignment horizontal="left" vertical="center" wrapText="1"/>
    </xf>
    <xf numFmtId="0" fontId="48" fillId="43" borderId="4" xfId="1" applyFont="1" applyFill="1" applyBorder="1" applyAlignment="1">
      <alignment horizontal="left" vertical="center" wrapText="1"/>
    </xf>
    <xf numFmtId="1" fontId="30" fillId="44" borderId="4" xfId="0" applyNumberFormat="1" applyFont="1" applyFill="1" applyBorder="1" applyAlignment="1">
      <alignment horizontal="left" vertical="center" wrapText="1"/>
    </xf>
    <xf numFmtId="176" fontId="30" fillId="44" borderId="4" xfId="0" applyNumberFormat="1" applyFont="1" applyFill="1" applyBorder="1" applyAlignment="1">
      <alignment horizontal="left" vertical="center" wrapText="1"/>
    </xf>
    <xf numFmtId="2" fontId="30" fillId="44" borderId="4" xfId="0" applyNumberFormat="1" applyFont="1" applyFill="1" applyBorder="1" applyAlignment="1">
      <alignment horizontal="center" vertical="center" wrapText="1"/>
    </xf>
    <xf numFmtId="10" fontId="30" fillId="44" borderId="4" xfId="0" applyNumberFormat="1" applyFont="1" applyFill="1" applyBorder="1" applyAlignment="1">
      <alignment horizontal="left" vertical="center" wrapText="1"/>
    </xf>
    <xf numFmtId="173" fontId="30" fillId="44" borderId="4" xfId="0" applyNumberFormat="1" applyFont="1" applyFill="1" applyBorder="1" applyAlignment="1">
      <alignment horizontal="left" vertical="center" wrapText="1"/>
    </xf>
    <xf numFmtId="171" fontId="30" fillId="44" borderId="4" xfId="0" applyNumberFormat="1" applyFont="1" applyFill="1" applyBorder="1" applyAlignment="1">
      <alignment horizontal="left" vertical="center" wrapText="1"/>
    </xf>
    <xf numFmtId="3" fontId="30" fillId="44" borderId="4" xfId="0" applyNumberFormat="1" applyFont="1" applyFill="1" applyBorder="1" applyAlignment="1">
      <alignment horizontal="left" vertical="center" wrapText="1"/>
    </xf>
    <xf numFmtId="1" fontId="55" fillId="44" borderId="4" xfId="0" applyNumberFormat="1" applyFont="1" applyFill="1" applyBorder="1" applyAlignment="1">
      <alignment horizontal="left" vertical="center" wrapText="1"/>
    </xf>
    <xf numFmtId="166" fontId="30" fillId="44" borderId="4" xfId="0" applyNumberFormat="1" applyFont="1" applyFill="1" applyBorder="1" applyAlignment="1">
      <alignment horizontal="left" vertical="center" wrapText="1"/>
    </xf>
    <xf numFmtId="49" fontId="30" fillId="44" borderId="4" xfId="0" applyNumberFormat="1" applyFont="1" applyFill="1" applyBorder="1" applyAlignment="1">
      <alignment horizontal="left" vertical="center" wrapText="1"/>
    </xf>
    <xf numFmtId="3" fontId="48" fillId="4" borderId="4" xfId="7" applyNumberFormat="1" applyFont="1" applyFill="1" applyBorder="1" applyAlignment="1">
      <alignment horizontal="center" vertical="center" wrapText="1"/>
    </xf>
    <xf numFmtId="9" fontId="30" fillId="4" borderId="4" xfId="2" applyFont="1" applyFill="1" applyBorder="1" applyAlignment="1">
      <alignment horizontal="center" vertical="center" wrapText="1"/>
    </xf>
    <xf numFmtId="0" fontId="48" fillId="4" borderId="4" xfId="1" applyFont="1" applyFill="1" applyBorder="1" applyAlignment="1">
      <alignment horizontal="left" wrapText="1"/>
    </xf>
    <xf numFmtId="2" fontId="30" fillId="36" borderId="4" xfId="0" applyNumberFormat="1" applyFont="1" applyFill="1" applyBorder="1" applyAlignment="1">
      <alignment horizontal="left" vertical="center" wrapText="1"/>
    </xf>
    <xf numFmtId="10" fontId="48" fillId="36" borderId="4" xfId="1" applyNumberFormat="1" applyFont="1" applyFill="1" applyBorder="1" applyAlignment="1">
      <alignment horizontal="left" vertical="center" wrapText="1"/>
    </xf>
    <xf numFmtId="3" fontId="30" fillId="4" borderId="4" xfId="1" applyNumberFormat="1" applyFont="1" applyFill="1" applyBorder="1" applyAlignment="1">
      <alignment horizontal="left" vertical="center" wrapText="1"/>
    </xf>
    <xf numFmtId="0" fontId="30" fillId="38" borderId="4" xfId="0" applyFont="1" applyFill="1" applyBorder="1" applyAlignment="1">
      <alignment vertical="center" wrapText="1"/>
    </xf>
    <xf numFmtId="0" fontId="30" fillId="38" borderId="4" xfId="0" applyFont="1" applyFill="1" applyBorder="1" applyAlignment="1">
      <alignment horizontal="left" vertical="center" wrapText="1"/>
    </xf>
    <xf numFmtId="1" fontId="30" fillId="38" borderId="4" xfId="0" applyNumberFormat="1" applyFont="1" applyFill="1" applyBorder="1" applyAlignment="1">
      <alignment horizontal="left" vertical="center" wrapText="1"/>
    </xf>
    <xf numFmtId="165" fontId="30" fillId="38" borderId="4" xfId="0" applyNumberFormat="1" applyFont="1" applyFill="1" applyBorder="1" applyAlignment="1">
      <alignment horizontal="left" vertical="center" wrapText="1"/>
    </xf>
    <xf numFmtId="0" fontId="30" fillId="38" borderId="4" xfId="0" applyFont="1" applyFill="1" applyBorder="1" applyAlignment="1">
      <alignment horizontal="left" vertical="top" wrapText="1"/>
    </xf>
    <xf numFmtId="2" fontId="30" fillId="38" borderId="4" xfId="0" applyNumberFormat="1" applyFont="1" applyFill="1" applyBorder="1" applyAlignment="1">
      <alignment horizontal="center" vertical="center" wrapText="1"/>
    </xf>
    <xf numFmtId="10" fontId="30" fillId="38" borderId="4" xfId="0" applyNumberFormat="1" applyFont="1" applyFill="1" applyBorder="1" applyAlignment="1">
      <alignment horizontal="left" vertical="center" wrapText="1"/>
    </xf>
    <xf numFmtId="167" fontId="30" fillId="38" borderId="4" xfId="0" applyNumberFormat="1" applyFont="1" applyFill="1" applyBorder="1" applyAlignment="1">
      <alignment horizontal="left" vertical="center" wrapText="1"/>
    </xf>
    <xf numFmtId="3" fontId="30" fillId="38" borderId="4" xfId="0" applyNumberFormat="1" applyFont="1" applyFill="1" applyBorder="1" applyAlignment="1">
      <alignment horizontal="left" vertical="center" wrapText="1"/>
    </xf>
    <xf numFmtId="1" fontId="55" fillId="38" borderId="4" xfId="0" applyNumberFormat="1" applyFont="1" applyFill="1" applyBorder="1" applyAlignment="1">
      <alignment horizontal="left" vertical="center" wrapText="1"/>
    </xf>
    <xf numFmtId="10" fontId="48" fillId="38" borderId="4" xfId="1" applyNumberFormat="1" applyFont="1" applyFill="1" applyBorder="1" applyAlignment="1">
      <alignment horizontal="left" vertical="center" wrapText="1"/>
    </xf>
    <xf numFmtId="0" fontId="30" fillId="38" borderId="4" xfId="1" applyFont="1" applyFill="1" applyBorder="1" applyAlignment="1">
      <alignment horizontal="left" vertical="center" wrapText="1"/>
    </xf>
    <xf numFmtId="166" fontId="30" fillId="38" borderId="4" xfId="0" applyNumberFormat="1" applyFont="1" applyFill="1" applyBorder="1" applyAlignment="1">
      <alignment horizontal="left" vertical="center" wrapText="1"/>
    </xf>
    <xf numFmtId="0" fontId="30" fillId="45" borderId="4" xfId="0" applyFont="1" applyFill="1" applyBorder="1" applyAlignment="1">
      <alignment horizontal="center" vertical="center" wrapText="1"/>
    </xf>
    <xf numFmtId="1" fontId="30" fillId="45" borderId="4" xfId="0" applyNumberFormat="1" applyFont="1" applyFill="1" applyBorder="1" applyAlignment="1">
      <alignment horizontal="center" vertical="center" wrapText="1"/>
    </xf>
    <xf numFmtId="195" fontId="30" fillId="45" borderId="4" xfId="0" applyNumberFormat="1" applyFont="1" applyFill="1" applyBorder="1" applyAlignment="1">
      <alignment horizontal="center" vertical="center" wrapText="1"/>
    </xf>
    <xf numFmtId="10" fontId="30" fillId="45" borderId="4" xfId="0" applyNumberFormat="1" applyFont="1" applyFill="1" applyBorder="1" applyAlignment="1">
      <alignment horizontal="center" vertical="center" wrapText="1"/>
    </xf>
    <xf numFmtId="164" fontId="30" fillId="45" borderId="4" xfId="0" applyNumberFormat="1" applyFont="1" applyFill="1" applyBorder="1" applyAlignment="1">
      <alignment horizontal="center" vertical="center" wrapText="1"/>
    </xf>
    <xf numFmtId="3" fontId="30" fillId="45" borderId="4" xfId="0" applyNumberFormat="1" applyFont="1" applyFill="1" applyBorder="1" applyAlignment="1">
      <alignment horizontal="center" vertical="center" wrapText="1"/>
    </xf>
    <xf numFmtId="1" fontId="55" fillId="45" borderId="4" xfId="0" applyNumberFormat="1" applyFont="1" applyFill="1" applyBorder="1" applyAlignment="1">
      <alignment horizontal="center" vertical="center" wrapText="1"/>
    </xf>
    <xf numFmtId="0" fontId="30" fillId="4" borderId="4" xfId="0" applyFont="1" applyFill="1" applyBorder="1" applyAlignment="1">
      <alignment horizontal="justify" vertical="center" wrapText="1"/>
    </xf>
    <xf numFmtId="0" fontId="48" fillId="4" borderId="4" xfId="1" applyFont="1" applyFill="1" applyBorder="1" applyAlignment="1" applyProtection="1">
      <alignment vertical="top" wrapText="1"/>
    </xf>
    <xf numFmtId="0" fontId="48" fillId="4" borderId="4" xfId="1" applyFont="1" applyFill="1" applyBorder="1" applyAlignment="1" applyProtection="1">
      <alignment vertical="center"/>
    </xf>
    <xf numFmtId="0" fontId="48" fillId="4" borderId="4" xfId="4" applyFont="1" applyFill="1" applyBorder="1" applyAlignment="1">
      <alignment horizontal="left" vertical="center" wrapText="1"/>
    </xf>
    <xf numFmtId="10" fontId="48" fillId="4" borderId="4" xfId="4" applyNumberFormat="1" applyFont="1" applyFill="1" applyBorder="1" applyAlignment="1">
      <alignment horizontal="left" vertical="center" wrapText="1"/>
    </xf>
    <xf numFmtId="170" fontId="30" fillId="4" borderId="4" xfId="0" applyNumberFormat="1" applyFont="1" applyFill="1" applyBorder="1" applyAlignment="1">
      <alignment horizontal="left" vertical="center" wrapText="1"/>
    </xf>
    <xf numFmtId="171" fontId="30" fillId="4" borderId="4" xfId="0" applyNumberFormat="1" applyFont="1" applyFill="1" applyBorder="1" applyAlignment="1">
      <alignment horizontal="left" vertical="center" wrapText="1"/>
    </xf>
    <xf numFmtId="9" fontId="30" fillId="4" borderId="4" xfId="0" applyNumberFormat="1" applyFont="1" applyFill="1" applyBorder="1" applyAlignment="1">
      <alignment horizontal="left" vertical="top" wrapText="1"/>
    </xf>
    <xf numFmtId="10" fontId="48" fillId="4" borderId="4" xfId="8" applyNumberFormat="1" applyFont="1" applyFill="1" applyBorder="1" applyAlignment="1" applyProtection="1">
      <alignment horizontal="center" vertical="center" wrapText="1"/>
    </xf>
    <xf numFmtId="0" fontId="30" fillId="11" borderId="4" xfId="0" applyFont="1" applyFill="1" applyBorder="1" applyAlignment="1">
      <alignment horizontal="left" vertical="center" wrapText="1"/>
    </xf>
    <xf numFmtId="1" fontId="30" fillId="11" borderId="4" xfId="0" applyNumberFormat="1" applyFont="1" applyFill="1" applyBorder="1" applyAlignment="1">
      <alignment horizontal="left" vertical="center" wrapText="1"/>
    </xf>
    <xf numFmtId="165" fontId="30" fillId="11" borderId="4" xfId="0" applyNumberFormat="1" applyFont="1" applyFill="1" applyBorder="1" applyAlignment="1">
      <alignment horizontal="left" vertical="center" wrapText="1"/>
    </xf>
    <xf numFmtId="0" fontId="48" fillId="11" borderId="4" xfId="0" applyFont="1" applyFill="1" applyBorder="1" applyAlignment="1">
      <alignment horizontal="left" vertical="center" wrapText="1"/>
    </xf>
    <xf numFmtId="2" fontId="30" fillId="11" borderId="4" xfId="0" applyNumberFormat="1" applyFont="1" applyFill="1" applyBorder="1" applyAlignment="1">
      <alignment horizontal="center" vertical="center" wrapText="1"/>
    </xf>
    <xf numFmtId="10" fontId="30" fillId="11" borderId="4" xfId="0" applyNumberFormat="1" applyFont="1" applyFill="1" applyBorder="1" applyAlignment="1">
      <alignment horizontal="left" vertical="center" wrapText="1"/>
    </xf>
    <xf numFmtId="1" fontId="55" fillId="11" borderId="4" xfId="0" applyNumberFormat="1" applyFont="1" applyFill="1" applyBorder="1" applyAlignment="1">
      <alignment horizontal="left" vertical="center" wrapText="1"/>
    </xf>
    <xf numFmtId="9" fontId="30" fillId="11" borderId="4" xfId="0" applyNumberFormat="1" applyFont="1" applyFill="1" applyBorder="1" applyAlignment="1">
      <alignment horizontal="left" vertical="center" wrapText="1"/>
    </xf>
    <xf numFmtId="166" fontId="30" fillId="11" borderId="4" xfId="0" applyNumberFormat="1" applyFont="1" applyFill="1" applyBorder="1" applyAlignment="1">
      <alignment horizontal="left" vertical="center" wrapText="1"/>
    </xf>
    <xf numFmtId="10" fontId="48" fillId="41" borderId="4" xfId="0" applyNumberFormat="1" applyFont="1" applyFill="1" applyBorder="1" applyAlignment="1">
      <alignment horizontal="center" vertical="center" wrapText="1"/>
    </xf>
    <xf numFmtId="3" fontId="48" fillId="41" borderId="4" xfId="0" applyNumberFormat="1" applyFont="1" applyFill="1" applyBorder="1" applyAlignment="1">
      <alignment horizontal="center" vertical="center" wrapText="1"/>
    </xf>
    <xf numFmtId="10" fontId="48" fillId="4" borderId="4" xfId="8" applyNumberFormat="1" applyFont="1" applyFill="1" applyBorder="1" applyAlignment="1">
      <alignment horizontal="center" vertical="center" wrapText="1"/>
    </xf>
    <xf numFmtId="0" fontId="48" fillId="41" borderId="4" xfId="1" applyFont="1" applyFill="1" applyBorder="1" applyAlignment="1">
      <alignment horizontal="center" vertical="center" wrapText="1"/>
    </xf>
    <xf numFmtId="14" fontId="30" fillId="41" borderId="4" xfId="0" applyNumberFormat="1" applyFont="1" applyFill="1" applyBorder="1" applyAlignment="1">
      <alignment horizontal="center" vertical="center" wrapText="1"/>
    </xf>
    <xf numFmtId="4" fontId="30" fillId="41" borderId="4" xfId="0" applyNumberFormat="1" applyFont="1" applyFill="1" applyBorder="1" applyAlignment="1">
      <alignment horizontal="center" vertical="center" wrapText="1"/>
    </xf>
    <xf numFmtId="0" fontId="30" fillId="36" borderId="4" xfId="0" applyFont="1" applyFill="1" applyBorder="1" applyAlignment="1">
      <alignment horizontal="center" vertical="center" wrapText="1"/>
    </xf>
    <xf numFmtId="0" fontId="30" fillId="41" borderId="4" xfId="0" applyFont="1" applyFill="1" applyBorder="1" applyAlignment="1">
      <alignment horizontal="center" vertical="center" wrapText="1" shrinkToFit="1"/>
    </xf>
    <xf numFmtId="169" fontId="30" fillId="4" borderId="4" xfId="0" applyNumberFormat="1" applyFont="1" applyFill="1" applyBorder="1" applyAlignment="1">
      <alignment horizontal="center" vertical="center" wrapText="1"/>
    </xf>
    <xf numFmtId="177" fontId="30" fillId="4" borderId="4" xfId="0" applyNumberFormat="1" applyFont="1" applyFill="1" applyBorder="1" applyAlignment="1">
      <alignment horizontal="center" vertical="center" wrapText="1"/>
    </xf>
    <xf numFmtId="180" fontId="30" fillId="41" borderId="4" xfId="0" applyNumberFormat="1" applyFont="1" applyFill="1" applyBorder="1" applyAlignment="1">
      <alignment horizontal="center" vertical="center" wrapText="1"/>
    </xf>
    <xf numFmtId="0" fontId="48" fillId="4" borderId="4" xfId="0" applyFont="1" applyFill="1" applyBorder="1" applyAlignment="1">
      <alignment horizontal="center" vertical="center" wrapText="1"/>
    </xf>
    <xf numFmtId="186" fontId="30" fillId="4" borderId="4" xfId="0" applyNumberFormat="1" applyFont="1" applyFill="1" applyBorder="1" applyAlignment="1">
      <alignment horizontal="center" vertical="center" wrapText="1"/>
    </xf>
    <xf numFmtId="186" fontId="30" fillId="4" borderId="4" xfId="0" applyNumberFormat="1" applyFont="1" applyFill="1" applyBorder="1" applyAlignment="1">
      <alignment horizontal="left" vertical="center" wrapText="1"/>
    </xf>
    <xf numFmtId="0" fontId="48" fillId="4" borderId="4" xfId="1" applyFont="1" applyFill="1" applyBorder="1" applyAlignment="1">
      <alignment horizontal="justify" vertical="center" wrapText="1"/>
    </xf>
    <xf numFmtId="181" fontId="30" fillId="4" borderId="4" xfId="0" applyNumberFormat="1" applyFont="1" applyFill="1" applyBorder="1" applyAlignment="1">
      <alignment horizontal="center" vertical="center" wrapText="1"/>
    </xf>
    <xf numFmtId="181" fontId="30" fillId="4" borderId="4" xfId="0" applyNumberFormat="1" applyFont="1" applyFill="1" applyBorder="1" applyAlignment="1">
      <alignment horizontal="left" vertical="center" wrapText="1"/>
    </xf>
    <xf numFmtId="2" fontId="48" fillId="4" borderId="4" xfId="1" applyNumberFormat="1" applyFont="1" applyFill="1" applyBorder="1" applyAlignment="1">
      <alignment wrapText="1"/>
    </xf>
    <xf numFmtId="174" fontId="30" fillId="4" borderId="4" xfId="0" applyNumberFormat="1" applyFont="1" applyFill="1" applyBorder="1" applyAlignment="1">
      <alignment horizontal="left" vertical="center" wrapText="1"/>
    </xf>
    <xf numFmtId="171" fontId="30" fillId="4" borderId="4" xfId="0" applyNumberFormat="1" applyFont="1" applyFill="1" applyBorder="1" applyAlignment="1">
      <alignment horizontal="center" vertical="center" wrapText="1"/>
    </xf>
    <xf numFmtId="0" fontId="48" fillId="4" borderId="4" xfId="1" applyNumberFormat="1" applyFont="1" applyFill="1" applyBorder="1" applyAlignment="1">
      <alignment horizontal="center" vertical="center" wrapText="1"/>
    </xf>
    <xf numFmtId="194" fontId="30" fillId="4" borderId="4" xfId="0" applyNumberFormat="1" applyFont="1" applyFill="1" applyBorder="1" applyAlignment="1">
      <alignment horizontal="center" vertical="center" wrapText="1"/>
    </xf>
    <xf numFmtId="10" fontId="30" fillId="48" borderId="4" xfId="0" applyNumberFormat="1" applyFont="1" applyFill="1" applyBorder="1" applyAlignment="1">
      <alignment horizontal="center" vertical="center" wrapText="1"/>
    </xf>
    <xf numFmtId="1" fontId="55" fillId="48" borderId="4" xfId="0" applyNumberFormat="1" applyFont="1" applyFill="1" applyBorder="1" applyAlignment="1">
      <alignment horizontal="center" vertical="center" wrapText="1"/>
    </xf>
    <xf numFmtId="166" fontId="30" fillId="37" borderId="4" xfId="0" applyNumberFormat="1" applyFont="1" applyFill="1" applyBorder="1" applyAlignment="1">
      <alignment horizontal="center" vertical="center" wrapText="1"/>
    </xf>
    <xf numFmtId="169" fontId="30" fillId="4" borderId="4" xfId="2" applyNumberFormat="1" applyFont="1" applyFill="1" applyBorder="1" applyAlignment="1">
      <alignment horizontal="center" vertical="center" wrapText="1"/>
    </xf>
    <xf numFmtId="180" fontId="30" fillId="4" borderId="4" xfId="0" applyNumberFormat="1" applyFont="1" applyFill="1" applyBorder="1" applyAlignment="1">
      <alignment horizontal="center" vertical="center" wrapText="1"/>
    </xf>
    <xf numFmtId="191" fontId="30" fillId="4" borderId="4" xfId="0" applyNumberFormat="1" applyFont="1" applyFill="1" applyBorder="1" applyAlignment="1">
      <alignment horizontal="center" vertical="center" wrapText="1"/>
    </xf>
    <xf numFmtId="0" fontId="55" fillId="11" borderId="4" xfId="0" applyFont="1" applyFill="1" applyBorder="1" applyAlignment="1">
      <alignment horizontal="left" vertical="center" wrapText="1"/>
    </xf>
    <xf numFmtId="10" fontId="48" fillId="11" borderId="4" xfId="1" applyNumberFormat="1" applyFont="1" applyFill="1" applyBorder="1" applyAlignment="1">
      <alignment horizontal="left" vertical="center" wrapText="1"/>
    </xf>
    <xf numFmtId="171" fontId="30" fillId="11" borderId="4" xfId="0" applyNumberFormat="1" applyFont="1" applyFill="1" applyBorder="1" applyAlignment="1">
      <alignment horizontal="left" vertical="center" wrapText="1"/>
    </xf>
    <xf numFmtId="0" fontId="48" fillId="11" borderId="4" xfId="1" applyFont="1" applyFill="1" applyBorder="1" applyAlignment="1">
      <alignment horizontal="left" vertical="center" wrapText="1"/>
    </xf>
    <xf numFmtId="0" fontId="30" fillId="43" borderId="4" xfId="0" applyFont="1" applyFill="1" applyBorder="1" applyAlignment="1">
      <alignment horizontal="left" vertical="top" wrapText="1"/>
    </xf>
    <xf numFmtId="0" fontId="55" fillId="43" borderId="4" xfId="0" applyFont="1" applyFill="1" applyBorder="1" applyAlignment="1">
      <alignment horizontal="left" vertical="top" wrapText="1"/>
    </xf>
    <xf numFmtId="1" fontId="30" fillId="43" borderId="4" xfId="0" applyNumberFormat="1" applyFont="1" applyFill="1" applyBorder="1" applyAlignment="1">
      <alignment horizontal="left" vertical="top" wrapText="1"/>
    </xf>
    <xf numFmtId="175" fontId="30" fillId="43" borderId="4" xfId="0" applyNumberFormat="1" applyFont="1" applyFill="1" applyBorder="1" applyAlignment="1">
      <alignment horizontal="left" vertical="top" wrapText="1"/>
    </xf>
    <xf numFmtId="180" fontId="30" fillId="4" borderId="4" xfId="0" applyNumberFormat="1" applyFont="1" applyFill="1" applyBorder="1" applyAlignment="1">
      <alignment horizontal="left" vertical="center" wrapText="1"/>
    </xf>
    <xf numFmtId="3" fontId="55" fillId="43" borderId="4" xfId="0" applyNumberFormat="1" applyFont="1" applyFill="1" applyBorder="1" applyAlignment="1">
      <alignment horizontal="left" vertical="top" wrapText="1"/>
    </xf>
    <xf numFmtId="3" fontId="30" fillId="43" borderId="4" xfId="0" applyNumberFormat="1" applyFont="1" applyFill="1" applyBorder="1" applyAlignment="1">
      <alignment horizontal="left" vertical="top" wrapText="1"/>
    </xf>
    <xf numFmtId="167" fontId="30" fillId="43" borderId="4" xfId="0" applyNumberFormat="1" applyFont="1" applyFill="1" applyBorder="1" applyAlignment="1">
      <alignment horizontal="left" vertical="top" wrapText="1"/>
    </xf>
    <xf numFmtId="10" fontId="48" fillId="11" borderId="4" xfId="1" applyNumberFormat="1" applyFont="1" applyFill="1" applyBorder="1"/>
    <xf numFmtId="0" fontId="48" fillId="43" borderId="4" xfId="1" applyFont="1" applyFill="1" applyBorder="1" applyAlignment="1">
      <alignment horizontal="left" vertical="top" wrapText="1"/>
    </xf>
    <xf numFmtId="0" fontId="48" fillId="43" borderId="4" xfId="0" applyFont="1" applyFill="1" applyBorder="1" applyAlignment="1">
      <alignment horizontal="left" vertical="top" wrapText="1"/>
    </xf>
    <xf numFmtId="0" fontId="48" fillId="11" borderId="4" xfId="1" applyFont="1" applyFill="1" applyBorder="1"/>
    <xf numFmtId="167" fontId="30" fillId="11" borderId="4" xfId="0" applyNumberFormat="1" applyFont="1" applyFill="1" applyBorder="1" applyAlignment="1">
      <alignment horizontal="left" vertical="center" wrapText="1"/>
    </xf>
    <xf numFmtId="0" fontId="30" fillId="10" borderId="4" xfId="0" applyFont="1" applyFill="1" applyBorder="1" applyAlignment="1">
      <alignment horizontal="left" vertical="center" wrapText="1"/>
    </xf>
    <xf numFmtId="1" fontId="30" fillId="10" borderId="4" xfId="0" applyNumberFormat="1" applyFont="1" applyFill="1" applyBorder="1" applyAlignment="1">
      <alignment horizontal="left" vertical="center" wrapText="1"/>
    </xf>
    <xf numFmtId="165" fontId="30" fillId="10" borderId="4" xfId="0" applyNumberFormat="1" applyFont="1" applyFill="1" applyBorder="1" applyAlignment="1">
      <alignment horizontal="left" vertical="center" wrapText="1"/>
    </xf>
    <xf numFmtId="0" fontId="48" fillId="10" borderId="4" xfId="0" applyFont="1" applyFill="1" applyBorder="1" applyAlignment="1">
      <alignment horizontal="left" vertical="center" wrapText="1"/>
    </xf>
    <xf numFmtId="2" fontId="30" fillId="10" borderId="4" xfId="0" applyNumberFormat="1" applyFont="1" applyFill="1" applyBorder="1" applyAlignment="1">
      <alignment horizontal="center" vertical="center" wrapText="1"/>
    </xf>
    <xf numFmtId="10" fontId="30" fillId="10" borderId="4" xfId="0" applyNumberFormat="1" applyFont="1" applyFill="1" applyBorder="1" applyAlignment="1">
      <alignment horizontal="left" vertical="center" wrapText="1"/>
    </xf>
    <xf numFmtId="167" fontId="30" fillId="10" borderId="4" xfId="0" applyNumberFormat="1" applyFont="1" applyFill="1" applyBorder="1" applyAlignment="1">
      <alignment horizontal="left" vertical="center" wrapText="1"/>
    </xf>
    <xf numFmtId="3" fontId="30" fillId="10" borderId="4" xfId="0" applyNumberFormat="1" applyFont="1" applyFill="1" applyBorder="1" applyAlignment="1">
      <alignment horizontal="left" vertical="center" wrapText="1"/>
    </xf>
    <xf numFmtId="1" fontId="55" fillId="10" borderId="4" xfId="0" applyNumberFormat="1" applyFont="1" applyFill="1" applyBorder="1" applyAlignment="1">
      <alignment horizontal="left" vertical="center" wrapText="1"/>
    </xf>
    <xf numFmtId="10" fontId="48" fillId="10" borderId="4" xfId="0" applyNumberFormat="1" applyFont="1" applyFill="1" applyBorder="1" applyAlignment="1">
      <alignment horizontal="left" vertical="center" wrapText="1"/>
    </xf>
    <xf numFmtId="9" fontId="30" fillId="10" borderId="4" xfId="0" applyNumberFormat="1" applyFont="1" applyFill="1" applyBorder="1" applyAlignment="1">
      <alignment horizontal="left" vertical="center" wrapText="1"/>
    </xf>
    <xf numFmtId="166" fontId="30" fillId="10" borderId="4" xfId="0" applyNumberFormat="1" applyFont="1" applyFill="1" applyBorder="1" applyAlignment="1">
      <alignment horizontal="left" vertical="center" wrapText="1"/>
    </xf>
    <xf numFmtId="49" fontId="30" fillId="10" borderId="4" xfId="0" applyNumberFormat="1" applyFont="1" applyFill="1" applyBorder="1" applyAlignment="1">
      <alignment horizontal="left" vertical="center" wrapText="1"/>
    </xf>
    <xf numFmtId="0" fontId="30" fillId="12" borderId="4" xfId="0" applyFont="1" applyFill="1" applyBorder="1" applyAlignment="1">
      <alignment horizontal="left" vertical="center" wrapText="1"/>
    </xf>
    <xf numFmtId="0" fontId="48" fillId="12" borderId="4" xfId="0" applyFont="1" applyFill="1" applyBorder="1" applyAlignment="1">
      <alignment horizontal="left" vertical="center" wrapText="1"/>
    </xf>
    <xf numFmtId="2" fontId="30" fillId="12" borderId="4" xfId="0" applyNumberFormat="1" applyFont="1" applyFill="1" applyBorder="1" applyAlignment="1">
      <alignment horizontal="center" vertical="center" wrapText="1"/>
    </xf>
    <xf numFmtId="10" fontId="30" fillId="12" borderId="4" xfId="0" applyNumberFormat="1" applyFont="1" applyFill="1" applyBorder="1" applyAlignment="1">
      <alignment horizontal="left" vertical="center" wrapText="1"/>
    </xf>
    <xf numFmtId="3" fontId="30" fillId="12" borderId="4" xfId="0" applyNumberFormat="1" applyFont="1" applyFill="1" applyBorder="1" applyAlignment="1">
      <alignment horizontal="left" vertical="center" wrapText="1"/>
    </xf>
    <xf numFmtId="1" fontId="55" fillId="12" borderId="4" xfId="0" applyNumberFormat="1" applyFont="1" applyFill="1" applyBorder="1" applyAlignment="1">
      <alignment horizontal="left" vertical="center" wrapText="1"/>
    </xf>
    <xf numFmtId="166" fontId="30" fillId="12" borderId="4" xfId="0" applyNumberFormat="1" applyFont="1" applyFill="1" applyBorder="1" applyAlignment="1">
      <alignment horizontal="left" vertical="center" wrapText="1"/>
    </xf>
    <xf numFmtId="168" fontId="30" fillId="11" borderId="4" xfId="0" applyNumberFormat="1" applyFont="1" applyFill="1" applyBorder="1" applyAlignment="1">
      <alignment horizontal="left" vertical="center" wrapText="1"/>
    </xf>
    <xf numFmtId="0" fontId="48" fillId="4" borderId="4" xfId="1" applyFont="1" applyFill="1" applyBorder="1"/>
    <xf numFmtId="182" fontId="30" fillId="4" borderId="4" xfId="0" applyNumberFormat="1" applyFont="1" applyFill="1" applyBorder="1" applyAlignment="1">
      <alignment horizontal="left" vertical="center" wrapText="1"/>
    </xf>
    <xf numFmtId="2" fontId="30" fillId="4" borderId="4" xfId="0" applyNumberFormat="1" applyFont="1" applyFill="1" applyBorder="1" applyAlignment="1">
      <alignment horizontal="left" vertical="top" wrapText="1"/>
    </xf>
    <xf numFmtId="185" fontId="30" fillId="4" borderId="4" xfId="0" applyNumberFormat="1" applyFont="1" applyFill="1" applyBorder="1" applyAlignment="1">
      <alignment horizontal="left" vertical="center" wrapText="1"/>
    </xf>
    <xf numFmtId="0" fontId="55" fillId="47" borderId="4" xfId="0" applyFont="1" applyFill="1" applyBorder="1" applyAlignment="1">
      <alignment horizontal="center" vertical="center" wrapText="1"/>
    </xf>
    <xf numFmtId="0" fontId="30" fillId="47" borderId="4" xfId="0" applyFont="1" applyFill="1" applyBorder="1" applyAlignment="1">
      <alignment horizontal="center" vertical="center" wrapText="1"/>
    </xf>
    <xf numFmtId="1" fontId="30" fillId="47" borderId="4" xfId="0" applyNumberFormat="1" applyFont="1" applyFill="1" applyBorder="1" applyAlignment="1">
      <alignment horizontal="center" vertical="center" wrapText="1"/>
    </xf>
    <xf numFmtId="176" fontId="30" fillId="47" borderId="4" xfId="0" applyNumberFormat="1" applyFont="1" applyFill="1" applyBorder="1" applyAlignment="1">
      <alignment horizontal="center" vertical="center" wrapText="1"/>
    </xf>
    <xf numFmtId="10" fontId="30" fillId="47" borderId="4" xfId="0" applyNumberFormat="1" applyFont="1" applyFill="1" applyBorder="1" applyAlignment="1">
      <alignment horizontal="center" vertical="center" wrapText="1"/>
    </xf>
    <xf numFmtId="167" fontId="30" fillId="47" borderId="4" xfId="0" applyNumberFormat="1" applyFont="1" applyFill="1" applyBorder="1" applyAlignment="1">
      <alignment horizontal="center" vertical="center" wrapText="1"/>
    </xf>
    <xf numFmtId="3" fontId="30" fillId="47" borderId="4" xfId="0" applyNumberFormat="1" applyFont="1" applyFill="1" applyBorder="1" applyAlignment="1">
      <alignment horizontal="center" vertical="center" wrapText="1"/>
    </xf>
    <xf numFmtId="1" fontId="55" fillId="47" borderId="4" xfId="0" applyNumberFormat="1" applyFont="1" applyFill="1" applyBorder="1" applyAlignment="1">
      <alignment horizontal="center" vertical="center" wrapText="1"/>
    </xf>
    <xf numFmtId="9" fontId="30" fillId="47" borderId="4" xfId="0" applyNumberFormat="1" applyFont="1" applyFill="1" applyBorder="1" applyAlignment="1">
      <alignment horizontal="center" vertical="center" wrapText="1"/>
    </xf>
    <xf numFmtId="169" fontId="30" fillId="4" borderId="4" xfId="2" applyNumberFormat="1" applyFont="1" applyFill="1" applyBorder="1" applyAlignment="1">
      <alignment horizontal="left" vertical="center" wrapText="1"/>
    </xf>
    <xf numFmtId="164" fontId="48" fillId="4" borderId="4" xfId="1" applyNumberFormat="1" applyFont="1" applyFill="1" applyBorder="1" applyAlignment="1">
      <alignment horizontal="left" vertical="center" wrapText="1"/>
    </xf>
    <xf numFmtId="0" fontId="30" fillId="49" borderId="4" xfId="0" applyFont="1" applyFill="1" applyBorder="1" applyAlignment="1">
      <alignment horizontal="center" vertical="center" wrapText="1"/>
    </xf>
    <xf numFmtId="0" fontId="48" fillId="49" borderId="4" xfId="1" applyFont="1" applyFill="1" applyBorder="1" applyAlignment="1">
      <alignment horizontal="center" vertical="center" wrapText="1"/>
    </xf>
    <xf numFmtId="49" fontId="30" fillId="49" borderId="4" xfId="0" applyNumberFormat="1" applyFont="1" applyFill="1" applyBorder="1" applyAlignment="1">
      <alignment horizontal="center" vertical="center" wrapText="1"/>
    </xf>
    <xf numFmtId="183" fontId="30" fillId="4" borderId="4" xfId="0" applyNumberFormat="1" applyFont="1" applyFill="1" applyBorder="1" applyAlignment="1">
      <alignment horizontal="center" vertical="center" wrapText="1"/>
    </xf>
    <xf numFmtId="49" fontId="48" fillId="49" borderId="4" xfId="1" applyNumberFormat="1" applyFont="1" applyFill="1" applyBorder="1" applyAlignment="1" applyProtection="1">
      <alignment horizontal="center" vertical="center" wrapText="1"/>
    </xf>
    <xf numFmtId="165" fontId="48" fillId="4" borderId="4" xfId="1" applyNumberFormat="1" applyFont="1" applyFill="1" applyBorder="1" applyAlignment="1">
      <alignment horizontal="center" vertical="center" wrapText="1"/>
    </xf>
    <xf numFmtId="192" fontId="30" fillId="4" borderId="4" xfId="0" applyNumberFormat="1" applyFont="1" applyFill="1" applyBorder="1" applyAlignment="1">
      <alignment horizontal="center" vertical="center" wrapText="1"/>
    </xf>
    <xf numFmtId="190" fontId="30" fillId="4" borderId="4" xfId="0" applyNumberFormat="1" applyFont="1" applyFill="1" applyBorder="1" applyAlignment="1">
      <alignment horizontal="center" vertical="center" wrapText="1"/>
    </xf>
    <xf numFmtId="1" fontId="30" fillId="4" borderId="4" xfId="0" applyNumberFormat="1" applyFont="1" applyFill="1" applyBorder="1" applyAlignment="1">
      <alignment horizontal="left" vertical="top" wrapText="1"/>
    </xf>
    <xf numFmtId="176" fontId="30" fillId="4" borderId="4" xfId="0" applyNumberFormat="1" applyFont="1" applyFill="1" applyBorder="1" applyAlignment="1">
      <alignment horizontal="left" vertical="top" wrapText="1"/>
    </xf>
    <xf numFmtId="0" fontId="48" fillId="4" borderId="4" xfId="1" applyFont="1" applyFill="1" applyBorder="1" applyAlignment="1" applyProtection="1">
      <alignment horizontal="left" vertical="top" wrapText="1"/>
    </xf>
    <xf numFmtId="3" fontId="48" fillId="4" borderId="4" xfId="1" applyNumberFormat="1" applyFont="1" applyFill="1" applyBorder="1" applyAlignment="1" applyProtection="1">
      <alignment horizontal="left" vertical="top" wrapText="1"/>
    </xf>
    <xf numFmtId="10" fontId="30" fillId="4" borderId="4" xfId="0" applyNumberFormat="1" applyFont="1" applyFill="1" applyBorder="1" applyAlignment="1">
      <alignment horizontal="left" vertical="top" wrapText="1"/>
    </xf>
    <xf numFmtId="164" fontId="30" fillId="4" borderId="4" xfId="0" applyNumberFormat="1" applyFont="1" applyFill="1" applyBorder="1" applyAlignment="1">
      <alignment horizontal="center" vertical="top" wrapText="1"/>
    </xf>
    <xf numFmtId="10" fontId="48" fillId="4" borderId="4" xfId="1" applyNumberFormat="1" applyFont="1" applyFill="1" applyBorder="1" applyAlignment="1" applyProtection="1">
      <alignment horizontal="left" vertical="top" wrapText="1"/>
    </xf>
    <xf numFmtId="166" fontId="30" fillId="4" borderId="4" xfId="0" applyNumberFormat="1" applyFont="1" applyFill="1" applyBorder="1" applyAlignment="1">
      <alignment horizontal="left" vertical="top" wrapText="1"/>
    </xf>
    <xf numFmtId="165" fontId="30" fillId="4" borderId="4" xfId="0" applyNumberFormat="1" applyFont="1" applyFill="1" applyBorder="1" applyAlignment="1">
      <alignment horizontal="left" vertical="top" wrapText="1"/>
    </xf>
    <xf numFmtId="4" fontId="30" fillId="4" borderId="4" xfId="0" applyNumberFormat="1" applyFont="1" applyFill="1" applyBorder="1" applyAlignment="1">
      <alignment horizontal="center" vertical="top" wrapText="1"/>
    </xf>
    <xf numFmtId="4" fontId="30" fillId="4" borderId="4" xfId="0" applyNumberFormat="1" applyFont="1" applyFill="1" applyBorder="1" applyAlignment="1">
      <alignment horizontal="left" vertical="top" wrapText="1"/>
    </xf>
    <xf numFmtId="3" fontId="55" fillId="4" borderId="4" xfId="0" applyNumberFormat="1" applyFont="1" applyFill="1" applyBorder="1" applyAlignment="1">
      <alignment horizontal="left" vertical="top" wrapText="1"/>
    </xf>
    <xf numFmtId="0" fontId="30" fillId="4" borderId="4" xfId="1" applyFont="1" applyFill="1" applyBorder="1" applyAlignment="1" applyProtection="1">
      <alignment horizontal="left" vertical="top" wrapText="1"/>
    </xf>
    <xf numFmtId="1" fontId="55" fillId="4" borderId="4" xfId="0" applyNumberFormat="1" applyFont="1" applyFill="1" applyBorder="1" applyAlignment="1">
      <alignment horizontal="left" vertical="top" wrapText="1"/>
    </xf>
    <xf numFmtId="10" fontId="48" fillId="4" borderId="4" xfId="1" applyNumberFormat="1" applyFont="1" applyFill="1" applyBorder="1" applyAlignment="1">
      <alignment horizontal="left" vertical="top" wrapText="1"/>
    </xf>
    <xf numFmtId="2" fontId="30" fillId="4" borderId="4" xfId="0" applyNumberFormat="1" applyFont="1" applyFill="1" applyBorder="1" applyAlignment="1">
      <alignment horizontal="left" vertical="top"/>
    </xf>
    <xf numFmtId="0" fontId="30" fillId="4" borderId="4" xfId="1" applyFont="1" applyFill="1" applyBorder="1" applyAlignment="1">
      <alignment horizontal="left" vertical="top" wrapText="1"/>
    </xf>
    <xf numFmtId="0" fontId="48" fillId="44" borderId="4" xfId="1" applyFont="1" applyFill="1" applyBorder="1" applyAlignment="1">
      <alignment horizontal="left" vertical="center" wrapText="1"/>
    </xf>
    <xf numFmtId="0" fontId="30" fillId="44" borderId="4" xfId="0" applyFont="1" applyFill="1" applyBorder="1" applyAlignment="1">
      <alignment horizontal="justify" vertical="top"/>
    </xf>
    <xf numFmtId="169" fontId="30" fillId="44" borderId="4" xfId="0" applyNumberFormat="1" applyFont="1" applyFill="1" applyBorder="1" applyAlignment="1">
      <alignment horizontal="left" vertical="center" wrapText="1"/>
    </xf>
    <xf numFmtId="178" fontId="30" fillId="44" borderId="4" xfId="0" applyNumberFormat="1" applyFont="1" applyFill="1" applyBorder="1" applyAlignment="1">
      <alignment horizontal="left" vertical="center" wrapText="1"/>
    </xf>
    <xf numFmtId="177" fontId="30" fillId="44" borderId="4" xfId="0" applyNumberFormat="1" applyFont="1" applyFill="1" applyBorder="1" applyAlignment="1">
      <alignment horizontal="left" vertical="center" wrapText="1"/>
    </xf>
    <xf numFmtId="10" fontId="48" fillId="44" borderId="4" xfId="1" applyNumberFormat="1" applyFont="1" applyFill="1" applyBorder="1" applyAlignment="1">
      <alignment horizontal="left" vertical="center" wrapText="1"/>
    </xf>
    <xf numFmtId="0" fontId="30" fillId="44" borderId="4" xfId="0" applyFont="1" applyFill="1" applyBorder="1" applyAlignment="1">
      <alignment horizontal="justify" vertical="center" wrapText="1"/>
    </xf>
    <xf numFmtId="167" fontId="30" fillId="44" borderId="4" xfId="0" applyNumberFormat="1" applyFont="1" applyFill="1" applyBorder="1" applyAlignment="1">
      <alignment horizontal="left" vertical="center" wrapText="1"/>
    </xf>
    <xf numFmtId="9" fontId="30" fillId="44" borderId="4" xfId="0" applyNumberFormat="1" applyFont="1" applyFill="1" applyBorder="1" applyAlignment="1">
      <alignment horizontal="left" vertical="center" wrapText="1"/>
    </xf>
    <xf numFmtId="179" fontId="30" fillId="44" borderId="4" xfId="0" applyNumberFormat="1" applyFont="1" applyFill="1" applyBorder="1" applyAlignment="1">
      <alignment horizontal="left" vertical="center" wrapText="1"/>
    </xf>
    <xf numFmtId="0" fontId="30" fillId="44" borderId="4" xfId="4" applyFont="1" applyFill="1" applyBorder="1" applyAlignment="1" applyProtection="1">
      <alignment horizontal="left" vertical="center" wrapText="1"/>
    </xf>
    <xf numFmtId="0" fontId="48" fillId="44" borderId="4" xfId="4" applyFont="1" applyFill="1" applyBorder="1" applyAlignment="1" applyProtection="1">
      <alignment horizontal="left" vertical="center" wrapText="1"/>
    </xf>
    <xf numFmtId="49" fontId="48" fillId="4" borderId="4" xfId="1" applyNumberFormat="1" applyFont="1" applyFill="1" applyBorder="1" applyAlignment="1" applyProtection="1">
      <alignment horizontal="left" vertical="center" wrapText="1"/>
    </xf>
    <xf numFmtId="0" fontId="48" fillId="4" borderId="4" xfId="1" applyFont="1" applyFill="1" applyBorder="1" applyAlignment="1" applyProtection="1">
      <alignment vertical="center" wrapText="1"/>
    </xf>
    <xf numFmtId="167" fontId="30" fillId="36" borderId="4" xfId="0" applyNumberFormat="1" applyFont="1" applyFill="1" applyBorder="1" applyAlignment="1">
      <alignment horizontal="left" vertical="center" wrapText="1"/>
    </xf>
    <xf numFmtId="3" fontId="55" fillId="36" borderId="4" xfId="0" applyNumberFormat="1" applyFont="1" applyFill="1" applyBorder="1" applyAlignment="1">
      <alignment horizontal="left" vertical="center" wrapText="1"/>
    </xf>
    <xf numFmtId="164" fontId="48" fillId="36" borderId="4" xfId="1" applyNumberFormat="1" applyFont="1" applyFill="1" applyBorder="1" applyAlignment="1">
      <alignment horizontal="left" vertical="center" wrapText="1"/>
    </xf>
    <xf numFmtId="0" fontId="30" fillId="50" borderId="4" xfId="0" applyFont="1" applyFill="1" applyBorder="1" applyAlignment="1">
      <alignment horizontal="left" vertical="center" wrapText="1"/>
    </xf>
    <xf numFmtId="1" fontId="30" fillId="50" borderId="4" xfId="0" applyNumberFormat="1" applyFont="1" applyFill="1" applyBorder="1" applyAlignment="1">
      <alignment horizontal="left" vertical="center" wrapText="1"/>
    </xf>
    <xf numFmtId="49" fontId="30" fillId="51" borderId="4" xfId="0" applyNumberFormat="1" applyFont="1" applyFill="1" applyBorder="1" applyAlignment="1">
      <alignment horizontal="left" vertical="center" wrapText="1"/>
    </xf>
    <xf numFmtId="0" fontId="30" fillId="51" borderId="4" xfId="0" applyFont="1" applyFill="1" applyBorder="1" applyAlignment="1">
      <alignment horizontal="left" vertical="center" wrapText="1"/>
    </xf>
    <xf numFmtId="0" fontId="48" fillId="51" borderId="4" xfId="1" applyNumberFormat="1" applyFont="1" applyFill="1" applyBorder="1" applyAlignment="1" applyProtection="1">
      <alignment horizontal="left" vertical="center" wrapText="1"/>
    </xf>
    <xf numFmtId="164" fontId="30" fillId="50" borderId="4" xfId="0" applyNumberFormat="1" applyFont="1" applyFill="1" applyBorder="1" applyAlignment="1">
      <alignment horizontal="left" vertical="center" wrapText="1"/>
    </xf>
    <xf numFmtId="10" fontId="30" fillId="50" borderId="4" xfId="0" applyNumberFormat="1" applyFont="1" applyFill="1" applyBorder="1" applyAlignment="1">
      <alignment horizontal="left" vertical="center" wrapText="1"/>
    </xf>
    <xf numFmtId="167" fontId="30" fillId="50" borderId="4" xfId="0" applyNumberFormat="1" applyFont="1" applyFill="1" applyBorder="1" applyAlignment="1">
      <alignment horizontal="left" vertical="center" wrapText="1"/>
    </xf>
    <xf numFmtId="3" fontId="30" fillId="50" borderId="4" xfId="0" applyNumberFormat="1" applyFont="1" applyFill="1" applyBorder="1" applyAlignment="1">
      <alignment horizontal="left" vertical="center" wrapText="1"/>
    </xf>
    <xf numFmtId="3" fontId="55" fillId="50" borderId="4" xfId="0" applyNumberFormat="1" applyFont="1" applyFill="1" applyBorder="1" applyAlignment="1">
      <alignment horizontal="left" vertical="center" wrapText="1"/>
    </xf>
    <xf numFmtId="0" fontId="48" fillId="50" borderId="4" xfId="1" applyNumberFormat="1" applyFont="1" applyFill="1" applyBorder="1" applyAlignment="1" applyProtection="1"/>
    <xf numFmtId="0" fontId="38" fillId="51" borderId="4" xfId="0" applyFont="1" applyFill="1" applyBorder="1" applyAlignment="1">
      <alignment horizontal="left" vertical="center" wrapText="1"/>
    </xf>
    <xf numFmtId="164" fontId="48" fillId="4" borderId="4" xfId="1" applyNumberFormat="1" applyFont="1" applyFill="1" applyBorder="1" applyAlignment="1" applyProtection="1">
      <alignment horizontal="left" vertical="center" wrapText="1"/>
    </xf>
    <xf numFmtId="165" fontId="48" fillId="4" borderId="4" xfId="1" applyNumberFormat="1" applyFont="1" applyFill="1" applyBorder="1" applyAlignment="1" applyProtection="1">
      <alignment horizontal="left" vertical="center" wrapText="1"/>
    </xf>
    <xf numFmtId="0" fontId="48" fillId="4" borderId="4" xfId="1" applyFont="1" applyFill="1" applyBorder="1" applyAlignment="1" applyProtection="1"/>
    <xf numFmtId="10" fontId="48" fillId="4" borderId="4" xfId="7" applyNumberFormat="1" applyFont="1" applyFill="1" applyBorder="1" applyAlignment="1">
      <alignment horizontal="left" vertical="center" wrapText="1"/>
    </xf>
    <xf numFmtId="0" fontId="48" fillId="4" borderId="4" xfId="7" applyFont="1" applyFill="1" applyBorder="1" applyAlignment="1" applyProtection="1">
      <alignment horizontal="left" vertical="center" wrapText="1"/>
    </xf>
    <xf numFmtId="193" fontId="30" fillId="4" borderId="4" xfId="0" applyNumberFormat="1" applyFont="1" applyFill="1" applyBorder="1" applyAlignment="1">
      <alignment horizontal="center" vertical="center" wrapText="1"/>
    </xf>
    <xf numFmtId="0" fontId="30" fillId="11" borderId="4" xfId="0" applyFont="1" applyFill="1" applyBorder="1" applyAlignment="1">
      <alignment horizontal="left" vertical="top" wrapText="1"/>
    </xf>
    <xf numFmtId="1" fontId="30" fillId="11" borderId="4" xfId="0" applyNumberFormat="1" applyFont="1" applyFill="1" applyBorder="1" applyAlignment="1">
      <alignment horizontal="left" vertical="top" wrapText="1"/>
    </xf>
    <xf numFmtId="165" fontId="30" fillId="11" borderId="4" xfId="0" applyNumberFormat="1" applyFont="1" applyFill="1" applyBorder="1" applyAlignment="1">
      <alignment horizontal="left" vertical="top" wrapText="1"/>
    </xf>
    <xf numFmtId="0" fontId="48" fillId="11" borderId="4" xfId="1" applyFont="1" applyFill="1" applyBorder="1" applyAlignment="1">
      <alignment horizontal="left" vertical="top" wrapText="1"/>
    </xf>
    <xf numFmtId="10" fontId="30" fillId="11" borderId="4" xfId="0" applyNumberFormat="1" applyFont="1" applyFill="1" applyBorder="1" applyAlignment="1">
      <alignment horizontal="left" vertical="top" wrapText="1"/>
    </xf>
    <xf numFmtId="4" fontId="30" fillId="11" borderId="4" xfId="0" applyNumberFormat="1" applyFont="1" applyFill="1" applyBorder="1" applyAlignment="1">
      <alignment horizontal="left" vertical="top" wrapText="1"/>
    </xf>
    <xf numFmtId="3" fontId="30" fillId="11" borderId="4" xfId="0" applyNumberFormat="1" applyFont="1" applyFill="1" applyBorder="1" applyAlignment="1">
      <alignment horizontal="left" vertical="top" wrapText="1"/>
    </xf>
    <xf numFmtId="1" fontId="30" fillId="11" borderId="4" xfId="1" applyNumberFormat="1" applyFont="1" applyFill="1" applyBorder="1" applyAlignment="1">
      <alignment horizontal="left" vertical="top" wrapText="1"/>
    </xf>
    <xf numFmtId="188" fontId="30" fillId="4" borderId="4" xfId="5" applyNumberFormat="1" applyFont="1" applyFill="1" applyBorder="1" applyAlignment="1" applyProtection="1">
      <alignment horizontal="left" vertical="top" wrapText="1"/>
      <protection locked="0"/>
    </xf>
    <xf numFmtId="0" fontId="30" fillId="11" borderId="4" xfId="1" applyFont="1" applyFill="1" applyBorder="1" applyAlignment="1">
      <alignment horizontal="left" vertical="top" wrapText="1"/>
    </xf>
    <xf numFmtId="0" fontId="30" fillId="37" borderId="4" xfId="6" applyFont="1" applyFill="1" applyBorder="1" applyAlignment="1">
      <alignment horizontal="center" vertical="center" wrapText="1"/>
    </xf>
    <xf numFmtId="1" fontId="30" fillId="37" borderId="4" xfId="6" applyNumberFormat="1" applyFont="1" applyFill="1" applyBorder="1" applyAlignment="1">
      <alignment horizontal="center" vertical="center" wrapText="1"/>
    </xf>
    <xf numFmtId="176" fontId="30" fillId="37" borderId="4" xfId="6" applyNumberFormat="1" applyFont="1" applyFill="1" applyBorder="1" applyAlignment="1">
      <alignment horizontal="center" vertical="center" wrapText="1"/>
    </xf>
    <xf numFmtId="0" fontId="48" fillId="37" borderId="4" xfId="6" applyFont="1" applyFill="1" applyBorder="1" applyAlignment="1">
      <alignment horizontal="center" vertical="center" wrapText="1"/>
    </xf>
    <xf numFmtId="164" fontId="30" fillId="4" borderId="4" xfId="6" applyNumberFormat="1" applyFont="1" applyFill="1" applyBorder="1" applyAlignment="1">
      <alignment horizontal="center" vertical="center" wrapText="1"/>
    </xf>
    <xf numFmtId="2" fontId="30" fillId="4" borderId="4" xfId="6" applyNumberFormat="1" applyFont="1" applyFill="1" applyBorder="1" applyAlignment="1">
      <alignment horizontal="center" vertical="center" wrapText="1"/>
    </xf>
    <xf numFmtId="0" fontId="30" fillId="4" borderId="4" xfId="6" applyFont="1" applyFill="1" applyBorder="1" applyAlignment="1">
      <alignment horizontal="center" vertical="center" wrapText="1"/>
    </xf>
    <xf numFmtId="10" fontId="30" fillId="4" borderId="4" xfId="6" applyNumberFormat="1" applyFont="1" applyFill="1" applyBorder="1" applyAlignment="1">
      <alignment horizontal="center" vertical="center" wrapText="1"/>
    </xf>
    <xf numFmtId="10" fontId="30" fillId="37" borderId="4" xfId="6" applyNumberFormat="1" applyFont="1" applyFill="1" applyBorder="1" applyAlignment="1">
      <alignment horizontal="center" vertical="center" wrapText="1"/>
    </xf>
    <xf numFmtId="10" fontId="48" fillId="37" borderId="4" xfId="6" applyNumberFormat="1" applyFont="1" applyFill="1" applyBorder="1" applyAlignment="1">
      <alignment horizontal="center" vertical="center" wrapText="1"/>
    </xf>
    <xf numFmtId="167" fontId="30" fillId="37" borderId="4" xfId="6" applyNumberFormat="1" applyFont="1" applyFill="1" applyBorder="1" applyAlignment="1">
      <alignment horizontal="center" vertical="center" wrapText="1"/>
    </xf>
    <xf numFmtId="164" fontId="30" fillId="37" borderId="4" xfId="6" applyNumberFormat="1" applyFont="1" applyFill="1" applyBorder="1" applyAlignment="1">
      <alignment horizontal="center" vertical="center" wrapText="1"/>
    </xf>
    <xf numFmtId="3" fontId="30" fillId="37" borderId="4" xfId="6" applyNumberFormat="1" applyFont="1" applyFill="1" applyBorder="1" applyAlignment="1">
      <alignment horizontal="center" vertical="center" wrapText="1"/>
    </xf>
    <xf numFmtId="1" fontId="55" fillId="37" borderId="4" xfId="6" applyNumberFormat="1" applyFont="1" applyFill="1" applyBorder="1" applyAlignment="1">
      <alignment horizontal="center" vertical="center" wrapText="1"/>
    </xf>
    <xf numFmtId="174" fontId="30" fillId="4" borderId="4" xfId="0" applyNumberFormat="1" applyFont="1" applyFill="1" applyBorder="1" applyAlignment="1">
      <alignment horizontal="left" vertical="top" wrapText="1"/>
    </xf>
    <xf numFmtId="0" fontId="30" fillId="4" borderId="4" xfId="0" applyFont="1" applyFill="1" applyBorder="1" applyAlignment="1">
      <alignment vertical="top"/>
    </xf>
    <xf numFmtId="1" fontId="30" fillId="40" borderId="4" xfId="0" applyNumberFormat="1" applyFont="1" applyFill="1" applyBorder="1" applyAlignment="1">
      <alignment horizontal="center" vertical="center" wrapText="1"/>
    </xf>
    <xf numFmtId="176" fontId="30" fillId="40" borderId="4" xfId="0" applyNumberFormat="1" applyFont="1" applyFill="1" applyBorder="1" applyAlignment="1">
      <alignment horizontal="center" vertical="center" wrapText="1"/>
    </xf>
    <xf numFmtId="0" fontId="48" fillId="40" borderId="4" xfId="9" applyFont="1" applyFill="1" applyBorder="1" applyAlignment="1">
      <alignment horizontal="center" vertical="center" wrapText="1"/>
    </xf>
    <xf numFmtId="2" fontId="30" fillId="4" borderId="4" xfId="1" applyNumberFormat="1" applyFont="1" applyFill="1" applyBorder="1" applyAlignment="1" applyProtection="1">
      <alignment horizontal="center" vertical="center" wrapText="1"/>
    </xf>
    <xf numFmtId="10" fontId="48" fillId="40" borderId="4" xfId="0" applyNumberFormat="1" applyFont="1" applyFill="1" applyBorder="1" applyAlignment="1">
      <alignment horizontal="center" vertical="center" wrapText="1"/>
    </xf>
    <xf numFmtId="2" fontId="30" fillId="40" borderId="4" xfId="0" applyNumberFormat="1" applyFont="1" applyFill="1" applyBorder="1" applyAlignment="1">
      <alignment horizontal="center" vertical="center" wrapText="1"/>
    </xf>
    <xf numFmtId="10" fontId="48" fillId="40" borderId="4" xfId="9" applyNumberFormat="1" applyFont="1" applyFill="1" applyBorder="1" applyAlignment="1">
      <alignment horizontal="center" vertical="center" wrapText="1"/>
    </xf>
    <xf numFmtId="3" fontId="48" fillId="40" borderId="4" xfId="9" applyNumberFormat="1" applyFont="1" applyFill="1" applyBorder="1" applyAlignment="1">
      <alignment horizontal="center" vertical="center" wrapText="1"/>
    </xf>
    <xf numFmtId="0" fontId="48" fillId="40" borderId="4" xfId="0" applyFont="1" applyFill="1" applyBorder="1" applyAlignment="1">
      <alignment horizontal="center" vertical="center" wrapText="1"/>
    </xf>
    <xf numFmtId="0" fontId="48" fillId="40" borderId="4" xfId="10" applyNumberFormat="1" applyFont="1" applyFill="1" applyBorder="1" applyAlignment="1">
      <alignment horizontal="center" vertical="center" wrapText="1"/>
    </xf>
    <xf numFmtId="0" fontId="30" fillId="52" borderId="4" xfId="0" applyFont="1" applyFill="1" applyBorder="1" applyAlignment="1">
      <alignment horizontal="center" vertical="center" wrapText="1"/>
    </xf>
    <xf numFmtId="1" fontId="30" fillId="52" borderId="4" xfId="0" applyNumberFormat="1" applyFont="1" applyFill="1" applyBorder="1" applyAlignment="1">
      <alignment horizontal="center" vertical="center" wrapText="1"/>
    </xf>
    <xf numFmtId="176" fontId="30" fillId="52" borderId="4" xfId="0" applyNumberFormat="1" applyFont="1" applyFill="1" applyBorder="1" applyAlignment="1">
      <alignment horizontal="center" vertical="center" wrapText="1"/>
    </xf>
    <xf numFmtId="0" fontId="48" fillId="52" borderId="4" xfId="9" applyFont="1" applyFill="1" applyBorder="1" applyAlignment="1">
      <alignment horizontal="center" vertical="center" wrapText="1"/>
    </xf>
    <xf numFmtId="173" fontId="30" fillId="52" borderId="4" xfId="0" applyNumberFormat="1" applyFont="1" applyFill="1" applyBorder="1" applyAlignment="1">
      <alignment horizontal="center" vertical="center" wrapText="1"/>
    </xf>
    <xf numFmtId="10" fontId="30" fillId="52" borderId="4" xfId="0" applyNumberFormat="1" applyFont="1" applyFill="1" applyBorder="1" applyAlignment="1">
      <alignment horizontal="center" vertical="center" wrapText="1"/>
    </xf>
    <xf numFmtId="167" fontId="30" fillId="52" borderId="4" xfId="0" applyNumberFormat="1" applyFont="1" applyFill="1" applyBorder="1" applyAlignment="1">
      <alignment horizontal="center" vertical="center" wrapText="1"/>
    </xf>
    <xf numFmtId="164" fontId="30" fillId="52" borderId="4" xfId="0" applyNumberFormat="1" applyFont="1" applyFill="1" applyBorder="1" applyAlignment="1">
      <alignment horizontal="center" vertical="center" wrapText="1"/>
    </xf>
    <xf numFmtId="3" fontId="30" fillId="52" borderId="4" xfId="0" applyNumberFormat="1" applyFont="1" applyFill="1" applyBorder="1" applyAlignment="1">
      <alignment horizontal="center" vertical="center" wrapText="1"/>
    </xf>
    <xf numFmtId="1" fontId="55" fillId="52" borderId="4" xfId="0" applyNumberFormat="1" applyFont="1" applyFill="1" applyBorder="1" applyAlignment="1">
      <alignment horizontal="center" vertical="center" wrapText="1"/>
    </xf>
    <xf numFmtId="10" fontId="48" fillId="52" borderId="4" xfId="9" applyNumberFormat="1" applyFont="1" applyFill="1" applyBorder="1" applyAlignment="1">
      <alignment horizontal="center" vertical="center" wrapText="1"/>
    </xf>
    <xf numFmtId="0" fontId="48" fillId="52" borderId="4" xfId="0" applyFont="1" applyFill="1" applyBorder="1" applyAlignment="1">
      <alignment horizontal="center" vertical="center" wrapText="1"/>
    </xf>
    <xf numFmtId="164" fontId="48" fillId="52" borderId="4" xfId="0" applyNumberFormat="1" applyFont="1" applyFill="1" applyBorder="1" applyAlignment="1">
      <alignment horizontal="center" vertical="center" wrapText="1"/>
    </xf>
    <xf numFmtId="0" fontId="48" fillId="52" borderId="4" xfId="1" applyFont="1" applyFill="1" applyBorder="1" applyAlignment="1">
      <alignment horizontal="center" vertical="center" wrapText="1"/>
    </xf>
    <xf numFmtId="2" fontId="30" fillId="52" borderId="4" xfId="0" applyNumberFormat="1" applyFont="1" applyFill="1" applyBorder="1" applyAlignment="1">
      <alignment horizontal="center" vertical="center" wrapText="1"/>
    </xf>
    <xf numFmtId="10" fontId="48" fillId="52" borderId="4" xfId="0" applyNumberFormat="1" applyFont="1" applyFill="1" applyBorder="1" applyAlignment="1">
      <alignment horizontal="center" vertical="center" wrapText="1"/>
    </xf>
    <xf numFmtId="3" fontId="48" fillId="40" borderId="4" xfId="0" applyNumberFormat="1" applyFont="1" applyFill="1" applyBorder="1" applyAlignment="1">
      <alignment horizontal="center" vertical="center" wrapText="1"/>
    </xf>
    <xf numFmtId="14" fontId="30" fillId="40" borderId="4" xfId="0" applyNumberFormat="1" applyFont="1" applyFill="1" applyBorder="1" applyAlignment="1">
      <alignment horizontal="center" vertical="center" wrapText="1"/>
    </xf>
    <xf numFmtId="0" fontId="48" fillId="40" borderId="4" xfId="1" applyFont="1" applyFill="1" applyBorder="1" applyAlignment="1" applyProtection="1">
      <alignment horizontal="center" vertical="center" wrapText="1"/>
    </xf>
    <xf numFmtId="10" fontId="48" fillId="40" borderId="4" xfId="1" applyNumberFormat="1" applyFont="1" applyFill="1" applyBorder="1" applyAlignment="1" applyProtection="1">
      <alignment horizontal="center" vertical="center" wrapText="1"/>
    </xf>
    <xf numFmtId="0" fontId="36" fillId="3" borderId="4" xfId="0" applyFont="1" applyFill="1" applyBorder="1" applyAlignment="1">
      <alignment horizontal="left" vertical="center" wrapText="1"/>
    </xf>
    <xf numFmtId="0" fontId="30" fillId="0" borderId="4" xfId="0" applyFont="1" applyBorder="1" applyAlignment="1">
      <alignment horizontal="left" vertical="center" wrapText="1"/>
    </xf>
    <xf numFmtId="49" fontId="36"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36" fillId="0" borderId="4" xfId="0" applyFont="1" applyBorder="1" applyAlignment="1">
      <alignment horizontal="left" vertical="center" wrapText="1"/>
    </xf>
    <xf numFmtId="49" fontId="30" fillId="0" borderId="4" xfId="0" applyNumberFormat="1" applyFont="1" applyBorder="1" applyAlignment="1">
      <alignment horizontal="center" vertical="center" wrapText="1"/>
    </xf>
    <xf numFmtId="0" fontId="30" fillId="22" borderId="4" xfId="0" applyFont="1" applyFill="1" applyBorder="1" applyAlignment="1">
      <alignment horizontal="left" vertical="center" wrapText="1"/>
    </xf>
    <xf numFmtId="164" fontId="30" fillId="22" borderId="4" xfId="0" applyNumberFormat="1" applyFont="1" applyFill="1" applyBorder="1" applyAlignment="1">
      <alignment horizontal="left" vertical="center" wrapText="1"/>
    </xf>
    <xf numFmtId="0" fontId="30" fillId="0" borderId="4" xfId="0" applyFont="1" applyBorder="1" applyAlignment="1">
      <alignment horizontal="center" vertical="center" wrapText="1"/>
    </xf>
    <xf numFmtId="49" fontId="36" fillId="4" borderId="4" xfId="0" applyNumberFormat="1" applyFont="1" applyFill="1" applyBorder="1" applyAlignment="1">
      <alignment horizontal="center" vertical="center" wrapText="1"/>
    </xf>
    <xf numFmtId="0" fontId="36" fillId="4" borderId="4" xfId="0" applyFont="1" applyFill="1" applyBorder="1" applyAlignment="1">
      <alignment horizontal="left" vertical="center" wrapText="1"/>
    </xf>
    <xf numFmtId="0" fontId="36" fillId="0" borderId="4" xfId="0" applyFont="1" applyBorder="1" applyAlignment="1">
      <alignment horizontal="center" vertical="center" wrapText="1"/>
    </xf>
    <xf numFmtId="0" fontId="30" fillId="3" borderId="4" xfId="0" applyFont="1" applyFill="1" applyBorder="1" applyAlignment="1">
      <alignment horizontal="left" vertical="center" wrapText="1"/>
    </xf>
    <xf numFmtId="0" fontId="7" fillId="4" borderId="4" xfId="0"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0" fontId="9" fillId="4" borderId="4" xfId="0" applyFont="1" applyFill="1" applyBorder="1" applyAlignment="1">
      <alignment horizontal="center" vertical="center" wrapText="1"/>
    </xf>
    <xf numFmtId="10" fontId="7" fillId="14" borderId="4" xfId="0" applyNumberFormat="1" applyFont="1" applyFill="1" applyBorder="1" applyAlignment="1">
      <alignment horizontal="center" vertical="center" wrapText="1"/>
    </xf>
    <xf numFmtId="0" fontId="55" fillId="4" borderId="6" xfId="0" applyFont="1" applyFill="1" applyBorder="1" applyAlignment="1">
      <alignment horizontal="center" vertical="center"/>
    </xf>
    <xf numFmtId="0" fontId="55" fillId="4" borderId="2" xfId="0" applyFont="1" applyFill="1" applyBorder="1" applyAlignment="1">
      <alignment horizontal="center" vertical="center"/>
    </xf>
    <xf numFmtId="0" fontId="55" fillId="4" borderId="3" xfId="0" applyFont="1" applyFill="1" applyBorder="1" applyAlignment="1">
      <alignment horizontal="center" vertical="center"/>
    </xf>
    <xf numFmtId="0" fontId="55" fillId="4" borderId="6" xfId="0" applyFont="1" applyFill="1" applyBorder="1" applyAlignment="1">
      <alignment horizontal="center" vertical="center" wrapText="1"/>
    </xf>
    <xf numFmtId="0" fontId="55" fillId="4" borderId="2"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55" fillId="4" borderId="4" xfId="0" applyFont="1" applyFill="1" applyBorder="1" applyAlignment="1">
      <alignment vertical="center" wrapText="1"/>
    </xf>
    <xf numFmtId="0" fontId="55" fillId="4" borderId="4" xfId="0" applyFont="1" applyFill="1" applyBorder="1" applyAlignment="1">
      <alignment horizontal="left" vertical="center" wrapText="1"/>
    </xf>
    <xf numFmtId="49" fontId="55" fillId="4" borderId="4" xfId="0" applyNumberFormat="1" applyFont="1" applyFill="1" applyBorder="1" applyAlignment="1">
      <alignment horizontal="center" vertical="center" wrapText="1"/>
    </xf>
    <xf numFmtId="0" fontId="55" fillId="4" borderId="4" xfId="0" applyFont="1" applyFill="1" applyBorder="1" applyAlignment="1">
      <alignment horizontal="center" vertical="center" wrapText="1"/>
    </xf>
    <xf numFmtId="0" fontId="30" fillId="46" borderId="4" xfId="0" applyFont="1" applyFill="1" applyBorder="1" applyAlignment="1">
      <alignment horizontal="left" vertical="center" wrapText="1"/>
    </xf>
    <xf numFmtId="0" fontId="30" fillId="4" borderId="4" xfId="0" applyFont="1" applyFill="1" applyBorder="1" applyAlignment="1">
      <alignment horizontal="left" vertical="top" wrapText="1"/>
    </xf>
    <xf numFmtId="0" fontId="30" fillId="4" borderId="4" xfId="0" applyFont="1" applyFill="1" applyBorder="1" applyAlignment="1">
      <alignment horizontal="left" vertical="center" wrapText="1"/>
    </xf>
    <xf numFmtId="10" fontId="30" fillId="4" borderId="4" xfId="0" applyNumberFormat="1" applyFont="1" applyFill="1" applyBorder="1" applyAlignment="1">
      <alignment horizontal="center" vertical="center" wrapText="1"/>
    </xf>
    <xf numFmtId="0" fontId="30" fillId="4" borderId="9" xfId="0" applyFont="1" applyFill="1" applyBorder="1" applyAlignment="1">
      <alignment horizontal="center" vertical="center"/>
    </xf>
    <xf numFmtId="0" fontId="30" fillId="4" borderId="8" xfId="0" applyFont="1" applyFill="1" applyBorder="1" applyAlignment="1">
      <alignment horizontal="center" vertical="center"/>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wrapText="1"/>
    </xf>
    <xf numFmtId="49" fontId="30" fillId="4" borderId="4" xfId="0" applyNumberFormat="1" applyFont="1" applyFill="1" applyBorder="1" applyAlignment="1">
      <alignment horizontal="center" vertical="center" wrapText="1"/>
    </xf>
    <xf numFmtId="0" fontId="55" fillId="0" borderId="7" xfId="0" applyFont="1" applyBorder="1" applyAlignment="1">
      <alignment horizontal="center" vertical="center" wrapText="1"/>
    </xf>
    <xf numFmtId="0" fontId="55" fillId="0" borderId="1" xfId="0" applyFont="1" applyBorder="1" applyAlignment="1">
      <alignment horizontal="center" wrapText="1"/>
    </xf>
    <xf numFmtId="0" fontId="55" fillId="0" borderId="11" xfId="0" applyFont="1" applyBorder="1" applyAlignment="1">
      <alignment horizontal="center" vertical="center"/>
    </xf>
    <xf numFmtId="0" fontId="55" fillId="0" borderId="0" xfId="0" applyFont="1" applyBorder="1" applyAlignment="1">
      <alignment horizontal="center" vertical="center"/>
    </xf>
    <xf numFmtId="0" fontId="55" fillId="0" borderId="0" xfId="0" applyFont="1" applyAlignment="1">
      <alignment horizontal="center" vertical="center" wrapText="1"/>
    </xf>
    <xf numFmtId="0" fontId="55" fillId="0" borderId="10" xfId="0" applyFont="1" applyBorder="1" applyAlignment="1">
      <alignment horizontal="center" vertical="center" wrapText="1"/>
    </xf>
    <xf numFmtId="0" fontId="55" fillId="0" borderId="0" xfId="0" applyFont="1" applyBorder="1" applyAlignment="1">
      <alignment horizontal="center" vertical="center" wrapText="1"/>
    </xf>
    <xf numFmtId="0" fontId="32" fillId="0" borderId="11"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33" fillId="0" borderId="0" xfId="0" applyFont="1" applyFill="1" applyBorder="1" applyAlignment="1">
      <alignment horizontal="center" vertical="center" wrapText="1"/>
    </xf>
  </cellXfs>
  <cellStyles count="15">
    <cellStyle name="20% — акцент1" xfId="3" builtinId="30"/>
    <cellStyle name="Гиперссылка" xfId="1" builtinId="8"/>
    <cellStyle name="Гиперссылка 2" xfId="4" xr:uid="{1F9629A8-E180-3248-BC52-87ACCE791FB4}"/>
    <cellStyle name="Гиперссылка 2 2" xfId="7" xr:uid="{DBBBA62E-CE5A-044A-9260-4B35044D929B}"/>
    <cellStyle name="Гиперссылка 3" xfId="8" xr:uid="{BFA80469-CC74-2E47-8ECD-25CA44BF1E53}"/>
    <cellStyle name="Гиперссылка 4" xfId="9" xr:uid="{575D0A74-C743-634A-B196-90E381F829BD}"/>
    <cellStyle name="Обычный" xfId="0" builtinId="0"/>
    <cellStyle name="Обычный 17" xfId="5" xr:uid="{3B9DC41F-C5B2-124B-B5E3-1D2A5891BA36}"/>
    <cellStyle name="Обычный 2" xfId="11" xr:uid="{3D52CDB3-0BD7-214B-A236-D3A54E1AFFAA}"/>
    <cellStyle name="Обычный 3" xfId="6" xr:uid="{67D4DC3A-83B0-2B43-8D56-FBD1BBA73F7E}"/>
    <cellStyle name="Обычный 4" xfId="13" xr:uid="{F5908FCA-D760-4540-935D-0191E0D0C0B1}"/>
    <cellStyle name="Процентный" xfId="2" builtinId="5"/>
    <cellStyle name="Процентный 2" xfId="14" xr:uid="{B6314B96-A09E-3549-B525-38CA1327F972}"/>
    <cellStyle name="Excel Built-in Currency [0] 1" xfId="10" xr:uid="{37AB5FFF-2D9A-E64F-A344-380E9D925C48}"/>
    <cellStyle name="Excel_BuiltIn_Hyperlink" xfId="12" xr:uid="{6327C9CC-93CF-9A4C-9C01-9BC6FB09F17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Таблицы!$B$30</c:f>
              <c:strCache>
                <c:ptCount val="1"/>
                <c:pt idx="0">
                  <c:v>Общий объем финансирования из бюджетов всех уровней, млрд руб. / Total amount of funding from budgets of all levels, billion rubles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Таблицы!$C$30:$J$30</c:f>
              <c:numCache>
                <c:formatCode>#,##0.00</c:formatCode>
                <c:ptCount val="8"/>
                <c:pt idx="0">
                  <c:v>1.99</c:v>
                </c:pt>
                <c:pt idx="1">
                  <c:v>6.3</c:v>
                </c:pt>
                <c:pt idx="2">
                  <c:v>13.37</c:v>
                </c:pt>
                <c:pt idx="3">
                  <c:v>17.37</c:v>
                </c:pt>
                <c:pt idx="4">
                  <c:v>21.88</c:v>
                </c:pt>
                <c:pt idx="5">
                  <c:v>29.8</c:v>
                </c:pt>
                <c:pt idx="6" formatCode="0.00">
                  <c:v>36.630000000000003</c:v>
                </c:pt>
                <c:pt idx="7" formatCode="0.00">
                  <c:v>41.41</c:v>
                </c:pt>
              </c:numCache>
            </c:numRef>
          </c:val>
          <c:extLst>
            <c:ext xmlns:c16="http://schemas.microsoft.com/office/drawing/2014/chart" uri="{C3380CC4-5D6E-409C-BE32-E72D297353CC}">
              <c16:uniqueId val="{00000001-98F5-3646-ABFD-DB1B67E927E3}"/>
            </c:ext>
          </c:extLst>
        </c:ser>
        <c:ser>
          <c:idx val="2"/>
          <c:order val="2"/>
          <c:tx>
            <c:strRef>
              <c:f>Таблицы!$B$34</c:f>
              <c:strCache>
                <c:ptCount val="1"/>
                <c:pt idx="0">
                  <c:v>Общий объем внебюджетного софинансирования из прочих источников, млрд руб. / Total volume of extra-budgetary co-financing from other sources, billion rubles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Таблицы!$C$34:$J$34</c:f>
              <c:numCache>
                <c:formatCode>#,##0.00</c:formatCode>
                <c:ptCount val="8"/>
                <c:pt idx="0">
                  <c:v>0.4</c:v>
                </c:pt>
                <c:pt idx="1">
                  <c:v>0.7</c:v>
                </c:pt>
                <c:pt idx="2">
                  <c:v>1.1299999999999999</c:v>
                </c:pt>
                <c:pt idx="3">
                  <c:v>1.94</c:v>
                </c:pt>
                <c:pt idx="4">
                  <c:v>2.1800000000000002</c:v>
                </c:pt>
                <c:pt idx="5">
                  <c:v>2.0099999999999998</c:v>
                </c:pt>
                <c:pt idx="6" formatCode="0.00">
                  <c:v>2.83</c:v>
                </c:pt>
                <c:pt idx="7" formatCode="0.00">
                  <c:v>3.05</c:v>
                </c:pt>
              </c:numCache>
            </c:numRef>
          </c:val>
          <c:extLst>
            <c:ext xmlns:c16="http://schemas.microsoft.com/office/drawing/2014/chart" uri="{C3380CC4-5D6E-409C-BE32-E72D297353CC}">
              <c16:uniqueId val="{00000002-98F5-3646-ABFD-DB1B67E927E3}"/>
            </c:ext>
          </c:extLst>
        </c:ser>
        <c:dLbls>
          <c:showLegendKey val="0"/>
          <c:showVal val="0"/>
          <c:showCatName val="0"/>
          <c:showSerName val="0"/>
          <c:showPercent val="0"/>
          <c:showBubbleSize val="0"/>
        </c:dLbls>
        <c:gapWidth val="150"/>
        <c:overlap val="100"/>
        <c:axId val="1734304495"/>
        <c:axId val="2003194799"/>
      </c:barChart>
      <c:lineChart>
        <c:grouping val="standard"/>
        <c:varyColors val="0"/>
        <c:ser>
          <c:idx val="0"/>
          <c:order val="0"/>
          <c:tx>
            <c:strRef>
              <c:f>Таблицы!$B$29</c:f>
              <c:strCache>
                <c:ptCount val="1"/>
                <c:pt idx="0">
                  <c:v>Общая стоимость проектов ИБ, млрд руб. / Total cost of initiative budgeting projects, billion rubles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7586209892610361E-2"/>
                  <c:y val="-3.6266666666666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F5-3646-ABFD-DB1B67E927E3}"/>
                </c:ext>
              </c:extLst>
            </c:dLbl>
            <c:dLbl>
              <c:idx val="1"/>
              <c:layout>
                <c:manualLayout>
                  <c:x val="-4.2758625333546081E-2"/>
                  <c:y val="-3.2000000000000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F5-3646-ABFD-DB1B67E927E3}"/>
                </c:ext>
              </c:extLst>
            </c:dLbl>
            <c:dLbl>
              <c:idx val="2"/>
              <c:layout>
                <c:manualLayout>
                  <c:x val="-4.275862533354606E-2"/>
                  <c:y val="-2.560000000000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F5-3646-ABFD-DB1B67E927E3}"/>
                </c:ext>
              </c:extLst>
            </c:dLbl>
            <c:dLbl>
              <c:idx val="3"/>
              <c:layout>
                <c:manualLayout>
                  <c:x val="-5.793104077448176E-2"/>
                  <c:y val="-3.200000000000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F5-3646-ABFD-DB1B67E927E3}"/>
                </c:ext>
              </c:extLst>
            </c:dLbl>
            <c:dLbl>
              <c:idx val="4"/>
              <c:layout>
                <c:manualLayout>
                  <c:x val="-5.5172419785220722E-2"/>
                  <c:y val="-3.4133333333333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F5-3646-ABFD-DB1B67E927E3}"/>
                </c:ext>
              </c:extLst>
            </c:dLbl>
            <c:dLbl>
              <c:idx val="5"/>
              <c:layout>
                <c:manualLayout>
                  <c:x val="-5.793104077448176E-2"/>
                  <c:y val="-3.6266666666666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F5-3646-ABFD-DB1B67E927E3}"/>
                </c:ext>
              </c:extLst>
            </c:dLbl>
            <c:dLbl>
              <c:idx val="6"/>
              <c:layout>
                <c:manualLayout>
                  <c:x val="-4.4137935828176579E-2"/>
                  <c:y val="-3.4133333333333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F5-3646-ABFD-DB1B67E927E3}"/>
                </c:ext>
              </c:extLst>
            </c:dLbl>
            <c:dLbl>
              <c:idx val="7"/>
              <c:layout>
                <c:manualLayout>
                  <c:x val="-3.0344830881871395E-2"/>
                  <c:y val="-3.6266666666666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F5-3646-ABFD-DB1B67E927E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Таблицы!$C$28:$J$28</c:f>
              <c:numCache>
                <c:formatCode>General</c:formatCode>
                <c:ptCount val="8"/>
                <c:pt idx="0">
                  <c:v>2015</c:v>
                </c:pt>
                <c:pt idx="1">
                  <c:v>2016</c:v>
                </c:pt>
                <c:pt idx="2">
                  <c:v>2017</c:v>
                </c:pt>
                <c:pt idx="3">
                  <c:v>2018</c:v>
                </c:pt>
                <c:pt idx="4">
                  <c:v>2019</c:v>
                </c:pt>
                <c:pt idx="5">
                  <c:v>2020</c:v>
                </c:pt>
                <c:pt idx="6">
                  <c:v>2021</c:v>
                </c:pt>
                <c:pt idx="7">
                  <c:v>2022</c:v>
                </c:pt>
              </c:numCache>
            </c:numRef>
          </c:cat>
          <c:val>
            <c:numRef>
              <c:f>Таблицы!$C$29:$J$29</c:f>
              <c:numCache>
                <c:formatCode>#,##0.00</c:formatCode>
                <c:ptCount val="8"/>
                <c:pt idx="0">
                  <c:v>2.39</c:v>
                </c:pt>
                <c:pt idx="1">
                  <c:v>7</c:v>
                </c:pt>
                <c:pt idx="2">
                  <c:v>14.5</c:v>
                </c:pt>
                <c:pt idx="3">
                  <c:v>19.309999999999999</c:v>
                </c:pt>
                <c:pt idx="4">
                  <c:v>24.06</c:v>
                </c:pt>
                <c:pt idx="5">
                  <c:v>31.81</c:v>
                </c:pt>
                <c:pt idx="6" formatCode="0.00">
                  <c:v>39.46</c:v>
                </c:pt>
                <c:pt idx="7" formatCode="0.00">
                  <c:v>44.46</c:v>
                </c:pt>
              </c:numCache>
            </c:numRef>
          </c:val>
          <c:smooth val="0"/>
          <c:extLst>
            <c:ext xmlns:c16="http://schemas.microsoft.com/office/drawing/2014/chart" uri="{C3380CC4-5D6E-409C-BE32-E72D297353CC}">
              <c16:uniqueId val="{00000000-98F5-3646-ABFD-DB1B67E927E3}"/>
            </c:ext>
          </c:extLst>
        </c:ser>
        <c:dLbls>
          <c:showLegendKey val="0"/>
          <c:showVal val="0"/>
          <c:showCatName val="0"/>
          <c:showSerName val="0"/>
          <c:showPercent val="0"/>
          <c:showBubbleSize val="0"/>
        </c:dLbls>
        <c:marker val="1"/>
        <c:smooth val="0"/>
        <c:axId val="1734304495"/>
        <c:axId val="2003194799"/>
      </c:lineChart>
      <c:catAx>
        <c:axId val="173430449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2003194799"/>
        <c:crosses val="autoZero"/>
        <c:auto val="1"/>
        <c:lblAlgn val="ctr"/>
        <c:lblOffset val="100"/>
        <c:noMultiLvlLbl val="0"/>
      </c:catAx>
      <c:valAx>
        <c:axId val="20031947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34304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Таблицы!$B$95</c:f>
              <c:strCache>
                <c:ptCount val="1"/>
                <c:pt idx="0">
                  <c:v>Средняя стоимость одного реализованного проекта (млн руб.)</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Таблицы!$D$93:$J$93</c:f>
              <c:numCache>
                <c:formatCode>General</c:formatCode>
                <c:ptCount val="7"/>
                <c:pt idx="0">
                  <c:v>2016</c:v>
                </c:pt>
                <c:pt idx="1">
                  <c:v>2017</c:v>
                </c:pt>
                <c:pt idx="2">
                  <c:v>2018</c:v>
                </c:pt>
                <c:pt idx="3">
                  <c:v>2019</c:v>
                </c:pt>
                <c:pt idx="4">
                  <c:v>2020</c:v>
                </c:pt>
                <c:pt idx="5">
                  <c:v>2021</c:v>
                </c:pt>
                <c:pt idx="6">
                  <c:v>2022</c:v>
                </c:pt>
              </c:numCache>
            </c:numRef>
          </c:cat>
          <c:val>
            <c:numRef>
              <c:f>Таблицы!$D$95:$J$95</c:f>
              <c:numCache>
                <c:formatCode>0.00</c:formatCode>
                <c:ptCount val="7"/>
                <c:pt idx="0">
                  <c:v>0.80114521300961983</c:v>
                </c:pt>
                <c:pt idx="1">
                  <c:v>0.90965584374607955</c:v>
                </c:pt>
                <c:pt idx="2">
                  <c:v>1.0241420880237551</c:v>
                </c:pt>
                <c:pt idx="3">
                  <c:v>1.1017895808923586</c:v>
                </c:pt>
                <c:pt idx="4">
                  <c:v>1.3898151789225324</c:v>
                </c:pt>
                <c:pt idx="5">
                  <c:v>1.3553325086417458</c:v>
                </c:pt>
                <c:pt idx="6">
                  <c:v>1.5208274016368462</c:v>
                </c:pt>
              </c:numCache>
            </c:numRef>
          </c:val>
          <c:extLst>
            <c:ext xmlns:c16="http://schemas.microsoft.com/office/drawing/2014/chart" uri="{C3380CC4-5D6E-409C-BE32-E72D297353CC}">
              <c16:uniqueId val="{00000000-6EB0-7C41-8C13-D2044901FB43}"/>
            </c:ext>
          </c:extLst>
        </c:ser>
        <c:ser>
          <c:idx val="1"/>
          <c:order val="1"/>
          <c:tx>
            <c:strRef>
              <c:f>Таблицы!$B$96</c:f>
              <c:strCache>
                <c:ptCount val="1"/>
                <c:pt idx="0">
                  <c:v>Средний размер совокупных бюджетных субсидий (суб.+мун.+фед.) на один реализованный проект</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Таблицы!$D$93:$J$93</c:f>
              <c:numCache>
                <c:formatCode>General</c:formatCode>
                <c:ptCount val="7"/>
                <c:pt idx="0">
                  <c:v>2016</c:v>
                </c:pt>
                <c:pt idx="1">
                  <c:v>2017</c:v>
                </c:pt>
                <c:pt idx="2">
                  <c:v>2018</c:v>
                </c:pt>
                <c:pt idx="3">
                  <c:v>2019</c:v>
                </c:pt>
                <c:pt idx="4">
                  <c:v>2020</c:v>
                </c:pt>
                <c:pt idx="5">
                  <c:v>2021</c:v>
                </c:pt>
                <c:pt idx="6">
                  <c:v>2022</c:v>
                </c:pt>
              </c:numCache>
            </c:numRef>
          </c:cat>
          <c:val>
            <c:numRef>
              <c:f>Таблицы!$D$96:$J$96</c:f>
              <c:numCache>
                <c:formatCode>0.00</c:formatCode>
                <c:ptCount val="7"/>
                <c:pt idx="0">
                  <c:v>0.72055657352267533</c:v>
                </c:pt>
                <c:pt idx="1">
                  <c:v>0.83882161755112283</c:v>
                </c:pt>
                <c:pt idx="2">
                  <c:v>0.92111011824221845</c:v>
                </c:pt>
                <c:pt idx="3">
                  <c:v>1.0019637975774918</c:v>
                </c:pt>
                <c:pt idx="4">
                  <c:v>1.3018123910560579</c:v>
                </c:pt>
                <c:pt idx="5">
                  <c:v>1.2579915197185481</c:v>
                </c:pt>
                <c:pt idx="6">
                  <c:v>1.409201016754507</c:v>
                </c:pt>
              </c:numCache>
            </c:numRef>
          </c:val>
          <c:extLst>
            <c:ext xmlns:c16="http://schemas.microsoft.com/office/drawing/2014/chart" uri="{C3380CC4-5D6E-409C-BE32-E72D297353CC}">
              <c16:uniqueId val="{00000001-6EB0-7C41-8C13-D2044901FB43}"/>
            </c:ext>
          </c:extLst>
        </c:ser>
        <c:ser>
          <c:idx val="2"/>
          <c:order val="2"/>
          <c:tx>
            <c:strRef>
              <c:f>Таблицы!$B$97</c:f>
              <c:strCache>
                <c:ptCount val="1"/>
                <c:pt idx="0">
                  <c:v> Средний размер субсидии из бюджета субъекта на один реализованный проект (млн.руб.)</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Таблицы!$D$93:$J$93</c:f>
              <c:numCache>
                <c:formatCode>General</c:formatCode>
                <c:ptCount val="7"/>
                <c:pt idx="0">
                  <c:v>2016</c:v>
                </c:pt>
                <c:pt idx="1">
                  <c:v>2017</c:v>
                </c:pt>
                <c:pt idx="2">
                  <c:v>2018</c:v>
                </c:pt>
                <c:pt idx="3">
                  <c:v>2019</c:v>
                </c:pt>
                <c:pt idx="4">
                  <c:v>2020</c:v>
                </c:pt>
                <c:pt idx="5">
                  <c:v>2021</c:v>
                </c:pt>
                <c:pt idx="6">
                  <c:v>2022</c:v>
                </c:pt>
              </c:numCache>
            </c:numRef>
          </c:cat>
          <c:val>
            <c:numRef>
              <c:f>Таблицы!$D$97:$J$97</c:f>
              <c:numCache>
                <c:formatCode>0.00</c:formatCode>
                <c:ptCount val="7"/>
                <c:pt idx="0">
                  <c:v>0.58779202931745311</c:v>
                </c:pt>
                <c:pt idx="1">
                  <c:v>0.48168116415757128</c:v>
                </c:pt>
                <c:pt idx="2">
                  <c:v>0.55672697043533592</c:v>
                </c:pt>
                <c:pt idx="3">
                  <c:v>0.60027867245089517</c:v>
                </c:pt>
                <c:pt idx="4">
                  <c:v>0.73449119587538769</c:v>
                </c:pt>
                <c:pt idx="5">
                  <c:v>0.72483295115271007</c:v>
                </c:pt>
                <c:pt idx="6">
                  <c:v>0.8135222818169402</c:v>
                </c:pt>
              </c:numCache>
            </c:numRef>
          </c:val>
          <c:extLst>
            <c:ext xmlns:c16="http://schemas.microsoft.com/office/drawing/2014/chart" uri="{C3380CC4-5D6E-409C-BE32-E72D297353CC}">
              <c16:uniqueId val="{00000002-6EB0-7C41-8C13-D2044901FB43}"/>
            </c:ext>
          </c:extLst>
        </c:ser>
        <c:ser>
          <c:idx val="3"/>
          <c:order val="3"/>
          <c:tx>
            <c:strRef>
              <c:f>Таблицы!$B$98</c:f>
              <c:strCache>
                <c:ptCount val="1"/>
                <c:pt idx="0">
                  <c:v>Средний размер субсидии из муниципального бюджета на один реализованный проект (млн.руб.)</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Таблицы!$D$93:$J$93</c:f>
              <c:numCache>
                <c:formatCode>General</c:formatCode>
                <c:ptCount val="7"/>
                <c:pt idx="0">
                  <c:v>2016</c:v>
                </c:pt>
                <c:pt idx="1">
                  <c:v>2017</c:v>
                </c:pt>
                <c:pt idx="2">
                  <c:v>2018</c:v>
                </c:pt>
                <c:pt idx="3">
                  <c:v>2019</c:v>
                </c:pt>
                <c:pt idx="4">
                  <c:v>2020</c:v>
                </c:pt>
                <c:pt idx="5">
                  <c:v>2021</c:v>
                </c:pt>
                <c:pt idx="6">
                  <c:v>2022</c:v>
                </c:pt>
              </c:numCache>
            </c:numRef>
          </c:cat>
          <c:val>
            <c:numRef>
              <c:f>Таблицы!$D$98:$J$98</c:f>
              <c:numCache>
                <c:formatCode>0.00</c:formatCode>
                <c:ptCount val="7"/>
                <c:pt idx="0">
                  <c:v>0.13021071919377003</c:v>
                </c:pt>
                <c:pt idx="1">
                  <c:v>0.11986282197967633</c:v>
                </c:pt>
                <c:pt idx="2">
                  <c:v>0.15719648970836206</c:v>
                </c:pt>
                <c:pt idx="3">
                  <c:v>0.18028211372968272</c:v>
                </c:pt>
                <c:pt idx="4">
                  <c:v>0.22022108620614322</c:v>
                </c:pt>
                <c:pt idx="5">
                  <c:v>0.23214174715586341</c:v>
                </c:pt>
                <c:pt idx="6">
                  <c:v>0.25713155741875532</c:v>
                </c:pt>
              </c:numCache>
            </c:numRef>
          </c:val>
          <c:extLst>
            <c:ext xmlns:c16="http://schemas.microsoft.com/office/drawing/2014/chart" uri="{C3380CC4-5D6E-409C-BE32-E72D297353CC}">
              <c16:uniqueId val="{00000003-6EB0-7C41-8C13-D2044901FB43}"/>
            </c:ext>
          </c:extLst>
        </c:ser>
        <c:ser>
          <c:idx val="4"/>
          <c:order val="4"/>
          <c:tx>
            <c:strRef>
              <c:f>Таблицы!$B$99</c:f>
              <c:strCache>
                <c:ptCount val="1"/>
                <c:pt idx="0">
                  <c:v>Средний размер внебюджетной поддержки на один реализованный проект (млн.руб.)</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Таблицы!$D$93:$J$93</c:f>
              <c:numCache>
                <c:formatCode>General</c:formatCode>
                <c:ptCount val="7"/>
                <c:pt idx="0">
                  <c:v>2016</c:v>
                </c:pt>
                <c:pt idx="1">
                  <c:v>2017</c:v>
                </c:pt>
                <c:pt idx="2">
                  <c:v>2018</c:v>
                </c:pt>
                <c:pt idx="3">
                  <c:v>2019</c:v>
                </c:pt>
                <c:pt idx="4">
                  <c:v>2020</c:v>
                </c:pt>
                <c:pt idx="5">
                  <c:v>2021</c:v>
                </c:pt>
                <c:pt idx="6">
                  <c:v>2022</c:v>
                </c:pt>
              </c:numCache>
            </c:numRef>
          </c:cat>
          <c:val>
            <c:numRef>
              <c:f>Таблицы!$D$99:$J$99</c:f>
              <c:numCache>
                <c:formatCode>0.00</c:formatCode>
                <c:ptCount val="7"/>
                <c:pt idx="0">
                  <c:v>8.0588639486944572E-2</c:v>
                </c:pt>
                <c:pt idx="1">
                  <c:v>7.0834226194956718E-2</c:v>
                </c:pt>
                <c:pt idx="2">
                  <c:v>0.10303212206691764</c:v>
                </c:pt>
                <c:pt idx="3">
                  <c:v>9.9830776875600949E-2</c:v>
                </c:pt>
                <c:pt idx="4">
                  <c:v>8.8000596845370718E-2</c:v>
                </c:pt>
                <c:pt idx="5">
                  <c:v>9.7340996114927511E-2</c:v>
                </c:pt>
                <c:pt idx="6">
                  <c:v>0.10387213626976294</c:v>
                </c:pt>
              </c:numCache>
            </c:numRef>
          </c:val>
          <c:extLst>
            <c:ext xmlns:c16="http://schemas.microsoft.com/office/drawing/2014/chart" uri="{C3380CC4-5D6E-409C-BE32-E72D297353CC}">
              <c16:uniqueId val="{00000004-6EB0-7C41-8C13-D2044901FB43}"/>
            </c:ext>
          </c:extLst>
        </c:ser>
        <c:dLbls>
          <c:dLblPos val="outEnd"/>
          <c:showLegendKey val="0"/>
          <c:showVal val="1"/>
          <c:showCatName val="0"/>
          <c:showSerName val="0"/>
          <c:showPercent val="0"/>
          <c:showBubbleSize val="0"/>
        </c:dLbls>
        <c:gapWidth val="219"/>
        <c:overlap val="-27"/>
        <c:axId val="1732893375"/>
        <c:axId val="2027238063"/>
      </c:barChart>
      <c:catAx>
        <c:axId val="1732893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2027238063"/>
        <c:crosses val="autoZero"/>
        <c:auto val="1"/>
        <c:lblAlgn val="ctr"/>
        <c:lblOffset val="100"/>
        <c:noMultiLvlLbl val="0"/>
      </c:catAx>
      <c:valAx>
        <c:axId val="20272380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32893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187518226888304E-2"/>
          <c:y val="5.3736370213972304E-2"/>
          <c:w val="0.9563782544423326"/>
          <c:h val="0.88980130236651589"/>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Таблицы!$B$146:$G$146</c:f>
              <c:numCache>
                <c:formatCode>General</c:formatCode>
                <c:ptCount val="6"/>
                <c:pt idx="0">
                  <c:v>2017</c:v>
                </c:pt>
                <c:pt idx="1">
                  <c:v>2018</c:v>
                </c:pt>
                <c:pt idx="2">
                  <c:v>2019</c:v>
                </c:pt>
                <c:pt idx="3">
                  <c:v>2020</c:v>
                </c:pt>
                <c:pt idx="4">
                  <c:v>2021</c:v>
                </c:pt>
                <c:pt idx="5">
                  <c:v>2022</c:v>
                </c:pt>
              </c:numCache>
            </c:numRef>
          </c:cat>
          <c:val>
            <c:numRef>
              <c:f>Таблицы!$B$147:$G$147</c:f>
              <c:numCache>
                <c:formatCode>General</c:formatCode>
                <c:ptCount val="6"/>
                <c:pt idx="0">
                  <c:v>30.42</c:v>
                </c:pt>
                <c:pt idx="1">
                  <c:v>23.27</c:v>
                </c:pt>
                <c:pt idx="2">
                  <c:v>34.299999999999997</c:v>
                </c:pt>
                <c:pt idx="3">
                  <c:v>43.16</c:v>
                </c:pt>
                <c:pt idx="4">
                  <c:v>40.39</c:v>
                </c:pt>
                <c:pt idx="5">
                  <c:v>38.92</c:v>
                </c:pt>
              </c:numCache>
            </c:numRef>
          </c:val>
          <c:smooth val="0"/>
          <c:extLst>
            <c:ext xmlns:c16="http://schemas.microsoft.com/office/drawing/2014/chart" uri="{C3380CC4-5D6E-409C-BE32-E72D297353CC}">
              <c16:uniqueId val="{00000000-6382-DB4D-A09B-B931591AAC17}"/>
            </c:ext>
          </c:extLst>
        </c:ser>
        <c:dLbls>
          <c:showLegendKey val="0"/>
          <c:showVal val="1"/>
          <c:showCatName val="0"/>
          <c:showSerName val="0"/>
          <c:showPercent val="0"/>
          <c:showBubbleSize val="0"/>
        </c:dLbls>
        <c:marker val="1"/>
        <c:smooth val="0"/>
        <c:axId val="1791560495"/>
        <c:axId val="2016876511"/>
      </c:lineChart>
      <c:catAx>
        <c:axId val="179156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2016876511"/>
        <c:crosses val="autoZero"/>
        <c:auto val="1"/>
        <c:lblAlgn val="ctr"/>
        <c:lblOffset val="100"/>
        <c:noMultiLvlLbl val="0"/>
      </c:catAx>
      <c:valAx>
        <c:axId val="2016876511"/>
        <c:scaling>
          <c:orientation val="minMax"/>
          <c:min val="1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91560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'Федер округа'!$E$3</c:f>
              <c:strCache>
                <c:ptCount val="1"/>
                <c:pt idx="0">
                  <c:v>Количество субъектов РФ в составе федерального округа</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'Федер округа'!$D$4:$D$11</c:f>
              <c:strCache>
                <c:ptCount val="8"/>
                <c:pt idx="0">
                  <c:v>ЦФО</c:v>
                </c:pt>
                <c:pt idx="1">
                  <c:v>СЗФО</c:v>
                </c:pt>
                <c:pt idx="2">
                  <c:v>ЮФО</c:v>
                </c:pt>
                <c:pt idx="3">
                  <c:v>ДФО</c:v>
                </c:pt>
                <c:pt idx="4">
                  <c:v>СКФО</c:v>
                </c:pt>
                <c:pt idx="5">
                  <c:v>ПФО</c:v>
                </c:pt>
                <c:pt idx="6">
                  <c:v>УФО</c:v>
                </c:pt>
                <c:pt idx="7">
                  <c:v>СФО</c:v>
                </c:pt>
              </c:strCache>
            </c:strRef>
          </c:cat>
          <c:val>
            <c:numRef>
              <c:f>'Федер округа'!$E$4:$E$11</c:f>
              <c:numCache>
                <c:formatCode>General</c:formatCode>
                <c:ptCount val="8"/>
                <c:pt idx="0">
                  <c:v>18</c:v>
                </c:pt>
                <c:pt idx="1">
                  <c:v>11</c:v>
                </c:pt>
                <c:pt idx="2">
                  <c:v>8</c:v>
                </c:pt>
                <c:pt idx="3">
                  <c:v>11</c:v>
                </c:pt>
                <c:pt idx="4">
                  <c:v>8</c:v>
                </c:pt>
                <c:pt idx="5">
                  <c:v>14</c:v>
                </c:pt>
                <c:pt idx="6">
                  <c:v>6</c:v>
                </c:pt>
                <c:pt idx="7">
                  <c:v>10</c:v>
                </c:pt>
              </c:numCache>
            </c:numRef>
          </c:val>
          <c:extLst>
            <c:ext xmlns:c16="http://schemas.microsoft.com/office/drawing/2014/chart" uri="{C3380CC4-5D6E-409C-BE32-E72D297353CC}">
              <c16:uniqueId val="{00000000-7B4A-874F-A3E1-051DE052645A}"/>
            </c:ext>
          </c:extLst>
        </c:ser>
        <c:ser>
          <c:idx val="1"/>
          <c:order val="1"/>
          <c:tx>
            <c:strRef>
              <c:f>'Федер округа'!$F$3</c:f>
              <c:strCache>
                <c:ptCount val="1"/>
                <c:pt idx="0">
                  <c:v>Количество субъектов РФ, реализующих проекты ИБ</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'Федер округа'!$D$4:$D$11</c:f>
              <c:strCache>
                <c:ptCount val="8"/>
                <c:pt idx="0">
                  <c:v>ЦФО</c:v>
                </c:pt>
                <c:pt idx="1">
                  <c:v>СЗФО</c:v>
                </c:pt>
                <c:pt idx="2">
                  <c:v>ЮФО</c:v>
                </c:pt>
                <c:pt idx="3">
                  <c:v>ДФО</c:v>
                </c:pt>
                <c:pt idx="4">
                  <c:v>СКФО</c:v>
                </c:pt>
                <c:pt idx="5">
                  <c:v>ПФО</c:v>
                </c:pt>
                <c:pt idx="6">
                  <c:v>УФО</c:v>
                </c:pt>
                <c:pt idx="7">
                  <c:v>СФО</c:v>
                </c:pt>
              </c:strCache>
            </c:strRef>
          </c:cat>
          <c:val>
            <c:numRef>
              <c:f>'Федер округа'!$F$4:$F$11</c:f>
              <c:numCache>
                <c:formatCode>General</c:formatCode>
                <c:ptCount val="8"/>
                <c:pt idx="0">
                  <c:v>17</c:v>
                </c:pt>
                <c:pt idx="1">
                  <c:v>11</c:v>
                </c:pt>
                <c:pt idx="2">
                  <c:v>8</c:v>
                </c:pt>
                <c:pt idx="3">
                  <c:v>9</c:v>
                </c:pt>
                <c:pt idx="4">
                  <c:v>5</c:v>
                </c:pt>
                <c:pt idx="5">
                  <c:v>13</c:v>
                </c:pt>
                <c:pt idx="6">
                  <c:v>6</c:v>
                </c:pt>
                <c:pt idx="7">
                  <c:v>8</c:v>
                </c:pt>
              </c:numCache>
            </c:numRef>
          </c:val>
          <c:extLst>
            <c:ext xmlns:c16="http://schemas.microsoft.com/office/drawing/2014/chart" uri="{C3380CC4-5D6E-409C-BE32-E72D297353CC}">
              <c16:uniqueId val="{00000001-7B4A-874F-A3E1-051DE052645A}"/>
            </c:ext>
          </c:extLst>
        </c:ser>
        <c:ser>
          <c:idx val="2"/>
          <c:order val="2"/>
          <c:tx>
            <c:strRef>
              <c:f>'Федер округа'!$G$3</c:f>
              <c:strCache>
                <c:ptCount val="1"/>
                <c:pt idx="0">
                  <c:v>Количество реализуемых практик регионального уровня </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'Федер округа'!$D$4:$D$11</c:f>
              <c:strCache>
                <c:ptCount val="8"/>
                <c:pt idx="0">
                  <c:v>ЦФО</c:v>
                </c:pt>
                <c:pt idx="1">
                  <c:v>СЗФО</c:v>
                </c:pt>
                <c:pt idx="2">
                  <c:v>ЮФО</c:v>
                </c:pt>
                <c:pt idx="3">
                  <c:v>ДФО</c:v>
                </c:pt>
                <c:pt idx="4">
                  <c:v>СКФО</c:v>
                </c:pt>
                <c:pt idx="5">
                  <c:v>ПФО</c:v>
                </c:pt>
                <c:pt idx="6">
                  <c:v>УФО</c:v>
                </c:pt>
                <c:pt idx="7">
                  <c:v>СФО</c:v>
                </c:pt>
              </c:strCache>
            </c:strRef>
          </c:cat>
          <c:val>
            <c:numRef>
              <c:f>'Федер округа'!$G$4:$G$11</c:f>
              <c:numCache>
                <c:formatCode>General</c:formatCode>
                <c:ptCount val="8"/>
                <c:pt idx="0">
                  <c:v>35</c:v>
                </c:pt>
                <c:pt idx="1">
                  <c:v>26</c:v>
                </c:pt>
                <c:pt idx="2">
                  <c:v>9</c:v>
                </c:pt>
                <c:pt idx="3">
                  <c:v>14</c:v>
                </c:pt>
                <c:pt idx="4">
                  <c:v>6</c:v>
                </c:pt>
                <c:pt idx="5">
                  <c:v>25</c:v>
                </c:pt>
                <c:pt idx="6">
                  <c:v>12</c:v>
                </c:pt>
                <c:pt idx="7">
                  <c:v>14</c:v>
                </c:pt>
              </c:numCache>
            </c:numRef>
          </c:val>
          <c:extLst>
            <c:ext xmlns:c16="http://schemas.microsoft.com/office/drawing/2014/chart" uri="{C3380CC4-5D6E-409C-BE32-E72D297353CC}">
              <c16:uniqueId val="{00000002-7B4A-874F-A3E1-051DE052645A}"/>
            </c:ext>
          </c:extLst>
        </c:ser>
        <c:ser>
          <c:idx val="3"/>
          <c:order val="3"/>
          <c:tx>
            <c:strRef>
              <c:f>'Федер округа'!$H$3</c:f>
              <c:strCache>
                <c:ptCount val="1"/>
                <c:pt idx="0">
                  <c:v>Количество реализуемых практик муниципального уровня </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'Федер округа'!$D$4:$D$11</c:f>
              <c:strCache>
                <c:ptCount val="8"/>
                <c:pt idx="0">
                  <c:v>ЦФО</c:v>
                </c:pt>
                <c:pt idx="1">
                  <c:v>СЗФО</c:v>
                </c:pt>
                <c:pt idx="2">
                  <c:v>ЮФО</c:v>
                </c:pt>
                <c:pt idx="3">
                  <c:v>ДФО</c:v>
                </c:pt>
                <c:pt idx="4">
                  <c:v>СКФО</c:v>
                </c:pt>
                <c:pt idx="5">
                  <c:v>ПФО</c:v>
                </c:pt>
                <c:pt idx="6">
                  <c:v>УФО</c:v>
                </c:pt>
                <c:pt idx="7">
                  <c:v>СФО</c:v>
                </c:pt>
              </c:strCache>
            </c:strRef>
          </c:cat>
          <c:val>
            <c:numRef>
              <c:f>'Федер округа'!$H$4:$H$11</c:f>
              <c:numCache>
                <c:formatCode>General</c:formatCode>
                <c:ptCount val="8"/>
                <c:pt idx="0">
                  <c:v>17</c:v>
                </c:pt>
                <c:pt idx="1">
                  <c:v>31</c:v>
                </c:pt>
                <c:pt idx="2">
                  <c:v>64</c:v>
                </c:pt>
                <c:pt idx="3">
                  <c:v>8</c:v>
                </c:pt>
                <c:pt idx="4">
                  <c:v>25</c:v>
                </c:pt>
                <c:pt idx="5">
                  <c:v>105</c:v>
                </c:pt>
                <c:pt idx="6">
                  <c:v>40</c:v>
                </c:pt>
                <c:pt idx="7">
                  <c:v>8</c:v>
                </c:pt>
              </c:numCache>
            </c:numRef>
          </c:val>
          <c:extLst>
            <c:ext xmlns:c16="http://schemas.microsoft.com/office/drawing/2014/chart" uri="{C3380CC4-5D6E-409C-BE32-E72D297353CC}">
              <c16:uniqueId val="{00000003-7B4A-874F-A3E1-051DE052645A}"/>
            </c:ext>
          </c:extLst>
        </c:ser>
        <c:dLbls>
          <c:dLblPos val="outEnd"/>
          <c:showLegendKey val="0"/>
          <c:showVal val="1"/>
          <c:showCatName val="0"/>
          <c:showSerName val="0"/>
          <c:showPercent val="0"/>
          <c:showBubbleSize val="0"/>
        </c:dLbls>
        <c:gapWidth val="219"/>
        <c:overlap val="-27"/>
        <c:axId val="1737755519"/>
        <c:axId val="1735117775"/>
      </c:barChart>
      <c:catAx>
        <c:axId val="173775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35117775"/>
        <c:crosses val="autoZero"/>
        <c:auto val="1"/>
        <c:lblAlgn val="ctr"/>
        <c:lblOffset val="100"/>
        <c:noMultiLvlLbl val="0"/>
      </c:catAx>
      <c:valAx>
        <c:axId val="1735117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37755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'Федер округа'!$E$56:$K$56</c:f>
              <c:numCache>
                <c:formatCode>General</c:formatCode>
                <c:ptCount val="7"/>
                <c:pt idx="0">
                  <c:v>2016</c:v>
                </c:pt>
                <c:pt idx="1">
                  <c:v>2017</c:v>
                </c:pt>
                <c:pt idx="2">
                  <c:v>2018</c:v>
                </c:pt>
                <c:pt idx="3">
                  <c:v>2019</c:v>
                </c:pt>
                <c:pt idx="4">
                  <c:v>2020</c:v>
                </c:pt>
                <c:pt idx="5">
                  <c:v>2021</c:v>
                </c:pt>
                <c:pt idx="6">
                  <c:v>2022</c:v>
                </c:pt>
              </c:numCache>
            </c:numRef>
          </c:cat>
          <c:val>
            <c:numRef>
              <c:f>'Федер округа'!$E$55:$K$55</c:f>
              <c:numCache>
                <c:formatCode>General</c:formatCode>
                <c:ptCount val="7"/>
                <c:pt idx="0">
                  <c:v>8732</c:v>
                </c:pt>
                <c:pt idx="1">
                  <c:v>15942</c:v>
                </c:pt>
                <c:pt idx="2">
                  <c:v>18859</c:v>
                </c:pt>
                <c:pt idx="3">
                  <c:v>21841</c:v>
                </c:pt>
                <c:pt idx="4">
                  <c:v>22526</c:v>
                </c:pt>
                <c:pt idx="5">
                  <c:v>29114</c:v>
                </c:pt>
                <c:pt idx="6">
                  <c:v>29371</c:v>
                </c:pt>
              </c:numCache>
            </c:numRef>
          </c:val>
          <c:extLst>
            <c:ext xmlns:c16="http://schemas.microsoft.com/office/drawing/2014/chart" uri="{C3380CC4-5D6E-409C-BE32-E72D297353CC}">
              <c16:uniqueId val="{00000000-38D4-6C4F-8C4C-D4EA7D49AA8E}"/>
            </c:ext>
          </c:extLst>
        </c:ser>
        <c:dLbls>
          <c:dLblPos val="outEnd"/>
          <c:showLegendKey val="0"/>
          <c:showVal val="1"/>
          <c:showCatName val="0"/>
          <c:showSerName val="0"/>
          <c:showPercent val="0"/>
          <c:showBubbleSize val="0"/>
        </c:dLbls>
        <c:gapWidth val="219"/>
        <c:overlap val="-27"/>
        <c:axId val="1792738031"/>
        <c:axId val="1737977615"/>
      </c:barChart>
      <c:catAx>
        <c:axId val="179273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37977615"/>
        <c:crosses val="autoZero"/>
        <c:auto val="1"/>
        <c:lblAlgn val="ctr"/>
        <c:lblOffset val="100"/>
        <c:noMultiLvlLbl val="0"/>
      </c:catAx>
      <c:valAx>
        <c:axId val="173797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792738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'Мун практики'!$C$93:$C$127</c:f>
              <c:strCache>
                <c:ptCount val="35"/>
                <c:pt idx="0">
                  <c:v>Брянская область</c:v>
                </c:pt>
                <c:pt idx="1">
                  <c:v>Вологодская область</c:v>
                </c:pt>
                <c:pt idx="2">
                  <c:v>Курганская область</c:v>
                </c:pt>
                <c:pt idx="3">
                  <c:v>Ленинградская область</c:v>
                </c:pt>
                <c:pt idx="4">
                  <c:v>Новосибирская область</c:v>
                </c:pt>
                <c:pt idx="5">
                  <c:v>Пензенская область</c:v>
                </c:pt>
                <c:pt idx="6">
                  <c:v>Ростовская область</c:v>
                </c:pt>
                <c:pt idx="7">
                  <c:v>Тамбовская область</c:v>
                </c:pt>
                <c:pt idx="8">
                  <c:v>Тюменская область</c:v>
                </c:pt>
                <c:pt idx="9">
                  <c:v>Удмуртия республика</c:v>
                </c:pt>
                <c:pt idx="10">
                  <c:v>Архангельская область</c:v>
                </c:pt>
                <c:pt idx="11">
                  <c:v>Калининградская область</c:v>
                </c:pt>
                <c:pt idx="12">
                  <c:v>Магаданская область</c:v>
                </c:pt>
                <c:pt idx="13">
                  <c:v>Хабаровский край</c:v>
                </c:pt>
                <c:pt idx="14">
                  <c:v>Владимирская область</c:v>
                </c:pt>
                <c:pt idx="15">
                  <c:v>Кировская область</c:v>
                </c:pt>
                <c:pt idx="16">
                  <c:v>Крым, респ.</c:v>
                </c:pt>
                <c:pt idx="17">
                  <c:v>Омская область</c:v>
                </c:pt>
                <c:pt idx="18">
                  <c:v>Башкортостан, республика</c:v>
                </c:pt>
                <c:pt idx="19">
                  <c:v>Калужская область</c:v>
                </c:pt>
                <c:pt idx="20">
                  <c:v>Красноярский край</c:v>
                </c:pt>
                <c:pt idx="21">
                  <c:v>Пермский край</c:v>
                </c:pt>
                <c:pt idx="22">
                  <c:v>Приморский край</c:v>
                </c:pt>
                <c:pt idx="23">
                  <c:v>Новгородская область</c:v>
                </c:pt>
                <c:pt idx="24">
                  <c:v>Свердловская область</c:v>
                </c:pt>
                <c:pt idx="25">
                  <c:v>Нижегородская область</c:v>
                </c:pt>
                <c:pt idx="26">
                  <c:v>Белгородская область</c:v>
                </c:pt>
                <c:pt idx="27">
                  <c:v>Ульяновская область</c:v>
                </c:pt>
                <c:pt idx="28">
                  <c:v>Ямало-Ненецкий АО</c:v>
                </c:pt>
                <c:pt idx="29">
                  <c:v>ХМАО-Югра</c:v>
                </c:pt>
                <c:pt idx="30">
                  <c:v>Коми, республика</c:v>
                </c:pt>
                <c:pt idx="31">
                  <c:v>Ставропольский край</c:v>
                </c:pt>
                <c:pt idx="32">
                  <c:v>Оренбургская область</c:v>
                </c:pt>
                <c:pt idx="33">
                  <c:v>Самарская область</c:v>
                </c:pt>
                <c:pt idx="34">
                  <c:v>Краснодарский край</c:v>
                </c:pt>
              </c:strCache>
            </c:strRef>
          </c:cat>
          <c:val>
            <c:numRef>
              <c:f>'Мун практики'!$D$93:$D$127</c:f>
              <c:numCache>
                <c:formatCode>General</c:formatCode>
                <c:ptCount val="35"/>
                <c:pt idx="0">
                  <c:v>1</c:v>
                </c:pt>
                <c:pt idx="1">
                  <c:v>1</c:v>
                </c:pt>
                <c:pt idx="2">
                  <c:v>1</c:v>
                </c:pt>
                <c:pt idx="3">
                  <c:v>1</c:v>
                </c:pt>
                <c:pt idx="4">
                  <c:v>1</c:v>
                </c:pt>
                <c:pt idx="5">
                  <c:v>1</c:v>
                </c:pt>
                <c:pt idx="6">
                  <c:v>1</c:v>
                </c:pt>
                <c:pt idx="7">
                  <c:v>1</c:v>
                </c:pt>
                <c:pt idx="8">
                  <c:v>1</c:v>
                </c:pt>
                <c:pt idx="9">
                  <c:v>1</c:v>
                </c:pt>
                <c:pt idx="10">
                  <c:v>2</c:v>
                </c:pt>
                <c:pt idx="11">
                  <c:v>2</c:v>
                </c:pt>
                <c:pt idx="12">
                  <c:v>2</c:v>
                </c:pt>
                <c:pt idx="13">
                  <c:v>2</c:v>
                </c:pt>
                <c:pt idx="14">
                  <c:v>3</c:v>
                </c:pt>
                <c:pt idx="15">
                  <c:v>3</c:v>
                </c:pt>
                <c:pt idx="16">
                  <c:v>3</c:v>
                </c:pt>
                <c:pt idx="17">
                  <c:v>3</c:v>
                </c:pt>
                <c:pt idx="18">
                  <c:v>4</c:v>
                </c:pt>
                <c:pt idx="19">
                  <c:v>4</c:v>
                </c:pt>
                <c:pt idx="20">
                  <c:v>4</c:v>
                </c:pt>
                <c:pt idx="21">
                  <c:v>4</c:v>
                </c:pt>
                <c:pt idx="22">
                  <c:v>4</c:v>
                </c:pt>
                <c:pt idx="23">
                  <c:v>5</c:v>
                </c:pt>
                <c:pt idx="24">
                  <c:v>6</c:v>
                </c:pt>
                <c:pt idx="25">
                  <c:v>7</c:v>
                </c:pt>
                <c:pt idx="26">
                  <c:v>8</c:v>
                </c:pt>
                <c:pt idx="27">
                  <c:v>13</c:v>
                </c:pt>
                <c:pt idx="28">
                  <c:v>13</c:v>
                </c:pt>
                <c:pt idx="29">
                  <c:v>19</c:v>
                </c:pt>
                <c:pt idx="30">
                  <c:v>20</c:v>
                </c:pt>
                <c:pt idx="31">
                  <c:v>25</c:v>
                </c:pt>
                <c:pt idx="32">
                  <c:v>32</c:v>
                </c:pt>
                <c:pt idx="33">
                  <c:v>40</c:v>
                </c:pt>
                <c:pt idx="34">
                  <c:v>60</c:v>
                </c:pt>
              </c:numCache>
            </c:numRef>
          </c:val>
          <c:extLst>
            <c:ext xmlns:c16="http://schemas.microsoft.com/office/drawing/2014/chart" uri="{C3380CC4-5D6E-409C-BE32-E72D297353CC}">
              <c16:uniqueId val="{00000000-F7A0-DF4A-93AD-2ABBDA38C922}"/>
            </c:ext>
          </c:extLst>
        </c:ser>
        <c:dLbls>
          <c:dLblPos val="outEnd"/>
          <c:showLegendKey val="0"/>
          <c:showVal val="1"/>
          <c:showCatName val="0"/>
          <c:showSerName val="0"/>
          <c:showPercent val="0"/>
          <c:showBubbleSize val="0"/>
        </c:dLbls>
        <c:gapWidth val="182"/>
        <c:axId val="1892288271"/>
        <c:axId val="1890858255"/>
      </c:barChart>
      <c:catAx>
        <c:axId val="18922882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890858255"/>
        <c:crosses val="autoZero"/>
        <c:auto val="1"/>
        <c:lblAlgn val="ctr"/>
        <c:lblOffset val="100"/>
        <c:noMultiLvlLbl val="0"/>
      </c:catAx>
      <c:valAx>
        <c:axId val="18908582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892288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disk.yandex.ru/d/P5b6Jh-ZFVVUWQ" TargetMode="External"/><Relationship Id="rId13" Type="http://schemas.openxmlformats.org/officeDocument/2006/relationships/image" Target="../media/image12.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0.png"/><Relationship Id="rId5" Type="http://schemas.openxmlformats.org/officeDocument/2006/relationships/image" Target="../media/image6.jpe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5.jpeg"/><Relationship Id="rId9" Type="http://schemas.openxmlformats.org/officeDocument/2006/relationships/hyperlink" Target="https://disk.yandex.ru/d/4otwAoeuR32zXQ" TargetMode="External"/><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jpeg"/><Relationship Id="rId5" Type="http://schemas.openxmlformats.org/officeDocument/2006/relationships/image" Target="../media/image19.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29</xdr:col>
      <xdr:colOff>406400</xdr:colOff>
      <xdr:row>152</xdr:row>
      <xdr:rowOff>461963</xdr:rowOff>
    </xdr:from>
    <xdr:to>
      <xdr:col>29</xdr:col>
      <xdr:colOff>1317625</xdr:colOff>
      <xdr:row>152</xdr:row>
      <xdr:rowOff>1254125</xdr:rowOff>
    </xdr:to>
    <xdr:pic>
      <xdr:nvPicPr>
        <xdr:cNvPr id="3" name="Рисунок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28902025" y="224934463"/>
          <a:ext cx="911225" cy="79216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90</xdr:col>
          <xdr:colOff>0</xdr:colOff>
          <xdr:row>152</xdr:row>
          <xdr:rowOff>0</xdr:rowOff>
        </xdr:from>
        <xdr:to>
          <xdr:col>90</xdr:col>
          <xdr:colOff>927100</xdr:colOff>
          <xdr:row>152</xdr:row>
          <xdr:rowOff>520700</xdr:rowOff>
        </xdr:to>
        <xdr:sp macro="" textlink="">
          <xdr:nvSpPr>
            <xdr:cNvPr id="1181" name="Object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100</xdr:col>
      <xdr:colOff>114299</xdr:colOff>
      <xdr:row>85</xdr:row>
      <xdr:rowOff>28576</xdr:rowOff>
    </xdr:from>
    <xdr:to>
      <xdr:col>100</xdr:col>
      <xdr:colOff>1412874</xdr:colOff>
      <xdr:row>85</xdr:row>
      <xdr:rowOff>1698625</xdr:rowOff>
    </xdr:to>
    <xdr:pic>
      <xdr:nvPicPr>
        <xdr:cNvPr id="9" name="Picture 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5717299" y="149952076"/>
          <a:ext cx="1298575" cy="1670049"/>
        </a:xfrm>
        <a:prstGeom prst="rect">
          <a:avLst/>
        </a:prstGeom>
        <a:noFill/>
      </xdr:spPr>
    </xdr:pic>
    <xdr:clientData/>
  </xdr:twoCellAnchor>
  <xdr:twoCellAnchor editAs="oneCell">
    <xdr:from>
      <xdr:col>84</xdr:col>
      <xdr:colOff>152400</xdr:colOff>
      <xdr:row>85</xdr:row>
      <xdr:rowOff>50800</xdr:rowOff>
    </xdr:from>
    <xdr:to>
      <xdr:col>84</xdr:col>
      <xdr:colOff>851535</xdr:colOff>
      <xdr:row>85</xdr:row>
      <xdr:rowOff>488951</xdr:rowOff>
    </xdr:to>
    <xdr:pic>
      <xdr:nvPicPr>
        <xdr:cNvPr id="10" name="Picture 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9763124" y="33750249"/>
          <a:ext cx="699135" cy="438151"/>
        </a:xfrm>
        <a:prstGeom prst="rect">
          <a:avLst/>
        </a:prstGeom>
        <a:noFill/>
      </xdr:spPr>
    </xdr:pic>
    <xdr:clientData/>
  </xdr:twoCellAnchor>
  <xdr:twoCellAnchor editAs="oneCell">
    <xdr:from>
      <xdr:col>69</xdr:col>
      <xdr:colOff>508000</xdr:colOff>
      <xdr:row>152</xdr:row>
      <xdr:rowOff>444501</xdr:rowOff>
    </xdr:from>
    <xdr:to>
      <xdr:col>69</xdr:col>
      <xdr:colOff>1444625</xdr:colOff>
      <xdr:row>152</xdr:row>
      <xdr:rowOff>1378403</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003125" y="324278626"/>
          <a:ext cx="936625" cy="933902"/>
        </a:xfrm>
        <a:prstGeom prst="rect">
          <a:avLst/>
        </a:prstGeom>
      </xdr:spPr>
    </xdr:pic>
    <xdr:clientData/>
  </xdr:twoCellAnchor>
  <xdr:twoCellAnchor editAs="oneCell">
    <xdr:from>
      <xdr:col>70</xdr:col>
      <xdr:colOff>428625</xdr:colOff>
      <xdr:row>152</xdr:row>
      <xdr:rowOff>365125</xdr:rowOff>
    </xdr:from>
    <xdr:to>
      <xdr:col>70</xdr:col>
      <xdr:colOff>1382431</xdr:colOff>
      <xdr:row>152</xdr:row>
      <xdr:rowOff>1333500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558875" y="325739125"/>
          <a:ext cx="953806" cy="968375"/>
        </a:xfrm>
        <a:prstGeom prst="rect">
          <a:avLst/>
        </a:prstGeom>
      </xdr:spPr>
    </xdr:pic>
    <xdr:clientData/>
  </xdr:twoCellAnchor>
  <xdr:twoCellAnchor editAs="oneCell">
    <xdr:from>
      <xdr:col>81</xdr:col>
      <xdr:colOff>143773</xdr:colOff>
      <xdr:row>152</xdr:row>
      <xdr:rowOff>8987</xdr:rowOff>
    </xdr:from>
    <xdr:to>
      <xdr:col>81</xdr:col>
      <xdr:colOff>714298</xdr:colOff>
      <xdr:row>152</xdr:row>
      <xdr:rowOff>377407</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10354573" y="57654287"/>
          <a:ext cx="570525" cy="368420"/>
        </a:xfrm>
        <a:prstGeom prst="rect">
          <a:avLst/>
        </a:prstGeom>
      </xdr:spPr>
    </xdr:pic>
    <xdr:clientData/>
  </xdr:twoCellAnchor>
  <xdr:twoCellAnchor editAs="oneCell">
    <xdr:from>
      <xdr:col>110</xdr:col>
      <xdr:colOff>108858</xdr:colOff>
      <xdr:row>152</xdr:row>
      <xdr:rowOff>816429</xdr:rowOff>
    </xdr:from>
    <xdr:to>
      <xdr:col>110</xdr:col>
      <xdr:colOff>2096232</xdr:colOff>
      <xdr:row>152</xdr:row>
      <xdr:rowOff>1249134</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5443144" y="333574572"/>
          <a:ext cx="1987374" cy="432705"/>
        </a:xfrm>
        <a:prstGeom prst="rect">
          <a:avLst/>
        </a:prstGeom>
      </xdr:spPr>
    </xdr:pic>
    <xdr:clientData/>
  </xdr:twoCellAnchor>
  <xdr:twoCellAnchor>
    <xdr:from>
      <xdr:col>112</xdr:col>
      <xdr:colOff>3810000</xdr:colOff>
      <xdr:row>119</xdr:row>
      <xdr:rowOff>95250</xdr:rowOff>
    </xdr:from>
    <xdr:to>
      <xdr:col>112</xdr:col>
      <xdr:colOff>6643687</xdr:colOff>
      <xdr:row>119</xdr:row>
      <xdr:rowOff>416719</xdr:rowOff>
    </xdr:to>
    <xdr:sp macro="" textlink="">
      <xdr:nvSpPr>
        <xdr:cNvPr id="24" name="Прямоугольник 23">
          <a:hlinkClick xmlns:r="http://schemas.openxmlformats.org/officeDocument/2006/relationships" r:id="rId8"/>
          <a:extLst>
            <a:ext uri="{FF2B5EF4-FFF2-40B4-BE49-F238E27FC236}">
              <a16:creationId xmlns:a16="http://schemas.microsoft.com/office/drawing/2014/main" id="{00000000-0008-0000-0000-000018000000}"/>
            </a:ext>
          </a:extLst>
        </xdr:cNvPr>
        <xdr:cNvSpPr/>
      </xdr:nvSpPr>
      <xdr:spPr bwMode="auto">
        <a:xfrm>
          <a:off x="14020800" y="56711850"/>
          <a:ext cx="2833687" cy="28336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sz="1100">
              <a:solidFill>
                <a:sysClr val="windowText" lastClr="000000"/>
              </a:solidFill>
            </a:rPr>
            <a:t>https://disk.yandex.ru/d/P5b6Jh-ZFVVUWQ</a:t>
          </a:r>
          <a:endParaRPr lang="ru-RU" sz="1100">
            <a:solidFill>
              <a:sysClr val="windowText" lastClr="000000"/>
            </a:solidFill>
          </a:endParaRPr>
        </a:p>
      </xdr:txBody>
    </xdr:sp>
    <xdr:clientData/>
  </xdr:twoCellAnchor>
  <xdr:twoCellAnchor>
    <xdr:from>
      <xdr:col>112</xdr:col>
      <xdr:colOff>176212</xdr:colOff>
      <xdr:row>119</xdr:row>
      <xdr:rowOff>92869</xdr:rowOff>
    </xdr:from>
    <xdr:to>
      <xdr:col>112</xdr:col>
      <xdr:colOff>3786187</xdr:colOff>
      <xdr:row>119</xdr:row>
      <xdr:rowOff>414338</xdr:rowOff>
    </xdr:to>
    <xdr:sp macro="" textlink="">
      <xdr:nvSpPr>
        <xdr:cNvPr id="26" name="Прямоугольник 25">
          <a:hlinkClick xmlns:r="http://schemas.openxmlformats.org/officeDocument/2006/relationships" r:id="rId9"/>
          <a:extLst>
            <a:ext uri="{FF2B5EF4-FFF2-40B4-BE49-F238E27FC236}">
              <a16:creationId xmlns:a16="http://schemas.microsoft.com/office/drawing/2014/main" id="{00000000-0008-0000-0000-00001A000000}"/>
            </a:ext>
          </a:extLst>
        </xdr:cNvPr>
        <xdr:cNvSpPr/>
      </xdr:nvSpPr>
      <xdr:spPr bwMode="auto">
        <a:xfrm>
          <a:off x="10387012" y="56709469"/>
          <a:ext cx="3609975" cy="28336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ru-RU" sz="1100">
              <a:solidFill>
                <a:sysClr val="windowText" lastClr="000000"/>
              </a:solidFill>
            </a:rPr>
            <a:t>Фото и видео: </a:t>
          </a:r>
          <a:r>
            <a:rPr lang="en-US" sz="1100">
              <a:solidFill>
                <a:sysClr val="windowText" lastClr="000000"/>
              </a:solidFill>
            </a:rPr>
            <a:t>https://disk.yandex.ru/d/4otwAoeuR32zXQ</a:t>
          </a:r>
          <a:endParaRPr lang="ru-RU" sz="1100">
            <a:solidFill>
              <a:sysClr val="windowText" lastClr="000000"/>
            </a:solidFill>
          </a:endParaRPr>
        </a:p>
      </xdr:txBody>
    </xdr:sp>
    <xdr:clientData/>
  </xdr:twoCellAnchor>
  <xdr:twoCellAnchor>
    <xdr:from>
      <xdr:col>112</xdr:col>
      <xdr:colOff>3810000</xdr:colOff>
      <xdr:row>143</xdr:row>
      <xdr:rowOff>95250</xdr:rowOff>
    </xdr:from>
    <xdr:to>
      <xdr:col>112</xdr:col>
      <xdr:colOff>6643687</xdr:colOff>
      <xdr:row>143</xdr:row>
      <xdr:rowOff>416719</xdr:rowOff>
    </xdr:to>
    <xdr:sp macro="" textlink="">
      <xdr:nvSpPr>
        <xdr:cNvPr id="27" name="Прямоугольник 26">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bwMode="auto">
        <a:xfrm>
          <a:off x="14020800" y="70084950"/>
          <a:ext cx="2833687" cy="28336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sz="1100">
              <a:solidFill>
                <a:sysClr val="windowText" lastClr="000000"/>
              </a:solidFill>
            </a:rPr>
            <a:t>https://disk.yandex.ru/d/P5b6Jh-ZFVVUWQ</a:t>
          </a:r>
          <a:endParaRPr lang="ru-RU" sz="1100">
            <a:solidFill>
              <a:sysClr val="windowText" lastClr="000000"/>
            </a:solidFill>
          </a:endParaRPr>
        </a:p>
      </xdr:txBody>
    </xdr:sp>
    <xdr:clientData/>
  </xdr:twoCellAnchor>
  <xdr:twoCellAnchor>
    <xdr:from>
      <xdr:col>112</xdr:col>
      <xdr:colOff>176212</xdr:colOff>
      <xdr:row>143</xdr:row>
      <xdr:rowOff>92869</xdr:rowOff>
    </xdr:from>
    <xdr:to>
      <xdr:col>112</xdr:col>
      <xdr:colOff>3786187</xdr:colOff>
      <xdr:row>143</xdr:row>
      <xdr:rowOff>414338</xdr:rowOff>
    </xdr:to>
    <xdr:sp macro="" textlink="">
      <xdr:nvSpPr>
        <xdr:cNvPr id="28" name="Прямоугольник 27">
          <a:hlinkClick xmlns:r="http://schemas.openxmlformats.org/officeDocument/2006/relationships" r:id="rId9"/>
          <a:extLst>
            <a:ext uri="{FF2B5EF4-FFF2-40B4-BE49-F238E27FC236}">
              <a16:creationId xmlns:a16="http://schemas.microsoft.com/office/drawing/2014/main" id="{00000000-0008-0000-0000-00001C000000}"/>
            </a:ext>
          </a:extLst>
        </xdr:cNvPr>
        <xdr:cNvSpPr/>
      </xdr:nvSpPr>
      <xdr:spPr bwMode="auto">
        <a:xfrm>
          <a:off x="10387012" y="70082569"/>
          <a:ext cx="3609975" cy="28336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ru-RU" sz="1100">
              <a:solidFill>
                <a:sysClr val="windowText" lastClr="000000"/>
              </a:solidFill>
            </a:rPr>
            <a:t>Фото и видео: </a:t>
          </a:r>
          <a:r>
            <a:rPr lang="en-US" sz="1100">
              <a:solidFill>
                <a:sysClr val="windowText" lastClr="000000"/>
              </a:solidFill>
            </a:rPr>
            <a:t>https://disk.yandex.ru/d/4otwAoeuR32zXQ</a:t>
          </a:r>
          <a:endParaRPr lang="ru-RU" sz="1100">
            <a:solidFill>
              <a:sysClr val="windowText" lastClr="000000"/>
            </a:solidFill>
          </a:endParaRPr>
        </a:p>
      </xdr:txBody>
    </xdr:sp>
    <xdr:clientData/>
  </xdr:twoCellAnchor>
  <xdr:twoCellAnchor editAs="oneCell">
    <xdr:from>
      <xdr:col>89</xdr:col>
      <xdr:colOff>2125068</xdr:colOff>
      <xdr:row>152</xdr:row>
      <xdr:rowOff>139252</xdr:rowOff>
    </xdr:from>
    <xdr:to>
      <xdr:col>90</xdr:col>
      <xdr:colOff>637805</xdr:colOff>
      <xdr:row>152</xdr:row>
      <xdr:rowOff>783775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335868" y="77329852"/>
          <a:ext cx="644523" cy="644523"/>
        </a:xfrm>
        <a:prstGeom prst="rect">
          <a:avLst/>
        </a:prstGeom>
      </xdr:spPr>
    </xdr:pic>
    <xdr:clientData/>
  </xdr:twoCellAnchor>
  <xdr:twoCellAnchor editAs="oneCell">
    <xdr:from>
      <xdr:col>89</xdr:col>
      <xdr:colOff>71438</xdr:colOff>
      <xdr:row>152</xdr:row>
      <xdr:rowOff>154434</xdr:rowOff>
    </xdr:from>
    <xdr:to>
      <xdr:col>90</xdr:col>
      <xdr:colOff>10745</xdr:colOff>
      <xdr:row>152</xdr:row>
      <xdr:rowOff>794095</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82238" y="77345034"/>
          <a:ext cx="1918693" cy="639661"/>
        </a:xfrm>
        <a:prstGeom prst="rect">
          <a:avLst/>
        </a:prstGeom>
      </xdr:spPr>
    </xdr:pic>
    <xdr:clientData/>
  </xdr:twoCellAnchor>
  <xdr:twoCellAnchor editAs="oneCell">
    <xdr:from>
      <xdr:col>112</xdr:col>
      <xdr:colOff>2934692</xdr:colOff>
      <xdr:row>152</xdr:row>
      <xdr:rowOff>131314</xdr:rowOff>
    </xdr:from>
    <xdr:to>
      <xdr:col>113</xdr:col>
      <xdr:colOff>662108</xdr:colOff>
      <xdr:row>152</xdr:row>
      <xdr:rowOff>792271</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145492" y="77321914"/>
          <a:ext cx="661116" cy="660957"/>
        </a:xfrm>
        <a:prstGeom prst="rect">
          <a:avLst/>
        </a:prstGeom>
      </xdr:spPr>
    </xdr:pic>
    <xdr:clientData/>
  </xdr:twoCellAnchor>
  <xdr:twoCellAnchor editAs="oneCell">
    <xdr:from>
      <xdr:col>89</xdr:col>
      <xdr:colOff>5720756</xdr:colOff>
      <xdr:row>149</xdr:row>
      <xdr:rowOff>1952634</xdr:rowOff>
    </xdr:from>
    <xdr:to>
      <xdr:col>91</xdr:col>
      <xdr:colOff>1108388</xdr:colOff>
      <xdr:row>149</xdr:row>
      <xdr:rowOff>4961740</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931556" y="76057134"/>
          <a:ext cx="2873375" cy="3009106"/>
        </a:xfrm>
        <a:prstGeom prst="rect">
          <a:avLst/>
        </a:prstGeom>
      </xdr:spPr>
    </xdr:pic>
    <xdr:clientData/>
  </xdr:twoCellAnchor>
  <xdr:twoCellAnchor>
    <xdr:from>
      <xdr:col>105</xdr:col>
      <xdr:colOff>883920</xdr:colOff>
      <xdr:row>152</xdr:row>
      <xdr:rowOff>175260</xdr:rowOff>
    </xdr:from>
    <xdr:to>
      <xdr:col>105</xdr:col>
      <xdr:colOff>2651760</xdr:colOff>
      <xdr:row>152</xdr:row>
      <xdr:rowOff>1920240</xdr:rowOff>
    </xdr:to>
    <xdr:pic>
      <xdr:nvPicPr>
        <xdr:cNvPr id="36" name="Рисунок 35" descr="Поддержка местных инициатив_Логотип">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094720" y="68907660"/>
          <a:ext cx="1767840" cy="174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77</xdr:col>
      <xdr:colOff>517801</xdr:colOff>
      <xdr:row>152</xdr:row>
      <xdr:rowOff>1</xdr:rowOff>
    </xdr:from>
    <xdr:to>
      <xdr:col>78</xdr:col>
      <xdr:colOff>1652461</xdr:colOff>
      <xdr:row>152</xdr:row>
      <xdr:rowOff>432706</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33515" y="73875901"/>
          <a:ext cx="1972860" cy="432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21</xdr:col>
      <xdr:colOff>0</xdr:colOff>
      <xdr:row>155</xdr:row>
      <xdr:rowOff>508000</xdr:rowOff>
    </xdr:from>
    <xdr:ext cx="1425292" cy="508000"/>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56800" y="27228800"/>
          <a:ext cx="1425292"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352</xdr:col>
      <xdr:colOff>0</xdr:colOff>
      <xdr:row>152</xdr:row>
      <xdr:rowOff>0</xdr:rowOff>
    </xdr:from>
    <xdr:to>
      <xdr:col>352</xdr:col>
      <xdr:colOff>546120</xdr:colOff>
      <xdr:row>152</xdr:row>
      <xdr:rowOff>617400</xdr:rowOff>
    </xdr:to>
    <xdr:pic>
      <xdr:nvPicPr>
        <xdr:cNvPr id="3" name="Рисунок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297180000" y="26416000"/>
          <a:ext cx="546120" cy="198300"/>
        </a:xfrm>
        <a:prstGeom prst="rect">
          <a:avLst/>
        </a:prstGeom>
        <a:ln w="0">
          <a:noFill/>
        </a:ln>
      </xdr:spPr>
    </xdr:pic>
    <xdr:clientData/>
  </xdr:twoCellAnchor>
  <xdr:twoCellAnchor>
    <xdr:from>
      <xdr:col>170</xdr:col>
      <xdr:colOff>0</xdr:colOff>
      <xdr:row>152</xdr:row>
      <xdr:rowOff>0</xdr:rowOff>
    </xdr:from>
    <xdr:to>
      <xdr:col>170</xdr:col>
      <xdr:colOff>3025321</xdr:colOff>
      <xdr:row>152</xdr:row>
      <xdr:rowOff>1927025</xdr:rowOff>
    </xdr:to>
    <xdr:pic>
      <xdr:nvPicPr>
        <xdr:cNvPr id="4" name="Рисунок 1" descr="imageedit_5_4272821594.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xdr:blipFill>
      <xdr:spPr bwMode="auto">
        <a:xfrm>
          <a:off x="153543000" y="26416000"/>
          <a:ext cx="828221" cy="199825"/>
        </a:xfrm>
        <a:prstGeom prst="rect">
          <a:avLst/>
        </a:prstGeom>
        <a:noFill/>
      </xdr:spPr>
    </xdr:pic>
    <xdr:clientData/>
  </xdr:twoCellAnchor>
  <xdr:oneCellAnchor>
    <xdr:from>
      <xdr:col>21</xdr:col>
      <xdr:colOff>368300</xdr:colOff>
      <xdr:row>151</xdr:row>
      <xdr:rowOff>508000</xdr:rowOff>
    </xdr:from>
    <xdr:ext cx="1425293" cy="508000"/>
    <xdr:pic>
      <xdr:nvPicPr>
        <xdr:cNvPr id="5" name="Рисунок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82300" y="26416000"/>
          <a:ext cx="1425293"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307</xdr:col>
      <xdr:colOff>23813</xdr:colOff>
      <xdr:row>152</xdr:row>
      <xdr:rowOff>71437</xdr:rowOff>
    </xdr:from>
    <xdr:ext cx="749873" cy="268247"/>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67485813" y="26487437"/>
          <a:ext cx="749873" cy="268247"/>
        </a:xfrm>
        <a:prstGeom prst="rect">
          <a:avLst/>
        </a:prstGeom>
      </xdr:spPr>
    </xdr:pic>
    <xdr:clientData/>
  </xdr:oneCellAnchor>
  <xdr:twoCellAnchor>
    <xdr:from>
      <xdr:col>321</xdr:col>
      <xdr:colOff>25400</xdr:colOff>
      <xdr:row>152</xdr:row>
      <xdr:rowOff>12700</xdr:rowOff>
    </xdr:from>
    <xdr:to>
      <xdr:col>321</xdr:col>
      <xdr:colOff>1790700</xdr:colOff>
      <xdr:row>153</xdr:row>
      <xdr:rowOff>12700</xdr:rowOff>
    </xdr:to>
    <xdr:pic>
      <xdr:nvPicPr>
        <xdr:cNvPr id="7" name="Picture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85500" y="55664100"/>
          <a:ext cx="17653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oneCellAnchor>
    <xdr:from>
      <xdr:col>320</xdr:col>
      <xdr:colOff>0</xdr:colOff>
      <xdr:row>152</xdr:row>
      <xdr:rowOff>0</xdr:rowOff>
    </xdr:from>
    <xdr:ext cx="2768600" cy="1225550"/>
    <xdr:pic>
      <xdr:nvPicPr>
        <xdr:cNvPr id="9" name="Picture 4" descr="http://barysh.org/upload/rk/01f/narod-bud.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20400" y="54571900"/>
          <a:ext cx="276860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320</xdr:col>
      <xdr:colOff>76200</xdr:colOff>
      <xdr:row>153</xdr:row>
      <xdr:rowOff>76200</xdr:rowOff>
    </xdr:from>
    <xdr:ext cx="4724400" cy="5051425"/>
    <xdr:pic>
      <xdr:nvPicPr>
        <xdr:cNvPr id="10" name="Рисунок 2">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55892700"/>
          <a:ext cx="4724400" cy="330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857250</xdr:colOff>
      <xdr:row>28</xdr:row>
      <xdr:rowOff>0</xdr:rowOff>
    </xdr:from>
    <xdr:to>
      <xdr:col>22</xdr:col>
      <xdr:colOff>15874</xdr:colOff>
      <xdr:row>34</xdr:row>
      <xdr:rowOff>1111250</xdr:rowOff>
    </xdr:to>
    <xdr:graphicFrame macro="">
      <xdr:nvGraphicFramePr>
        <xdr:cNvPr id="4" name="Диаграмма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206375</xdr:colOff>
      <xdr:row>95</xdr:row>
      <xdr:rowOff>206374</xdr:rowOff>
    </xdr:from>
    <xdr:to>
      <xdr:col>20</xdr:col>
      <xdr:colOff>1600200</xdr:colOff>
      <xdr:row>108</xdr:row>
      <xdr:rowOff>127000</xdr:rowOff>
    </xdr:to>
    <xdr:graphicFrame macro="">
      <xdr:nvGraphicFramePr>
        <xdr:cNvPr id="6" name="Диаграмма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800100</xdr:colOff>
      <xdr:row>144</xdr:row>
      <xdr:rowOff>155576</xdr:rowOff>
    </xdr:from>
    <xdr:to>
      <xdr:col>8</xdr:col>
      <xdr:colOff>152400</xdr:colOff>
      <xdr:row>167</xdr:row>
      <xdr:rowOff>76200</xdr:rowOff>
    </xdr:to>
    <xdr:graphicFrame macro="">
      <xdr:nvGraphicFramePr>
        <xdr:cNvPr id="9" name="Диаграмма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546100</xdr:colOff>
      <xdr:row>2</xdr:row>
      <xdr:rowOff>228600</xdr:rowOff>
    </xdr:from>
    <xdr:to>
      <xdr:col>16</xdr:col>
      <xdr:colOff>177800</xdr:colOff>
      <xdr:row>11</xdr:row>
      <xdr:rowOff>444500</xdr:rowOff>
    </xdr:to>
    <xdr:graphicFrame macro="">
      <xdr:nvGraphicFramePr>
        <xdr:cNvPr id="2" name="Диаграмма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323850</xdr:colOff>
      <xdr:row>39</xdr:row>
      <xdr:rowOff>101600</xdr:rowOff>
    </xdr:from>
    <xdr:to>
      <xdr:col>6</xdr:col>
      <xdr:colOff>717550</xdr:colOff>
      <xdr:row>51</xdr:row>
      <xdr:rowOff>177800</xdr:rowOff>
    </xdr:to>
    <xdr:graphicFrame macro="">
      <xdr:nvGraphicFramePr>
        <xdr:cNvPr id="4" name="Диаграмма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63500</xdr:colOff>
      <xdr:row>91</xdr:row>
      <xdr:rowOff>571500</xdr:rowOff>
    </xdr:from>
    <xdr:to>
      <xdr:col>11</xdr:col>
      <xdr:colOff>685800</xdr:colOff>
      <xdr:row>123</xdr:row>
      <xdr:rowOff>88900</xdr:rowOff>
    </xdr:to>
    <xdr:graphicFrame macro="">
      <xdr:nvGraphicFramePr>
        <xdr:cNvPr id="2" name="Диаграмма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SKEB~1/AppData/Local/Temp/Rar$DIa0.222/&#1055;&#1088;&#1080;&#1083;&#1086;&#1078;&#1077;&#1085;&#1080;&#1077;%201%20&#1056;&#1077;&#1075;&#1082;&#1086;&#1085;&#1082;&#1091;&#1088;&#10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SKEB~1/AppData/Local/Temp/Rar$DIa0.222/&#1048;&#1054;&#1043;&#1042;/&#1044;&#1054;&#1042;&#1057;/&#1055;&#1088;&#1080;&#1083;&#1086;&#1078;&#1077;&#1085;&#1080;&#1077;%201_2021%20&#1070;&#1075;&#1088;&#1072;%20&#1056;&#1077;&#1075;&#1082;&#1086;&#1085;&#1082;&#1091;&#1088;&#10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1059;&#1095;&#1077;&#1090;&#1085;&#1072;&#1103;%20&#1087;&#1086;&#1083;&#1080;&#1090;&#1080;&#1082;&#1072;%20&#1082;%20&#1086;&#1090;&#1095;&#1077;&#1090;&#1072;&#1084;%20&#1087;&#1086;%20&#1048;&#1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оварь"/>
      <sheetName val="ЮГРА регконкурс"/>
      <sheetName val="Югорск"/>
      <sheetName val="Радужный"/>
      <sheetName val="Ханты"/>
      <sheetName val="Октяб"/>
      <sheetName val="Урай"/>
      <sheetName val="Совет"/>
      <sheetName val="Лангепас"/>
      <sheetName val="НЮг рн"/>
      <sheetName val="Березово"/>
      <sheetName val="Сургут"/>
      <sheetName val="НВарт"/>
      <sheetName val="Когалым"/>
      <sheetName val="Конда"/>
      <sheetName val="НЮГ"/>
      <sheetName val="Сур рн"/>
      <sheetName val="Белояр"/>
      <sheetName val="Нижневар рн"/>
      <sheetName val="ХМ рн"/>
      <sheetName val="Нягань"/>
      <sheetName val="Покачи"/>
      <sheetName val="Мегион"/>
      <sheetName val="Лист22"/>
      <sheetName val="Пыть-Ях"/>
    </sheetNames>
    <sheetDataSet>
      <sheetData sheetId="0" refreshError="1"/>
      <sheetData sheetId="1" refreshError="1"/>
      <sheetData sheetId="2">
        <row r="34">
          <cell r="F34">
            <v>0</v>
          </cell>
        </row>
      </sheetData>
      <sheetData sheetId="3">
        <row r="29">
          <cell r="F29">
            <v>0.70983326999999996</v>
          </cell>
        </row>
      </sheetData>
      <sheetData sheetId="4">
        <row r="29">
          <cell r="F29">
            <v>4.5424889999999998</v>
          </cell>
        </row>
      </sheetData>
      <sheetData sheetId="5">
        <row r="29">
          <cell r="F29">
            <v>13.821000000000002</v>
          </cell>
        </row>
      </sheetData>
      <sheetData sheetId="6">
        <row r="29">
          <cell r="F29">
            <v>2.1459700000000002</v>
          </cell>
        </row>
      </sheetData>
      <sheetData sheetId="7">
        <row r="29">
          <cell r="F29">
            <v>2.331</v>
          </cell>
        </row>
      </sheetData>
      <sheetData sheetId="8">
        <row r="29">
          <cell r="F29">
            <v>1.796</v>
          </cell>
        </row>
      </sheetData>
      <sheetData sheetId="9">
        <row r="29">
          <cell r="F29">
            <v>4.3239999999999998</v>
          </cell>
        </row>
      </sheetData>
      <sheetData sheetId="10">
        <row r="29">
          <cell r="F29">
            <v>1.141</v>
          </cell>
        </row>
      </sheetData>
      <sheetData sheetId="11">
        <row r="29">
          <cell r="F29">
            <v>4.0049999999999999</v>
          </cell>
        </row>
      </sheetData>
      <sheetData sheetId="12">
        <row r="29">
          <cell r="F29">
            <v>3.0790000000000002</v>
          </cell>
        </row>
      </sheetData>
      <sheetData sheetId="13">
        <row r="29">
          <cell r="F29">
            <v>12.6074</v>
          </cell>
        </row>
      </sheetData>
      <sheetData sheetId="14">
        <row r="29">
          <cell r="F29">
            <v>17.5</v>
          </cell>
        </row>
      </sheetData>
      <sheetData sheetId="15">
        <row r="29">
          <cell r="F29">
            <v>1.593</v>
          </cell>
        </row>
      </sheetData>
      <sheetData sheetId="16">
        <row r="29">
          <cell r="F29">
            <v>19.545999999999999</v>
          </cell>
        </row>
      </sheetData>
      <sheetData sheetId="17">
        <row r="29">
          <cell r="F29">
            <v>7.7460000000000004</v>
          </cell>
        </row>
      </sheetData>
      <sheetData sheetId="18">
        <row r="29">
          <cell r="F29">
            <v>20.634751000000001</v>
          </cell>
        </row>
      </sheetData>
      <sheetData sheetId="19">
        <row r="29">
          <cell r="F29">
            <v>0</v>
          </cell>
        </row>
      </sheetData>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оварь"/>
      <sheetName val="свод практика субъекта"/>
      <sheetName val="Березовский рн+"/>
      <sheetName val="Белоярский рн+"/>
      <sheetName val="Кондинский рн+"/>
      <sheetName val="Нефтеюганский рн+"/>
      <sheetName val="Нижневартовский рн"/>
      <sheetName val="Октябрьский рн+"/>
      <sheetName val="Советский рн+"/>
      <sheetName val="Сургутский рн+"/>
      <sheetName val="Ханты-Мансийский рн"/>
      <sheetName val="Когалым+"/>
      <sheetName val="Лангепас+"/>
      <sheetName val="Нижневартовск+"/>
      <sheetName val="Нягань+"/>
      <sheetName val="Пыть-Ях+"/>
      <sheetName val="Радужный+"/>
      <sheetName val="Сургут"/>
      <sheetName val="Урай+"/>
      <sheetName val="Ханты-Мансийск"/>
      <sheetName val="Югорск+"/>
      <sheetName val="Нефтеюганск+"/>
      <sheetName val="Мегион+"/>
      <sheetName val="Покачи+"/>
    </sheetNames>
    <sheetDataSet>
      <sheetData sheetId="0" refreshError="1"/>
      <sheetData sheetId="1" refreshError="1"/>
      <sheetData sheetId="2"/>
      <sheetData sheetId="3"/>
      <sheetData sheetId="4"/>
      <sheetData sheetId="5">
        <row r="50">
          <cell r="F50">
            <v>1</v>
          </cell>
        </row>
      </sheetData>
      <sheetData sheetId="6"/>
      <sheetData sheetId="7">
        <row r="49">
          <cell r="F49">
            <v>1</v>
          </cell>
        </row>
      </sheetData>
      <sheetData sheetId="8">
        <row r="50">
          <cell r="F50">
            <v>1</v>
          </cell>
        </row>
      </sheetData>
      <sheetData sheetId="9"/>
      <sheetData sheetId="10">
        <row r="50">
          <cell r="F50">
            <v>2</v>
          </cell>
        </row>
      </sheetData>
      <sheetData sheetId="11"/>
      <sheetData sheetId="12"/>
      <sheetData sheetId="13"/>
      <sheetData sheetId="14"/>
      <sheetData sheetId="15"/>
      <sheetData sheetId="16"/>
      <sheetData sheetId="17"/>
      <sheetData sheetId="18"/>
      <sheetData sheetId="19"/>
      <sheetData sheetId="20">
        <row r="49">
          <cell r="F49">
            <v>1</v>
          </cell>
        </row>
      </sheetData>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тная политика"/>
    </sheetNames>
    <sheetDataSet>
      <sheetData sheetId="0" refreshError="1">
        <row r="9">
          <cell r="N9">
            <v>5384.3419999999996</v>
          </cell>
        </row>
        <row r="15">
          <cell r="L15">
            <v>15</v>
          </cell>
          <cell r="M15">
            <v>3060</v>
          </cell>
          <cell r="Y15">
            <v>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story@adm44.ru" TargetMode="External"/><Relationship Id="rId671" Type="http://schemas.openxmlformats.org/officeDocument/2006/relationships/hyperlink" Target="mailto:ionina.ev@dvinaland.ru" TargetMode="External"/><Relationship Id="rId21" Type="http://schemas.openxmlformats.org/officeDocument/2006/relationships/hyperlink" Target="https://27.rosstat.gov.ru/" TargetMode="External"/><Relationship Id="rId324" Type="http://schemas.openxmlformats.org/officeDocument/2006/relationships/hyperlink" Target="mailto:avb@volgafin.ru" TargetMode="External"/><Relationship Id="rId531" Type="http://schemas.openxmlformats.org/officeDocument/2006/relationships/hyperlink" Target="https://disk.yandex.ru/d/B5YKNqMCrCvOBg" TargetMode="External"/><Relationship Id="rId629" Type="http://schemas.openxmlformats.org/officeDocument/2006/relationships/hyperlink" Target="http://publication.pravo.gov.ru/Document/View/5700201710030002" TargetMode="External"/><Relationship Id="rId170" Type="http://schemas.openxmlformats.org/officeDocument/2006/relationships/hyperlink" Target="https://vk.com/wall-160413159?offset=440&amp;q=%D0%9D%D0%B0%D1%88%20%D0%B2%D1%8B%D0%B1%D0%BE%D1%80&amp;w=wall-160413159_7860" TargetMode="External"/><Relationship Id="rId268" Type="http://schemas.openxmlformats.org/officeDocument/2006/relationships/hyperlink" Target="https://vk.com/cigi_noc_rb" TargetMode="External"/><Relationship Id="rId475" Type="http://schemas.openxmlformats.org/officeDocument/2006/relationships/hyperlink" Target="mailto:kav@agro.tambov.gov.ru" TargetMode="External"/><Relationship Id="rId682" Type="http://schemas.openxmlformats.org/officeDocument/2006/relationships/hyperlink" Target="mailto:Oromanova@mezhk.omskportal.ru" TargetMode="External"/><Relationship Id="rId32" Type="http://schemas.openxmlformats.org/officeDocument/2006/relationships/hyperlink" Target="https://&#1074;&#1077;&#1089;&#1090;&#1080;35.&#1088;&#1092;/video/2022/03/24/itogi_realizacii_proekta_narodnyy_byudzhet_za_2021_god_podveli_v_vologde" TargetMode="External"/><Relationship Id="rId128" Type="http://schemas.openxmlformats.org/officeDocument/2006/relationships/hyperlink" Target="https://docs.cntd.ru/document/553230534" TargetMode="External"/><Relationship Id="rId335" Type="http://schemas.openxmlformats.org/officeDocument/2006/relationships/hyperlink" Target="http://beldepfin.ru/dokumenty/vse-dokumenty/zakon-belgorodskoj-oblasti-ot-16-dekabrya-2021-god/" TargetMode="External"/><Relationship Id="rId542" Type="http://schemas.openxmlformats.org/officeDocument/2006/relationships/hyperlink" Target="https://minfin.saratov.gov.ru/index.php?option=com_acrfilestorage&amp;task=download&amp;on=2065" TargetMode="External"/><Relationship Id="rId181" Type="http://schemas.openxmlformats.org/officeDocument/2006/relationships/hyperlink" Target="mailto:bud_komfin@novreg.ru" TargetMode="External"/><Relationship Id="rId402" Type="http://schemas.openxmlformats.org/officeDocument/2006/relationships/hyperlink" Target="http://publication.pravo.gov.ru/Document/View/5200202112300001" TargetMode="External"/><Relationship Id="rId279" Type="http://schemas.openxmlformats.org/officeDocument/2006/relationships/hyperlink" Target="http://publication.pravo.gov.ru/Document/View/7400202201130002" TargetMode="External"/><Relationship Id="rId486" Type="http://schemas.openxmlformats.org/officeDocument/2006/relationships/hyperlink" Target="http://energy.midural.ru/gosudarstvennaya-programma/" TargetMode="External"/><Relationship Id="rId693" Type="http://schemas.openxmlformats.org/officeDocument/2006/relationships/hyperlink" Target="https://78.rosstat.gov.ru/storage/mediabank/&#1063;&#1080;&#1089;&#1083;.&#1057;&#1055;&#1073;%20&#1085;&#1072;%2001.01.2022%20.pdf" TargetMode="External"/><Relationship Id="rId707" Type="http://schemas.openxmlformats.org/officeDocument/2006/relationships/hyperlink" Target="https://&#1079;&#1072;&#1073;&#1072;&#1081;&#1082;&#1072;&#1083;&#1100;&#1077;.&#1084;&#1086;&#1103;&#1088;&#1086;&#1089;&#1089;&#1080;&#1103;.&#1088;&#1092;/public/application/cards" TargetMode="External"/><Relationship Id="rId43" Type="http://schemas.openxmlformats.org/officeDocument/2006/relationships/hyperlink" Target="mailto:mbo@minfinrk.ru" TargetMode="External"/><Relationship Id="rId139" Type="http://schemas.openxmlformats.org/officeDocument/2006/relationships/hyperlink" Target="https://apk.novreg.ru/documents/552.html" TargetMode="External"/><Relationship Id="rId346" Type="http://schemas.openxmlformats.org/officeDocument/2006/relationships/hyperlink" Target="http://dkp31.ru/" TargetMode="External"/><Relationship Id="rId553" Type="http://schemas.openxmlformats.org/officeDocument/2006/relationships/hyperlink" Target="https://rosstat.gov.ru/storage/mediabank/chisl_RF_01-01-2022_VPN-2020.xls" TargetMode="External"/><Relationship Id="rId192" Type="http://schemas.openxmlformats.org/officeDocument/2006/relationships/hyperlink" Target="https://docs.cntd.ru/document/450360732" TargetMode="External"/><Relationship Id="rId206" Type="http://schemas.openxmlformats.org/officeDocument/2006/relationships/hyperlink" Target="mailto:bud_komfin@novreg.ru" TargetMode="External"/><Relationship Id="rId413" Type="http://schemas.openxmlformats.org/officeDocument/2006/relationships/hyperlink" Target="mailto:gorod_sreda73@mail.ru" TargetMode="External"/><Relationship Id="rId497" Type="http://schemas.openxmlformats.org/officeDocument/2006/relationships/hyperlink" Target="https://disk.yandex.ru/d/yXkDdxbdpS9O0w" TargetMode="External"/><Relationship Id="rId620" Type="http://schemas.openxmlformats.org/officeDocument/2006/relationships/hyperlink" Target="mailto:tnsimakova@minter.permkrai.ru" TargetMode="External"/><Relationship Id="rId718" Type="http://schemas.openxmlformats.org/officeDocument/2006/relationships/hyperlink" Target="https://disk.yandex.ru/d/D19IW8IO9t0U5Q" TargetMode="External"/><Relationship Id="rId357" Type="http://schemas.openxmlformats.org/officeDocument/2006/relationships/hyperlink" Target="mailto:n.krotova@gov39.ru" TargetMode="External"/><Relationship Id="rId54" Type="http://schemas.openxmlformats.org/officeDocument/2006/relationships/hyperlink" Target="https://chechenstat.gks.ru/folder/38713" TargetMode="External"/><Relationship Id="rId217" Type="http://schemas.openxmlformats.org/officeDocument/2006/relationships/hyperlink" Target="https://arhangelskstat.gks.ru/population111" TargetMode="External"/><Relationship Id="rId564" Type="http://schemas.openxmlformats.org/officeDocument/2006/relationships/hyperlink" Target="https://disk.yandex.ru/i/HThgczPor6hX_g" TargetMode="External"/><Relationship Id="rId424" Type="http://schemas.openxmlformats.org/officeDocument/2006/relationships/hyperlink" Target="https://disk.yandex.ru/d/bZbeBWBWm2hOGw" TargetMode="External"/><Relationship Id="rId631" Type="http://schemas.openxmlformats.org/officeDocument/2006/relationships/hyperlink" Target="http://&#1086;&#1088;&#1105;&#1083;.&#1088;&#1092;/&#1085;&#1072;&#1088;&#1086;&#1076;&#1085;&#1099;&#1081;-&#1073;&#1102;&#1076;&#1078;&#1077;&#1090;" TargetMode="External"/><Relationship Id="rId729" Type="http://schemas.openxmlformats.org/officeDocument/2006/relationships/hyperlink" Target="mailto:KuzovkinaEA@admlr.lipetsk.ru" TargetMode="External"/><Relationship Id="rId270" Type="http://schemas.openxmlformats.org/officeDocument/2006/relationships/hyperlink" Target="mailto:ivaha.vv@nocrb.ru" TargetMode="External"/><Relationship Id="rId65" Type="http://schemas.openxmlformats.org/officeDocument/2006/relationships/hyperlink" Target="mailto:l_presnaykova@govvrn.ru" TargetMode="External"/><Relationship Id="rId130" Type="http://schemas.openxmlformats.org/officeDocument/2006/relationships/hyperlink" Target="https://novgorodstat.gks.ru/storage/mediabank/%D0%A7%D0%B8%D1%81%D0%BB%D0%B5%D0%BD%D0%BD%D0%BE%D1%81%D1%82%D1%8C%20%D0%BE%D0%B1%D0%BB%D0%B0%D1%81%D1%82%D1%8C%202022.pdf" TargetMode="External"/><Relationship Id="rId368" Type="http://schemas.openxmlformats.org/officeDocument/2006/relationships/hyperlink" Target="mailto:mvdemin@mail.ru" TargetMode="External"/><Relationship Id="rId575" Type="http://schemas.openxmlformats.org/officeDocument/2006/relationships/hyperlink" Target="https://www.donland.ru/activity/2623/" TargetMode="External"/><Relationship Id="rId228" Type="http://schemas.openxmlformats.org/officeDocument/2006/relationships/hyperlink" Target="http://budget.orb.ru/images/gritsenko/post3.doc" TargetMode="External"/><Relationship Id="rId435" Type="http://schemas.openxmlformats.org/officeDocument/2006/relationships/hyperlink" Target="https://disk.yandex.ru/i/aYxSNZdBi9urEQ" TargetMode="External"/><Relationship Id="rId642" Type="http://schemas.openxmlformats.org/officeDocument/2006/relationships/hyperlink" Target="mailto:oee@adm.orel.ru" TargetMode="External"/><Relationship Id="rId281" Type="http://schemas.openxmlformats.org/officeDocument/2006/relationships/hyperlink" Target="https://pos.gosuslugi.ru/lkp" TargetMode="External"/><Relationship Id="rId502" Type="http://schemas.openxmlformats.org/officeDocument/2006/relationships/hyperlink" Target="https://www.samregion.ru/open_government/institutions-gubernatorskij-proekt-sodejstvie/" TargetMode="External"/><Relationship Id="rId76" Type="http://schemas.openxmlformats.org/officeDocument/2006/relationships/hyperlink" Target="mailto:reformir@mcx.gov33.ru" TargetMode="External"/><Relationship Id="rId141" Type="http://schemas.openxmlformats.org/officeDocument/2006/relationships/hyperlink" Target="https://novgorodstat.gks.ru/storage/mediabank/&#1063;&#1080;&#1089;&#1083;&#1077;&#1085;&#1085;&#1086;&#1089;&#1090;&#1100;%20&#1085;&#1072;&#1089;&#1077;&#1083;&#1077;&#1085;&#1080;&#1103;%20&#1085;&#1072;%201.01.2022%20&#1075;&#1086;&#1076;&#1072;.pdf" TargetMode="External"/><Relationship Id="rId379" Type="http://schemas.openxmlformats.org/officeDocument/2006/relationships/hyperlink" Target="http://zakon.krskstate.ru/0/doc/34007" TargetMode="External"/><Relationship Id="rId586" Type="http://schemas.openxmlformats.org/officeDocument/2006/relationships/hyperlink" Target="https://mari-el.gov.ru/ministries/minstroy/" TargetMode="External"/><Relationship Id="rId7" Type="http://schemas.openxmlformats.org/officeDocument/2006/relationships/hyperlink" Target="https://depfin.tomsk.gov.ru/initsiativnoe-bjudzhetirovanie" TargetMode="External"/><Relationship Id="rId239" Type="http://schemas.openxmlformats.org/officeDocument/2006/relationships/hyperlink" Target="https://www.cap.ru/doc/laws/2022/08/24/ruling-406" TargetMode="External"/><Relationship Id="rId446" Type="http://schemas.openxmlformats.org/officeDocument/2006/relationships/hyperlink" Target="https://72.rosstat.gov.ru/ofs_demp_ug" TargetMode="External"/><Relationship Id="rId653" Type="http://schemas.openxmlformats.org/officeDocument/2006/relationships/hyperlink" Target="https://ovmf2.consultant.ru/cgi/online.cgi?req=doc&amp;cacheid=91FAF2830B494CFC4A20C2EA93B506AB&amp;SORTTYPE=0&amp;BASENODE=23700-48&amp;ts=4tWHwbTachWvjHzX1&amp;base=RLAW148&amp;n=196885&amp;rnd=Tn7HyA" TargetMode="External"/><Relationship Id="rId292" Type="http://schemas.openxmlformats.org/officeDocument/2006/relationships/hyperlink" Target="https://adm.rkomi.ru/" TargetMode="External"/><Relationship Id="rId306" Type="http://schemas.openxmlformats.org/officeDocument/2006/relationships/hyperlink" Target="http://karelia-zs.ru/zakonodatelstvo_rk/prav_akty/915-zrk/" TargetMode="External"/><Relationship Id="rId87" Type="http://schemas.openxmlformats.org/officeDocument/2006/relationships/hyperlink" Target="http://minec-rd.e-dag.ru/mestnye-initsiativy" TargetMode="External"/><Relationship Id="rId513" Type="http://schemas.openxmlformats.org/officeDocument/2006/relationships/hyperlink" Target="http://sakhminfin.ru/" TargetMode="External"/><Relationship Id="rId597" Type="http://schemas.openxmlformats.org/officeDocument/2006/relationships/hyperlink" Target="https://rosstat.gov.ru/compendium/document/13282" TargetMode="External"/><Relationship Id="rId720" Type="http://schemas.openxmlformats.org/officeDocument/2006/relationships/hyperlink" Target="https://mcx.75.ru/gospodderzhka/finansovaya-podderzhka/kompleksnoe-razvitie-sel-skih-territoriy/blagoustroystvo-sel-skih-territoriy" TargetMode="External"/><Relationship Id="rId152" Type="http://schemas.openxmlformats.org/officeDocument/2006/relationships/hyperlink" Target="https://gokucmpi.ru/" TargetMode="External"/><Relationship Id="rId457" Type="http://schemas.openxmlformats.org/officeDocument/2006/relationships/hyperlink" Target="consultantplus://offline/ref=B082A54577C801051DBB1E59255008648595B982756A31581CA203532BF927376E135ECB3F42EA925BE136848C717128FD9A1885419488B42AC258ACi4fAN" TargetMode="External"/><Relationship Id="rId664" Type="http://schemas.openxmlformats.org/officeDocument/2006/relationships/hyperlink" Target="https://vote.dobrodel.ru/narodniy_budjet" TargetMode="External"/><Relationship Id="rId14" Type="http://schemas.openxmlformats.org/officeDocument/2006/relationships/hyperlink" Target="mailto:rudenko.ib@rkursk.ru" TargetMode="External"/><Relationship Id="rId317" Type="http://schemas.openxmlformats.org/officeDocument/2006/relationships/hyperlink" Target="mailto:gluhovaov@dsr.kirov.ru" TargetMode="External"/><Relationship Id="rId524" Type="http://schemas.openxmlformats.org/officeDocument/2006/relationships/hyperlink" Target="https://docs.cntd.ru/document/822403530?marker=7DC0K7" TargetMode="External"/><Relationship Id="rId731" Type="http://schemas.openxmlformats.org/officeDocument/2006/relationships/hyperlink" Target="https://bashstat.gks.ru/storage/mediabank/CHislennost-naseleniya-po-municipalnym-rajonam-i-gorodskim-okrugam-Respubliki-%20Bashkortostan-na-1-yanvarya-2022-g-s-uchetom-VPN-2020.pdf" TargetMode="External"/><Relationship Id="rId98" Type="http://schemas.openxmlformats.org/officeDocument/2006/relationships/hyperlink" Target="https://www.ofukem.ru/activity/initiative-budgeting/about-the-projects/" TargetMode="External"/><Relationship Id="rId163" Type="http://schemas.openxmlformats.org/officeDocument/2006/relationships/hyperlink" Target="https://docs.cntd.ru/document/553386375" TargetMode="External"/><Relationship Id="rId370" Type="http://schemas.openxmlformats.org/officeDocument/2006/relationships/hyperlink" Target="https://&#1095;&#1091;&#1082;&#1086;&#1090;&#1082;&#1072;.&#1088;&#1092;/depfin/about/struktura-i-sostav/upravlenie-finansov/napravleniya-raboty/mezhbyudzhetnye-otnosheniya/initsiativnoe-byudzhetirovanie.php" TargetMode="External"/><Relationship Id="rId230" Type="http://schemas.openxmlformats.org/officeDocument/2006/relationships/hyperlink" Target="https://gov-office.orb.ru/upload/uf/c28/Vovlechenie-zhiteley-MO-v-protsess-vybora-i-realizatsii-initsiativnykh-proektov.pdf" TargetMode="External"/><Relationship Id="rId468" Type="http://schemas.openxmlformats.org/officeDocument/2006/relationships/hyperlink" Target="http://publication.pravo.gov.ru/Document/View/6800201709010001?rangeSize=20" TargetMode="External"/><Relationship Id="rId675" Type="http://schemas.openxmlformats.org/officeDocument/2006/relationships/hyperlink" Target="https://isib.myopenugra.ru/upload/iblock/e14/e1405c7d566d86dc6af2fa6bd0928e19.pdf" TargetMode="External"/><Relationship Id="rId25" Type="http://schemas.openxmlformats.org/officeDocument/2006/relationships/hyperlink" Target="https://38.rosstat.gov.ru/storage/mediabank/post_nasel_obl_2023(1).html" TargetMode="External"/><Relationship Id="rId328" Type="http://schemas.openxmlformats.org/officeDocument/2006/relationships/hyperlink" Target="http://mfc.volganet.ru/konkurs_iniciativ.php" TargetMode="External"/><Relationship Id="rId535" Type="http://schemas.openxmlformats.org/officeDocument/2006/relationships/hyperlink" Target="https://78.rosstat.gov.ru/folder/27595" TargetMode="External"/><Relationship Id="rId742" Type="http://schemas.openxmlformats.org/officeDocument/2006/relationships/hyperlink" Target="http://publication.pravo.gov.ru/Document/View/7100202102010001" TargetMode="External"/><Relationship Id="rId174" Type="http://schemas.openxmlformats.org/officeDocument/2006/relationships/hyperlink" Target="https://novgorodstat.gks.ru/storage/mediabank/%D0%A7%D0%B8%D1%81%D0%BB%D0%B5%D0%BD%D0%BD%D0%BE%D1%81%D1%82%D1%8C%20%D0%BD%D0%B0%D1%81%D0%B5%D0%BB%D0%B5%D0%BD%D0%B8%D1%8F%20%D0%BD%D0%B0%201.01.2022%20%D0%B3%D0%BE%D0%B4%D0%B0.pdf" TargetMode="External"/><Relationship Id="rId381" Type="http://schemas.openxmlformats.org/officeDocument/2006/relationships/hyperlink" Target="http://zakon.krskstate.ru/0/doc/34007" TargetMode="External"/><Relationship Id="rId602" Type="http://schemas.openxmlformats.org/officeDocument/2006/relationships/hyperlink" Target="mailto:invest@gov.mari.ru" TargetMode="External"/><Relationship Id="rId241" Type="http://schemas.openxmlformats.org/officeDocument/2006/relationships/hyperlink" Target="https://pskov.ru/vlast/ispolnitelnaya/administratsiya-oblasti/apparat/upravlenie-po-mestnomu-samoupr/gosudarstvennye-programmy-i-po" TargetMode="External"/><Relationship Id="rId479" Type="http://schemas.openxmlformats.org/officeDocument/2006/relationships/hyperlink" Target="https://gkh.tmbreg.ru/form/Dostup_Sreda/Dostup_sreda_ogl.htm" TargetMode="External"/><Relationship Id="rId686" Type="http://schemas.openxmlformats.org/officeDocument/2006/relationships/hyperlink" Target="mailto:Oromanova@mezhk.omskportal.ru" TargetMode="External"/><Relationship Id="rId36" Type="http://schemas.openxmlformats.org/officeDocument/2006/relationships/hyperlink" Target="https://fin.amurobl.ru/pages/deyatelnost/initsiativnoe-byudzhetirovanie/" TargetMode="External"/><Relationship Id="rId339" Type="http://schemas.openxmlformats.org/officeDocument/2006/relationships/hyperlink" Target="http://www.zakon.belregion.ru/" TargetMode="External"/><Relationship Id="rId546" Type="http://schemas.openxmlformats.org/officeDocument/2006/relationships/hyperlink" Target="https://minfin.saratov.gov.ru/budget/proekty/proekt-po-podderzhke-mestnykh-initsiativ-v-saratovskoj-oblasti/o-proekte" TargetMode="External"/><Relationship Id="rId753" Type="http://schemas.openxmlformats.org/officeDocument/2006/relationships/hyperlink" Target="https://disk.yandex.ru/d/Swo1Oar0ZAXXhQ" TargetMode="External"/><Relationship Id="rId101" Type="http://schemas.openxmlformats.org/officeDocument/2006/relationships/hyperlink" Target="https://minfin01-maykop.ru/Show/Category/7?ItemId=55" TargetMode="External"/><Relationship Id="rId185" Type="http://schemas.openxmlformats.org/officeDocument/2006/relationships/hyperlink" Target="https://novgorodstat.gks.ru/storage/mediabank/%D0%A7%D0%B8%D1%81%D0%BB%D0%B5%D0%BD%D0%BD%D0%BE%D1%81%D1%82%D1%8C%20%D0%BE%D0%B1%D0%BB%D0%B0%D1%81%D1%82%D1%8C%202022.pdf" TargetMode="External"/><Relationship Id="rId406" Type="http://schemas.openxmlformats.org/officeDocument/2006/relationships/hyperlink" Target="mailto:mag@mvp.kreml.nnov.ru" TargetMode="External"/><Relationship Id="rId392" Type="http://schemas.openxmlformats.org/officeDocument/2006/relationships/hyperlink" Target="http://msu.lenobl.ru/news/mediaproekty/" TargetMode="External"/><Relationship Id="rId613" Type="http://schemas.openxmlformats.org/officeDocument/2006/relationships/hyperlink" Target="mailto:unp@minfin.rk.gov.ru" TargetMode="External"/><Relationship Id="rId697" Type="http://schemas.openxmlformats.org/officeDocument/2006/relationships/hyperlink" Target="https://tvoybudget.spb.ru/" TargetMode="External"/><Relationship Id="rId252" Type="http://schemas.openxmlformats.org/officeDocument/2006/relationships/hyperlink" Target="mailto:bvl@obladmin.pskov.ru" TargetMode="External"/><Relationship Id="rId47" Type="http://schemas.openxmlformats.org/officeDocument/2006/relationships/hyperlink" Target="http://ivo.garant.ru/proxy/share?data=q4Og0aLnpN5Pvp_qlYqxjK_xqrzXt9W_qeqZArDksdj_97HLova1x5DWsdG8lFKko_yS8tuowbnMtcfyh_Gp47Xikv2K_L_hlQzwn7TasvW85r_8j9G0nuur5IkQ5bbjguS0rQ==" TargetMode="External"/><Relationship Id="rId112" Type="http://schemas.openxmlformats.org/officeDocument/2006/relationships/hyperlink" Target="http://www.statdata.ru/naselenie/kostromskoi-oblasti" TargetMode="External"/><Relationship Id="rId557" Type="http://schemas.openxmlformats.org/officeDocument/2006/relationships/hyperlink" Target="mailto:GolushkovAS@Saratov.gov.ru" TargetMode="External"/><Relationship Id="rId196" Type="http://schemas.openxmlformats.org/officeDocument/2006/relationships/hyperlink" Target="https://gokucmpi.ru/" TargetMode="External"/><Relationship Id="rId417" Type="http://schemas.openxmlformats.org/officeDocument/2006/relationships/hyperlink" Target="http://energy.ulregion.ru/" TargetMode="External"/><Relationship Id="rId624" Type="http://schemas.openxmlformats.org/officeDocument/2006/relationships/hyperlink" Target="https://minter.permkrai.ru/deyatelnost/podderzhka-mestnykh-initsiativ/initsiativnoe-byudzhetirovanie/initsiativnoe-byudzhetirovanie" TargetMode="External"/><Relationship Id="rId263" Type="http://schemas.openxmlformats.org/officeDocument/2006/relationships/hyperlink" Target="mailto:salakhutdinova.ar@bashkortostan.ru" TargetMode="External"/><Relationship Id="rId470" Type="http://schemas.openxmlformats.org/officeDocument/2006/relationships/hyperlink" Target="https://agro.tmbreg.ru/inv.html" TargetMode="External"/><Relationship Id="rId58" Type="http://schemas.openxmlformats.org/officeDocument/2006/relationships/hyperlink" Target="mailto:mn_anisimova@govvrn.ru" TargetMode="External"/><Relationship Id="rId123" Type="http://schemas.openxmlformats.org/officeDocument/2006/relationships/hyperlink" Target="mailto:fakhreeva_az@mfnso.ru" TargetMode="External"/><Relationship Id="rId330" Type="http://schemas.openxmlformats.org/officeDocument/2006/relationships/hyperlink" Target="https://minfin.astrobl.ru/napravleniya-deyatelnosti/iniciativnoe-biudzetirovanie" TargetMode="External"/><Relationship Id="rId568" Type="http://schemas.openxmlformats.org/officeDocument/2006/relationships/hyperlink" Target="mailto:rakitina@ryazagro.ru" TargetMode="External"/><Relationship Id="rId428" Type="http://schemas.openxmlformats.org/officeDocument/2006/relationships/hyperlink" Target="http://10.40.40.2/ppmi/npa%20%20(&#1088;&#1072;&#1079;&#1076;&#1077;&#1083;%20%22&#1053;&#1055;&#1040;%22,%20&#1087;&#1086;&#1076;&#1088;&#1072;&#1079;&#1076;&#1077;&#1083;%20%22&#1064;&#1072;&#1073;&#1083;&#1086;&#1085;&#1099;%22,%20&#1055;&#1055;&#1052;&#1048;%20&#1051;&#1086;&#1075;&#1086;&#1090;&#1080;&#1087;)" TargetMode="External"/><Relationship Id="rId635" Type="http://schemas.openxmlformats.org/officeDocument/2006/relationships/hyperlink" Target="http://orel-region.ru/index.php?head=17&amp;part=19&amp;docid=10476" TargetMode="External"/><Relationship Id="rId274" Type="http://schemas.openxmlformats.org/officeDocument/2006/relationships/hyperlink" Target="https://laws.khv.gov.ru/" TargetMode="External"/><Relationship Id="rId481" Type="http://schemas.openxmlformats.org/officeDocument/2006/relationships/hyperlink" Target="https://68.rosstat.gov.ru/storage/mediabank/chis23-22s.pdf" TargetMode="External"/><Relationship Id="rId702" Type="http://schemas.openxmlformats.org/officeDocument/2006/relationships/hyperlink" Target="https://minfin.alregn.ru/bud/z2022/" TargetMode="External"/><Relationship Id="rId69" Type="http://schemas.openxmlformats.org/officeDocument/2006/relationships/hyperlink" Target="https://clck.ru/Ueacz" TargetMode="External"/><Relationship Id="rId134" Type="http://schemas.openxmlformats.org/officeDocument/2006/relationships/hyperlink" Target="mailto:bud_komfin@novreg.ru" TargetMode="External"/><Relationship Id="rId579" Type="http://schemas.openxmlformats.org/officeDocument/2006/relationships/hyperlink" Target="http://elhotovo.ru/index.php/dokumentatsiya/za-2020-god-5" TargetMode="External"/><Relationship Id="rId341" Type="http://schemas.openxmlformats.org/officeDocument/2006/relationships/hyperlink" Target="https://belregion.ru/upload/iblock/31c/111-&#1087;&#1087;.pdf" TargetMode="External"/><Relationship Id="rId439" Type="http://schemas.openxmlformats.org/officeDocument/2006/relationships/hyperlink" Target="http://www.udmurt.ru/regulatory/index.php?typeid=31183294&amp;regnum=196&amp;sdate=21.05.2019&amp;edate=&amp;sdatepub=&amp;edatepub=&amp;q=&amp;doccnt=" TargetMode="External"/><Relationship Id="rId646" Type="http://schemas.openxmlformats.org/officeDocument/2006/relationships/hyperlink" Target="https://vk.com/kipomsk" TargetMode="External"/><Relationship Id="rId201" Type="http://schemas.openxmlformats.org/officeDocument/2006/relationships/hyperlink" Target="https://www.novreg.ru/tenders/folder/" TargetMode="External"/><Relationship Id="rId285" Type="http://schemas.openxmlformats.org/officeDocument/2006/relationships/hyperlink" Target="https://vk.com/reshaemvmeste76" TargetMode="External"/><Relationship Id="rId506" Type="http://schemas.openxmlformats.org/officeDocument/2006/relationships/hyperlink" Target="https://disk.yandex.ru/d/55vFS7oACnI9WQ" TargetMode="External"/><Relationship Id="rId492" Type="http://schemas.openxmlformats.org/officeDocument/2006/relationships/hyperlink" Target="https://energy.midural.ru/gosudarstvennaya-programma/" TargetMode="External"/><Relationship Id="rId713" Type="http://schemas.openxmlformats.org/officeDocument/2006/relationships/hyperlink" Target="http://publication.pravo.gov.ru/Document/View/7500201904020007" TargetMode="External"/><Relationship Id="rId145" Type="http://schemas.openxmlformats.org/officeDocument/2006/relationships/hyperlink" Target="mailto:investapk@novreg.ru" TargetMode="External"/><Relationship Id="rId352" Type="http://schemas.openxmlformats.org/officeDocument/2006/relationships/hyperlink" Target="mailto:s.pozhueva@gov39.ru" TargetMode="External"/><Relationship Id="rId212" Type="http://schemas.openxmlformats.org/officeDocument/2006/relationships/hyperlink" Target="mailto:jkh-tek@novreg.ru" TargetMode="External"/><Relationship Id="rId657" Type="http://schemas.openxmlformats.org/officeDocument/2006/relationships/hyperlink" Target="https://pib.primorsky.ru/Menu/Presentation/5?ItemId=5" TargetMode="External"/><Relationship Id="rId296" Type="http://schemas.openxmlformats.org/officeDocument/2006/relationships/hyperlink" Target="http://karelia-zs.ru/zakonodatelstvo_rk/prav_akty/915-zrk/" TargetMode="External"/><Relationship Id="rId517" Type="http://schemas.openxmlformats.org/officeDocument/2006/relationships/hyperlink" Target="https://rosstat.gov.ru/compendium/document/13282" TargetMode="External"/><Relationship Id="rId724" Type="http://schemas.openxmlformats.org/officeDocument/2006/relationships/hyperlink" Target="mailto:investdsh@kurganobl" TargetMode="External"/><Relationship Id="rId60" Type="http://schemas.openxmlformats.org/officeDocument/2006/relationships/hyperlink" Target="https://pravo.govvrn.ru/?q=node/4481" TargetMode="External"/><Relationship Id="rId156" Type="http://schemas.openxmlformats.org/officeDocument/2006/relationships/hyperlink" Target="https://gokucmpi.ru/upload/iblock/a03/qlnw3ih5yzrzhnub3b0p431n5fkdlhet/Ustav-GOKU-TSMPI-_posl.red..pdf" TargetMode="External"/><Relationship Id="rId363" Type="http://schemas.openxmlformats.org/officeDocument/2006/relationships/hyperlink" Target="mailto:e.zykina@gov39.ru" TargetMode="External"/><Relationship Id="rId570" Type="http://schemas.openxmlformats.org/officeDocument/2006/relationships/hyperlink" Target="consultantplus://offline/ref=DE2DE3F8186B0DAD49025B8CDA042F0A3702C1F84D01F84FDB1859A0452F269CB69213BADF9B6F70CDB851237108FCECB1C794F803344305CCF079H" TargetMode="External"/><Relationship Id="rId223" Type="http://schemas.openxmlformats.org/officeDocument/2006/relationships/hyperlink" Target="https://docs.cntd.ru/document/570709755" TargetMode="External"/><Relationship Id="rId430" Type="http://schemas.openxmlformats.org/officeDocument/2006/relationships/hyperlink" Target="mailto:golovkova_ma@mf.udmr.ru" TargetMode="External"/><Relationship Id="rId668" Type="http://schemas.openxmlformats.org/officeDocument/2006/relationships/hyperlink" Target="http://portal.dvinaland.ru/docs/pub/a16eece709bc76b71bf44543d9de3cd7/613-37-oz.doc" TargetMode="External"/><Relationship Id="rId18" Type="http://schemas.openxmlformats.org/officeDocument/2006/relationships/hyperlink" Target="https://ppmi.yakutia.click/" TargetMode="External"/><Relationship Id="rId528" Type="http://schemas.openxmlformats.org/officeDocument/2006/relationships/hyperlink" Target="https://school.tvoybudget.spb.ru/" TargetMode="External"/><Relationship Id="rId735" Type="http://schemas.openxmlformats.org/officeDocument/2006/relationships/hyperlink" Target="mailto:armenshin.i@bashkortostan.ru" TargetMode="External"/><Relationship Id="rId167" Type="http://schemas.openxmlformats.org/officeDocument/2006/relationships/hyperlink" Target="https://gokucmpi.ru/" TargetMode="External"/><Relationship Id="rId374" Type="http://schemas.openxmlformats.org/officeDocument/2006/relationships/hyperlink" Target="https://minfin.admoblkaluga.ru/page/programma-podderzhki-mestnykh-initsiativ/" TargetMode="External"/><Relationship Id="rId581" Type="http://schemas.openxmlformats.org/officeDocument/2006/relationships/hyperlink" Target="https://16.rosstat.gov.ru/naselenie" TargetMode="External"/><Relationship Id="rId71" Type="http://schemas.openxmlformats.org/officeDocument/2006/relationships/hyperlink" Target="mailto:mayorova@jkx.gov33.ru" TargetMode="External"/><Relationship Id="rId234" Type="http://schemas.openxmlformats.org/officeDocument/2006/relationships/hyperlink" Target="mailto:velav@mail.orb.ru" TargetMode="External"/><Relationship Id="rId679" Type="http://schemas.openxmlformats.org/officeDocument/2006/relationships/hyperlink" Target="https://ovmf2.consultant.ru/cgi/online.cgi?from=164323-0&amp;req=doc&amp;rnd=NKHBWg&amp;base=RLAW148&amp;n=195651" TargetMode="External"/><Relationship Id="rId2" Type="http://schemas.openxmlformats.org/officeDocument/2006/relationships/hyperlink" Target="mailto:zrelova_ea@admin-smolensk.ru" TargetMode="External"/><Relationship Id="rId29" Type="http://schemas.openxmlformats.org/officeDocument/2006/relationships/hyperlink" Target="https://vologdastat.gks.ru/" TargetMode="External"/><Relationship Id="rId441" Type="http://schemas.openxmlformats.org/officeDocument/2006/relationships/hyperlink" Target="https://atmosphere-udm.ru/" TargetMode="External"/><Relationship Id="rId539" Type="http://schemas.openxmlformats.org/officeDocument/2006/relationships/hyperlink" Target="https://spbddtl.ru/sovet-starsheklassnikov-konkursy.html" TargetMode="External"/><Relationship Id="rId746" Type="http://schemas.openxmlformats.org/officeDocument/2006/relationships/hyperlink" Target="https://vk.com/narodnyi_biudjet71" TargetMode="External"/><Relationship Id="rId178" Type="http://schemas.openxmlformats.org/officeDocument/2006/relationships/hyperlink" Target="https://docs.cntd.ru/document/553386375" TargetMode="External"/><Relationship Id="rId301" Type="http://schemas.openxmlformats.org/officeDocument/2006/relationships/hyperlink" Target="http://publication.pravo.gov.ru/Document/View/1000202202250006" TargetMode="External"/><Relationship Id="rId82" Type="http://schemas.openxmlformats.org/officeDocument/2006/relationships/hyperlink" Target="mailto:k.yahiyaev@e-dag.ru" TargetMode="External"/><Relationship Id="rId385" Type="http://schemas.openxmlformats.org/officeDocument/2006/relationships/hyperlink" Target="https://disk.yandex.ru/d/mo3LfhYOR04Vlw" TargetMode="External"/><Relationship Id="rId592" Type="http://schemas.openxmlformats.org/officeDocument/2006/relationships/hyperlink" Target="https://gg12.ru/v-joshkar-ole-nazvany-territorii-lidery-v-golosovanii-po-blagoustrojstvu/" TargetMode="External"/><Relationship Id="rId606" Type="http://schemas.openxmlformats.org/officeDocument/2006/relationships/hyperlink" Target="https://budget.rk.ifinmon.ru/krym-kak-my-hotim/dokumenty" TargetMode="External"/><Relationship Id="rId245" Type="http://schemas.openxmlformats.org/officeDocument/2006/relationships/hyperlink" Target="mailto:namihaylova@obladmin.pskov.ru" TargetMode="External"/><Relationship Id="rId452" Type="http://schemas.openxmlformats.org/officeDocument/2006/relationships/hyperlink" Target="https://t-l.ru/340424.html" TargetMode="External"/><Relationship Id="rId105" Type="http://schemas.openxmlformats.org/officeDocument/2006/relationships/hyperlink" Target="mailto:orst@apk.kostroma.gov.ru" TargetMode="External"/><Relationship Id="rId312" Type="http://schemas.openxmlformats.org/officeDocument/2006/relationships/hyperlink" Target="http://www.kirovreg.ru/publ/AkOUP.nsf/de017b98ac867075c32571440061b25c/a477b32730cd333b43258256004958f1?OpenDocument" TargetMode="External"/><Relationship Id="rId757" Type="http://schemas.openxmlformats.org/officeDocument/2006/relationships/image" Target="../media/image1.emf"/><Relationship Id="rId93" Type="http://schemas.openxmlformats.org/officeDocument/2006/relationships/hyperlink" Target="http://publication.pravo.gov.ru/Document/View/4200201908130001" TargetMode="External"/><Relationship Id="rId189" Type="http://schemas.openxmlformats.org/officeDocument/2006/relationships/hyperlink" Target="https://gokucmpi.ru/upload/iblock/ae8/ppo26zlmpqny7apv0dx3j2ug8zqhohjs/Anketa_na-sayt-_1_.pdf" TargetMode="External"/><Relationship Id="rId396" Type="http://schemas.openxmlformats.org/officeDocument/2006/relationships/hyperlink" Target="https://msu.lenobl.ru/programmy-i-plany/celevye-programmy/" TargetMode="External"/><Relationship Id="rId617" Type="http://schemas.openxmlformats.org/officeDocument/2006/relationships/hyperlink" Target="https://minter.permkrai.ru/dokumenty/106609/" TargetMode="External"/><Relationship Id="rId256" Type="http://schemas.openxmlformats.org/officeDocument/2006/relationships/hyperlink" Target="http://&#1088;&#1077;&#1072;&#1083;&#1100;&#1085;&#1099;&#1077;-&#1076;&#1077;&#1083;&#1072;.&#1088;&#1092;/" TargetMode="External"/><Relationship Id="rId463" Type="http://schemas.openxmlformats.org/officeDocument/2006/relationships/hyperlink" Target="https://docs.cntd.ru/document/577949370" TargetMode="External"/><Relationship Id="rId670" Type="http://schemas.openxmlformats.org/officeDocument/2006/relationships/hyperlink" Target="https://vk.com/club82210903" TargetMode="External"/><Relationship Id="rId116" Type="http://schemas.openxmlformats.org/officeDocument/2006/relationships/hyperlink" Target="mailto:makarov.sa@adm44.ru" TargetMode="External"/><Relationship Id="rId323" Type="http://schemas.openxmlformats.org/officeDocument/2006/relationships/hyperlink" Target="mailto:avb@volgafin.ru" TargetMode="External"/><Relationship Id="rId530" Type="http://schemas.openxmlformats.org/officeDocument/2006/relationships/hyperlink" Target="https://vk.com/tbvschool" TargetMode="External"/><Relationship Id="rId20" Type="http://schemas.openxmlformats.org/officeDocument/2006/relationships/hyperlink" Target="https://ppmi.yakutia.click/" TargetMode="External"/><Relationship Id="rId628" Type="http://schemas.openxmlformats.org/officeDocument/2006/relationships/hyperlink" Target="mailto:mmv@adm.orel.ru" TargetMode="External"/><Relationship Id="rId267" Type="http://schemas.openxmlformats.org/officeDocument/2006/relationships/hyperlink" Target="https://ppmi.bashkortostan.ru/" TargetMode="External"/><Relationship Id="rId474" Type="http://schemas.openxmlformats.org/officeDocument/2006/relationships/hyperlink" Target="https://agro.tmbreg.ru/inv.html" TargetMode="External"/><Relationship Id="rId127" Type="http://schemas.openxmlformats.org/officeDocument/2006/relationships/hyperlink" Target="https://docs.cntd.ru/document/570845985?marker" TargetMode="External"/><Relationship Id="rId681" Type="http://schemas.openxmlformats.org/officeDocument/2006/relationships/hyperlink" Target="mailto:pimenovaiv@minfin.omskportal.ru" TargetMode="External"/><Relationship Id="rId31" Type="http://schemas.openxmlformats.org/officeDocument/2006/relationships/hyperlink" Target="https://okuvshinnikov.ru/prog/programma_gubernatora_narodnyj_byudzhet/" TargetMode="External"/><Relationship Id="rId73" Type="http://schemas.openxmlformats.org/officeDocument/2006/relationships/hyperlink" Target="https://vladimirstat.gks.ru/" TargetMode="External"/><Relationship Id="rId169" Type="http://schemas.openxmlformats.org/officeDocument/2006/relationships/hyperlink" Target="https://gokucmpi.ru/" TargetMode="External"/><Relationship Id="rId334" Type="http://schemas.openxmlformats.org/officeDocument/2006/relationships/hyperlink" Target="https://ahtuba-adm.ru/index.php?mode=view_spisok&amp;own_menu_id=297226" TargetMode="External"/><Relationship Id="rId376" Type="http://schemas.openxmlformats.org/officeDocument/2006/relationships/hyperlink" Target="consultantplus://offline/ref=F283E8D1C67F470930049879A2B72C7C87A38FCFFFF09780B8F489896950B39D5296527EB13182EDBDFBB9C8DD0A336F89C42C543F2409CB9FC02BE5832EfFL3N" TargetMode="External"/><Relationship Id="rId541" Type="http://schemas.openxmlformats.org/officeDocument/2006/relationships/hyperlink" Target="mailto:ldtu@mail.ru" TargetMode="External"/><Relationship Id="rId583" Type="http://schemas.openxmlformats.org/officeDocument/2006/relationships/hyperlink" Target="https://minfin.tatarstan.ru/byudzhet-2023.htm?pub_id=3492276" TargetMode="External"/><Relationship Id="rId639" Type="http://schemas.openxmlformats.org/officeDocument/2006/relationships/hyperlink" Target="https://invest-orel.ru/" TargetMode="External"/><Relationship Id="rId4" Type="http://schemas.openxmlformats.org/officeDocument/2006/relationships/hyperlink" Target="https://depfin.tomsk.gov.ru/konkursnyj-otbor" TargetMode="External"/><Relationship Id="rId180" Type="http://schemas.openxmlformats.org/officeDocument/2006/relationships/hyperlink" Target="https://gokucmpi.ru/upload/iblock/a03/qlnw3ih5yzrzhnub3b0p431n5fkdlhet/Ustav-GOKU-TSMPI-_posl.red..pdf" TargetMode="External"/><Relationship Id="rId236" Type="http://schemas.openxmlformats.org/officeDocument/2006/relationships/hyperlink" Target="https://base.garant.ru/22755289/" TargetMode="External"/><Relationship Id="rId278" Type="http://schemas.openxmlformats.org/officeDocument/2006/relationships/hyperlink" Target="http://publication.pravo.gov.ru/Document/View/7400202012230002" TargetMode="External"/><Relationship Id="rId401" Type="http://schemas.openxmlformats.org/officeDocument/2006/relationships/hyperlink" Target="mailto:vv_nikiforov@lenreg.ru" TargetMode="External"/><Relationship Id="rId443" Type="http://schemas.openxmlformats.org/officeDocument/2006/relationships/hyperlink" Target="https://disk.yandex.ru/i/XVQzgInXC8I50Q" TargetMode="External"/><Relationship Id="rId650" Type="http://schemas.openxmlformats.org/officeDocument/2006/relationships/hyperlink" Target="https://omsk.gks.ru/storage/mediabank/chisl-2022.htm" TargetMode="External"/><Relationship Id="rId303" Type="http://schemas.openxmlformats.org/officeDocument/2006/relationships/hyperlink" Target="http://old.gov.karelia.ru/Projects/Initiatives/" TargetMode="External"/><Relationship Id="rId485" Type="http://schemas.openxmlformats.org/officeDocument/2006/relationships/hyperlink" Target="https://vk.com/economy_so" TargetMode="External"/><Relationship Id="rId692" Type="http://schemas.openxmlformats.org/officeDocument/2006/relationships/hyperlink" Target="mailto:ubp-gov@tverfin.ru" TargetMode="External"/><Relationship Id="rId706" Type="http://schemas.openxmlformats.org/officeDocument/2006/relationships/hyperlink" Target="https://&#1079;&#1072;&#1073;&#1072;&#1081;&#1082;&#1072;&#1083;&#1100;&#1077;.&#1084;&#1086;&#1103;&#1088;&#1086;&#1089;&#1089;&#1080;&#1103;.&#1088;&#1092;/public/application/cards" TargetMode="External"/><Relationship Id="rId748" Type="http://schemas.openxmlformats.org/officeDocument/2006/relationships/hyperlink" Target="https://transfiles.ru/atd2k" TargetMode="External"/><Relationship Id="rId42" Type="http://schemas.openxmlformats.org/officeDocument/2006/relationships/hyperlink" Target="http://minfin.kalmregion.ru/deyatelnost/initsiativnoe-byudzhetirovanie/" TargetMode="External"/><Relationship Id="rId84" Type="http://schemas.openxmlformats.org/officeDocument/2006/relationships/hyperlink" Target="https://mintourismrd.ru/dejatelnost/mestnye-iniciativy/" TargetMode="External"/><Relationship Id="rId138" Type="http://schemas.openxmlformats.org/officeDocument/2006/relationships/hyperlink" Target="https://dd.gokucmpi.ru/otchet/?t=2022&amp;f=zakup" TargetMode="External"/><Relationship Id="rId345" Type="http://schemas.openxmlformats.org/officeDocument/2006/relationships/hyperlink" Target="https://belg.gks.ru/population" TargetMode="External"/><Relationship Id="rId387" Type="http://schemas.openxmlformats.org/officeDocument/2006/relationships/hyperlink" Target="mailto:k312@krasfin.ru" TargetMode="External"/><Relationship Id="rId510" Type="http://schemas.openxmlformats.org/officeDocument/2006/relationships/hyperlink" Target="https://pib.sakhminfin.ru/" TargetMode="External"/><Relationship Id="rId552" Type="http://schemas.openxmlformats.org/officeDocument/2006/relationships/hyperlink" Target="https://64.gorodsreda.ru/" TargetMode="External"/><Relationship Id="rId594" Type="http://schemas.openxmlformats.org/officeDocument/2006/relationships/hyperlink" Target="mailto:mf-pts@minfin.mari.ru" TargetMode="External"/><Relationship Id="rId608" Type="http://schemas.openxmlformats.org/officeDocument/2006/relationships/hyperlink" Target="https://minfin.rk.gov.ru/" TargetMode="External"/><Relationship Id="rId191" Type="http://schemas.openxmlformats.org/officeDocument/2006/relationships/hyperlink" Target="http://docs.cntd.ru/document/553230534" TargetMode="External"/><Relationship Id="rId205" Type="http://schemas.openxmlformats.org/officeDocument/2006/relationships/hyperlink" Target="https://novgorodstat.gks.ru/storage/mediabank/%D0%A7%D0%B8%D1%81%D0%BB%D0%B5%D0%BD%D0%BD%D0%BE%D1%81%D1%82%D1%8C%20%D0%BE%D0%B1%D0%BB%D0%B0%D1%81%D1%82%D1%8C%202022.pdf" TargetMode="External"/><Relationship Id="rId247" Type="http://schemas.openxmlformats.org/officeDocument/2006/relationships/hyperlink" Target="https://pskov.ru/vlast/ispolnitelnaya/administratsiya-oblasti/apparat/upravlenie-po-mestnomu-samoupr/gosudarstvennye-programmy-i-po" TargetMode="External"/><Relationship Id="rId412" Type="http://schemas.openxmlformats.org/officeDocument/2006/relationships/hyperlink" Target="https://za-gorodsreda.ru/" TargetMode="External"/><Relationship Id="rId107" Type="http://schemas.openxmlformats.org/officeDocument/2006/relationships/hyperlink" Target="mailto:dtdh@adm44.ru" TargetMode="External"/><Relationship Id="rId289" Type="http://schemas.openxmlformats.org/officeDocument/2006/relationships/hyperlink" Target="https://docs.cntd.ru/document/446168877" TargetMode="External"/><Relationship Id="rId454" Type="http://schemas.openxmlformats.org/officeDocument/2006/relationships/hyperlink" Target="https://72.rosstat.gov.ru/storage/mediabank/&#1063;&#1080;&#1089;&#1083;&#1077;&#1085;&#1085;&#1086;&#1089;&#1090;&#1100;%20&#1085;&#1072;&#1089;&#1077;&#1083;&#1077;&#1085;&#1080;&#1103;%20&#1079;&#1072;%202017-2022%20&#1075;&#1086;&#1076;&#1099;_&#1070;&#1043;_2.xlsx" TargetMode="External"/><Relationship Id="rId496" Type="http://schemas.openxmlformats.org/officeDocument/2006/relationships/hyperlink" Target="https://disk.yandex.ru/i/ggzNJQrgVKGMQA" TargetMode="External"/><Relationship Id="rId661"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717" Type="http://schemas.openxmlformats.org/officeDocument/2006/relationships/hyperlink" Target="https://minenergo.75.ru/" TargetMode="External"/><Relationship Id="rId11" Type="http://schemas.openxmlformats.org/officeDocument/2006/relationships/hyperlink" Target="https://kursk.ru/region/economy/page-192659/" TargetMode="External"/><Relationship Id="rId53" Type="http://schemas.openxmlformats.org/officeDocument/2006/relationships/hyperlink" Target="http://www.a-martan.ru/index.php?option=com_content&amp;view=article&amp;id=2543:izveshchenie-o-provedenii-konkursnogo-otbora-initsiativnykh-proektov&amp;catid=143&amp;Itemid=713" TargetMode="External"/><Relationship Id="rId149" Type="http://schemas.openxmlformats.org/officeDocument/2006/relationships/hyperlink" Target="http://docs.cntd.ru/document/553364140" TargetMode="External"/><Relationship Id="rId314" Type="http://schemas.openxmlformats.org/officeDocument/2006/relationships/hyperlink" Target="https://www.minfin.kirov.ru/upload/medialibrary/documents/1kv_2022/%D0%BD%D0%B0%D1%80%D0%BE%D0%B4%D0%BD%D1%8B%D0%B9%D0%B1%D1%8E%D0%B4%D0%B6%D0%B5%D1%82.png" TargetMode="External"/><Relationship Id="rId356" Type="http://schemas.openxmlformats.org/officeDocument/2006/relationships/hyperlink" Target="https://kaliningrad.gks.ru/infogr_kdstat/document/159879" TargetMode="External"/><Relationship Id="rId398" Type="http://schemas.openxmlformats.org/officeDocument/2006/relationships/hyperlink" Target="https://msu.lenobl.ru/ru/programmy-i-plany/iniciativnye-komissii-v-administrativnyh-centrah/2020-god/" TargetMode="External"/><Relationship Id="rId521" Type="http://schemas.openxmlformats.org/officeDocument/2006/relationships/hyperlink" Target="http://sakhminfin.ru/" TargetMode="External"/><Relationship Id="rId563" Type="http://schemas.openxmlformats.org/officeDocument/2006/relationships/hyperlink" Target="https://minfin-rzn.ru/participation" TargetMode="External"/><Relationship Id="rId619" Type="http://schemas.openxmlformats.org/officeDocument/2006/relationships/hyperlink" Target="mailto:ivbormotova@mfin.permkrai.ru" TargetMode="External"/><Relationship Id="rId95" Type="http://schemas.openxmlformats.org/officeDocument/2006/relationships/hyperlink" Target="http://docs.cntd.ru/document/550244134" TargetMode="External"/><Relationship Id="rId160" Type="http://schemas.openxmlformats.org/officeDocument/2006/relationships/hyperlink" Target="http://docs.cntd.ru/document/553230534" TargetMode="External"/><Relationship Id="rId216" Type="http://schemas.openxmlformats.org/officeDocument/2006/relationships/hyperlink" Target="http://www.consultant.ru/" TargetMode="External"/><Relationship Id="rId423" Type="http://schemas.openxmlformats.org/officeDocument/2006/relationships/hyperlink" Target="https://73.rosstat.gov.ru/folder/40275" TargetMode="External"/><Relationship Id="rId258" Type="http://schemas.openxmlformats.org/officeDocument/2006/relationships/hyperlink" Target="https://cloud.mail.ru/public/4d5m/2pz11yaGj" TargetMode="External"/><Relationship Id="rId465" Type="http://schemas.openxmlformats.org/officeDocument/2006/relationships/hyperlink" Target="http://publication.pravo.gov.ru/Document/View/6800202111190001" TargetMode="External"/><Relationship Id="rId630"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672" Type="http://schemas.openxmlformats.org/officeDocument/2006/relationships/hyperlink" Target="https://depjkke.admhmao.ru/gosudarstvennaya-programma/gosudarstvennaya-programma-khanty-mansiyskogo-avtonomnogo-okruga-yugry-zhilishchno-kommunalnyy-kompl/" TargetMode="External"/><Relationship Id="rId728" Type="http://schemas.openxmlformats.org/officeDocument/2006/relationships/hyperlink" Target="https://rosstat.gov.ru/compendium/document/13282" TargetMode="External"/><Relationship Id="rId22" Type="http://schemas.openxmlformats.org/officeDocument/2006/relationships/hyperlink" Target="https://27.rosstat.gov.ru/" TargetMode="External"/><Relationship Id="rId64" Type="http://schemas.openxmlformats.org/officeDocument/2006/relationships/hyperlink" Target="https://tos.govvrn.ru/" TargetMode="External"/><Relationship Id="rId118" Type="http://schemas.openxmlformats.org/officeDocument/2006/relationships/hyperlink" Target="https://login.consultant.ru/link/?req=doc&amp;base=RLAW265&amp;n=104518&amp;dst=100006" TargetMode="External"/><Relationship Id="rId325" Type="http://schemas.openxmlformats.org/officeDocument/2006/relationships/hyperlink" Target="http://publication.pravo.gov.ru/Document/View/3401202203240002" TargetMode="External"/><Relationship Id="rId367" Type="http://schemas.openxmlformats.org/officeDocument/2006/relationships/hyperlink" Target="http://&#1072;&#1083;&#1090;&#1072;&#1081;&#1087;&#1088;&#1077;&#1076;&#1083;&#1072;&#1075;&#1072;&#1081;.&#1088;&#1092;/documents/normativnye-pravovye-akty/" TargetMode="External"/><Relationship Id="rId532" Type="http://schemas.openxmlformats.org/officeDocument/2006/relationships/hyperlink" Target="mailto:Kuhareva@kfin.gov.spb.ru" TargetMode="External"/><Relationship Id="rId574" Type="http://schemas.openxmlformats.org/officeDocument/2006/relationships/hyperlink" Target="http://vmeste161.ru/" TargetMode="External"/><Relationship Id="rId171" Type="http://schemas.openxmlformats.org/officeDocument/2006/relationships/hyperlink" Target="https://vk.com/club172332438?w=wall-172332438_409%2Fall" TargetMode="External"/><Relationship Id="rId227" Type="http://schemas.openxmlformats.org/officeDocument/2006/relationships/hyperlink" Target="mailto:budget_mbo@gfu.ivanovo.ru" TargetMode="External"/><Relationship Id="rId269" Type="http://schemas.openxmlformats.org/officeDocument/2006/relationships/hyperlink" Target="https://ppmi.bashkortostan.ru/document" TargetMode="External"/><Relationship Id="rId434" Type="http://schemas.openxmlformats.org/officeDocument/2006/relationships/hyperlink" Target="https://vk.com/ibmfur" TargetMode="External"/><Relationship Id="rId476" Type="http://schemas.openxmlformats.org/officeDocument/2006/relationships/hyperlink" Target="http://publication.pravo.gov.ru/Document/View/6800202001040003" TargetMode="External"/><Relationship Id="rId641" Type="http://schemas.openxmlformats.org/officeDocument/2006/relationships/hyperlink" Target="mailto:oof@adm.orel.ru" TargetMode="External"/><Relationship Id="rId683" Type="http://schemas.openxmlformats.org/officeDocument/2006/relationships/hyperlink" Target="https://ovmf2.consultant.ru/cgi/online.cgi?from=164323-0&amp;req=doc&amp;rnd=NKHBWg&amp;base=RLAW148&amp;n=195651" TargetMode="External"/><Relationship Id="rId739" Type="http://schemas.openxmlformats.org/officeDocument/2006/relationships/hyperlink" Target="mailto:kochetkova.e@bashkortostan.ru" TargetMode="External"/><Relationship Id="rId33" Type="http://schemas.openxmlformats.org/officeDocument/2006/relationships/hyperlink" Target="mailto:Shushkovasa@df.gov35.ru" TargetMode="External"/><Relationship Id="rId129" Type="http://schemas.openxmlformats.org/officeDocument/2006/relationships/hyperlink" Target="https://docs.cntd.ru/document/450360732" TargetMode="External"/><Relationship Id="rId280" Type="http://schemas.openxmlformats.org/officeDocument/2006/relationships/hyperlink" Target="https://chelstat.gks.ru/population" TargetMode="External"/><Relationship Id="rId336" Type="http://schemas.openxmlformats.org/officeDocument/2006/relationships/hyperlink" Target="https://&#1088;&#1077;&#1096;&#1072;&#1077;&#1084;&#1074;&#1084;&#1077;&#1089;&#1090;&#1077;31.&#1088;&#1092;/" TargetMode="External"/><Relationship Id="rId501" Type="http://schemas.openxmlformats.org/officeDocument/2006/relationships/hyperlink" Target="https://disk.yandex.ru/i/VOTSPVSv47s_ug" TargetMode="External"/><Relationship Id="rId543" Type="http://schemas.openxmlformats.org/officeDocument/2006/relationships/hyperlink" Target="https://minfin.saratov.gov.ru/index.php?option=com_acrfilestorage&amp;task=download&amp;on=2060" TargetMode="External"/><Relationship Id="rId75" Type="http://schemas.openxmlformats.org/officeDocument/2006/relationships/hyperlink" Target="https://mcx.avo.ru/blagoustrojstvo-sel-skih-territorij" TargetMode="External"/><Relationship Id="rId140" Type="http://schemas.openxmlformats.org/officeDocument/2006/relationships/hyperlink" Target="mailto:investapk@novreg.ru" TargetMode="External"/><Relationship Id="rId182" Type="http://schemas.openxmlformats.org/officeDocument/2006/relationships/hyperlink" Target="mailto:ppmi-53@mail.ru" TargetMode="External"/><Relationship Id="rId378" Type="http://schemas.openxmlformats.org/officeDocument/2006/relationships/hyperlink" Target="http://zakon.krskstate.ru/0/doc/15433" TargetMode="External"/><Relationship Id="rId403" Type="http://schemas.openxmlformats.org/officeDocument/2006/relationships/hyperlink" Target="http://publication.pravo.gov.ru/Document/View/5200202012300004" TargetMode="External"/><Relationship Id="rId585" Type="http://schemas.openxmlformats.org/officeDocument/2006/relationships/hyperlink" Target="mailto:otdel421991@yandex.ru" TargetMode="External"/><Relationship Id="rId750" Type="http://schemas.openxmlformats.org/officeDocument/2006/relationships/hyperlink" Target="mailto:ssanisimova@adm.khv.ru" TargetMode="External"/><Relationship Id="rId6" Type="http://schemas.openxmlformats.org/officeDocument/2006/relationships/hyperlink" Target="https://depfin.tomsk.gov.ru/uploads/ckfinder/285/userfiles/images/%D0%B8%D0%B7%D0%BE%D0%B1%D1%80%D0%B0%D0%B6%D0%B5%D0%BD%D0%B8%D0%B5(1).png" TargetMode="External"/><Relationship Id="rId238" Type="http://schemas.openxmlformats.org/officeDocument/2006/relationships/hyperlink" Target="https://chuvash.gks.ru/demog" TargetMode="External"/><Relationship Id="rId445" Type="http://schemas.openxmlformats.org/officeDocument/2006/relationships/hyperlink" Target="https://admtyumen.ru/ogv_ru/finance/more_program.htm?id=1190@egTargetGrant" TargetMode="External"/><Relationship Id="rId487" Type="http://schemas.openxmlformats.org/officeDocument/2006/relationships/hyperlink" Target="https://energy.midural.ru/napravleniya-deyatelnosti/formirovanie-komfortnoj-gorodskoj-sredy/prioritetnyj-proekt/hod-prior/pasport-regionalnogo-proekta-formirovanie-komfortnoj-gorodskoj-sredy-na-territorii-sverdlovskoj-oblasti-versija-40-ot-14-03-2023/" TargetMode="External"/><Relationship Id="rId610" Type="http://schemas.openxmlformats.org/officeDocument/2006/relationships/hyperlink" Target="https://budget.rk.ifinmon.ru/krym-kak-my-hotim/o-proekte" TargetMode="External"/><Relationship Id="rId652" Type="http://schemas.openxmlformats.org/officeDocument/2006/relationships/hyperlink" Target="mailto:pimenovaiv@minfin.omskportal.ru" TargetMode="External"/><Relationship Id="rId694" Type="http://schemas.openxmlformats.org/officeDocument/2006/relationships/hyperlink" Target="https://vk.com/tvbspb" TargetMode="External"/><Relationship Id="rId708" Type="http://schemas.openxmlformats.org/officeDocument/2006/relationships/hyperlink" Target="https://&#1079;&#1072;&#1073;&#1072;&#1081;&#1082;&#1072;&#1083;&#1100;&#1077;.&#1084;&#1086;&#1103;&#1088;&#1086;&#1089;&#1089;&#1080;&#1103;.&#1088;&#1092;/" TargetMode="External"/><Relationship Id="rId291" Type="http://schemas.openxmlformats.org/officeDocument/2006/relationships/hyperlink" Target="https://11.rosstat.gov.ru/official__statistics" TargetMode="External"/><Relationship Id="rId305" Type="http://schemas.openxmlformats.org/officeDocument/2006/relationships/hyperlink" Target="mailto:mbud@fin.gov10.ru" TargetMode="External"/><Relationship Id="rId347" Type="http://schemas.openxmlformats.org/officeDocument/2006/relationships/hyperlink" Target="https://vk.com/omsu31" TargetMode="External"/><Relationship Id="rId512" Type="http://schemas.openxmlformats.org/officeDocument/2006/relationships/hyperlink" Target="https://sakhminfin.ru/index.php/oministerstve/meropriyatiya/ofmerop/3931-v-sakhalinskoj-oblasti-startuet-novyj-tsikl-molodezhnogo-byudzheta" TargetMode="External"/><Relationship Id="rId44" Type="http://schemas.openxmlformats.org/officeDocument/2006/relationships/hyperlink" Target="http://minfin.kalmregion.ru/deyatelnost/initsiativnoe-byudzhetirovanie/" TargetMode="External"/><Relationship Id="rId86" Type="http://schemas.openxmlformats.org/officeDocument/2006/relationships/hyperlink" Target="mailto:Magomedov.Islam@mail.ru" TargetMode="External"/><Relationship Id="rId151" Type="http://schemas.openxmlformats.org/officeDocument/2006/relationships/hyperlink" Target="https://vk.com/public197984081?w=wall-197984081_133" TargetMode="External"/><Relationship Id="rId389" Type="http://schemas.openxmlformats.org/officeDocument/2006/relationships/hyperlink" Target="https://msu.lenobl.ru/programmy-i-plany/celevye-programmy/" TargetMode="External"/><Relationship Id="rId554" Type="http://schemas.openxmlformats.org/officeDocument/2006/relationships/hyperlink" Target="https://gorodsreda.ru/documents" TargetMode="External"/><Relationship Id="rId596" Type="http://schemas.openxmlformats.org/officeDocument/2006/relationships/hyperlink" Target="https://mari-el.gov.ru/ministries/minselhoz/pages/nd-npa-krst/" TargetMode="External"/><Relationship Id="rId193" Type="http://schemas.openxmlformats.org/officeDocument/2006/relationships/hyperlink" Target="https://novgorodstat.gks.ru/storage/mediabank/%D0%A7%D0%B8%D1%81%D0%BB%D0%B5%D0%BD%D0%BD%D0%BE%D1%81%D1%82%D1%8C%20%D0%BE%D0%B1%D0%BB%D0%B0%D1%81%D1%82%D1%8C%202022.pdf" TargetMode="External"/><Relationship Id="rId207" Type="http://schemas.openxmlformats.org/officeDocument/2006/relationships/hyperlink" Target="https://docs.cntd.ru/document/450333035" TargetMode="External"/><Relationship Id="rId249" Type="http://schemas.openxmlformats.org/officeDocument/2006/relationships/hyperlink" Target="https://pskovstat.gks.ru/storage/mediabank/NAS220418_2.htm" TargetMode="External"/><Relationship Id="rId414" Type="http://schemas.openxmlformats.org/officeDocument/2006/relationships/hyperlink" Target="https://ulgov.ru/news/regional/2020.12.04/58446/" TargetMode="External"/><Relationship Id="rId456" Type="http://schemas.openxmlformats.org/officeDocument/2006/relationships/hyperlink" Target="consultantplus://offline/ref=279DF6A4FEF0383180BD99F6DED617130BC2E8B3556FB4AF2A4ED5AFA9CAD23631232986A9EC863C61A5540E86DA2734AF4A9416D1338C3BB4BA23F6M9x4K" TargetMode="External"/><Relationship Id="rId498" Type="http://schemas.openxmlformats.org/officeDocument/2006/relationships/hyperlink" Target="https://disk.yandex.ru/i/N6JLRwJUO7ZOBw" TargetMode="External"/><Relationship Id="rId621" Type="http://schemas.openxmlformats.org/officeDocument/2006/relationships/hyperlink" Target="https://vmeste.permkrai.ru/program/category/6/" TargetMode="External"/><Relationship Id="rId663" Type="http://schemas.openxmlformats.org/officeDocument/2006/relationships/hyperlink" Target="https://vote.dobrodel.ru/narodniy_budjet" TargetMode="External"/><Relationship Id="rId13" Type="http://schemas.openxmlformats.org/officeDocument/2006/relationships/hyperlink" Target="mailto:hondzinskaya.kvp@rkursk.ru" TargetMode="External"/><Relationship Id="rId109" Type="http://schemas.openxmlformats.org/officeDocument/2006/relationships/hyperlink" Target="https://login.consultant.ru/link/?req=doc&amp;base=RLAW265&amp;n=80122&amp;dst=100002" TargetMode="External"/><Relationship Id="rId260" Type="http://schemas.openxmlformats.org/officeDocument/2006/relationships/hyperlink" Target="https://vk.com/erbashkortostan?w=wall-1663109_25345" TargetMode="External"/><Relationship Id="rId316" Type="http://schemas.openxmlformats.org/officeDocument/2006/relationships/hyperlink" Target="https://www.socialkirov.ru/social/root/ppmi/Info.htm" TargetMode="External"/><Relationship Id="rId523" Type="http://schemas.openxmlformats.org/officeDocument/2006/relationships/hyperlink" Target="https://www.gov.spb.ru/law/?d&amp;nd=822403529&amp;nh=0" TargetMode="External"/><Relationship Id="rId719" Type="http://schemas.openxmlformats.org/officeDocument/2006/relationships/hyperlink" Target="mailto:ref@fin.e-zab.ru" TargetMode="External"/><Relationship Id="rId55" Type="http://schemas.openxmlformats.org/officeDocument/2006/relationships/hyperlink" Target="http://publication.pravo.gov.ru/Document/View/3600201905300001?rangeSize=20" TargetMode="External"/><Relationship Id="rId97" Type="http://schemas.openxmlformats.org/officeDocument/2006/relationships/hyperlink" Target="https://42.rosstat.gov.ru/storage/mediabank/&#1050;&#1091;&#1079;&#1073;&#1072;&#1089;&#1089;%20&#1074;%20&#1094;&#1080;&#1092;&#1088;&#1072;&#1093;(1).pdf" TargetMode="External"/><Relationship Id="rId120" Type="http://schemas.openxmlformats.org/officeDocument/2006/relationships/hyperlink" Target="http://www.statdata.ru/naselenie/kostromskoi-oblasti" TargetMode="External"/><Relationship Id="rId358" Type="http://schemas.openxmlformats.org/officeDocument/2006/relationships/hyperlink" Target="mailto:e.zykina@gov39.ru" TargetMode="External"/><Relationship Id="rId565" Type="http://schemas.openxmlformats.org/officeDocument/2006/relationships/hyperlink" Target="https://disk.yandex.ru/i/MLUxWJ1kyoU48g" TargetMode="External"/><Relationship Id="rId730" Type="http://schemas.openxmlformats.org/officeDocument/2006/relationships/hyperlink" Target="https://minfin.bashkortostan.ru/documents/active/212260/?ysclid=lg52nxons3712736691" TargetMode="External"/><Relationship Id="rId162" Type="http://schemas.openxmlformats.org/officeDocument/2006/relationships/hyperlink" Target="https://docs.cntd.ru/document/553386375" TargetMode="External"/><Relationship Id="rId218" Type="http://schemas.openxmlformats.org/officeDocument/2006/relationships/hyperlink" Target="https://smi.adm-nao.ru/iniciativnoe-byudzhetirovanie/" TargetMode="External"/><Relationship Id="rId425" Type="http://schemas.openxmlformats.org/officeDocument/2006/relationships/hyperlink" Target="https://mail.yandex.ru/?uid=1130000046507752" TargetMode="External"/><Relationship Id="rId467" Type="http://schemas.openxmlformats.org/officeDocument/2006/relationships/hyperlink" Target="https://68.rosstat.gov.ru/storage/mediabank/chis23-22s.pdf" TargetMode="External"/><Relationship Id="rId632" Type="http://schemas.openxmlformats.org/officeDocument/2006/relationships/hyperlink" Target="https://orel-region.ru/index.php?head=1&amp;unit=17469" TargetMode="External"/><Relationship Id="rId271" Type="http://schemas.openxmlformats.org/officeDocument/2006/relationships/hyperlink" Target="https://npa.bashkortostan.ru/16583/" TargetMode="External"/><Relationship Id="rId674" Type="http://schemas.openxmlformats.org/officeDocument/2006/relationships/hyperlink" Target="https://admhmansy.ru/formirovanie-sovremennoy-gorodskoy-sredy/" TargetMode="External"/><Relationship Id="rId24" Type="http://schemas.openxmlformats.org/officeDocument/2006/relationships/hyperlink" Target="mailto:PolyanskiyAL@49gov.ru" TargetMode="External"/><Relationship Id="rId66" Type="http://schemas.openxmlformats.org/officeDocument/2006/relationships/hyperlink" Target="https://pravo.govvrn.ru/?q=node/16285" TargetMode="External"/><Relationship Id="rId131" Type="http://schemas.openxmlformats.org/officeDocument/2006/relationships/hyperlink" Target="https://gokucmpi.ru/" TargetMode="External"/><Relationship Id="rId327" Type="http://schemas.openxmlformats.org/officeDocument/2006/relationships/hyperlink" Target="https://vlgr-ranepa.ru/konkurs/vlg-local-init/" TargetMode="External"/><Relationship Id="rId369" Type="http://schemas.openxmlformats.org/officeDocument/2006/relationships/hyperlink" Target="https://&#1095;&#1091;&#1082;&#1086;&#1090;&#1082;&#1072;.&#1088;&#1092;/depfin/about/struktura-i-sostav/upravlenie-finansov/napravleniya-raboty/mezhbyudzhetnye-otnosheniya/initsiativnoe-byudzhetirovanie.php" TargetMode="External"/><Relationship Id="rId534" Type="http://schemas.openxmlformats.org/officeDocument/2006/relationships/hyperlink" Target="https://spbddtl.ru/files/polozhenie-o-konkurse-tvoj-shkolnyj-byudzhet.pdf" TargetMode="External"/><Relationship Id="rId576" Type="http://schemas.openxmlformats.org/officeDocument/2006/relationships/hyperlink" Target="mailto:Diachenko_DK@rostov-obladm.ru" TargetMode="External"/><Relationship Id="rId741" Type="http://schemas.openxmlformats.org/officeDocument/2006/relationships/hyperlink" Target="mailto:matveeva.an@ryazangov.ru" TargetMode="External"/><Relationship Id="rId173" Type="http://schemas.openxmlformats.org/officeDocument/2006/relationships/hyperlink" Target="https://vk.com/wall-160413159?offset=440&amp;q=%D0%9D%D0%B0%D1%88%20%D0%B2%D1%8B%D0%B1%D0%BE%D1%80&amp;w=wall-160413159_7946" TargetMode="External"/><Relationship Id="rId229" Type="http://schemas.openxmlformats.org/officeDocument/2006/relationships/hyperlink" Target="http://budget.orb.ru/images/gritsenko/zakon56ib.docx" TargetMode="External"/><Relationship Id="rId380" Type="http://schemas.openxmlformats.org/officeDocument/2006/relationships/hyperlink" Target="http://zakon.krskstate.ru/0/doc/83206" TargetMode="External"/><Relationship Id="rId436" Type="http://schemas.openxmlformats.org/officeDocument/2006/relationships/hyperlink" Target="https://disk.yandex.ru/i/1v1IuZeb0n8c-A" TargetMode="External"/><Relationship Id="rId601" Type="http://schemas.openxmlformats.org/officeDocument/2006/relationships/hyperlink" Target="mailto:mf-pts@minfin.mari.ru" TargetMode="External"/><Relationship Id="rId643"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240" Type="http://schemas.openxmlformats.org/officeDocument/2006/relationships/hyperlink" Target="http://minstroy.cap.ru/action/activity/zhilischno-kommunaljnoe-hozyajstvo/iniciativnoe-byudzhetirovanie" TargetMode="External"/><Relationship Id="rId478" Type="http://schemas.openxmlformats.org/officeDocument/2006/relationships/hyperlink" Target="https://gkh.tmbreg.ru/form/Dostup_Sreda/Dostup_sreda_ogl.htm" TargetMode="External"/><Relationship Id="rId685" Type="http://schemas.openxmlformats.org/officeDocument/2006/relationships/hyperlink" Target="mailto:pimenovaiv@minfin.omskportal.ru" TargetMode="External"/><Relationship Id="rId35" Type="http://schemas.openxmlformats.org/officeDocument/2006/relationships/hyperlink" Target="https://golos-amur.ru/" TargetMode="External"/><Relationship Id="rId77" Type="http://schemas.openxmlformats.org/officeDocument/2006/relationships/hyperlink" Target="https://mcx.avo.ru/blagoustrojstvo-sel-skih-territorij" TargetMode="External"/><Relationship Id="rId100" Type="http://schemas.openxmlformats.org/officeDocument/2006/relationships/hyperlink" Target="https://t.me/minfin01" TargetMode="External"/><Relationship Id="rId282" Type="http://schemas.openxmlformats.org/officeDocument/2006/relationships/hyperlink" Target="mailto:petrov.a.n@minfin74.ru" TargetMode="External"/><Relationship Id="rId338" Type="http://schemas.openxmlformats.org/officeDocument/2006/relationships/hyperlink" Target="mailto:svod2@beldepfin.ru" TargetMode="External"/><Relationship Id="rId503" Type="http://schemas.openxmlformats.org/officeDocument/2006/relationships/hyperlink" Target="https://vk.com/sodeistvie63" TargetMode="External"/><Relationship Id="rId545" Type="http://schemas.openxmlformats.org/officeDocument/2006/relationships/hyperlink" Target="https://rosstat.gov.ru/storage/mediabank/chisl_RF_01-01-2022_VPN-2020.xls" TargetMode="External"/><Relationship Id="rId587" Type="http://schemas.openxmlformats.org/officeDocument/2006/relationships/hyperlink" Target="https://infotables.ru/statistika/31-rossijskaya-federatsiya/198-chislennost-gorodskogo-i-selskogo-naseleniya-rossii-po-federalnym-okrugam-tablitsa" TargetMode="External"/><Relationship Id="rId710" Type="http://schemas.openxmlformats.org/officeDocument/2006/relationships/hyperlink" Target="mailto:adm30@list.ru" TargetMode="External"/><Relationship Id="rId752" Type="http://schemas.openxmlformats.org/officeDocument/2006/relationships/hyperlink" Target="https://habstat.gks.ru/folder/25028" TargetMode="External"/><Relationship Id="rId8" Type="http://schemas.openxmlformats.org/officeDocument/2006/relationships/hyperlink" Target="https://bryansk.gks.ru/" TargetMode="External"/><Relationship Id="rId142" Type="http://schemas.openxmlformats.org/officeDocument/2006/relationships/hyperlink" Target="mailto:bud_komfin@novreg.ru" TargetMode="External"/><Relationship Id="rId184" Type="http://schemas.openxmlformats.org/officeDocument/2006/relationships/hyperlink" Target="https://vk.com/ppmi53)," TargetMode="External"/><Relationship Id="rId391" Type="http://schemas.openxmlformats.org/officeDocument/2006/relationships/hyperlink" Target="https://msu.lenobl.ru/ru/news/proektnyj-centr-iniciativnogo-byudzhetirovaniya" TargetMode="External"/><Relationship Id="rId405" Type="http://schemas.openxmlformats.org/officeDocument/2006/relationships/hyperlink" Target="https://nizhstat.gks.ru/" TargetMode="External"/><Relationship Id="rId447" Type="http://schemas.openxmlformats.org/officeDocument/2006/relationships/hyperlink" Target="https://admtyumen.ru/ogv_ru/finance/apk/more.htm?id=11962253@cmsArticle" TargetMode="External"/><Relationship Id="rId612" Type="http://schemas.openxmlformats.org/officeDocument/2006/relationships/hyperlink" Target="mailto:unp@minfin.rk.gov.ru" TargetMode="External"/><Relationship Id="rId251" Type="http://schemas.openxmlformats.org/officeDocument/2006/relationships/hyperlink" Target="mailto:namihaylova@obladmin.pskov.ru" TargetMode="External"/><Relationship Id="rId489" Type="http://schemas.openxmlformats.org/officeDocument/2006/relationships/hyperlink" Target="http://energy.midural.ru/napravleniya-deyatelnosti/formirovanie-komfortnoj-gorodskoj-sredy/" TargetMode="External"/><Relationship Id="rId654" Type="http://schemas.openxmlformats.org/officeDocument/2006/relationships/hyperlink" Target="https://pib.primorsky.ru/Menu/Presentation/14?ItemId=14" TargetMode="External"/><Relationship Id="rId696" Type="http://schemas.openxmlformats.org/officeDocument/2006/relationships/hyperlink" Target="mailto:shinkareva@kfin.gov.spb.ru" TargetMode="External"/><Relationship Id="rId46" Type="http://schemas.openxmlformats.org/officeDocument/2006/relationships/hyperlink" Target="http://ivo.garant.ru/proxy/share?data=q4Og0aLnpN5Pvp_qlYqxjK_xqrzXt9W_qeqZArDksdj_97HLova1x5DWsdG8lFKko_yS8tuowbnMtcfyh_Gp47Xikv2K_L_hlQzwn7TasvW85r_8j9G0nuur5IkQ5LfjgeWwrQ==" TargetMode="External"/><Relationship Id="rId293" Type="http://schemas.openxmlformats.org/officeDocument/2006/relationships/hyperlink" Target="https://disk.yandex.ru/client/disk/&#1052;&#1086;&#1085;&#1080;&#1090;&#1086;&#1088;&#1080;&#1085;&#1075;%20&#1048;&#1041;-2022_&#1056;&#1077;&#1089;&#1087;&#1091;&#1073;&#1083;&#1080;&#1082;&#1072;%20&#1050;&#1086;&#1084;&#1080;_&#1053;&#1072;&#1088;&#1086;&#1076;&#1085;&#1099;&#1081;%20&#1073;&#1102;&#1076;&#1078;&#1077;&#1090;/&#1048;&#1085;&#1092;&#1086;&#1088;&#1084;&#1072;&#1094;&#1080;&#1086;&#1085;&#1085;&#1086;&#1077;%20&#1089;&#1086;&#1087;&#1088;&#1086;&#1074;&#1086;&#1078;&#1076;&#1077;&#1085;&#1080;&#1077;/&#1051;&#1086;&#1075;&#1086;&#1090;&#1080;&#1087;%20&#1053;&#1041;" TargetMode="External"/><Relationship Id="rId307" Type="http://schemas.openxmlformats.org/officeDocument/2006/relationships/hyperlink" Target="http://publication.pravo.gov.ru/Document/View/1000202202250006" TargetMode="External"/><Relationship Id="rId349" Type="http://schemas.openxmlformats.org/officeDocument/2006/relationships/hyperlink" Target="mailto:svod2@beldepfin.ru" TargetMode="External"/><Relationship Id="rId514" Type="http://schemas.openxmlformats.org/officeDocument/2006/relationships/hyperlink" Target="https://disk.yandex.ru/d/HJSWEZqo5gRLhQ" TargetMode="External"/><Relationship Id="rId556" Type="http://schemas.openxmlformats.org/officeDocument/2006/relationships/hyperlink" Target="https://g-64.ru/docs/postanovleniya-pravitelstva/postanovlenie-pravitelstva-saratovskoy-oblasti-ot-23-dekabrya-2019-goda-908-p-/" TargetMode="External"/><Relationship Id="rId721" Type="http://schemas.openxmlformats.org/officeDocument/2006/relationships/hyperlink" Target="mailto:ref@fin.e-zab.ru" TargetMode="External"/><Relationship Id="rId88" Type="http://schemas.openxmlformats.org/officeDocument/2006/relationships/hyperlink" Target="https://disk.yandex.ru/client/disk/%D0%91%D1%83%D0%BA%D0%BB%D0%B5%D1%82%20%22%D0%9C%D0%B5%D1%81%D1%82%D0%BD%D1%8B%D0%B5%20%D0%B8%D0%BD%D0%B8%D1%86%D0%B8%D0%B0%D1%82%D0%B8%D0%B2%D1%8B%22" TargetMode="External"/><Relationship Id="rId111" Type="http://schemas.openxmlformats.org/officeDocument/2006/relationships/hyperlink" Target="https://login.consultant.ru/link/?req=doc&amp;base=RLAW265&amp;n=102109&amp;dst=1000000003" TargetMode="External"/><Relationship Id="rId153" Type="http://schemas.openxmlformats.org/officeDocument/2006/relationships/hyperlink" Target="https://gokucmpi.ru/" TargetMode="External"/><Relationship Id="rId195" Type="http://schemas.openxmlformats.org/officeDocument/2006/relationships/hyperlink" Target="https://gokucmpi.ru/" TargetMode="External"/><Relationship Id="rId209" Type="http://schemas.openxmlformats.org/officeDocument/2006/relationships/hyperlink" Target="https://53.gorodsreda.ru/?ysclid=lgw6et35g147221306" TargetMode="External"/><Relationship Id="rId360" Type="http://schemas.openxmlformats.org/officeDocument/2006/relationships/hyperlink" Target="http://docs.cntd.ru/document/460267690" TargetMode="External"/><Relationship Id="rId416" Type="http://schemas.openxmlformats.org/officeDocument/2006/relationships/hyperlink" Target="https://minstroyrf.gov.ru/upload/iblock/7b3/Gorsreda_brandbook_new.pdf" TargetMode="External"/><Relationship Id="rId598" Type="http://schemas.openxmlformats.org/officeDocument/2006/relationships/hyperlink" Target="https://mari-el.gov.ru/ministries/minselhoz/pages/nd-npa-krst/" TargetMode="External"/><Relationship Id="rId220" Type="http://schemas.openxmlformats.org/officeDocument/2006/relationships/hyperlink" Target="mailto:staleev@adm-nao.ru" TargetMode="External"/><Relationship Id="rId458" Type="http://schemas.openxmlformats.org/officeDocument/2006/relationships/hyperlink" Target="http://publication.pravo.gov.ru/Document/View/6800201709010001?rangeSize=20" TargetMode="External"/><Relationship Id="rId623" Type="http://schemas.openxmlformats.org/officeDocument/2006/relationships/hyperlink" Target="https://minter.permkrai.ru/deyatelnost/podderzhka-mestnykh-initsiativ/initsiativnoe-byudzhetirovanie/initsiativnoe-byudzhetirovanie" TargetMode="External"/><Relationship Id="rId665" Type="http://schemas.openxmlformats.org/officeDocument/2006/relationships/hyperlink" Target="mailto:ShanaevaAO@mosreg.ru" TargetMode="External"/><Relationship Id="rId15" Type="http://schemas.openxmlformats.org/officeDocument/2006/relationships/hyperlink" Target="https://docs.cntd.ru/document/444712158" TargetMode="External"/><Relationship Id="rId57" Type="http://schemas.openxmlformats.org/officeDocument/2006/relationships/hyperlink" Target="https://www.govvrn.ru/iniciativnoe-budzetirovanie" TargetMode="External"/><Relationship Id="rId262" Type="http://schemas.openxmlformats.org/officeDocument/2006/relationships/hyperlink" Target="https://bashstat.gks.ru/folder/25491" TargetMode="External"/><Relationship Id="rId318" Type="http://schemas.openxmlformats.org/officeDocument/2006/relationships/hyperlink" Target="mailto:romanova_o@depfin.kirov.ru" TargetMode="External"/><Relationship Id="rId525" Type="http://schemas.openxmlformats.org/officeDocument/2006/relationships/hyperlink" Target="https://school.tvoybudget.spb.ru/materials" TargetMode="External"/><Relationship Id="rId567" Type="http://schemas.openxmlformats.org/officeDocument/2006/relationships/hyperlink" Target="http://www.ryazagro.ru./" TargetMode="External"/><Relationship Id="rId732" Type="http://schemas.openxmlformats.org/officeDocument/2006/relationships/hyperlink" Target="mailto:ivaha.vv@nocrb.ru" TargetMode="External"/><Relationship Id="rId99" Type="http://schemas.openxmlformats.org/officeDocument/2006/relationships/hyperlink" Target="https://minfin01-maykop.ru/Show/Category/60?ItemId=237" TargetMode="External"/><Relationship Id="rId122" Type="http://schemas.openxmlformats.org/officeDocument/2006/relationships/hyperlink" Target="https://mfnso.nso.ru/page/4446" TargetMode="External"/><Relationship Id="rId164" Type="http://schemas.openxmlformats.org/officeDocument/2006/relationships/hyperlink" Target="https://gokucmpi.ru/upload/iblock/a03/qlnw3ih5yzrzhnub3b0p431n5fkdlhet/Ustav-GOKU-TSMPI-_posl.red..pdf" TargetMode="External"/><Relationship Id="rId371" Type="http://schemas.openxmlformats.org/officeDocument/2006/relationships/hyperlink" Target="mailto:G.Bolaeva@depfin.chukotka-gov.ru" TargetMode="External"/><Relationship Id="rId427" Type="http://schemas.openxmlformats.org/officeDocument/2006/relationships/hyperlink" Target="https://&#1094;&#1092;&#1075;73.&#1088;&#1092;/%20;" TargetMode="External"/><Relationship Id="rId469" Type="http://schemas.openxmlformats.org/officeDocument/2006/relationships/hyperlink" Target="https://68.rosstat.gov.ru/storage/mediabank/chis23-22s.pdf" TargetMode="External"/><Relationship Id="rId634" Type="http://schemas.openxmlformats.org/officeDocument/2006/relationships/hyperlink" Target="mailto:oof@adm.orel.ru" TargetMode="External"/><Relationship Id="rId676" Type="http://schemas.openxmlformats.org/officeDocument/2006/relationships/hyperlink" Target="https://isib.myopenugra.ru/" TargetMode="External"/><Relationship Id="rId26" Type="http://schemas.openxmlformats.org/officeDocument/2006/relationships/hyperlink" Target="mailto:gladysheva@gfu.ru" TargetMode="External"/><Relationship Id="rId231" Type="http://schemas.openxmlformats.org/officeDocument/2006/relationships/hyperlink" Target="http://budget.orb.ru/images/gritsenko/prik2023.doc" TargetMode="External"/><Relationship Id="rId273" Type="http://schemas.openxmlformats.org/officeDocument/2006/relationships/hyperlink" Target="mailto:kochetkova.e@bashkortostan.ru" TargetMode="External"/><Relationship Id="rId329" Type="http://schemas.openxmlformats.org/officeDocument/2006/relationships/hyperlink" Target="mailto:iniciativa.ao@mail.ru" TargetMode="External"/><Relationship Id="rId480" Type="http://schemas.openxmlformats.org/officeDocument/2006/relationships/hyperlink" Target="http://publication.pravo.gov.ru/Document/View/6800201709010001?rangeSize=20" TargetMode="External"/><Relationship Id="rId536" Type="http://schemas.openxmlformats.org/officeDocument/2006/relationships/hyperlink" Target="https://spbddtl.ru/page-417.html" TargetMode="External"/><Relationship Id="rId701" Type="http://schemas.openxmlformats.org/officeDocument/2006/relationships/hyperlink" Target="https://&#1103;&#1089;&#1095;&#1080;&#1090;&#1072;&#1102;.&#1088;&#1092;/news/?/2022/12/30/17_vebinar_po_teme_kak_oformit_zayavku_na_konkurs_ya_schitayu." TargetMode="External"/><Relationship Id="rId68" Type="http://schemas.openxmlformats.org/officeDocument/2006/relationships/hyperlink" Target="mailto:nborschevskaja@govvrn.ru" TargetMode="External"/><Relationship Id="rId133" Type="http://schemas.openxmlformats.org/officeDocument/2006/relationships/hyperlink" Target="mailto:ppmi-53@mail.ru" TargetMode="External"/><Relationship Id="rId175" Type="http://schemas.openxmlformats.org/officeDocument/2006/relationships/hyperlink" Target="https://docs.cntd.ru/document/553386375" TargetMode="External"/><Relationship Id="rId340" Type="http://schemas.openxmlformats.org/officeDocument/2006/relationships/hyperlink" Target="mailto:ib_mgkh@mgkh.belregion.ru" TargetMode="External"/><Relationship Id="rId578" Type="http://schemas.openxmlformats.org/officeDocument/2006/relationships/hyperlink" Target="mailto:tomazov@minfin.donland.ru" TargetMode="External"/><Relationship Id="rId743" Type="http://schemas.openxmlformats.org/officeDocument/2006/relationships/hyperlink" Target="https://docs.cntd.ru/document/574631687" TargetMode="External"/><Relationship Id="rId200" Type="http://schemas.openxmlformats.org/officeDocument/2006/relationships/hyperlink" Target="mailto:bud_komfin@novreg.ru" TargetMode="External"/><Relationship Id="rId382" Type="http://schemas.openxmlformats.org/officeDocument/2006/relationships/hyperlink" Target="https://24.rosstat.gov.ru/news/document/158376?ysclid=lgunszgqrp590652391" TargetMode="External"/><Relationship Id="rId438" Type="http://schemas.openxmlformats.org/officeDocument/2006/relationships/hyperlink" Target="http://www.udmurt.ru/regulatory/index.php?typeid=All&amp;regnum=79&amp;sdate=06.03.2019&amp;edate=&amp;sdatepub=&amp;edatepub=&amp;q=&amp;doccnt=&amp;page=2&amp;doccnt=" TargetMode="External"/><Relationship Id="rId603" Type="http://schemas.openxmlformats.org/officeDocument/2006/relationships/hyperlink" Target="https://vk.com/terin12" TargetMode="External"/><Relationship Id="rId645" Type="http://schemas.openxmlformats.org/officeDocument/2006/relationships/hyperlink" Target="https://ovmf2.consultant.ru/cgi/online.cgi?req=doc&amp;cacheid=6986BF37D741E4A1968C35FE1D137A2C&amp;SORTTYPE=0&amp;BASENODE=23700-61&amp;ts=duLtebTJuH2fnC9M&amp;base=RLAW148&amp;n=190119&amp;rnd=cGgdgg" TargetMode="External"/><Relationship Id="rId687" Type="http://schemas.openxmlformats.org/officeDocument/2006/relationships/hyperlink" Target="http://lc.mfsk.ru/upload/iblock/6b2/&#1059;&#1089;&#1090;&#1072;&#1074;%20&#1043;&#1050;&#1059;%20&#1044;&#1055;&#1054;%20&#1059;&#1095;&#1077;&#1073;&#1085;&#1099;&#1081;%20&#1094;&#1077;&#1085;&#1090;&#1088;%20&#1084;&#1080;&#1085;&#1080;&#1089;&#1090;&#1077;&#1088;&#1089;&#1090;&#1074;&#1072;%20&#1092;&#1080;&#1085;&#1072;&#1085;&#1089;&#1086;&#1074;%20&#1057;&#1090;&#1072;&#1074;&#1088;&#1086;&#1087;&#1086;&#1083;&#1100;&#1089;&#1082;&#1086;&#1075;&#1086;%20&#1082;&#1088;&#1072;&#1103;.pdf" TargetMode="External"/><Relationship Id="rId242" Type="http://schemas.openxmlformats.org/officeDocument/2006/relationships/hyperlink" Target="https://pskov.ru/vlast/ispolnitelnaya/administratsiya-oblasti/apparat/upravlenie-po-mestnomu-samoupr/initsiativnye-proekty" TargetMode="External"/><Relationship Id="rId284" Type="http://schemas.openxmlformats.org/officeDocument/2006/relationships/hyperlink" Target="https://docs.cntd.ru/document/446168877" TargetMode="External"/><Relationship Id="rId491" Type="http://schemas.openxmlformats.org/officeDocument/2006/relationships/hyperlink" Target="https://energy.midural.ru/gosudarstvennaya-programma/" TargetMode="External"/><Relationship Id="rId505" Type="http://schemas.openxmlformats.org/officeDocument/2006/relationships/hyperlink" Target="mailto:gpso63@yandex.ru," TargetMode="External"/><Relationship Id="rId712" Type="http://schemas.openxmlformats.org/officeDocument/2006/relationships/hyperlink" Target="mailto:ref@fin.e-zab.ru" TargetMode="External"/><Relationship Id="rId37" Type="http://schemas.openxmlformats.org/officeDocument/2006/relationships/hyperlink" Target="mailto:gorbunov@fin.amurobl.ru" TargetMode="External"/><Relationship Id="rId79" Type="http://schemas.openxmlformats.org/officeDocument/2006/relationships/hyperlink" Target="https://dtf.avo.ru/podderzka-iniciativ-naselenia" TargetMode="External"/><Relationship Id="rId102" Type="http://schemas.openxmlformats.org/officeDocument/2006/relationships/hyperlink" Target="https://internet.garant.ru/" TargetMode="External"/><Relationship Id="rId144" Type="http://schemas.openxmlformats.org/officeDocument/2006/relationships/hyperlink" Target="https://novgorodstat.gks.ru/storage/mediabank/&#1063;&#1080;&#1089;&#1083;&#1077;&#1085;&#1085;&#1086;&#1089;&#1090;&#1100;%20&#1085;&#1072;&#1089;&#1077;&#1083;&#1077;&#1085;&#1080;&#1103;%20&#1085;&#1072;%201.01.2022%20&#1075;&#1086;&#1076;&#1072;.pdf" TargetMode="External"/><Relationship Id="rId547" Type="http://schemas.openxmlformats.org/officeDocument/2006/relationships/hyperlink" Target="https://minfin.saratov.gov.ru/images/article_images/20210201/20210201-informatsionnoe-soobshchenie-o-provedenii-konkursnogo-otbora-munitsipalnykh-obrazovanij-saratovskoj-oblasti.jpg" TargetMode="External"/><Relationship Id="rId589" Type="http://schemas.openxmlformats.org/officeDocument/2006/relationships/hyperlink" Target="https://disk.yandex.ru/i/04f_ikVeU6_mDg" TargetMode="External"/><Relationship Id="rId754" Type="http://schemas.openxmlformats.org/officeDocument/2006/relationships/drawing" Target="../drawings/drawing1.xml"/><Relationship Id="rId90" Type="http://schemas.openxmlformats.org/officeDocument/2006/relationships/hyperlink" Target="https://dagstat.gks.ru/storage/mediabank/%D1%87%D0%B8%D1%81%D0%BB.%20%D0%BD%D0%B0%2001.01.2022%D0%B3.%20(%D1%87%D0%B5%D0%BB.).pdf" TargetMode="External"/><Relationship Id="rId186" Type="http://schemas.openxmlformats.org/officeDocument/2006/relationships/hyperlink" Target="https://gokucmpi.ru/" TargetMode="External"/><Relationship Id="rId351" Type="http://schemas.openxmlformats.org/officeDocument/2006/relationships/hyperlink" Target="http://publication.pravo.gov.ru/Document/View/3900202107010021" TargetMode="External"/><Relationship Id="rId393" Type="http://schemas.openxmlformats.org/officeDocument/2006/relationships/hyperlink" Target="mailto:vv_nikiforov@lenreg.ru" TargetMode="External"/><Relationship Id="rId407" Type="http://schemas.openxmlformats.org/officeDocument/2006/relationships/hyperlink" Target="http://publication.pravo.gov.ru/Document/View/5200202110110009?index=0&amp;rangeSize=1" TargetMode="External"/><Relationship Id="rId449" Type="http://schemas.openxmlformats.org/officeDocument/2006/relationships/hyperlink" Target="http://gorodsreda.ru/" TargetMode="External"/><Relationship Id="rId614" Type="http://schemas.openxmlformats.org/officeDocument/2006/relationships/hyperlink" Target="https://budget.rk.ifinmon.ru/krym-kak-my-hotim/o-proekte" TargetMode="External"/><Relationship Id="rId656" Type="http://schemas.openxmlformats.org/officeDocument/2006/relationships/hyperlink" Target="https://pib.primorsky.ru/Pib/Stat/2" TargetMode="External"/><Relationship Id="rId211" Type="http://schemas.openxmlformats.org/officeDocument/2006/relationships/hyperlink" Target="https://53.gorodsreda.ru/result-voting" TargetMode="External"/><Relationship Id="rId253" Type="http://schemas.openxmlformats.org/officeDocument/2006/relationships/hyperlink" Target="http://gsrb.ru/ru/nakazy-izbirateley/" TargetMode="External"/><Relationship Id="rId295" Type="http://schemas.openxmlformats.org/officeDocument/2006/relationships/hyperlink" Target="http://old.gov.karelia.ru/Projects/Initiatives/" TargetMode="External"/><Relationship Id="rId309" Type="http://schemas.openxmlformats.org/officeDocument/2006/relationships/hyperlink" Target="https://nac.gov.karelia.ru/about/3841/150390/" TargetMode="External"/><Relationship Id="rId460" Type="http://schemas.openxmlformats.org/officeDocument/2006/relationships/hyperlink" Target="https://www.tambov.gov.ru/news/view/proekt-narodnaya-iniciativa-novye-usloviya-novye-idei.html" TargetMode="External"/><Relationship Id="rId516" Type="http://schemas.openxmlformats.org/officeDocument/2006/relationships/hyperlink" Target="https://login.consultant.ru/link/?req=doc&amp;base=RLAW210&amp;n=116092&amp;dst=100004" TargetMode="External"/><Relationship Id="rId698" Type="http://schemas.openxmlformats.org/officeDocument/2006/relationships/hyperlink" Target="https://&#1103;&#1089;&#1095;&#1080;&#1090;&#1072;&#1102;.&#1088;&#1092;/" TargetMode="External"/><Relationship Id="rId48" Type="http://schemas.openxmlformats.org/officeDocument/2006/relationships/hyperlink" Target="http://ivo.garant.ru/proxy/share?data=q4Og0aLnpN5Pvp_qlYq36LHjvI2U8J695LfQTvO68Jew5bHS__WxxaPOtc6Q10G47f7ApZz8kfLbqMS5z7T487_wg-KO4739gw3hjPKZ8aK17LL9vd2-yI7itJsa8bPljOC144bm_g==" TargetMode="External"/><Relationship Id="rId113" Type="http://schemas.openxmlformats.org/officeDocument/2006/relationships/hyperlink" Target="consultantplus://offline/ref=55AB044EF2AE989F64BAC01863E5C4A9ADFF11BADF275679A20855BC8E46D11C9C7059606921C791BA63221FB7AD46C4F510AAEFFC56605E2760CEN9c9M" TargetMode="External"/><Relationship Id="rId320" Type="http://schemas.openxmlformats.org/officeDocument/2006/relationships/hyperlink" Target="mailto:avb@volgafin.ru" TargetMode="External"/><Relationship Id="rId558" Type="http://schemas.openxmlformats.org/officeDocument/2006/relationships/hyperlink" Target="mailto:zaytsevds@saratov.gov.ru" TargetMode="External"/><Relationship Id="rId723" Type="http://schemas.openxmlformats.org/officeDocument/2006/relationships/hyperlink" Target="http://publication.pravo.gov.ru/Document/View/4500202104090001?index=4&amp;rangeSize=1" TargetMode="External"/><Relationship Id="rId155" Type="http://schemas.openxmlformats.org/officeDocument/2006/relationships/hyperlink" Target="mailto:bud_komfin@novreg.ru" TargetMode="External"/><Relationship Id="rId197" Type="http://schemas.openxmlformats.org/officeDocument/2006/relationships/hyperlink" Target="https://vk.com/ppmi53)," TargetMode="External"/><Relationship Id="rId362" Type="http://schemas.openxmlformats.org/officeDocument/2006/relationships/hyperlink" Target="mailto:m.voitsekhovskaya@gov39.ru" TargetMode="External"/><Relationship Id="rId418" Type="http://schemas.openxmlformats.org/officeDocument/2006/relationships/hyperlink" Target="https://docs.cntd.ru/document/463707762" TargetMode="External"/><Relationship Id="rId625" Type="http://schemas.openxmlformats.org/officeDocument/2006/relationships/hyperlink" Target="https://orel-region.ru/index.php?head=17&amp;part=19&amp;formName=docsearch&amp;doc_type=0&amp;doc_organ=0&amp;fwords=&amp;number=705&amp;date1f=20-12-2019&amp;date2f=%E4%E4-%EC%EC-%E3%E3%E3%E3&amp;date3f=%E4%E4-%EC%EC-%E3%E3%E3%E3&amp;x=29&amp;y=9" TargetMode="External"/><Relationship Id="rId222" Type="http://schemas.openxmlformats.org/officeDocument/2006/relationships/hyperlink" Target="https://docs.cntd.ru/document/570709755" TargetMode="External"/><Relationship Id="rId264" Type="http://schemas.openxmlformats.org/officeDocument/2006/relationships/hyperlink" Target="mailto:kochetkova.e@bashkortostan.ru" TargetMode="External"/><Relationship Id="rId471" Type="http://schemas.openxmlformats.org/officeDocument/2006/relationships/hyperlink" Target="mailto:rnn@agro.tambov.gov.ru" TargetMode="External"/><Relationship Id="rId667" Type="http://schemas.openxmlformats.org/officeDocument/2006/relationships/hyperlink" Target="http://publication.pravo.gov.ru/Document/View/2900201910180011" TargetMode="External"/><Relationship Id="rId17" Type="http://schemas.openxmlformats.org/officeDocument/2006/relationships/hyperlink" Target="https://sakha.gks.ru/folder/32348" TargetMode="External"/><Relationship Id="rId59" Type="http://schemas.openxmlformats.org/officeDocument/2006/relationships/hyperlink" Target="https://pravo.govvrn.ru/?q=node/4592" TargetMode="External"/><Relationship Id="rId124" Type="http://schemas.openxmlformats.org/officeDocument/2006/relationships/hyperlink" Target="https://54.rosstat.gov.ru/storage/mediabank/p54_&#1063;&#1080;&#1089;&#1083;&#1077;&#1085;&#1085;&#1086;&#1089;&#1090;&#1100;%20&#1085;&#1072;&#1089;&#1077;&#1083;&#1077;&#1085;&#1080;&#1103;%20&#1087;&#1086;%20&#1084;&#1091;&#1085;&#1080;&#1094;&#1080;&#1087;&#1072;&#1083;&#1100;&#1085;&#1099;&#1084;%20&#1088;&#1072;&#1081;&#1086;&#1085;&#1072;&#1084;%20&#1080;%20&#1075;&#1086;&#1088;&#1086;&#1076;&#1089;&#1082;&#1080;&#1084;%20&#1086;&#1082;&#1088;&#1091;&#1075;&#1072;&#1084;%20&#1053;&#1086;&#1074;&#1086;&#1089;&#1080;&#1073;&#1080;&#1088;&#1089;&#1082;&#1086;&#1081;%20&#1086;&#1073;&#1083;&#1072;&#1089;&#1090;&#1080;%20&#1085;&#1072;%201%20&#1103;&#1085;&#1074;&#1072;&#1088;&#1103;%202022%20&#1075;.%20&#1080;%20&#1074;%20&#1089;&#1088;&#1077;&#1076;&#1085;&#1077;&#1084;%20&#1079;&#1072;%202021%20&#1075;..pdf" TargetMode="External"/><Relationship Id="rId527" Type="http://schemas.openxmlformats.org/officeDocument/2006/relationships/hyperlink" Target="https://zakupki.gov.ru/epz/contract/contractCard/document-info.html?reestrNumber=2783000243022000010&amp;contractInfoId=75520769" TargetMode="External"/><Relationship Id="rId569" Type="http://schemas.openxmlformats.org/officeDocument/2006/relationships/hyperlink" Target="consultantplus://offline/ref=7A8079BB22A90FC58189C1F3198D70BC59D58978709EA63070E4BAA502BD6E590BDA5032DD61F941DDO045J" TargetMode="External"/><Relationship Id="rId734" Type="http://schemas.openxmlformats.org/officeDocument/2006/relationships/hyperlink" Target="https://npa.bashkortostan.ru/34655/" TargetMode="External"/><Relationship Id="rId70" Type="http://schemas.openxmlformats.org/officeDocument/2006/relationships/hyperlink" Target="https://jkx.avo.ru/formirovanie-komfortnoj-gorodskoj-sredy" TargetMode="External"/><Relationship Id="rId166" Type="http://schemas.openxmlformats.org/officeDocument/2006/relationships/hyperlink" Target="mailto:ppmi-53@mail.ru" TargetMode="External"/><Relationship Id="rId331" Type="http://schemas.openxmlformats.org/officeDocument/2006/relationships/hyperlink" Target="https://30.rosstat.gov.ru/storage/mediabank/1.8.1.%20&#1054;&#1094;&#1077;&#1085;&#1082;&#1072;%20&#1095;&#1080;&#1089;&#1083;&#1077;&#1085;&#1085;&#1086;&#1089;&#1090;&#1080;%20&#1087;&#1086;&#1089;&#1090;&#1086;&#1103;&#1085;&#1085;&#1086;&#1075;&#1086;%20&#1085;&#1072;&#1089;&#1077;&#1083;&#1077;&#1085;&#1080;&#1103;.xls" TargetMode="External"/><Relationship Id="rId373" Type="http://schemas.openxmlformats.org/officeDocument/2006/relationships/hyperlink" Target="https://minfin.admoblkaluga.ru/page/programma-podderzhki-mestnykh-initsiativ/" TargetMode="External"/><Relationship Id="rId429" Type="http://schemas.openxmlformats.org/officeDocument/2006/relationships/hyperlink" Target="http://www.udmurt.ru/regulatory/index.php?typeid=All&amp;regnum=79&amp;sdate=06.03.2019&amp;edate=&amp;sdatepub=&amp;edatepub=&amp;q=&amp;doccnt=&amp;page=2&amp;doccnt=" TargetMode="External"/><Relationship Id="rId580" Type="http://schemas.openxmlformats.org/officeDocument/2006/relationships/hyperlink" Target="mailto:ombo@minfin.alania.gov.ru" TargetMode="External"/><Relationship Id="rId636" Type="http://schemas.openxmlformats.org/officeDocument/2006/relationships/hyperlink" Target="http://orel-region.ru/index.php?head=17&amp;part=19&amp;docid=10476" TargetMode="External"/><Relationship Id="rId1" Type="http://schemas.openxmlformats.org/officeDocument/2006/relationships/hyperlink" Target="mailto:samoupr@admin-smolensk.ru" TargetMode="External"/><Relationship Id="rId233" Type="http://schemas.openxmlformats.org/officeDocument/2006/relationships/hyperlink" Target="mailto:tssh@mail.orb.ru" TargetMode="External"/><Relationship Id="rId440" Type="http://schemas.openxmlformats.org/officeDocument/2006/relationships/hyperlink" Target="https://udmstat.gks.ru/folder/51924" TargetMode="External"/><Relationship Id="rId678" Type="http://schemas.openxmlformats.org/officeDocument/2006/relationships/hyperlink" Target="https://isib.myopenugra.ru/" TargetMode="External"/><Relationship Id="rId28" Type="http://schemas.openxmlformats.org/officeDocument/2006/relationships/hyperlink" Target="https://df.gov35.ru/dokumenty-strategicheskogo-planirovaniya/gosudarstvennaya-programma-departamenta-finansov/aktualnaya-versiya-gosudarstvennoy-programmy/" TargetMode="External"/><Relationship Id="rId275" Type="http://schemas.openxmlformats.org/officeDocument/2006/relationships/hyperlink" Target="https://habstat.gks.ru/folder/25028" TargetMode="External"/><Relationship Id="rId300" Type="http://schemas.openxmlformats.org/officeDocument/2006/relationships/hyperlink" Target="http://karelia-zs.ru/zakonodatelstvo_rk/prav_akty/915-zrk/" TargetMode="External"/><Relationship Id="rId482" Type="http://schemas.openxmlformats.org/officeDocument/2006/relationships/hyperlink" Target="http://economy.midural.ru/content/postanovlenie-pravitelstva-sverdlovskoy-oblasti-ot-31082017-no-639-ppo-vnesenii-izmeneniy-v" TargetMode="External"/><Relationship Id="rId538" Type="http://schemas.openxmlformats.org/officeDocument/2006/relationships/hyperlink" Target="https://drive.google.com/drive/folders/1YvEmAsUXFub9rTIDNsoYmn_z6qsVxIMl" TargetMode="External"/><Relationship Id="rId703" Type="http://schemas.openxmlformats.org/officeDocument/2006/relationships/hyperlink" Target="mailto:boev@fin22.ru" TargetMode="External"/><Relationship Id="rId745" Type="http://schemas.openxmlformats.org/officeDocument/2006/relationships/hyperlink" Target="https://or71.ru/primi_uchastie/narodniy_budjet_new/" TargetMode="External"/><Relationship Id="rId81" Type="http://schemas.openxmlformats.org/officeDocument/2006/relationships/hyperlink" Target="https://vladimirstat.gks.ru/" TargetMode="External"/><Relationship Id="rId135" Type="http://schemas.openxmlformats.org/officeDocument/2006/relationships/hyperlink" Target="https://gokucmpi.ru/upload/iblock/ae8/ppo26zlmpqny7apv0dx3j2ug8zqhohjs/Anketa_na-sayt-_1_.pdf" TargetMode="External"/><Relationship Id="rId177" Type="http://schemas.openxmlformats.org/officeDocument/2006/relationships/hyperlink" Target="https://docs.cntd.ru/document/450360732" TargetMode="External"/><Relationship Id="rId342" Type="http://schemas.openxmlformats.org/officeDocument/2006/relationships/hyperlink" Target="https://belregion.ru/upload/iblock/7e6/139-&#1087;&#1087;.pdf" TargetMode="External"/><Relationship Id="rId384" Type="http://schemas.openxmlformats.org/officeDocument/2006/relationships/hyperlink" Target="https://disk.yandex.ru/d/SsbVuUugi9mHGg" TargetMode="External"/><Relationship Id="rId591" Type="http://schemas.openxmlformats.org/officeDocument/2006/relationships/hyperlink" Target="https://mari-el.gov.ru/proactivities/pages/natpojects_urban/" TargetMode="External"/><Relationship Id="rId605" Type="http://schemas.openxmlformats.org/officeDocument/2006/relationships/hyperlink" Target="https://budget.rk.ifinmon.ru/krym-kak-my-hotim/dokumenty" TargetMode="External"/><Relationship Id="rId202" Type="http://schemas.openxmlformats.org/officeDocument/2006/relationships/hyperlink" Target="https://docs.cntd.ru/document/553386375" TargetMode="External"/><Relationship Id="rId244" Type="http://schemas.openxmlformats.org/officeDocument/2006/relationships/hyperlink" Target="https://pskov.ru/vlast/ispolnitelnaya/administratsiya/apparat/samoupr" TargetMode="External"/><Relationship Id="rId647" Type="http://schemas.openxmlformats.org/officeDocument/2006/relationships/hyperlink" Target="https://budget.omsk.ifinmon.ru/initsiativnoe-byudzhetirovanie/obshchaya-informatsiya" TargetMode="External"/><Relationship Id="rId689" Type="http://schemas.openxmlformats.org/officeDocument/2006/relationships/hyperlink" Target="http://publication.pravo.gov.ru/Document/View/6900202103170004" TargetMode="External"/><Relationship Id="rId39" Type="http://schemas.openxmlformats.org/officeDocument/2006/relationships/hyperlink" Target="https://dvp.sev.gov.ru/konkurs-samyy-druzhnyy-dvor/" TargetMode="External"/><Relationship Id="rId286" Type="http://schemas.openxmlformats.org/officeDocument/2006/relationships/hyperlink" Target="https://wampi.ru/image/RvQUm1a" TargetMode="External"/><Relationship Id="rId451" Type="http://schemas.openxmlformats.org/officeDocument/2006/relationships/hyperlink" Target="https://minstroy.49gov.ru/common/upload/25/editor/file/Gorsreda_brandbook_new.pdf" TargetMode="External"/><Relationship Id="rId493" Type="http://schemas.openxmlformats.org/officeDocument/2006/relationships/hyperlink" Target="http://www.pravo.gov66.ru/31596/" TargetMode="External"/><Relationship Id="rId507" Type="http://schemas.openxmlformats.org/officeDocument/2006/relationships/hyperlink" Target="https://pib.sakhminfin.ru/show/mb" TargetMode="External"/><Relationship Id="rId549" Type="http://schemas.openxmlformats.org/officeDocument/2006/relationships/hyperlink" Target="mailto:zaytsevds@saratov.gov.ru" TargetMode="External"/><Relationship Id="rId714" Type="http://schemas.openxmlformats.org/officeDocument/2006/relationships/hyperlink" Target="http://publication.pravo.gov.ru/Document/View/7500202005280001" TargetMode="External"/><Relationship Id="rId756" Type="http://schemas.openxmlformats.org/officeDocument/2006/relationships/oleObject" Target="../embeddings/oleObject1.bin"/><Relationship Id="rId50" Type="http://schemas.openxmlformats.org/officeDocument/2006/relationships/hyperlink" Target="mailto:vatsuev_ad@minfinchr.ru" TargetMode="External"/><Relationship Id="rId104" Type="http://schemas.openxmlformats.org/officeDocument/2006/relationships/hyperlink" Target="https://apk.kostroma.gov.ru/otraslevaya-informatsiya/otraslevaya-informatsiya/kompleksnoe-razvitie-selskikh-territoriy.php" TargetMode="External"/><Relationship Id="rId146" Type="http://schemas.openxmlformats.org/officeDocument/2006/relationships/hyperlink" Target="mailto:bud_komfin@novreg.ru" TargetMode="External"/><Relationship Id="rId188" Type="http://schemas.openxmlformats.org/officeDocument/2006/relationships/hyperlink" Target="https://vk.com/club172332438?w=wall-172332438_409%2Fall" TargetMode="External"/><Relationship Id="rId311" Type="http://schemas.openxmlformats.org/officeDocument/2006/relationships/hyperlink" Target="mailto:mbud@fin.gov10.ru" TargetMode="External"/><Relationship Id="rId353" Type="http://schemas.openxmlformats.org/officeDocument/2006/relationships/hyperlink" Target="https://kaliningrad.gks.ru/population" TargetMode="External"/><Relationship Id="rId395" Type="http://schemas.openxmlformats.org/officeDocument/2006/relationships/hyperlink" Target="https://lenobl.ru/ru/dokumenty/opublikovanie-pravovyh-aktov/oficialno-opublikovanie-npa-s-10-iyunya-2013-goda/oficialnoe-opublikovanie-pravovyh-aktov-leningradskoj-oblasti-s-10-iyu/" TargetMode="External"/><Relationship Id="rId409" Type="http://schemas.openxmlformats.org/officeDocument/2006/relationships/hyperlink" Target="https://cloud.mail.ru/public/rYUK/o5nFb21TV" TargetMode="External"/><Relationship Id="rId560" Type="http://schemas.openxmlformats.org/officeDocument/2006/relationships/hyperlink" Target="https://ryazan.gks.ru/storage/mediabank/&#1063;&#1080;&#1089;&#1083;&#1077;&#1085;&#1085;&#1086;&#1089;&#1090;&#1100;%20&#1085;&#1072;%201%20&#1103;&#1085;&#1074;&#1072;&#1088;&#1103;%202022%20&#1075;&#1086;&#1076;&#1072;(1).pdf" TargetMode="External"/><Relationship Id="rId92" Type="http://schemas.openxmlformats.org/officeDocument/2006/relationships/hyperlink" Target="http://publication.pravo.gov.ru/Document/View/0500202005060005?index=1&amp;rangeSize=1" TargetMode="External"/><Relationship Id="rId213" Type="http://schemas.openxmlformats.org/officeDocument/2006/relationships/hyperlink" Target="https://vk.com/club191090021" TargetMode="External"/><Relationship Id="rId420" Type="http://schemas.openxmlformats.org/officeDocument/2006/relationships/hyperlink" Target="http://10.40.40.2/ppmi/npa" TargetMode="External"/><Relationship Id="rId616" Type="http://schemas.openxmlformats.org/officeDocument/2006/relationships/hyperlink" Target="https://minter.permkrai.ru/dokumenty/106609/" TargetMode="External"/><Relationship Id="rId658" Type="http://schemas.openxmlformats.org/officeDocument/2006/relationships/hyperlink" Target="https://pib.primorsky.ru/Menu/Presentation/14?ItemId=14" TargetMode="External"/><Relationship Id="rId255" Type="http://schemas.openxmlformats.org/officeDocument/2006/relationships/hyperlink" Target="https://bashstat.gks.ru/storage/mediabank/CHislennost-naseleniya-po-municipalnym-rajonam-i-gorodskim-okrugam-Respubliki-%20Bashkortostan-na-1-yanvarya-2022-g-s-uchetom-VPN-2020.pdf" TargetMode="External"/><Relationship Id="rId297" Type="http://schemas.openxmlformats.org/officeDocument/2006/relationships/hyperlink" Target="http://publication.pravo.gov.ru/Document/View/1000202202250006" TargetMode="External"/><Relationship Id="rId462" Type="http://schemas.openxmlformats.org/officeDocument/2006/relationships/hyperlink" Target="https://docs.cntd.ru/document/444997742" TargetMode="External"/><Relationship Id="rId518" Type="http://schemas.openxmlformats.org/officeDocument/2006/relationships/hyperlink" Target="https://sakhminfin.ru/index.php/oministerstve/meropriyatiya/ofmerop/3805-42-initsiativnykh-proekta-budut-realizovany-v-sakhalinskoj-oblasti-v-2022-godu" TargetMode="External"/><Relationship Id="rId725" Type="http://schemas.openxmlformats.org/officeDocument/2006/relationships/hyperlink" Target="mailto:volman_da@kurganobl.ru" TargetMode="External"/><Relationship Id="rId115" Type="http://schemas.openxmlformats.org/officeDocument/2006/relationships/hyperlink" Target="https://ipr.kostroma.gov.ru/realizatsiya-proektov-razvitiya-osnovannykh-na-obshchestvennykh-initsiativakh/konkursnyy-otbor.php" TargetMode="External"/><Relationship Id="rId157" Type="http://schemas.openxmlformats.org/officeDocument/2006/relationships/hyperlink" Target="https://novgorodstat.gks.ru/storage/mediabank/%D0%A7%D0%B8%D1%81%D0%BB%D0%B5%D0%BD%D0%BD%D0%BE%D1%81%D1%82%D1%8C%20%D0%BE%D0%B1%D0%BB%D0%B0%D1%81%D1%82%D1%8C%202022.pdf" TargetMode="External"/><Relationship Id="rId322" Type="http://schemas.openxmlformats.org/officeDocument/2006/relationships/hyperlink" Target="https://volgafin.volgograd.ru/current-activity/cooperation/news/424780/" TargetMode="External"/><Relationship Id="rId364" Type="http://schemas.openxmlformats.org/officeDocument/2006/relationships/hyperlink" Target="https://docs.cntd.ru/document/444790925" TargetMode="External"/><Relationship Id="rId61" Type="http://schemas.openxmlformats.org/officeDocument/2006/relationships/hyperlink" Target="https://smovrn.ru/;" TargetMode="External"/><Relationship Id="rId199" Type="http://schemas.openxmlformats.org/officeDocument/2006/relationships/hyperlink" Target="mailto:ppmi-53@mail.ru" TargetMode="External"/><Relationship Id="rId571" Type="http://schemas.openxmlformats.org/officeDocument/2006/relationships/hyperlink" Target="https://pravo.donland.ru/doc/view/id/%D0%9E%D0%B1%D0%BB%D0%B0%D1%81%D1%82%D0%BD%D0%BE%D0%B9+%D0%B7%D0%B0%D0%BA%D0%BE%D0%BD_178-%D0%97%D0%A1_01082019_12886/" TargetMode="External"/><Relationship Id="rId627" Type="http://schemas.openxmlformats.org/officeDocument/2006/relationships/hyperlink" Target="mailto:oof@adm.orel.ru" TargetMode="External"/><Relationship Id="rId669" Type="http://schemas.openxmlformats.org/officeDocument/2006/relationships/hyperlink" Target="mailto:kotov.aa@dvinaland.ru" TargetMode="External"/><Relationship Id="rId19" Type="http://schemas.openxmlformats.org/officeDocument/2006/relationships/hyperlink" Target="https://ppmi.yakutia.click/Home" TargetMode="External"/><Relationship Id="rId224" Type="http://schemas.openxmlformats.org/officeDocument/2006/relationships/hyperlink" Target="https://docs.cntd.ru/document/570709755" TargetMode="External"/><Relationship Id="rId266" Type="http://schemas.openxmlformats.org/officeDocument/2006/relationships/hyperlink" Target="https://ppmi.bashkortostan.ru/document" TargetMode="External"/><Relationship Id="rId431" Type="http://schemas.openxmlformats.org/officeDocument/2006/relationships/hyperlink" Target="https://udmstat.gks.ru/folder/51924" TargetMode="External"/><Relationship Id="rId473" Type="http://schemas.openxmlformats.org/officeDocument/2006/relationships/hyperlink" Target="https://68.rosstat.gov.ru/storage/mediabank/chis23-22s.pdf" TargetMode="External"/><Relationship Id="rId529" Type="http://schemas.openxmlformats.org/officeDocument/2006/relationships/hyperlink" Target="https://school.tvoybudget.spb.ru/" TargetMode="External"/><Relationship Id="rId680" Type="http://schemas.openxmlformats.org/officeDocument/2006/relationships/hyperlink" Target="https://omsk.gks.ru/storage/mediabank/chisl-2022.htm" TargetMode="External"/><Relationship Id="rId736" Type="http://schemas.openxmlformats.org/officeDocument/2006/relationships/hyperlink" Target="https://minfin.bashkortostan.ru/documents/active/212260/?ysclid=lg52nxons3712736691" TargetMode="External"/><Relationship Id="rId30" Type="http://schemas.openxmlformats.org/officeDocument/2006/relationships/hyperlink" Target="https://okuvshinnikov.ru/prog/programma_gubernatora_narodnyj_byudzhet/" TargetMode="External"/><Relationship Id="rId126" Type="http://schemas.openxmlformats.org/officeDocument/2006/relationships/hyperlink" Target="https://vk.com/iproject.mfnso," TargetMode="External"/><Relationship Id="rId168" Type="http://schemas.openxmlformats.org/officeDocument/2006/relationships/hyperlink" Target="https://vk.com/ppmi53)," TargetMode="External"/><Relationship Id="rId333" Type="http://schemas.openxmlformats.org/officeDocument/2006/relationships/hyperlink" Target="http://pravo-astrobl.ru/documents/document-0002202112310011/" TargetMode="External"/><Relationship Id="rId540" Type="http://schemas.openxmlformats.org/officeDocument/2006/relationships/hyperlink" Target="http://spbddtl.ru/page-595.html" TargetMode="External"/><Relationship Id="rId72" Type="http://schemas.openxmlformats.org/officeDocument/2006/relationships/hyperlink" Target="mailto:fps@vladfin.ru" TargetMode="External"/><Relationship Id="rId375" Type="http://schemas.openxmlformats.org/officeDocument/2006/relationships/hyperlink" Target="consultantplus://offline/ref=CE41F64B95E700B67DE5A00A9B62613B01AE69E1DB036705D8D0A60453D7CC789CC4567030BDEFDBBBe77EI" TargetMode="External"/><Relationship Id="rId582" Type="http://schemas.openxmlformats.org/officeDocument/2006/relationships/hyperlink" Target="http://docs.cntd.ru/document/463306303" TargetMode="External"/><Relationship Id="rId638" Type="http://schemas.openxmlformats.org/officeDocument/2006/relationships/hyperlink" Target="https://orel-region.ru/%20%20%20%20%20%20%20%20%20%20%20%2057.gorodsreda.ru" TargetMode="External"/><Relationship Id="rId3" Type="http://schemas.openxmlformats.org/officeDocument/2006/relationships/hyperlink" Target="https://depfin.tomsk.gov.ru/pravovoe-regulirovanie" TargetMode="External"/><Relationship Id="rId235" Type="http://schemas.openxmlformats.org/officeDocument/2006/relationships/hyperlink" Target="http://agro.cap.ru/action/activity/" TargetMode="External"/><Relationship Id="rId277" Type="http://schemas.openxmlformats.org/officeDocument/2006/relationships/hyperlink" Target="http://publication.pravo.gov.ru/Document/View/7400202112240014" TargetMode="External"/><Relationship Id="rId400" Type="http://schemas.openxmlformats.org/officeDocument/2006/relationships/hyperlink" Target="mailto:iv_kravchenko@lenreg.ru" TargetMode="External"/><Relationship Id="rId442" Type="http://schemas.openxmlformats.org/officeDocument/2006/relationships/hyperlink" Target="https://vk.com/atmosfera_ur" TargetMode="External"/><Relationship Id="rId484" Type="http://schemas.openxmlformats.org/officeDocument/2006/relationships/hyperlink" Target="http://economy.midural.ru/content/iniciativnoe-byudzhetirovanie" TargetMode="External"/><Relationship Id="rId705" Type="http://schemas.openxmlformats.org/officeDocument/2006/relationships/hyperlink" Target="https://75.rosstat.gov.ru/storage/mediabank/1_%D0%A7%D0%B8%D1%81%D0%BB%D0%B5%D0%BD%D0%BD%D0%BE%D1%81%D1%82%D1%8C%20%D0%BD%D0%B0%D1%81%D0%B5%D0%BB%D0%B5%D0%BD%D0%B8%D1%8F.pdf" TargetMode="External"/><Relationship Id="rId137" Type="http://schemas.openxmlformats.org/officeDocument/2006/relationships/hyperlink" Target="https://gokucmpi.ru/upload/iblock/a03/qlnw3ih5yzrzhnub3b0p431n5fkdlhet/Ustav-GOKU-TSMPI-_posl.red..pdf" TargetMode="External"/><Relationship Id="rId302" Type="http://schemas.openxmlformats.org/officeDocument/2006/relationships/hyperlink" Target="https://nac.gov.karelia.ru/about/3833/" TargetMode="External"/><Relationship Id="rId344" Type="http://schemas.openxmlformats.org/officeDocument/2006/relationships/hyperlink" Target="mailto:svod2@beldepfin.ru" TargetMode="External"/><Relationship Id="rId691" Type="http://schemas.openxmlformats.org/officeDocument/2006/relationships/hyperlink" Target="mailto:ubp-gov@tverfin.ru" TargetMode="External"/><Relationship Id="rId747" Type="http://schemas.openxmlformats.org/officeDocument/2006/relationships/hyperlink" Target="mailto:elena.fedyainova@tularegion.ru" TargetMode="External"/><Relationship Id="rId41" Type="http://schemas.openxmlformats.org/officeDocument/2006/relationships/hyperlink" Target="http://minfin.kalmregion.ru/deyatelnost/initsiativnoe-byudzhetirovanie/" TargetMode="External"/><Relationship Id="rId83" Type="http://schemas.openxmlformats.org/officeDocument/2006/relationships/hyperlink" Target="https://05.rosstat.gov.ru/storage/mediabank/&#1095;&#1080;&#1089;&#1083;.%20&#1085;&#1072;%2001.01.2022&#1075;.%20(&#1095;&#1077;&#1083;.).pdf" TargetMode="External"/><Relationship Id="rId179" Type="http://schemas.openxmlformats.org/officeDocument/2006/relationships/hyperlink" Target="https://docs.cntd.ru/document/553386375" TargetMode="External"/><Relationship Id="rId386" Type="http://schemas.openxmlformats.org/officeDocument/2006/relationships/hyperlink" Target="https://disk.yandex.ru/d/bNtKkI7tYHzdAg" TargetMode="External"/><Relationship Id="rId551" Type="http://schemas.openxmlformats.org/officeDocument/2006/relationships/hyperlink" Target="https://gorodsreda.ru/" TargetMode="External"/><Relationship Id="rId593" Type="http://schemas.openxmlformats.org/officeDocument/2006/relationships/hyperlink" Target="https://vk.com/public175242912?z=photo-175242912_457239837%2Falbum-175242912_00%2Frev" TargetMode="External"/><Relationship Id="rId607" Type="http://schemas.openxmlformats.org/officeDocument/2006/relationships/hyperlink" Target="https://budget.rk.ifinmon.ru/krym-kak-my-hotim/dokumenty" TargetMode="External"/><Relationship Id="rId649" Type="http://schemas.openxmlformats.org/officeDocument/2006/relationships/hyperlink" Target="https://55.rosstat.gov.ru/storage/mediabank/chisl-2022.htm" TargetMode="External"/><Relationship Id="rId190" Type="http://schemas.openxmlformats.org/officeDocument/2006/relationships/hyperlink" Target="https://docs.cntd.ru/document/553386375" TargetMode="External"/><Relationship Id="rId204" Type="http://schemas.openxmlformats.org/officeDocument/2006/relationships/hyperlink" Target="https://docs.cntd.ru/document/450360732" TargetMode="External"/><Relationship Id="rId246" Type="http://schemas.openxmlformats.org/officeDocument/2006/relationships/hyperlink" Target="mailto:bvl@obladmin.pskov.ru" TargetMode="External"/><Relationship Id="rId288" Type="http://schemas.openxmlformats.org/officeDocument/2006/relationships/hyperlink" Target="https://76.rosstat.gov.ru/storage/mediabank/chislennost_naseleniya_yaroslavskoy_oblasti.pdf" TargetMode="External"/><Relationship Id="rId411" Type="http://schemas.openxmlformats.org/officeDocument/2006/relationships/hyperlink" Target="https://za-gorodsreda.ru/" TargetMode="External"/><Relationship Id="rId453" Type="http://schemas.openxmlformats.org/officeDocument/2006/relationships/hyperlink" Target="mailto:ShillerMV@72to.ru" TargetMode="External"/><Relationship Id="rId509" Type="http://schemas.openxmlformats.org/officeDocument/2006/relationships/hyperlink" Target="https://rosstat.gov.ru/compendium/document/13282" TargetMode="External"/><Relationship Id="rId660" Type="http://schemas.openxmlformats.org/officeDocument/2006/relationships/hyperlink" Target="mailto:Prytkova_MA@primorsky.ru" TargetMode="External"/><Relationship Id="rId106" Type="http://schemas.openxmlformats.org/officeDocument/2006/relationships/hyperlink" Target="https://apkkostroma.ru/industry-info/krst/index.aspx" TargetMode="External"/><Relationship Id="rId313" Type="http://schemas.openxmlformats.org/officeDocument/2006/relationships/hyperlink" Target="mailto:romanova_o@depfin.kirov.ru" TargetMode="External"/><Relationship Id="rId495" Type="http://schemas.openxmlformats.org/officeDocument/2006/relationships/hyperlink" Target="https://mcxso.midural.ru/article/show/id/10014" TargetMode="External"/><Relationship Id="rId716" Type="http://schemas.openxmlformats.org/officeDocument/2006/relationships/hyperlink" Target="mailto:kgs-zab@mail.ru" TargetMode="External"/><Relationship Id="rId758" Type="http://schemas.openxmlformats.org/officeDocument/2006/relationships/comments" Target="../comments1.xml"/><Relationship Id="rId10" Type="http://schemas.openxmlformats.org/officeDocument/2006/relationships/hyperlink" Target="mailto:rtfin5@bryanskoblfin.ru" TargetMode="External"/><Relationship Id="rId52" Type="http://schemas.openxmlformats.org/officeDocument/2006/relationships/hyperlink" Target="https://www.minfinchr.ru/" TargetMode="External"/><Relationship Id="rId94" Type="http://schemas.openxmlformats.org/officeDocument/2006/relationships/hyperlink" Target="http://docs.cntd.ru/document/550244134" TargetMode="External"/><Relationship Id="rId148" Type="http://schemas.openxmlformats.org/officeDocument/2006/relationships/hyperlink" Target="http://docs.cntd.ru/document/553230534" TargetMode="External"/><Relationship Id="rId355" Type="http://schemas.openxmlformats.org/officeDocument/2006/relationships/hyperlink" Target="http://publication.pravo.gov.ru/Document/View/3900202107010021" TargetMode="External"/><Relationship Id="rId397" Type="http://schemas.openxmlformats.org/officeDocument/2006/relationships/hyperlink" Target="https://msu.lenobl.ru/ru/news/proektnyj-centr-iniciativnogo-byudzhetirovaniya" TargetMode="External"/><Relationship Id="rId520" Type="http://schemas.openxmlformats.org/officeDocument/2006/relationships/hyperlink" Target="https://pib.sakhminfin.ru/show/ppi" TargetMode="External"/><Relationship Id="rId562" Type="http://schemas.openxmlformats.org/officeDocument/2006/relationships/hyperlink" Target="mailto:rev-mp@adm1.ruazan.su" TargetMode="External"/><Relationship Id="rId618" Type="http://schemas.openxmlformats.org/officeDocument/2006/relationships/hyperlink" Target="https://59.rosstat.gov.ru/folder/160087" TargetMode="External"/><Relationship Id="rId215" Type="http://schemas.openxmlformats.org/officeDocument/2006/relationships/hyperlink" Target="https://www.consultant.ru/" TargetMode="External"/><Relationship Id="rId257" Type="http://schemas.openxmlformats.org/officeDocument/2006/relationships/hyperlink" Target="mailto:lukmanova.av@bashkortostan.ru" TargetMode="External"/><Relationship Id="rId422" Type="http://schemas.openxmlformats.org/officeDocument/2006/relationships/hyperlink" Target="https://disk.yandex.ru/d/OsdmtFYj0zQBTQ" TargetMode="External"/><Relationship Id="rId464" Type="http://schemas.openxmlformats.org/officeDocument/2006/relationships/hyperlink" Target="mailto:pae@omsu.tambov.gov.ru" TargetMode="External"/><Relationship Id="rId299" Type="http://schemas.openxmlformats.org/officeDocument/2006/relationships/hyperlink" Target="mailto:bagdasarian@nac.gov10.ru" TargetMode="External"/><Relationship Id="rId727" Type="http://schemas.openxmlformats.org/officeDocument/2006/relationships/hyperlink" Target="http://publication.pravo.gov.ru/Document/View/4800201904040004?index=0&amp;rangeSize=1" TargetMode="External"/><Relationship Id="rId63" Type="http://schemas.openxmlformats.org/officeDocument/2006/relationships/hyperlink" Target="https://pravo.govvrn.ru/?q=node/21716" TargetMode="External"/><Relationship Id="rId159" Type="http://schemas.openxmlformats.org/officeDocument/2006/relationships/hyperlink" Target="https://docs.cntd.ru/document/553386375" TargetMode="External"/><Relationship Id="rId366" Type="http://schemas.openxmlformats.org/officeDocument/2006/relationships/hyperlink" Target="https://cloud.mail.ru/public/EDhs/FsnBhny8N" TargetMode="External"/><Relationship Id="rId573" Type="http://schemas.openxmlformats.org/officeDocument/2006/relationships/hyperlink" Target="https://www.donland.ru/result-report/1483/" TargetMode="External"/><Relationship Id="rId226" Type="http://schemas.openxmlformats.org/officeDocument/2006/relationships/hyperlink" Target="mailto:lushkina@ivdvp.ru" TargetMode="External"/><Relationship Id="rId433" Type="http://schemas.openxmlformats.org/officeDocument/2006/relationships/hyperlink" Target="https://ib.mfur.ru/" TargetMode="External"/><Relationship Id="rId640" Type="http://schemas.openxmlformats.org/officeDocument/2006/relationships/hyperlink" Target="https://gorodsreda.ru/" TargetMode="External"/><Relationship Id="rId738" Type="http://schemas.openxmlformats.org/officeDocument/2006/relationships/hyperlink" Target="mailto:ivaha.vv@nocrb.ru" TargetMode="External"/><Relationship Id="rId74" Type="http://schemas.openxmlformats.org/officeDocument/2006/relationships/hyperlink" Target="https://vladimirstat.gks.ru/" TargetMode="External"/><Relationship Id="rId377" Type="http://schemas.openxmlformats.org/officeDocument/2006/relationships/hyperlink" Target="consultantplus://offline/ref=7E8DF06FB34ED0D56D25FD96D796136D21072C52525CAC283BF632326867B056A97B5FE7CF0F85299311837F8AD1A7B21940155605531A64023ABA78hBG0J" TargetMode="External"/><Relationship Id="rId500" Type="http://schemas.openxmlformats.org/officeDocument/2006/relationships/hyperlink" Target="https://disk.yandex.ru/d/ge4JTVRrPkhqvQ" TargetMode="External"/><Relationship Id="rId584" Type="http://schemas.openxmlformats.org/officeDocument/2006/relationships/hyperlink" Target="mailto:Madina.Sabirzyanova@tatar.ru" TargetMode="External"/><Relationship Id="rId5" Type="http://schemas.openxmlformats.org/officeDocument/2006/relationships/hyperlink" Target="mailto:kyk@findep.org" TargetMode="External"/><Relationship Id="rId237" Type="http://schemas.openxmlformats.org/officeDocument/2006/relationships/hyperlink" Target="https://chuvash.gks.ru/demog" TargetMode="External"/><Relationship Id="rId444" Type="http://schemas.openxmlformats.org/officeDocument/2006/relationships/hyperlink" Target="https://www.udmurt.ru/regulatory/?typeid=31183294&amp;regnum=94&amp;sdate=&amp;edate=&amp;sdatepub=&amp;edatepub=&amp;q=&amp;doccnt=" TargetMode="External"/><Relationship Id="rId651" Type="http://schemas.openxmlformats.org/officeDocument/2006/relationships/hyperlink" Target="mailto:sboyko@minselkhoz.omskportal.ru" TargetMode="External"/><Relationship Id="rId749" Type="http://schemas.openxmlformats.org/officeDocument/2006/relationships/hyperlink" Target="mailto:elena.mineeva@tularegion.ru" TargetMode="External"/><Relationship Id="rId290" Type="http://schemas.openxmlformats.org/officeDocument/2006/relationships/hyperlink" Target="mailto:e.a.barabanova@adm.khv.ru" TargetMode="External"/><Relationship Id="rId304" Type="http://schemas.openxmlformats.org/officeDocument/2006/relationships/hyperlink" Target="https://m.vk.com/album-169034427_0?rev=1&amp;from=profile&amp;z=photo-169034427_457239153%2Falbum-169034427_0%2Frev" TargetMode="External"/><Relationship Id="rId388" Type="http://schemas.openxmlformats.org/officeDocument/2006/relationships/hyperlink" Target="https://lenobl.ru/ru/dokumenty/opublikovanie-pravovyh-aktov/oficialno-opublikovanie-npa-s-10-iyunya-2013-goda/oficialnoe-opublikovanie-pravovyh-aktov-leningradskoj-oblasti-s-10-iyu/" TargetMode="External"/><Relationship Id="rId511" Type="http://schemas.openxmlformats.org/officeDocument/2006/relationships/hyperlink" Target="https://pib.sakhminfin.ru/projects?MembersCategoryId=1" TargetMode="External"/><Relationship Id="rId609" Type="http://schemas.openxmlformats.org/officeDocument/2006/relationships/hyperlink" Target="https://budget.rk.ifinmon.ru/krym-kak-my-hotim" TargetMode="External"/><Relationship Id="rId85" Type="http://schemas.openxmlformats.org/officeDocument/2006/relationships/hyperlink" Target="mailto:DzhateB@mail.ru" TargetMode="External"/><Relationship Id="rId150" Type="http://schemas.openxmlformats.org/officeDocument/2006/relationships/hyperlink" Target="https://vk.com/public197984081?w=wall-197984081_224" TargetMode="External"/><Relationship Id="rId595" Type="http://schemas.openxmlformats.org/officeDocument/2006/relationships/hyperlink" Target="https://mari-el.gov.ru/ministries/minselhoz/pages/nd-npa-krst/" TargetMode="External"/><Relationship Id="rId248" Type="http://schemas.openxmlformats.org/officeDocument/2006/relationships/hyperlink" Target="https://pskov.ru/vlast/ispolnitelnaya/administratsiya-oblasti/apparat/upravlenie-po-mestnomu-samoupr/initsiativnye-proekty" TargetMode="External"/><Relationship Id="rId455" Type="http://schemas.openxmlformats.org/officeDocument/2006/relationships/hyperlink" Target="https://72.rosstat.gov.ru/storage/mediabank/&#1063;&#1080;&#1089;&#1083;&#1077;&#1085;&#1085;&#1086;&#1089;&#1090;&#1100;%20&#1085;&#1072;&#1089;&#1077;&#1083;&#1077;&#1085;&#1080;&#1103;%20&#1079;&#1072;%202017-2022%20&#1075;&#1086;&#1076;&#1099;_&#1070;&#1043;_2.xlsx" TargetMode="External"/><Relationship Id="rId662"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12" Type="http://schemas.openxmlformats.org/officeDocument/2006/relationships/hyperlink" Target="https://kursk.ru/region/economy/page-185717/" TargetMode="External"/><Relationship Id="rId108" Type="http://schemas.openxmlformats.org/officeDocument/2006/relationships/hyperlink" Target="mailto:dolg@depfin.kostroma.gov.ru" TargetMode="External"/><Relationship Id="rId315" Type="http://schemas.openxmlformats.org/officeDocument/2006/relationships/hyperlink" Target="https://vk.com/ppmi43" TargetMode="External"/><Relationship Id="rId522" Type="http://schemas.openxmlformats.org/officeDocument/2006/relationships/hyperlink" Target="https://disk.yandex.ru/d/ctvkZFCzLGaQ_g" TargetMode="External"/><Relationship Id="rId96" Type="http://schemas.openxmlformats.org/officeDocument/2006/relationships/hyperlink" Target="https://www.ofukem.ru/activity/initiative-budgeting/about-the-projects/%20%20%20%20%20%20%20%20&#1052;&#1080;&#1085;&#1092;&#1080;&#1085;" TargetMode="External"/><Relationship Id="rId161" Type="http://schemas.openxmlformats.org/officeDocument/2006/relationships/hyperlink" Target="https://docs.cntd.ru/document/450360732" TargetMode="External"/><Relationship Id="rId399" Type="http://schemas.openxmlformats.org/officeDocument/2006/relationships/hyperlink" Target="http://region-stat.plo.lan/People/Forms/ByType.aspx" TargetMode="External"/><Relationship Id="rId259" Type="http://schemas.openxmlformats.org/officeDocument/2006/relationships/hyperlink" Target="mailto:armenshin.i@bashkortostan.ru" TargetMode="External"/><Relationship Id="rId466" Type="http://schemas.openxmlformats.org/officeDocument/2006/relationships/hyperlink" Target="http://publication.pravo.gov.ru/Document/View/6800201709010001?rangeSize=20" TargetMode="External"/><Relationship Id="rId673" Type="http://schemas.openxmlformats.org/officeDocument/2006/relationships/hyperlink" Target="https://depjkke.admhmao.ru/prioritetnye-proekty/" TargetMode="External"/><Relationship Id="rId23" Type="http://schemas.openxmlformats.org/officeDocument/2006/relationships/hyperlink" Target="https://politic.49gov.ru/" TargetMode="External"/><Relationship Id="rId119" Type="http://schemas.openxmlformats.org/officeDocument/2006/relationships/hyperlink" Target="http://gkh.adm44.ru/sov_sreda/" TargetMode="External"/><Relationship Id="rId326" Type="http://schemas.openxmlformats.org/officeDocument/2006/relationships/hyperlink" Target="https://budget4me-34.ru/" TargetMode="External"/><Relationship Id="rId533" Type="http://schemas.openxmlformats.org/officeDocument/2006/relationships/hyperlink" Target="mailto:lukyanova@kfin.gov.spb.ru" TargetMode="External"/><Relationship Id="rId740" Type="http://schemas.openxmlformats.org/officeDocument/2006/relationships/hyperlink" Target="mailto:Koktysheva.S@govrb.ru" TargetMode="External"/><Relationship Id="rId172" Type="http://schemas.openxmlformats.org/officeDocument/2006/relationships/hyperlink" Target="https://gokucmpi.ru/upload/iblock/ae8/ppo26zlmpqny7apv0dx3j2ug8zqhohjs/Anketa_na-sayt-_1_.pdf" TargetMode="External"/><Relationship Id="rId477" Type="http://schemas.openxmlformats.org/officeDocument/2006/relationships/hyperlink" Target="mailto:xea@gkh.tambov.gov.ru" TargetMode="External"/><Relationship Id="rId600" Type="http://schemas.openxmlformats.org/officeDocument/2006/relationships/hyperlink" Target="mailto:mf-pts@minfin.mari.ru" TargetMode="External"/><Relationship Id="rId684" Type="http://schemas.openxmlformats.org/officeDocument/2006/relationships/hyperlink" Target="https://omsk.gks.ru/storage/mediabank/chisl-2022.htm" TargetMode="External"/><Relationship Id="rId337" Type="http://schemas.openxmlformats.org/officeDocument/2006/relationships/hyperlink" Target="https://rosstat.gov.ru/compendium/document/13282" TargetMode="External"/><Relationship Id="rId34" Type="http://schemas.openxmlformats.org/officeDocument/2006/relationships/hyperlink" Target="https://amurstat.gks.ru/storage/mediabank/07_1_4.htm" TargetMode="External"/><Relationship Id="rId544" Type="http://schemas.openxmlformats.org/officeDocument/2006/relationships/hyperlink" Target="https://minfin.saratov.gov.ru/index.php?option=com_acrfilestorage&amp;task=download&amp;on=2060" TargetMode="External"/><Relationship Id="rId751" Type="http://schemas.openxmlformats.org/officeDocument/2006/relationships/hyperlink" Target="http://publication.pravo.gov.ru/Document/View/2700201903260005?index=0&amp;rangeSize=1" TargetMode="External"/><Relationship Id="rId183" Type="http://schemas.openxmlformats.org/officeDocument/2006/relationships/hyperlink" Target="https://gokucmpi.ru/" TargetMode="External"/><Relationship Id="rId390" Type="http://schemas.openxmlformats.org/officeDocument/2006/relationships/hyperlink" Target="https://petrostat.gks.ru/folder/29437" TargetMode="External"/><Relationship Id="rId404" Type="http://schemas.openxmlformats.org/officeDocument/2006/relationships/hyperlink" Target="http://publication.pravo.gov.ru/Document/View/5200201712270003" TargetMode="External"/><Relationship Id="rId611" Type="http://schemas.openxmlformats.org/officeDocument/2006/relationships/hyperlink" Target="https://vk.com/centr_izuch_grazhdans_initsiativ" TargetMode="External"/><Relationship Id="rId250" Type="http://schemas.openxmlformats.org/officeDocument/2006/relationships/hyperlink" Target="https://pskov.ru/vlast/ispolnitelnaya/administratsiya/apparat/samoupr" TargetMode="External"/><Relationship Id="rId488" Type="http://schemas.openxmlformats.org/officeDocument/2006/relationships/hyperlink" Target="https://sverdl.gks.ru/folder/29698" TargetMode="External"/><Relationship Id="rId695" Type="http://schemas.openxmlformats.org/officeDocument/2006/relationships/hyperlink" Target="https://tvoybudget.spb.ru/press" TargetMode="External"/><Relationship Id="rId709" Type="http://schemas.openxmlformats.org/officeDocument/2006/relationships/hyperlink" Target="https://75.ru/tos" TargetMode="External"/><Relationship Id="rId45" Type="http://schemas.openxmlformats.org/officeDocument/2006/relationships/hyperlink" Target="https://30.rosstat.gov.ru/folder/35673" TargetMode="External"/><Relationship Id="rId110" Type="http://schemas.openxmlformats.org/officeDocument/2006/relationships/hyperlink" Target="http://trans.adm44.ru/sfera/deytelnost/obshinic/" TargetMode="External"/><Relationship Id="rId348" Type="http://schemas.openxmlformats.org/officeDocument/2006/relationships/hyperlink" Target="mailto:gaybel_aa@belregion.ru" TargetMode="External"/><Relationship Id="rId555" Type="http://schemas.openxmlformats.org/officeDocument/2006/relationships/hyperlink" Target="https://minfin.saratov.gov.ru/index.php?option=com_acrfilestorage&amp;task=download&amp;on=2297" TargetMode="External"/><Relationship Id="rId194" Type="http://schemas.openxmlformats.org/officeDocument/2006/relationships/hyperlink" Target="https://gokucmpi.ru/upload/iblock/a03/qlnw3ih5yzrzhnub3b0p431n5fkdlhet/Ustav-GOKU-TSMPI-_posl.red..pdf" TargetMode="External"/><Relationship Id="rId208" Type="http://schemas.openxmlformats.org/officeDocument/2006/relationships/hyperlink" Target="https://docs.cntd.ru/document/450333035" TargetMode="External"/><Relationship Id="rId415" Type="http://schemas.openxmlformats.org/officeDocument/2006/relationships/hyperlink" Target="https://minstroyrf.gov.ru/upload/iblock/7b3/Gorsreda_brandbook_new.pdf" TargetMode="External"/><Relationship Id="rId622" Type="http://schemas.openxmlformats.org/officeDocument/2006/relationships/hyperlink" Target="https://veved.ru/perm/perm-news/152842-v-prikame-na-kraevoj-konkurs-postupilo-pochti-300-proektov-iniciativnogo-bjudzhetirovanija.html" TargetMode="External"/><Relationship Id="rId261" Type="http://schemas.openxmlformats.org/officeDocument/2006/relationships/hyperlink" Target="http://docs.cntd.ru/document/553216517" TargetMode="External"/><Relationship Id="rId499" Type="http://schemas.openxmlformats.org/officeDocument/2006/relationships/hyperlink" Target="https://disk.yandex.ru/d/8ZRt7RWr6nTDgQ" TargetMode="External"/><Relationship Id="rId56"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359" Type="http://schemas.openxmlformats.org/officeDocument/2006/relationships/hyperlink" Target="http://publication.pravo.gov.ru/Document/View/3900202202210001" TargetMode="External"/><Relationship Id="rId566" Type="http://schemas.openxmlformats.org/officeDocument/2006/relationships/hyperlink" Target="consultantplus://offline/ref=24A1553E6DE4C29E30FEA25263B15CD09B0908C88962D2E914EE6706EA5FCB82F7A59D602150B3A907n8ECO" TargetMode="External"/><Relationship Id="rId121" Type="http://schemas.openxmlformats.org/officeDocument/2006/relationships/hyperlink" Target="mailto:tashireva@gov-murman.ru" TargetMode="External"/><Relationship Id="rId219" Type="http://schemas.openxmlformats.org/officeDocument/2006/relationships/hyperlink" Target="https://smi.adm-nao.ru/iniciativnoe-byudzhetirovanie/informaciya-o-pobeditelyah-konkursov/" TargetMode="External"/><Relationship Id="rId426" Type="http://schemas.openxmlformats.org/officeDocument/2006/relationships/hyperlink" Target="mailto:ppmi@ulminfin.ru" TargetMode="External"/><Relationship Id="rId633" Type="http://schemas.openxmlformats.org/officeDocument/2006/relationships/hyperlink" Target="https://orel-region.ru/index.php?head=1&amp;unit=17469" TargetMode="External"/><Relationship Id="rId67" Type="http://schemas.openxmlformats.org/officeDocument/2006/relationships/hyperlink" Target="https://pravo.govvrn.ru/?q=node/15372" TargetMode="External"/><Relationship Id="rId272" Type="http://schemas.openxmlformats.org/officeDocument/2006/relationships/hyperlink" Target="http://docs.cntd.ru/document/553216517" TargetMode="External"/><Relationship Id="rId577" Type="http://schemas.openxmlformats.org/officeDocument/2006/relationships/hyperlink" Target="https://www.donland.ru/news/14625/" TargetMode="External"/><Relationship Id="rId700" Type="http://schemas.openxmlformats.org/officeDocument/2006/relationships/hyperlink" Target="https://cloud.mail.ru/public/Js6U/v7HV8JY7N" TargetMode="External"/><Relationship Id="rId132" Type="http://schemas.openxmlformats.org/officeDocument/2006/relationships/hyperlink" Target="https://gokucmpi.ru/" TargetMode="External"/><Relationship Id="rId437" Type="http://schemas.openxmlformats.org/officeDocument/2006/relationships/hyperlink" Target="https://www.udmurt.ru/documents/download.php?id=79249830" TargetMode="External"/><Relationship Id="rId644" Type="http://schemas.openxmlformats.org/officeDocument/2006/relationships/hyperlink" Target="mailto:pimenovaiv@minfin.omskportal.ru" TargetMode="External"/><Relationship Id="rId283" Type="http://schemas.openxmlformats.org/officeDocument/2006/relationships/hyperlink" Target="https://docs.cntd.ru/document/446168877" TargetMode="External"/><Relationship Id="rId490" Type="http://schemas.openxmlformats.org/officeDocument/2006/relationships/hyperlink" Target="https://gorodsreda.ru/documents/metodiki-i-rekomendatsi" TargetMode="External"/><Relationship Id="rId504" Type="http://schemas.openxmlformats.org/officeDocument/2006/relationships/hyperlink" Target="https://disk.yandex.ru/d/rDnDFhXbNfg89g" TargetMode="External"/><Relationship Id="rId711" Type="http://schemas.openxmlformats.org/officeDocument/2006/relationships/hyperlink" Target="https://docs.cntd.ru/document/561750188" TargetMode="External"/><Relationship Id="rId78" Type="http://schemas.openxmlformats.org/officeDocument/2006/relationships/hyperlink" Target="https://dtf.avo.ru/podderzka-iniciativ-naselenia" TargetMode="External"/><Relationship Id="rId143" Type="http://schemas.openxmlformats.org/officeDocument/2006/relationships/hyperlink" Target="https://apk.novreg.ru/documents/552.html" TargetMode="External"/><Relationship Id="rId350" Type="http://schemas.openxmlformats.org/officeDocument/2006/relationships/hyperlink" Target="http://publication.pravo.gov.ru/Document/View/3900201912270018?rangeSize=50" TargetMode="External"/><Relationship Id="rId588" Type="http://schemas.openxmlformats.org/officeDocument/2006/relationships/hyperlink" Target="https://infotables.ru/statistika/31-rossijskaya-federatsiya/198-chislennost-gorodskogo-i-selskogo-naseleniya-rossii-po-federalnym-okrugam-tablitsa" TargetMode="External"/><Relationship Id="rId9" Type="http://schemas.openxmlformats.org/officeDocument/2006/relationships/hyperlink" Target="mailto:oms032@yandex.ru" TargetMode="External"/><Relationship Id="rId210" Type="http://schemas.openxmlformats.org/officeDocument/2006/relationships/hyperlink" Target="https://53.gorodsreda.ru/result-voting" TargetMode="External"/><Relationship Id="rId448" Type="http://schemas.openxmlformats.org/officeDocument/2006/relationships/hyperlink" Target="https://gkh.admtyumen.ru/OIGV/gkh/actions/programs/program.htm?id=1138@egTargetGrant" TargetMode="External"/><Relationship Id="rId655" Type="http://schemas.openxmlformats.org/officeDocument/2006/relationships/hyperlink" Target="https://pib.primorsky.ru/Menu/Presentation/14?ItemId=14" TargetMode="External"/><Relationship Id="rId294" Type="http://schemas.openxmlformats.org/officeDocument/2006/relationships/hyperlink" Target="https://disk.yandex.ru/d/OwcSZ80vkCYzZw" TargetMode="External"/><Relationship Id="rId308" Type="http://schemas.openxmlformats.org/officeDocument/2006/relationships/hyperlink" Target="https://nac.gov.karelia.ru/about/3833/" TargetMode="External"/><Relationship Id="rId515" Type="http://schemas.openxmlformats.org/officeDocument/2006/relationships/hyperlink" Target="https://pib.sakhminfin.ru/show/ppi" TargetMode="External"/><Relationship Id="rId722" Type="http://schemas.openxmlformats.org/officeDocument/2006/relationships/hyperlink" Target="mailto:goncharova_nv@kurganobl.ru" TargetMode="External"/><Relationship Id="rId89" Type="http://schemas.openxmlformats.org/officeDocument/2006/relationships/hyperlink" Target="https://docs.cntd.ru/document/570773121" TargetMode="External"/><Relationship Id="rId154" Type="http://schemas.openxmlformats.org/officeDocument/2006/relationships/hyperlink" Target="mailto:ppmi-53@mail,ru" TargetMode="External"/><Relationship Id="rId361" Type="http://schemas.openxmlformats.org/officeDocument/2006/relationships/hyperlink" Target="http://publication.pravo.gov.ru/Document/View/3900202107010021" TargetMode="External"/><Relationship Id="rId599" Type="http://schemas.openxmlformats.org/officeDocument/2006/relationships/hyperlink" Target="https://mari-el.gov.ru/ministries/minfin/pages/zakon-56z-v-redaktii-27z/?lang=ru" TargetMode="External"/><Relationship Id="rId459" Type="http://schemas.openxmlformats.org/officeDocument/2006/relationships/hyperlink" Target="https://www.tambov.gov.ru/departament-vnutrennej-politiki/urt/narodnaya-iniciativa.html" TargetMode="External"/><Relationship Id="rId666" Type="http://schemas.openxmlformats.org/officeDocument/2006/relationships/hyperlink" Target="mailto:OrlovaOK@mosreg.ru" TargetMode="External"/><Relationship Id="rId16" Type="http://schemas.openxmlformats.org/officeDocument/2006/relationships/hyperlink" Target="https://ppmi.yakutia.click/Home" TargetMode="External"/><Relationship Id="rId221" Type="http://schemas.openxmlformats.org/officeDocument/2006/relationships/hyperlink" Target="https://docs.cntd.ru/document/561493132?marker" TargetMode="External"/><Relationship Id="rId319" Type="http://schemas.openxmlformats.org/officeDocument/2006/relationships/hyperlink" Target="mailto:avb@volgafin.ru" TargetMode="External"/><Relationship Id="rId526" Type="http://schemas.openxmlformats.org/officeDocument/2006/relationships/hyperlink" Target="https://78.rosstat.gov.ru/folder/27595" TargetMode="External"/><Relationship Id="rId733" Type="http://schemas.openxmlformats.org/officeDocument/2006/relationships/hyperlink" Target="https://minfin.bashkortostan.ru/documents/active/461972/" TargetMode="External"/><Relationship Id="rId165" Type="http://schemas.openxmlformats.org/officeDocument/2006/relationships/hyperlink" Target="mailto:bud_komfin@novreg.ru" TargetMode="External"/><Relationship Id="rId372" Type="http://schemas.openxmlformats.org/officeDocument/2006/relationships/hyperlink" Target="https://40.rosstat.gov.ru/storage/mediabank/&#1063;&#1080;&#1089;&#1083;&#1077;&#1085;&#1085;&#1086;&#1089;&#1090;&#1100;%20&#1087;&#1086;&#1089;&#1090;&#1086;&#1103;&#1085;&#1085;&#1086;&#1075;&#1086;%20&#1085;&#1072;&#1089;&#1077;&#1083;&#1077;&#1085;&#1080;&#1103;%20&#1050;&#1072;&#1083;&#1091;&#1078;&#1089;&#1082;&#1086;&#1081;%20&#1086;&#1073;&#1083;&#1072;&#1089;&#1090;&#1080;%20&#1087;&#1086;%20&#1084;&#1091;&#1085;&#1080;&#1094;&#1080;&#1087;&#1072;&#1083;&#1100;&#1085;&#1099;&#1084;%20&#1086;&#1073;&#1088;&#1072;&#1079;&#1086;&#1074;&#1072;&#1085;&#1080;&#1103;&#1084;.pdf" TargetMode="External"/><Relationship Id="rId677" Type="http://schemas.openxmlformats.org/officeDocument/2006/relationships/hyperlink" Target="file:///var/folders/_b/rxv_4dvx5s7bhhpl1mcf4xgw0000gn/T/SaskebaevaAE/AppData/Local/Temp/Rar$DIa0.222/&#1055;&#1086;&#1089;&#1090;&#1072;&#1085;&#1086;&#1074;&#1083;&#1077;&#1085;&#1080;&#1077;%20&#1055;&#1088;&#1072;&#1074;&#1080;&#1090;&#1077;&#1083;&#1100;&#1089;&#1090;&#1074;&#1072;%20&#1061;&#1052;&#1040;&#1054;-&#1070;&#1075;&#1088;&#1099;%20&#1086;&#1090;%2005.10.2018%20&#1075;%20N%20355%20%20&#1075;&#1086;&#1089;&#1087;&#1088;&#1086;&#1075;&#1088;&#1072;&#1084;&#1084;&#1072;%20&#1056;&#1072;&#1079;&#1074;&#1080;&#1090;&#1080;&#1077;%20&#1075;&#1088;&#1072;&#1078;&#1076;&#1072;&#1085;&#1089;&#1082;&#1086;&#1075;&#1086;%20&#1086;&#1073;&#1097;&#1077;&#1089;&#1090;&#1074;&#1072;.docx" TargetMode="External"/><Relationship Id="rId232" Type="http://schemas.openxmlformats.org/officeDocument/2006/relationships/hyperlink" Target="http://budget.orb.ru/new/init-budg" TargetMode="External"/><Relationship Id="rId27" Type="http://schemas.openxmlformats.org/officeDocument/2006/relationships/hyperlink" Target="https://df.gov35.ru/dokumenty-strategicheskogo-planirovaniya/gosudarstvennaya-programma-departamenta-finansov/aktualnaya-versiya-gosudarstvennoy-programmy/" TargetMode="External"/><Relationship Id="rId537" Type="http://schemas.openxmlformats.org/officeDocument/2006/relationships/hyperlink" Target="http://spbddtl.ru/page-595.html" TargetMode="External"/><Relationship Id="rId744" Type="http://schemas.openxmlformats.org/officeDocument/2006/relationships/hyperlink" Target="https://or71.ru/primi_uchastie/narodniy_budjet_new/" TargetMode="External"/><Relationship Id="rId80" Type="http://schemas.openxmlformats.org/officeDocument/2006/relationships/hyperlink" Target="mailto:bud@vladfin.ru" TargetMode="External"/><Relationship Id="rId176" Type="http://schemas.openxmlformats.org/officeDocument/2006/relationships/hyperlink" Target="http://docs.cntd.ru/document/553230534" TargetMode="External"/><Relationship Id="rId383" Type="http://schemas.openxmlformats.org/officeDocument/2006/relationships/hyperlink" Target="http://ppmi24.ru/" TargetMode="External"/><Relationship Id="rId590" Type="http://schemas.openxmlformats.org/officeDocument/2006/relationships/hyperlink" Target="https://mari-el.gov.ru/proactivities/pages/natpojects_urban/" TargetMode="External"/><Relationship Id="rId604" Type="http://schemas.openxmlformats.org/officeDocument/2006/relationships/hyperlink" Target="https://rosstat.gov.ru/compendium/document/13282" TargetMode="External"/><Relationship Id="rId243" Type="http://schemas.openxmlformats.org/officeDocument/2006/relationships/hyperlink" Target="https://pskovstat.gks.ru/storage/mediabank/NAS220418_2.htm" TargetMode="External"/><Relationship Id="rId450" Type="http://schemas.openxmlformats.org/officeDocument/2006/relationships/hyperlink" Target="https://vk.com/tmncomfort" TargetMode="External"/><Relationship Id="rId688" Type="http://schemas.openxmlformats.org/officeDocument/2006/relationships/hyperlink" Target="http://publication.pravo.gov.ru/Document/View/6900202103170004" TargetMode="External"/><Relationship Id="rId38" Type="http://schemas.openxmlformats.org/officeDocument/2006/relationships/hyperlink" Target="mailto:gorbunov@fin.amurobl.ru" TargetMode="External"/><Relationship Id="rId103" Type="http://schemas.openxmlformats.org/officeDocument/2006/relationships/hyperlink" Target="https://mokoshehablsp.ru/administratsiya/initsiativnoe-byudzhetirovanie/2023" TargetMode="External"/><Relationship Id="rId310" Type="http://schemas.openxmlformats.org/officeDocument/2006/relationships/hyperlink" Target="https://nac.gov.karelia.ru/about/3841/" TargetMode="External"/><Relationship Id="rId548" Type="http://schemas.openxmlformats.org/officeDocument/2006/relationships/hyperlink" Target="mailto:zaytsevds@saratov.gov.ru" TargetMode="External"/><Relationship Id="rId755" Type="http://schemas.openxmlformats.org/officeDocument/2006/relationships/vmlDrawing" Target="../drawings/vmlDrawing1.vml"/><Relationship Id="rId91" Type="http://schemas.openxmlformats.org/officeDocument/2006/relationships/hyperlink" Target="mailto:mcxrd@mail.ru" TargetMode="External"/><Relationship Id="rId187" Type="http://schemas.openxmlformats.org/officeDocument/2006/relationships/hyperlink" Target="https://vk.com/club172332438?w=wall-172332438_410%2Fall" TargetMode="External"/><Relationship Id="rId394" Type="http://schemas.openxmlformats.org/officeDocument/2006/relationships/hyperlink" Target="mailto:iv_kravchenko@lenreg.ru" TargetMode="External"/><Relationship Id="rId408" Type="http://schemas.openxmlformats.org/officeDocument/2006/relationships/hyperlink" Target="mailto:paramonova_iv@fin.kreml.nnov.ru" TargetMode="External"/><Relationship Id="rId615" Type="http://schemas.openxmlformats.org/officeDocument/2006/relationships/hyperlink" Target="https://minter.permkrai.ru/dokumenty/268012/" TargetMode="External"/><Relationship Id="rId254" Type="http://schemas.openxmlformats.org/officeDocument/2006/relationships/hyperlink" Target="http://gsrb.ru/ru/nakazy-izbirateley/" TargetMode="External"/><Relationship Id="rId699" Type="http://schemas.openxmlformats.org/officeDocument/2006/relationships/hyperlink" Target="http://publication.pravo.gov.ru/Document/View/2200201912180004" TargetMode="External"/><Relationship Id="rId49" Type="http://schemas.openxmlformats.org/officeDocument/2006/relationships/hyperlink" Target="http://ivo.garant.ru/proxy/share?data=q4Og0aLnpN5Pvp_qlYqxjK_xqrzXt9W_qeqZArDksdj_97HLova1x5DWsdG8lFKko_yS8tuowbnMtcfyh_Gp47Xikv2K_L_hlQzwn7TasvW85r_8j9G0nuur5IkR5bnoguOwrQ==" TargetMode="External"/><Relationship Id="rId114" Type="http://schemas.openxmlformats.org/officeDocument/2006/relationships/hyperlink" Target="https://login.consultant.ru/link/?req=doc&amp;base=RLAW265&amp;n=102109&amp;dst=100002" TargetMode="External"/><Relationship Id="rId461" Type="http://schemas.openxmlformats.org/officeDocument/2006/relationships/hyperlink" Target="https://68.rosstat.gov.ru/storage/mediabank/chis23-22s.pdf" TargetMode="External"/><Relationship Id="rId559" Type="http://schemas.openxmlformats.org/officeDocument/2006/relationships/hyperlink" Target="https://rosstat.gov.ru/storage/mediabank/chisl_RF_01-01-2022_VPN-2020.xls" TargetMode="External"/><Relationship Id="rId198" Type="http://schemas.openxmlformats.org/officeDocument/2006/relationships/hyperlink" Target="https://gokucmpi.ru/upload/iblock/ae8/ppo26zlmpqny7apv0dx3j2ug8zqhohjs/Anketa_na-sayt-_1_.pdf" TargetMode="External"/><Relationship Id="rId321" Type="http://schemas.openxmlformats.org/officeDocument/2006/relationships/hyperlink" Target="http://publication.pravo.gov.ru/Document/View/3401202208170002" TargetMode="External"/><Relationship Id="rId419" Type="http://schemas.openxmlformats.org/officeDocument/2006/relationships/hyperlink" Target="https://www.consultant.ru/regbase/cgi/online.cgi?req=doc&amp;base=RLAW076&amp;n=50606" TargetMode="External"/><Relationship Id="rId626"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265" Type="http://schemas.openxmlformats.org/officeDocument/2006/relationships/hyperlink" Target="https://bashstat.gks.ru/storage/mediabank/CHislennost-naseleniya-po-municipalnym-rajonam-i-gorodskim-okrugam-Respubliki-%20Bashkortostan-na-1-yanvarya-2022-g-s-uchetom-VPN-2020.pdf" TargetMode="External"/><Relationship Id="rId472" Type="http://schemas.openxmlformats.org/officeDocument/2006/relationships/hyperlink" Target="http://publication.pravo.gov.ru/Document/View/6800202001040003" TargetMode="External"/><Relationship Id="rId125" Type="http://schemas.openxmlformats.org/officeDocument/2006/relationships/hyperlink" Target="https://iproject.mfnso.ru/" TargetMode="External"/><Relationship Id="rId332" Type="http://schemas.openxmlformats.org/officeDocument/2006/relationships/hyperlink" Target="http://pravo-astrobl.ru/documents/document-0002202112310011/" TargetMode="External"/><Relationship Id="rId637" Type="http://schemas.openxmlformats.org/officeDocument/2006/relationships/hyperlink" Target="https://57.gorodsreda.ru/" TargetMode="External"/><Relationship Id="rId276"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483" Type="http://schemas.openxmlformats.org/officeDocument/2006/relationships/hyperlink" Target="mailto:e.smetankina@egov66.ru" TargetMode="External"/><Relationship Id="rId690" Type="http://schemas.openxmlformats.org/officeDocument/2006/relationships/hyperlink" Target="http://publication.pravo.gov.ru/Document/View/6900202204290004" TargetMode="External"/><Relationship Id="rId704" Type="http://schemas.openxmlformats.org/officeDocument/2006/relationships/hyperlink" Target="http://publication.pravo.gov.ru/Document/View/7500201809040003" TargetMode="External"/><Relationship Id="rId40" Type="http://schemas.openxmlformats.org/officeDocument/2006/relationships/hyperlink" Target="mailto:tos_dvp@sev.gov.ru" TargetMode="External"/><Relationship Id="rId136" Type="http://schemas.openxmlformats.org/officeDocument/2006/relationships/hyperlink" Target="https://vk.com/ppmi53)," TargetMode="External"/><Relationship Id="rId343" Type="http://schemas.openxmlformats.org/officeDocument/2006/relationships/hyperlink" Target="https://belg.gks.ru/population" TargetMode="External"/><Relationship Id="rId550" Type="http://schemas.openxmlformats.org/officeDocument/2006/relationships/hyperlink" Target="mailto:NejfeldMV@saratov.gov.ru" TargetMode="External"/><Relationship Id="rId203" Type="http://schemas.openxmlformats.org/officeDocument/2006/relationships/hyperlink" Target="http://docs.cntd.ru/document/553230534" TargetMode="External"/><Relationship Id="rId648" Type="http://schemas.openxmlformats.org/officeDocument/2006/relationships/hyperlink" Target="https://t.me/minfin55" TargetMode="External"/><Relationship Id="rId287" Type="http://schemas.openxmlformats.org/officeDocument/2006/relationships/hyperlink" Target="mailto:zinyakova@yarregion.ru" TargetMode="External"/><Relationship Id="rId410" Type="http://schemas.openxmlformats.org/officeDocument/2006/relationships/hyperlink" Target="https://ovmf2.consultant.ru/cgi/online.cgi?req=doc&amp;ts=x8KembT20K2eeo8C&amp;cacheid=A4696BD7C534F986DF289622DACEC64D&amp;mode=splus&amp;rnd=daif0w&amp;base=RLAW076&amp;n=68897&amp;dst=100008" TargetMode="External"/><Relationship Id="rId494" Type="http://schemas.openxmlformats.org/officeDocument/2006/relationships/hyperlink" Target="mailto:n.mamaeva@66egov.ru" TargetMode="External"/><Relationship Id="rId508" Type="http://schemas.openxmlformats.org/officeDocument/2006/relationships/hyperlink" Target="https://pib.sakhminfin.ru/show/ppi" TargetMode="External"/><Relationship Id="rId715" Type="http://schemas.openxmlformats.org/officeDocument/2006/relationships/hyperlink" Target="https://75.gorodsreda.ru/" TargetMode="External"/><Relationship Id="rId147" Type="http://schemas.openxmlformats.org/officeDocument/2006/relationships/hyperlink" Target="http://docs.cntd.ru/document/553364140" TargetMode="External"/><Relationship Id="rId354" Type="http://schemas.openxmlformats.org/officeDocument/2006/relationships/hyperlink" Target="mailto:e.zykina@gov39.ru" TargetMode="External"/><Relationship Id="rId51" Type="http://schemas.openxmlformats.org/officeDocument/2006/relationships/hyperlink" Target="https://www.minfinchr.ru/deyatelnost/mezhbyudzhetnye-otnosheniya/iniciativnoe-byudzhetirovanie" TargetMode="External"/><Relationship Id="rId561" Type="http://schemas.openxmlformats.org/officeDocument/2006/relationships/hyperlink" Target="https://minter.ryazangov.ru/activities/direction/podderzhka-mestnykh-initsiativ/" TargetMode="External"/><Relationship Id="rId659" Type="http://schemas.openxmlformats.org/officeDocument/2006/relationships/hyperlink" Target="mailto:Prytkova_MA@primorsky.ru" TargetMode="External"/><Relationship Id="rId214" Type="http://schemas.openxmlformats.org/officeDocument/2006/relationships/hyperlink" Target="https://53.gorodsreda.ru/" TargetMode="External"/><Relationship Id="rId298" Type="http://schemas.openxmlformats.org/officeDocument/2006/relationships/hyperlink" Target="mailto:mbud@fin.gov10.ru" TargetMode="External"/><Relationship Id="rId421" Type="http://schemas.openxmlformats.org/officeDocument/2006/relationships/hyperlink" Target="https://www.consultant.ru/regbase/cgi/online.cgi?req=doc&amp;base=RLAW076&amp;n=50606" TargetMode="External"/><Relationship Id="rId519" Type="http://schemas.openxmlformats.org/officeDocument/2006/relationships/hyperlink" Target="https://pib.sakhminfin.ru/projects?MembersCategoryId=0/" TargetMode="External"/><Relationship Id="rId158" Type="http://schemas.openxmlformats.org/officeDocument/2006/relationships/hyperlink" Target="https://vk.com/ppmi53)," TargetMode="External"/><Relationship Id="rId726" Type="http://schemas.openxmlformats.org/officeDocument/2006/relationships/hyperlink" Target="mailto:vahtomin_vv@kurganobl.ru" TargetMode="External"/><Relationship Id="rId62" Type="http://schemas.openxmlformats.org/officeDocument/2006/relationships/hyperlink" Target="https://tos.govvrn.ru/" TargetMode="External"/><Relationship Id="rId365" Type="http://schemas.openxmlformats.org/officeDocument/2006/relationships/hyperlink" Target="mailto:init@fin22.ru" TargetMode="External"/><Relationship Id="rId572" Type="http://schemas.openxmlformats.org/officeDocument/2006/relationships/hyperlink" Target="https://61.rosstat.gov.ru/storage/mediabank/%D0%A7%D0%B8%D1%81%D0%BB%D0%B5%D0%BD%D0%BD%D0%BE%D1%81%D1%82%D1%8C%20%D0%BD%D0%B0%D1%81%D0%B5%D0%BB%D0%B5%D0%BD%D0%B8%D1%8F(15).pdf" TargetMode="External"/><Relationship Id="rId225" Type="http://schemas.openxmlformats.org/officeDocument/2006/relationships/hyperlink" Target="https://37.rosstat.gov.ru/storage/mediabank/NAS22.pdf" TargetMode="External"/><Relationship Id="rId432" Type="http://schemas.openxmlformats.org/officeDocument/2006/relationships/hyperlink" Target="https://www.udmurt.ru/regulatory/index.php?typeid=31183294&amp;regnum=689&amp;sdate=21.12.2021&amp;edate=&amp;sdatepub=&amp;edatepub=&amp;q=&amp;doccnt=" TargetMode="External"/><Relationship Id="rId737" Type="http://schemas.openxmlformats.org/officeDocument/2006/relationships/hyperlink" Target="https://bashstat.gks.ru/storage/mediabank/CHislennost-naseleniya-po-municipalnym-rajonam-i-gorodskim-okrugam-Respubliki-%20Bashkortostan-na-1-yanvarya-2022-g-s-uchetom-VPN-2020.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vk.com/volokonovskiyrayon?w=wall-159960654_7532" TargetMode="External"/><Relationship Id="rId170" Type="http://schemas.openxmlformats.org/officeDocument/2006/relationships/hyperlink" Target="https://pos.gosuslugi.ru/lkp/project-contests/820/02/" TargetMode="External"/><Relationship Id="rId268" Type="http://schemas.openxmlformats.org/officeDocument/2006/relationships/hyperlink" Target="https://krasnogvardfo.ru/assets/files/%D0%91%D1%8E%D0%B4%D0%B6%D0%B5%D1%82/4-aktualnaya-redakcziya-noyabr-2022.rar" TargetMode="External"/><Relationship Id="rId475" Type="http://schemas.openxmlformats.org/officeDocument/2006/relationships/hyperlink" Target="https://admkrasnostrelskaya.ru/index.php?id=29&amp;page=celprog" TargetMode="External"/><Relationship Id="rId682" Type="http://schemas.openxmlformats.org/officeDocument/2006/relationships/hyperlink" Target="mailto:paramonova_iv@fin.kreml.nnov.ru" TargetMode="External"/><Relationship Id="rId128" Type="http://schemas.openxmlformats.org/officeDocument/2006/relationships/hyperlink" Target="https://admmuji.yanao.ru/documents/active/199673/" TargetMode="External"/><Relationship Id="rId335" Type="http://schemas.openxmlformats.org/officeDocument/2006/relationships/hyperlink" Target="mailto:besleneevskaja@mail.ru" TargetMode="External"/><Relationship Id="rId542" Type="http://schemas.openxmlformats.org/officeDocument/2006/relationships/hyperlink" Target="http://adm-borovskiy.ru/files/1/reshen_34(1).PDF" TargetMode="External"/><Relationship Id="rId987" Type="http://schemas.openxmlformats.org/officeDocument/2006/relationships/hyperlink" Target="http://www.kinel.ru/tselevye-programmy-selskikh-poselenijj/malaja-malyshevka%20/" TargetMode="External"/><Relationship Id="rId1172" Type="http://schemas.openxmlformats.org/officeDocument/2006/relationships/hyperlink" Target="https://www.arhcity.ru/" TargetMode="External"/><Relationship Id="rId402" Type="http://schemas.openxmlformats.org/officeDocument/2006/relationships/hyperlink" Target="mailto:oktadm95@mail.ru" TargetMode="External"/><Relationship Id="rId847" Type="http://schemas.openxmlformats.org/officeDocument/2006/relationships/hyperlink" Target="mailto:AkritovaVT@samadm.ru" TargetMode="External"/><Relationship Id="rId1032" Type="http://schemas.openxmlformats.org/officeDocument/2006/relationships/hyperlink" Target="mailto:econom-mr@yandex.ru" TargetMode="External"/><Relationship Id="rId707" Type="http://schemas.openxmlformats.org/officeDocument/2006/relationships/hyperlink" Target="https://spasskd.ru/images/files/2023/ago/04/reshenie_dumy_ot_29012021__2-npa_ob_utverzhdenii_poryadka_realizacii_proektov_iniciativnogo_byudzhetirovaniya.docx" TargetMode="External"/><Relationship Id="rId914" Type="http://schemas.openxmlformats.org/officeDocument/2006/relationships/hyperlink" Target="http://kabanovka.kinel-cherkassy.ru/?p=7952" TargetMode="External"/><Relationship Id="rId1337" Type="http://schemas.openxmlformats.org/officeDocument/2006/relationships/hyperlink" Target="https://bsizgan.gosuslugi.ru/ofitsialno/dokumenty/pa-mo/postanovleniya-administratsii-mo-2017-god/dokumenty_774.html" TargetMode="External"/><Relationship Id="rId43" Type="http://schemas.openxmlformats.org/officeDocument/2006/relationships/hyperlink" Target="https://www.gusr.ru/userfiles_npa/P_399_15_04_2020.pdf" TargetMode="External"/><Relationship Id="rId1404" Type="http://schemas.openxmlformats.org/officeDocument/2006/relationships/hyperlink" Target="https://chufarovskoe-r73.gosweb.gosuslugi.ru/ofitsialno/struktura-munitsipalnogo-obrazovaniya/predstavitelnyy-organ/dokumenty_1409.html" TargetMode="External"/><Relationship Id="rId192" Type="http://schemas.openxmlformats.org/officeDocument/2006/relationships/hyperlink" Target="https://smarteka.com/practices/proekt-skol-nyj-budzet" TargetMode="External"/><Relationship Id="rId497" Type="http://schemas.openxmlformats.org/officeDocument/2006/relationships/hyperlink" Target="http://admrogovskaya.ru/" TargetMode="External"/><Relationship Id="rId357" Type="http://schemas.openxmlformats.org/officeDocument/2006/relationships/hyperlink" Target="mailto:fo.rzn@mail.ru" TargetMode="External"/><Relationship Id="rId1194" Type="http://schemas.openxmlformats.org/officeDocument/2006/relationships/hyperlink" Target="http://abgosk.ru/finansy/initsiativnoe-byudzhetirovanie/normativno-pravovaya-baza/normativno-pravovaya-baza.php" TargetMode="External"/><Relationship Id="rId217" Type="http://schemas.openxmlformats.org/officeDocument/2006/relationships/hyperlink" Target="https://adamfin.ru/assets/files/1oldfile/Postanovlenie_13.03.2021_175-p-Narodnyy-byudzhet.PDF" TargetMode="External"/><Relationship Id="rId564" Type="http://schemas.openxmlformats.org/officeDocument/2006/relationships/hyperlink" Target="https://vk.com/id759436775" TargetMode="External"/><Relationship Id="rId771" Type="http://schemas.openxmlformats.org/officeDocument/2006/relationships/hyperlink" Target="http://www.admse.ru/upload/iblock/8e8/l92hk7ufw9r96jod9qynv59w3gt7x603.docx" TargetMode="External"/><Relationship Id="rId869" Type="http://schemas.openxmlformats.org/officeDocument/2006/relationships/hyperlink" Target="https://chapadm.ru/index.php?option=com_docs&amp;view=doc&amp;id=3917" TargetMode="External"/><Relationship Id="rId424" Type="http://schemas.openxmlformats.org/officeDocument/2006/relationships/hyperlink" Target="mailto:aksp160@mail.ru" TargetMode="External"/><Relationship Id="rId631" Type="http://schemas.openxmlformats.org/officeDocument/2006/relationships/hyperlink" Target="mailto:kochetkova.e@bashkortostan.ru" TargetMode="External"/><Relationship Id="rId729" Type="http://schemas.openxmlformats.org/officeDocument/2006/relationships/hyperlink" Target="https://rosstat.gov.ru/folder/12781" TargetMode="External"/><Relationship Id="rId1054" Type="http://schemas.openxmlformats.org/officeDocument/2006/relationships/hyperlink" Target="mailto:udora_fu@rambler.ru" TargetMode="External"/><Relationship Id="rId1261" Type="http://schemas.openxmlformats.org/officeDocument/2006/relationships/hyperlink" Target="mailto:dor-munhoz@petrgosk.ru" TargetMode="External"/><Relationship Id="rId1359" Type="http://schemas.openxmlformats.org/officeDocument/2006/relationships/hyperlink" Target="https://73.rosstat.gov.ru/folder/40275" TargetMode="External"/><Relationship Id="rId936" Type="http://schemas.openxmlformats.org/officeDocument/2006/relationships/hyperlink" Target="http://krotovka.kinel-cherkassy.ru/images/files/Reshenie_19-2_ot_23.08.2021.pdf" TargetMode="External"/><Relationship Id="rId1121" Type="http://schemas.openxmlformats.org/officeDocument/2006/relationships/hyperlink" Target="mailto:lugovoikonda@mail.ru" TargetMode="External"/><Relationship Id="rId1219" Type="http://schemas.openxmlformats.org/officeDocument/2006/relationships/hyperlink" Target="http://www.ipatovo.org/userfiles/image/initiatives_projects.jpeg" TargetMode="External"/><Relationship Id="rId65" Type="http://schemas.openxmlformats.org/officeDocument/2006/relationships/hyperlink" Target="http://omsukchan-adm.ru/" TargetMode="External"/><Relationship Id="rId281" Type="http://schemas.openxmlformats.org/officeDocument/2006/relationships/hyperlink" Target="https://finotdnovoorsk.ru/kadrovoe-obespechenie" TargetMode="External"/><Relationship Id="rId141" Type="http://schemas.openxmlformats.org/officeDocument/2006/relationships/hyperlink" Target="https://vk.com/vpriuralye?w=wall-173311244_3836" TargetMode="External"/><Relationship Id="rId379" Type="http://schemas.openxmlformats.org/officeDocument/2006/relationships/hyperlink" Target="https://23.rosstat.gov.ru/storage/mediabank/Ocenka22.htm" TargetMode="External"/><Relationship Id="rId586" Type="http://schemas.openxmlformats.org/officeDocument/2006/relationships/hyperlink" Target="mailto:grigorevskoesp@sevadm.ru" TargetMode="External"/><Relationship Id="rId793" Type="http://schemas.openxmlformats.org/officeDocument/2006/relationships/hyperlink" Target="https://docs.cntd.ru/document/578008025" TargetMode="External"/><Relationship Id="rId7" Type="http://schemas.openxmlformats.org/officeDocument/2006/relationships/hyperlink" Target="https://belg.gks.ru/" TargetMode="External"/><Relationship Id="rId239" Type="http://schemas.openxmlformats.org/officeDocument/2006/relationships/hyperlink" Target="https://bugraifo.orb.ru/activity/26288/" TargetMode="External"/><Relationship Id="rId446" Type="http://schemas.openxmlformats.org/officeDocument/2006/relationships/hyperlink" Target="https://severskoe.sevadm.ru/about/initsiativnye-proekty/?ELEMENT_ID=29184" TargetMode="External"/><Relationship Id="rId653" Type="http://schemas.openxmlformats.org/officeDocument/2006/relationships/hyperlink" Target="https://dzhankoy.rk.gov.ru/uploads/txteditor/dzhankoy/attachments/d4/1d/8c/d98f00b204e9800998ecf8427e/php14Wq7R_&#1083;&#1086;&#1075;&#1086;%20&#1048;&#1041;.jpg" TargetMode="External"/><Relationship Id="rId1076" Type="http://schemas.openxmlformats.org/officeDocument/2006/relationships/hyperlink" Target="https://budget.uray.ru/municipalnye-pravovye-akty-2/" TargetMode="External"/><Relationship Id="rId1283" Type="http://schemas.openxmlformats.org/officeDocument/2006/relationships/hyperlink" Target="http://www.adm.nov.ru/docroot/upload/6155e32d-64ff-4e2f-baa0-61a6b3b18ea2.pdf" TargetMode="External"/><Relationship Id="rId306" Type="http://schemas.openxmlformats.org/officeDocument/2006/relationships/hyperlink" Target="http://fintotsk.ru/file/download/1668" TargetMode="External"/><Relationship Id="rId860" Type="http://schemas.openxmlformats.org/officeDocument/2006/relationships/hyperlink" Target="https://sovadmsamara.ru/tvoj_konstruktor_dvora/" TargetMode="External"/><Relationship Id="rId958" Type="http://schemas.openxmlformats.org/officeDocument/2006/relationships/hyperlink" Target="http://novyekluchi.kinel-cherkassy.ru/wp-content/uploads/2019/02/&#1087;&#1086;&#1089;&#1090;.&#1073;&#1083;&#1072;&#1075;&#1086;&#1091;&#1089;&#1090;&#1088;.-1.doc" TargetMode="External"/><Relationship Id="rId1143" Type="http://schemas.openxmlformats.org/officeDocument/2006/relationships/hyperlink" Target="http://www.gks.ru/free_doc/new_site/bd_munst/munst.htm" TargetMode="External"/><Relationship Id="rId87" Type="http://schemas.openxmlformats.org/officeDocument/2006/relationships/hyperlink" Target="mailto:BezgodovaEA@df.lbt.yanao.ru" TargetMode="External"/><Relationship Id="rId513" Type="http://schemas.openxmlformats.org/officeDocument/2006/relationships/hyperlink" Target="http://zheleznoe-sp.ru/load/iniciativnoe_bjudzhetirovanie/dokumenty/blagoustrojstvo_territorii_zheleznogo_selskogo_poselenija/99-1-0-1346" TargetMode="External"/><Relationship Id="rId720" Type="http://schemas.openxmlformats.org/officeDocument/2006/relationships/hyperlink" Target="mailto:priem_gkh@mail.ru" TargetMode="External"/><Relationship Id="rId818" Type="http://schemas.openxmlformats.org/officeDocument/2006/relationships/hyperlink" Target="mailto:fuago@otradny.org" TargetMode="External"/><Relationship Id="rId1350" Type="http://schemas.openxmlformats.org/officeDocument/2006/relationships/hyperlink" Target="mailto:kuzmina.mv@ulminfin.ru" TargetMode="External"/><Relationship Id="rId1003" Type="http://schemas.openxmlformats.org/officeDocument/2006/relationships/hyperlink" Target="https://khv27.ru/administration/structural-units/upravlenie-po-svyazyam-s-obshchestvennostyu-i-smi/dokumenty/" TargetMode="External"/><Relationship Id="rId1210" Type="http://schemas.openxmlformats.org/officeDocument/2006/relationships/hyperlink" Target="mailto:fin@georgievsk.stavregion.ru" TargetMode="External"/><Relationship Id="rId1308" Type="http://schemas.openxmlformats.org/officeDocument/2006/relationships/hyperlink" Target="https://vk.com/album-51946917_283084658" TargetMode="External"/><Relationship Id="rId14" Type="http://schemas.openxmlformats.org/officeDocument/2006/relationships/hyperlink" Target="https://volokonovskij-r31.gosweb.gosuslugi.ru/ofitsialno/dokumenty/dokumenty-all_3886.html" TargetMode="External"/><Relationship Id="rId163" Type="http://schemas.openxmlformats.org/officeDocument/2006/relationships/hyperlink" Target="https://vk.com/uyt_yamal" TargetMode="External"/><Relationship Id="rId370" Type="http://schemas.openxmlformats.org/officeDocument/2006/relationships/hyperlink" Target="https://disk.yandex.ru/i/pELIk2qfIWxV6w" TargetMode="External"/><Relationship Id="rId230" Type="http://schemas.openxmlformats.org/officeDocument/2006/relationships/hyperlink" Target="https://www.asfin56.ru/assets/files/2022/8.1/vnesenie-izmenenij-v-921-p-2022-.doc" TargetMode="External"/><Relationship Id="rId468" Type="http://schemas.openxmlformats.org/officeDocument/2006/relationships/hyperlink" Target="https://adm-zaparozhskaya.ru/" TargetMode="External"/><Relationship Id="rId675" Type="http://schemas.openxmlformats.org/officeDocument/2006/relationships/hyperlink" Target="https://borcity.ru/okrug/okrug_info.php" TargetMode="External"/><Relationship Id="rId882" Type="http://schemas.openxmlformats.org/officeDocument/2006/relationships/hyperlink" Target="https://samarastat.gks.ru/" TargetMode="External"/><Relationship Id="rId1098" Type="http://schemas.openxmlformats.org/officeDocument/2006/relationships/hyperlink" Target="mailto:Zhivaeva_ai@admsurgut.ru" TargetMode="External"/><Relationship Id="rId328" Type="http://schemas.openxmlformats.org/officeDocument/2006/relationships/hyperlink" Target="https://vk.com/tos_cher" TargetMode="External"/><Relationship Id="rId535" Type="http://schemas.openxmlformats.org/officeDocument/2006/relationships/hyperlink" Target="https://admdetchino.ru/2021/11/9725/" TargetMode="External"/><Relationship Id="rId742" Type="http://schemas.openxmlformats.org/officeDocument/2006/relationships/hyperlink" Target="mailto:ekonomkrur@mail.ru" TargetMode="External"/><Relationship Id="rId1165" Type="http://schemas.openxmlformats.org/officeDocument/2006/relationships/hyperlink" Target="https://vk.com/btv29" TargetMode="External"/><Relationship Id="rId1372" Type="http://schemas.openxmlformats.org/officeDocument/2006/relationships/hyperlink" Target="http://karsunmo.ru/" TargetMode="External"/><Relationship Id="rId602" Type="http://schemas.openxmlformats.org/officeDocument/2006/relationships/hyperlink" Target="mailto:velav@mail.orb.ru" TargetMode="External"/><Relationship Id="rId1025" Type="http://schemas.openxmlformats.org/officeDocument/2006/relationships/hyperlink" Target="http://&#1074;&#1086;&#1088;&#1082;&#1091;&#1090;&#1072;.&#1088;&#1092;/regulatory/initsiativnoe-byudzhetirovanie/" TargetMode="External"/><Relationship Id="rId1232" Type="http://schemas.openxmlformats.org/officeDocument/2006/relationships/hyperlink" Target="mailto:ko4ub@mail.ru" TargetMode="External"/><Relationship Id="rId907" Type="http://schemas.openxmlformats.org/officeDocument/2006/relationships/hyperlink" Target="http://kabanovka.kinel-cherkassy.ru/?p=9558" TargetMode="External"/><Relationship Id="rId36" Type="http://schemas.openxmlformats.org/officeDocument/2006/relationships/hyperlink" Target="https://yakovgo.gosuslugi.ru/netcat_files/282/2650/Rasporyazhenie_449_r_ot_25.05.2022_g..pdf" TargetMode="External"/><Relationship Id="rId185" Type="http://schemas.openxmlformats.org/officeDocument/2006/relationships/hyperlink" Target="mailto:velav@mail.orb.ru" TargetMode="External"/><Relationship Id="rId392" Type="http://schemas.openxmlformats.org/officeDocument/2006/relationships/hyperlink" Target="http://wp.sergievka.ru/wp-content/uploads/2021/12/79-&#1080;&#1085;&#1080;&#1094;.&#1073;&#1102;&#1076;&#1078;&#1077;&#1090;&#1080;&#1088;.doc" TargetMode="External"/><Relationship Id="rId697" Type="http://schemas.openxmlformats.org/officeDocument/2006/relationships/hyperlink" Target="http://www.artemokrug.ru/otdely_i_upravleniya/detail.php?ID=1887&amp;sphrase_id=41705" TargetMode="External"/><Relationship Id="rId252" Type="http://schemas.openxmlformats.org/officeDocument/2006/relationships/hyperlink" Target="mailto:ktn@bz-orb.ru" TargetMode="External"/><Relationship Id="rId1187" Type="http://schemas.openxmlformats.org/officeDocument/2006/relationships/hyperlink" Target="https://stavstat.gks.ru/folder/28386" TargetMode="External"/><Relationship Id="rId112" Type="http://schemas.openxmlformats.org/officeDocument/2006/relationships/hyperlink" Target="https://www.gubadm.ru/activity/14305/" TargetMode="External"/><Relationship Id="rId557" Type="http://schemas.openxmlformats.org/officeDocument/2006/relationships/hyperlink" Target="https://www.afanasyevo.ru/dokumenty/postanovleniya-i-rasporyazheniya-administratsii-rajona/item/21922-postanovleniya-administratsii-afanasevskogo-rajona-za-2022-god" TargetMode="External"/><Relationship Id="rId764" Type="http://schemas.openxmlformats.org/officeDocument/2006/relationships/hyperlink" Target="http://www.divnogorsk-adm.ru/finansy/iniciativnoe-byudzhetirovanie/" TargetMode="External"/><Relationship Id="rId971" Type="http://schemas.openxmlformats.org/officeDocument/2006/relationships/hyperlink" Target="https://samarastat.gks.ru/population" TargetMode="External"/><Relationship Id="rId1394" Type="http://schemas.openxmlformats.org/officeDocument/2006/relationships/hyperlink" Target="mailto:finupr.adm.vesh@mail.ru" TargetMode="External"/><Relationship Id="rId417" Type="http://schemas.openxmlformats.org/officeDocument/2006/relationships/hyperlink" Target="https://&#1085;&#1086;&#1074;&#1086;&#1072;&#1083;&#1077;&#1082;&#1089;&#1077;&#1077;&#1074;&#1089;&#1082;&#1072;&#1103;.&#1088;&#1092;/documents/620.html" TargetMode="External"/><Relationship Id="rId624" Type="http://schemas.openxmlformats.org/officeDocument/2006/relationships/hyperlink" Target="https://miyaki.bashkortostan.ru/documents/active/174961/%20," TargetMode="External"/><Relationship Id="rId831" Type="http://schemas.openxmlformats.org/officeDocument/2006/relationships/hyperlink" Target="mailto:TitovDY@samadm.ru" TargetMode="External"/><Relationship Id="rId1047" Type="http://schemas.openxmlformats.org/officeDocument/2006/relationships/hyperlink" Target="https://disk.yandex.ru/i/yLKKaasAeGiPEg,https:/ustvymskij.ru/index.php/upravlenie-po-organizatsionnoj-rabote/postanovleniya/postanovleniya-2020" TargetMode="External"/><Relationship Id="rId1254" Type="http://schemas.openxmlformats.org/officeDocument/2006/relationships/hyperlink" Target="mailto:fu_09@mail.ru" TargetMode="External"/><Relationship Id="rId929" Type="http://schemas.openxmlformats.org/officeDocument/2006/relationships/hyperlink" Target="http://gorka.kinel-cherkassy.ru/?p=4625" TargetMode="External"/><Relationship Id="rId1114" Type="http://schemas.openxmlformats.org/officeDocument/2006/relationships/hyperlink" Target="http://lugovoikonda.ru/munitcipal-nye-programmy-2019-2025-godov-i-na-period-do-2030-goda.html" TargetMode="External"/><Relationship Id="rId1321" Type="http://schemas.openxmlformats.org/officeDocument/2006/relationships/hyperlink" Target="https://55.rosstat.gov.ru/population" TargetMode="External"/><Relationship Id="rId58" Type="http://schemas.openxmlformats.org/officeDocument/2006/relationships/hyperlink" Target="mailto:bud@vladfin.ru" TargetMode="External"/><Relationship Id="rId274" Type="http://schemas.openxmlformats.org/officeDocument/2006/relationships/hyperlink" Target="mailto:velav@mail.orb.ru" TargetMode="External"/><Relationship Id="rId481" Type="http://schemas.openxmlformats.org/officeDocument/2006/relationships/hyperlink" Target="mailto:nawi1@yandex.ru" TargetMode="External"/><Relationship Id="rId134" Type="http://schemas.openxmlformats.org/officeDocument/2006/relationships/hyperlink" Target="https://&#1078;&#1080;&#1074;&#1105;&#1084;&#1085;&#1072;&#1089;&#1077;&#1074;&#1077;&#1088;&#1077;.&#1088;&#1092;/" TargetMode="External"/><Relationship Id="rId579" Type="http://schemas.openxmlformats.org/officeDocument/2006/relationships/hyperlink" Target="https://vk.com/@-211208773-praktiki-iniciativnogo-budzhetirovaniya-opyt-adamovskogo-rai" TargetMode="External"/><Relationship Id="rId786" Type="http://schemas.openxmlformats.org/officeDocument/2006/relationships/hyperlink" Target="https://sverdl.gks.ru/storage/mediabank/TwCtEIIi/2021.zip" TargetMode="External"/><Relationship Id="rId993" Type="http://schemas.openxmlformats.org/officeDocument/2006/relationships/hyperlink" Target="https://kadm63.ru/Selo/Chetyrovka/NPA_Sobr_Pred/R_SP_SP_Chetirovka_44_15-06-2021.pdf" TargetMode="External"/><Relationship Id="rId341" Type="http://schemas.openxmlformats.org/officeDocument/2006/relationships/hyperlink" Target="https://unarokovo.ru/" TargetMode="External"/><Relationship Id="rId439" Type="http://schemas.openxmlformats.org/officeDocument/2006/relationships/hyperlink" Target="https://admnvrsk.ru/dokumenty/dokumenty-gorodskoy-dumy/reshenija-gorodskoj-dumy/reshenie-gorodskoy-dumy-188-ot-24-12-2021-o-vnesenii-izmeneniy-v-reshenie-gorodskoy-dumy-munitsipaln/" TargetMode="External"/><Relationship Id="rId646" Type="http://schemas.openxmlformats.org/officeDocument/2006/relationships/hyperlink" Target="https://dzhankoy.rk.gov.ru/uploads/txteditor/dzhankoy/attachments/d4/1d/8c/d98f00b204e9800998ecf8427e/phpgZYxU7_189.pdf" TargetMode="External"/><Relationship Id="rId1069" Type="http://schemas.openxmlformats.org/officeDocument/2006/relationships/hyperlink" Target="http://www.gks.ru/scripts/db_inet2/passport/table.aspx?opt=57230002022" TargetMode="External"/><Relationship Id="rId1276" Type="http://schemas.openxmlformats.org/officeDocument/2006/relationships/hyperlink" Target="https://vk.com/public194261304?w=wall-194261304_1908" TargetMode="External"/><Relationship Id="rId201" Type="http://schemas.openxmlformats.org/officeDocument/2006/relationships/hyperlink" Target="https://rosstat.gov.ru/storage/mediabank/Chisl_nasel_RF_MO_01-01-2022.xlsx" TargetMode="External"/><Relationship Id="rId506" Type="http://schemas.openxmlformats.org/officeDocument/2006/relationships/hyperlink" Target="http://dvubratskoe-sp.ucoz.ru/Postanovlenie/2021/26_ob_utverzhdenii_polozhenija_po_primeneniju.pdf" TargetMode="External"/><Relationship Id="rId853" Type="http://schemas.openxmlformats.org/officeDocument/2006/relationships/hyperlink" Target="https://promadm.ru/allfiles/202302/Reshenie_ot-1675753937-JpsfO.docx" TargetMode="External"/><Relationship Id="rId1136" Type="http://schemas.openxmlformats.org/officeDocument/2006/relationships/hyperlink" Target="http://www.shugur.ru/documents/1396.html" TargetMode="External"/><Relationship Id="rId713" Type="http://schemas.openxmlformats.org/officeDocument/2006/relationships/hyperlink" Target="https://dalmdr.ru/node/4936" TargetMode="External"/><Relationship Id="rId920" Type="http://schemas.openxmlformats.org/officeDocument/2006/relationships/hyperlink" Target="https://www.kinel-cherkassy.ru/index.php/initsiativnye-proekty" TargetMode="External"/><Relationship Id="rId1343" Type="http://schemas.openxmlformats.org/officeDocument/2006/relationships/hyperlink" Target="mailto:kuzmina.mv@ulminfin.ru" TargetMode="External"/><Relationship Id="rId1203" Type="http://schemas.openxmlformats.org/officeDocument/2006/relationships/hyperlink" Target="https://rosstat.gov.ru/storage/mediabank/chisl_&#1052;&#1054;_Site_01-01-2022.xlsx" TargetMode="External"/><Relationship Id="rId1410" Type="http://schemas.openxmlformats.org/officeDocument/2006/relationships/vmlDrawing" Target="../drawings/vmlDrawing2.vml"/><Relationship Id="rId296" Type="http://schemas.openxmlformats.org/officeDocument/2006/relationships/hyperlink" Target="https://orenstat.gks.ru/folder/26298" TargetMode="External"/><Relationship Id="rId156" Type="http://schemas.openxmlformats.org/officeDocument/2006/relationships/hyperlink" Target="https://www.puradm.ru/one-doc/12513" TargetMode="External"/><Relationship Id="rId363" Type="http://schemas.openxmlformats.org/officeDocument/2006/relationships/hyperlink" Target="https://privoladm.ru/initsiativnoe-byudzhetirovanie" TargetMode="External"/><Relationship Id="rId570" Type="http://schemas.openxmlformats.org/officeDocument/2006/relationships/hyperlink" Target="https://npavlovka.ru/ekonomika-i-finansy/initsiativnoe-byudzhetirovanie/" TargetMode="External"/><Relationship Id="rId223" Type="http://schemas.openxmlformats.org/officeDocument/2006/relationships/hyperlink" Target="mailto:velav@mail.orb.ru" TargetMode="External"/><Relationship Id="rId430" Type="http://schemas.openxmlformats.org/officeDocument/2006/relationships/hyperlink" Target="http://&#1073;&#1077;&#1079;&#1074;&#1086;&#1076;&#1085;&#1086;&#1077;.&#1088;&#1092;/documents/1334.html" TargetMode="External"/><Relationship Id="rId668" Type="http://schemas.openxmlformats.org/officeDocument/2006/relationships/hyperlink" Target="mailto:paramonova_iv@fin.kreml.nnov.ru" TargetMode="External"/><Relationship Id="rId875" Type="http://schemas.openxmlformats.org/officeDocument/2006/relationships/hyperlink" Target="https://isakli.ru/documents/priobretenie-i-ustanovka-derevyannoy-gorki-teremok/164-27-12-2021-o-vnesen-izmenen-v-zhkkh/" TargetMode="External"/><Relationship Id="rId1060" Type="http://schemas.openxmlformats.org/officeDocument/2006/relationships/hyperlink" Target="https://www.kaluga-gov.ru/obshchestvo/initsiativnye-proekty/pravovaya-baza/2743/" TargetMode="External"/><Relationship Id="rId1298" Type="http://schemas.openxmlformats.org/officeDocument/2006/relationships/hyperlink" Target="https://vk.com/wall-188987338_4254" TargetMode="External"/><Relationship Id="rId528" Type="http://schemas.openxmlformats.org/officeDocument/2006/relationships/hyperlink" Target="https://&#1089;&#1074;&#1077;&#1090;&#1083;&#1099;&#1081;.&#1088;&#1092;/postanovlenie-&#8470;-1179-ot-29-12-2022-g/" TargetMode="External"/><Relationship Id="rId735" Type="http://schemas.openxmlformats.org/officeDocument/2006/relationships/hyperlink" Target="mailto:horobrih@efbu.ru" TargetMode="External"/><Relationship Id="rId942" Type="http://schemas.openxmlformats.org/officeDocument/2006/relationships/hyperlink" Target="http://krotovka.kinel-cherkassy.ru/images/files/Reshenie_19-2_ot_23.08.2021.pdf" TargetMode="External"/><Relationship Id="rId1158" Type="http://schemas.openxmlformats.org/officeDocument/2006/relationships/hyperlink" Target="https://www.arhcity.ru/?page=2371/1" TargetMode="External"/><Relationship Id="rId1365" Type="http://schemas.openxmlformats.org/officeDocument/2006/relationships/hyperlink" Target="mailto:kuzmina.mv@ulminfin.ru" TargetMode="External"/><Relationship Id="rId1018" Type="http://schemas.openxmlformats.org/officeDocument/2006/relationships/hyperlink" Target="http://adm.govuktyl.ru/" TargetMode="External"/><Relationship Id="rId1225" Type="http://schemas.openxmlformats.org/officeDocument/2006/relationships/hyperlink" Target="mailto:finupravlenie@kislovods-kurort.org" TargetMode="External"/><Relationship Id="rId71" Type="http://schemas.openxmlformats.org/officeDocument/2006/relationships/hyperlink" Target="https://salekhard.yanao.ru/documents/active/100771" TargetMode="External"/><Relationship Id="rId802" Type="http://schemas.openxmlformats.org/officeDocument/2006/relationships/hyperlink" Target="https://admkirov.ru/" TargetMode="External"/><Relationship Id="rId29" Type="http://schemas.openxmlformats.org/officeDocument/2006/relationships/hyperlink" Target="mailto:arovenki@mail.ru" TargetMode="External"/><Relationship Id="rId178" Type="http://schemas.openxmlformats.org/officeDocument/2006/relationships/hyperlink" Target="mailto:velav@mail.orb.ru" TargetMode="External"/><Relationship Id="rId385" Type="http://schemas.openxmlformats.org/officeDocument/2006/relationships/hyperlink" Target="https://proletarskoe.ru/images/phocagallery/2021/post-2021-N-175.doc" TargetMode="External"/><Relationship Id="rId592" Type="http://schemas.openxmlformats.org/officeDocument/2006/relationships/hyperlink" Target="https://gy.orb.ru/vote/187/result/expired/;%20%20%20&#1089;&#1084;%20&#1055;&#1088;&#1086;&#1090;&#1086;&#1082;&#1086;&#1083;%20&#8470;2%20&#1086;&#1090;%2029.08.2022%20(&#1088;&#1077;&#1079;&#1091;&#1083;&#1100;&#1090;&#1072;&#1090;%20&#1087;&#1086;%20&#1075;&#1086;&#1083;&#1086;&#1089;&#1086;&#1074;&#1072;&#1085;&#1080;&#1102;%20&#1054;&#1088;&#1089;&#1082;&#1080;&#1081;%20&#1082;&#1086;&#1083;&#1083;&#1077;&#1076;&#1078;%20&#1085;&#1077;%20&#1103;&#1074;&#1083;&#1103;&#1077;&#1090;&#1089;&#1103;%20&#1084;&#1091;&#1085;&#1080;&#1094;&#1080;&#1087;&#1072;&#1083;&#1100;&#1085;&#1086;&#1081;%20&#1089;&#1086;&#1073;&#1089;&#1090;&#1074;&#1077;&#1085;&#1085;&#1086;&#1089;&#1100;&#1102;%20&#1084;&#1091;&#1085;&#1080;&#1094;&#1080;&#1087;&#1072;&#1083;&#1100;&#1085;&#1086;&#1075;&#1086;%20&#1086;&#1073;&#1088;&#1072;&#1079;&#1086;&#1074;&#1072;&#1085;&#1080;&#1103;%20&#1043;&#1072;&#1081;&#1089;&#1082;&#1080;&#1081;%20&#1075;&#1086;&#1088;&#1086;&#1076;&#1089;&#1082;&#1086;&#1092;&#1081;%20&#1086;&#1082;&#1088;&#1091;&#1075;,%20&#1089;&#1085;&#1080;&#1084;&#1072;&#1077;&#1090;&#1089;&#1103;%20&#1089;%20&#1091;&#1095;&#1072;&#1089;&#1090;&#1080;&#1103;%20&#1074;%20&#1082;&#1086;&#1085;&#1082;&#1091;&#1088;&#1089;&#1077;)" TargetMode="External"/><Relationship Id="rId245" Type="http://schemas.openxmlformats.org/officeDocument/2006/relationships/hyperlink" Target="https://bugraifo.orb.ru/activity/26293/" TargetMode="External"/><Relationship Id="rId452" Type="http://schemas.openxmlformats.org/officeDocument/2006/relationships/hyperlink" Target="mailto:KolomietsAA@sochiadm.ru" TargetMode="External"/><Relationship Id="rId897" Type="http://schemas.openxmlformats.org/officeDocument/2006/relationships/hyperlink" Target="http://berezniki.ucoz.ru/index/municipalnye_programmy/0-41" TargetMode="External"/><Relationship Id="rId1082" Type="http://schemas.openxmlformats.org/officeDocument/2006/relationships/hyperlink" Target="http://budget.uray.ru/iniciativnoe-bjudzhetirovanie-v-rf/" TargetMode="External"/><Relationship Id="rId105" Type="http://schemas.openxmlformats.org/officeDocument/2006/relationships/hyperlink" Target="https://tumstat.gks.ru/ofstat_ynao" TargetMode="External"/><Relationship Id="rId312" Type="http://schemas.openxmlformats.org/officeDocument/2006/relationships/hyperlink" Target="mailto:vai@to.orb.ru" TargetMode="External"/><Relationship Id="rId757" Type="http://schemas.openxmlformats.org/officeDocument/2006/relationships/hyperlink" Target="mailto:gafieva_mi@zav.udmr.ru" TargetMode="External"/><Relationship Id="rId964" Type="http://schemas.openxmlformats.org/officeDocument/2006/relationships/hyperlink" Target="https://podgornoe.kinel-cherkassy.ru/wp-content/uploads/2021/07/&#1056;&#1077;&#1096;-10-1-&#1088;&#1077;&#1096;&#1077;&#1085;&#1080;&#1103;-&#1055;&#1086;&#1083;&#1086;&#1078;&#1077;&#1085;&#1080;&#1077;-&#1086;&#1073;-&#1080;&#1085;&#1080;&#1094;&#1080;&#1080;&#1088;&#1086;&#1074;&#1072;&#1085;&#1080;&#1080;.docx" TargetMode="External"/><Relationship Id="rId1387" Type="http://schemas.openxmlformats.org/officeDocument/2006/relationships/hyperlink" Target="https://adm-melekess.gosuslugi.ru/deyatelnost/napravleniya-deyatelnosti/finansovaya-deyatelnost/narodnyy-byudzhet/" TargetMode="External"/><Relationship Id="rId93" Type="http://schemas.openxmlformats.org/officeDocument/2006/relationships/hyperlink" Target="https://nur.yanao.ru/documents/active/107772/" TargetMode="External"/><Relationship Id="rId617" Type="http://schemas.openxmlformats.org/officeDocument/2006/relationships/hyperlink" Target="mailto:velav@mail.orb.ru" TargetMode="External"/><Relationship Id="rId824" Type="http://schemas.openxmlformats.org/officeDocument/2006/relationships/hyperlink" Target="http://www.pohgor.ru/economyka/strategiya-razvitiya-2030/npa/" TargetMode="External"/><Relationship Id="rId1247" Type="http://schemas.openxmlformats.org/officeDocument/2006/relationships/hyperlink" Target="http://newalexandrovsk.ru/initsiativnoe-byudzhetirovanie/info/" TargetMode="External"/><Relationship Id="rId1107" Type="http://schemas.openxmlformats.org/officeDocument/2006/relationships/hyperlink" Target="mailto:oms@admkonda.ru" TargetMode="External"/><Relationship Id="rId1314" Type="http://schemas.openxmlformats.org/officeDocument/2006/relationships/hyperlink" Target="mailto:kfsbor@sbor.ru" TargetMode="External"/><Relationship Id="rId20" Type="http://schemas.openxmlformats.org/officeDocument/2006/relationships/hyperlink" Target="https://volokonovskij-r31.gosweb.gosuslugi.ru/ofitsialno/dokumenty/dokumenty-all_3885.html" TargetMode="External"/><Relationship Id="rId267" Type="http://schemas.openxmlformats.org/officeDocument/2006/relationships/hyperlink" Target="https://krasnogvardfo.ru/assets/files/documents/%D0%9D%D0%B0%D1%80%D0%BE%D0%B4%D0%BD%D1%8B%D0%B9%20%D0%B1%D1%8E%D0%B4%D0%B6%D0%B5%D1%82/npa-1.rar" TargetMode="External"/><Relationship Id="rId474" Type="http://schemas.openxmlformats.org/officeDocument/2006/relationships/hyperlink" Target="https://admkrasnostrelskaya.ru/index.php?id=219&amp;page=invbud" TargetMode="External"/><Relationship Id="rId127" Type="http://schemas.openxmlformats.org/officeDocument/2006/relationships/hyperlink" Target="https://nadym.yanao.ru/about/projects/all/480" TargetMode="External"/><Relationship Id="rId681" Type="http://schemas.openxmlformats.org/officeDocument/2006/relationships/hyperlink" Target="mailto:dop.kstovo@mail.ru" TargetMode="External"/><Relationship Id="rId779" Type="http://schemas.openxmlformats.org/officeDocument/2006/relationships/hyperlink" Target="https://suhobuzimo.ru/docs/id1816.html" TargetMode="External"/><Relationship Id="rId986" Type="http://schemas.openxmlformats.org/officeDocument/2006/relationships/hyperlink" Target="https://mmal-11.samgd.ru/acts/decisions/76333/" TargetMode="External"/><Relationship Id="rId334" Type="http://schemas.openxmlformats.org/officeDocument/2006/relationships/hyperlink" Target="http://www.besleneevskaja.ru/" TargetMode="External"/><Relationship Id="rId541" Type="http://schemas.openxmlformats.org/officeDocument/2006/relationships/hyperlink" Target="mailto:buhadmi@mail.ru" TargetMode="External"/><Relationship Id="rId639" Type="http://schemas.openxmlformats.org/officeDocument/2006/relationships/hyperlink" Target="https://82.rosstat.gov.ru/storage/mediabank/&#1057;&#1088;&#1077;&#1076;&#1085;&#1077;&#1075;&#1086;&#1076;&#1086;&#1074;&#1072;&#1103;%20&#1085;&#1072;%20&#1089;&#1072;&#1081;&#1090;%202022(2).pd" TargetMode="External"/><Relationship Id="rId1171" Type="http://schemas.openxmlformats.org/officeDocument/2006/relationships/hyperlink" Target="https://www.arhcity.ru/?page=1906/1" TargetMode="External"/><Relationship Id="rId1269" Type="http://schemas.openxmlformats.org/officeDocument/2006/relationships/hyperlink" Target="https://pyatigorsk.org/filesarhiv/docs?FilesarhivSearch%5Binner_id%5D=4199&amp;FilesarhivSearch%5Btitle%5D=&amp;FilesarhivSearch%5Btypeid%5D=&amp;FilesarhivSearch%5Bcatid%5D=&amp;FilesarhivSearch%5Bcreated%5D=" TargetMode="External"/><Relationship Id="rId401" Type="http://schemas.openxmlformats.org/officeDocument/2006/relationships/hyperlink" Target="http://&#1072;&#1076;&#1084;-&#1080;&#1074;&#1072;&#1085;&#1086;&#1074;&#1089;&#1082;&#1072;&#1103;.&#1088;&#1092;/iniciativnoe-byudzhetirovanie.html" TargetMode="External"/><Relationship Id="rId846" Type="http://schemas.openxmlformats.org/officeDocument/2006/relationships/hyperlink" Target="https://samadm.ru/upload/iblock/b87/Informatsionnoe-soobshchenie-po-TKD.docx" TargetMode="External"/><Relationship Id="rId1031" Type="http://schemas.openxmlformats.org/officeDocument/2006/relationships/hyperlink" Target="mailto:e.v.galeva@priluzie.ru" TargetMode="External"/><Relationship Id="rId1129" Type="http://schemas.openxmlformats.org/officeDocument/2006/relationships/hyperlink" Target="http://admkuma.ru/documents/3140.html" TargetMode="External"/><Relationship Id="rId706" Type="http://schemas.openxmlformats.org/officeDocument/2006/relationships/hyperlink" Target="https://primstat.gks.ru/storage/mediabank/NXRqUAEK/&#1063;&#1080;&#1089;&#1083;&#1077;&#1085;&#1085;&#1086;&#1089;&#1090;&#1100;%20&#1043;&#1054;%20&#1080;%20&#1052;&#1056;%20&#1085;&#1072;%20&#1085;&#1072;&#1095;&#1072;&#1083;&#1086;%20&#1075;&#1086;&#1076;&#1072;_2021.xlsx" TargetMode="External"/><Relationship Id="rId913" Type="http://schemas.openxmlformats.org/officeDocument/2006/relationships/hyperlink" Target="https://samarastat.gks.ru/population" TargetMode="External"/><Relationship Id="rId1336" Type="http://schemas.openxmlformats.org/officeDocument/2006/relationships/hyperlink" Target="mailto:chek_v@mail.ru" TargetMode="External"/><Relationship Id="rId42" Type="http://schemas.openxmlformats.org/officeDocument/2006/relationships/hyperlink" Target="mailto:svod2@beldepfin.ru" TargetMode="External"/><Relationship Id="rId1403" Type="http://schemas.openxmlformats.org/officeDocument/2006/relationships/hyperlink" Target="http://www.chufarovogp.ru/load/postanovlenie_110_ot_16_08_2018g/1-1-0-1586" TargetMode="External"/><Relationship Id="rId191" Type="http://schemas.openxmlformats.org/officeDocument/2006/relationships/hyperlink" Target="http://school-test1.ucoz.com/index/arkhiv_quot_shkolnyj_bjudzhet_2022_quot/0-363;" TargetMode="External"/><Relationship Id="rId289" Type="http://schemas.openxmlformats.org/officeDocument/2006/relationships/hyperlink" Target="http://fin-or.ru/content/narodnyy-byudzhet" TargetMode="External"/><Relationship Id="rId496" Type="http://schemas.openxmlformats.org/officeDocument/2006/relationships/hyperlink" Target="http://admrogovskaya.ru/" TargetMode="External"/><Relationship Id="rId149" Type="http://schemas.openxmlformats.org/officeDocument/2006/relationships/hyperlink" Target="https://www.mo-yamal.ru/portal/uyutnyi_yamal/1808" TargetMode="External"/><Relationship Id="rId356" Type="http://schemas.openxmlformats.org/officeDocument/2006/relationships/hyperlink" Target="https://&#1087;&#1096;&#1077;&#1093;&#1089;&#1082;&#1086;&#1077;.&#1088;&#1092;/novosti/39549/" TargetMode="External"/><Relationship Id="rId563" Type="http://schemas.openxmlformats.org/officeDocument/2006/relationships/hyperlink" Target="https://admkutushi.webnode.ru/obyavleniya/" TargetMode="External"/><Relationship Id="rId770" Type="http://schemas.openxmlformats.org/officeDocument/2006/relationships/hyperlink" Target="http://www.admse.ru/upload/iblock/8b7/reshenie-_-14_3-ot-02.11.2020-ob-initsiativnykh-proektakh.doc" TargetMode="External"/><Relationship Id="rId1193" Type="http://schemas.openxmlformats.org/officeDocument/2006/relationships/hyperlink" Target="http://abgosk.ru/finansy/initsiativnoe-byudzhetirovanie/initsiativnoe-byudzhetirovanie.php" TargetMode="External"/><Relationship Id="rId216" Type="http://schemas.openxmlformats.org/officeDocument/2006/relationships/hyperlink" Target="mailto:velav@mail.orb.ru" TargetMode="External"/><Relationship Id="rId423" Type="http://schemas.openxmlformats.org/officeDocument/2006/relationships/hyperlink" Target="mailto:oktpos060@mail.ru" TargetMode="External"/><Relationship Id="rId868" Type="http://schemas.openxmlformats.org/officeDocument/2006/relationships/hyperlink" Target="http://vodokanalchap.ru/files/&#1055;&#1086;&#1076;&#1076;&#1077;&#1088;&#1078;&#1082;&#1072;%20&#1084;&#1077;&#1089;&#1090;&#1085;&#1099;&#1093;%20&#1080;&#1085;&#1080;&#1094;&#1080;&#1072;&#1090;&#1080;&#1074;%20&#1085;&#1072;%202022%20&#1075;&#1086;&#1076;.pdf" TargetMode="External"/><Relationship Id="rId1053" Type="http://schemas.openxmlformats.org/officeDocument/2006/relationships/hyperlink" Target="mailto:adm_udora_econom@mail.ru" TargetMode="External"/><Relationship Id="rId1260" Type="http://schemas.openxmlformats.org/officeDocument/2006/relationships/hyperlink" Target="mailto:finupr@petrgosk.ru" TargetMode="External"/><Relationship Id="rId630" Type="http://schemas.openxmlformats.org/officeDocument/2006/relationships/hyperlink" Target="https://sterlibash.bashkortostan.ru/documents/active/427286/" TargetMode="External"/><Relationship Id="rId728" Type="http://schemas.openxmlformats.org/officeDocument/2006/relationships/hyperlink" Target="https://asbestadm.ru/economy/munitsipalnyie-programmyi/obrazovanie/2022/" TargetMode="External"/><Relationship Id="rId935" Type="http://schemas.openxmlformats.org/officeDocument/2006/relationships/hyperlink" Target="https://samarastat.gks.ru/" TargetMode="External"/><Relationship Id="rId1358" Type="http://schemas.openxmlformats.org/officeDocument/2006/relationships/hyperlink" Target="https://veshkajma-r73.gosweb.gosuslugi.ru/deyatelnost/napravleniya-deyatelnosti/finansy/budgetgr/" TargetMode="External"/><Relationship Id="rId64" Type="http://schemas.openxmlformats.org/officeDocument/2006/relationships/hyperlink" Target="https://habstat.gks.ru/folder/23590" TargetMode="External"/><Relationship Id="rId1120" Type="http://schemas.openxmlformats.org/officeDocument/2006/relationships/hyperlink" Target="http://lugovoikonda.ru/tinybrowser/files/2021/rasporygeniy/protokol.docx" TargetMode="External"/><Relationship Id="rId1218" Type="http://schemas.openxmlformats.org/officeDocument/2006/relationships/hyperlink" Target="http://www.ipatovo.org/page.php?id=31864" TargetMode="External"/><Relationship Id="rId280" Type="http://schemas.openxmlformats.org/officeDocument/2006/relationships/hyperlink" Target="https://ok.ru/group/55033267880141" TargetMode="External"/><Relationship Id="rId140" Type="http://schemas.openxmlformats.org/officeDocument/2006/relationships/hyperlink" Target="https://vk.com/vpriuralye?w=wall-173311244_3726%20%20https://vk.com/vpriuralye?w=wall-173311244_3760%20%20%20%20%20%20%20%20%20%20%20%20%20%20%20https://vk.com/public205570005?w=wall-205570005_106%20%20%20%20%20%20%20%20%20%20https://vk.com/iapriuralye?w=" TargetMode="External"/><Relationship Id="rId378" Type="http://schemas.openxmlformats.org/officeDocument/2006/relationships/hyperlink" Target="https://zhuravskaja.ru/images/docs/2022/07/post2022_111.doc" TargetMode="External"/><Relationship Id="rId585" Type="http://schemas.openxmlformats.org/officeDocument/2006/relationships/hyperlink" Target="https://grigorevskaia.krasnodar.ru/poselenie/initsiativnye-proety/" TargetMode="External"/><Relationship Id="rId792" Type="http://schemas.openxmlformats.org/officeDocument/2006/relationships/hyperlink" Target="https://www.admkirov.ru/upload/iblock/876/kss500_20220322_15251210.pdf" TargetMode="External"/><Relationship Id="rId6" Type="http://schemas.openxmlformats.org/officeDocument/2006/relationships/hyperlink" Target="mailto:svod2@beldepfin.ru" TargetMode="External"/><Relationship Id="rId238" Type="http://schemas.openxmlformats.org/officeDocument/2006/relationships/hyperlink" Target="https://bugraifo.orb.ru/documents/other/103324/" TargetMode="External"/><Relationship Id="rId445" Type="http://schemas.openxmlformats.org/officeDocument/2006/relationships/hyperlink" Target="https://severskoe.sevadm.ru/normotvorchestvo/munitsipalnye-programmy/?ELEMENT_ID=28924" TargetMode="External"/><Relationship Id="rId652" Type="http://schemas.openxmlformats.org/officeDocument/2006/relationships/hyperlink" Target="https://dzhankoy.rk.gov.ru/uploads/txteditor/dzhankoy/attachments/d4/1d/8c/d98f00b204e9800998ecf8427e/phpWoZ2Od_&#1055;&#1088;&#1086;&#1090;&#1086;&#1082;&#1086;&#1083;%20&#8470;1%20&#1089;&#1086;&#1073;&#1088;&#1072;&#1085;&#1080;&#1103;%20&#1080;&#1085;&#1080;&#1094;&#1080;&#1072;&#1090;&#1080;&#1074;&#1085;&#1086;&#1081;%20&#1075;&#1088;&#1091;&#1087;&#1087;&#1099;.pdf" TargetMode="External"/><Relationship Id="rId1075" Type="http://schemas.openxmlformats.org/officeDocument/2006/relationships/hyperlink" Target="https://budget.uray.ru/municipalnye-pravovye-akty-2/" TargetMode="External"/><Relationship Id="rId1282" Type="http://schemas.openxmlformats.org/officeDocument/2006/relationships/hyperlink" Target="https://novgorodstat.gks.ru/storage/mediabank/%D0%A7%D0%B8%D1%81%D0%BB%D0%B5%D0%BD%D0%BD%D0%BE%D1%81%D1%82%D1%8C%20%D0%BD%D0%B0%D1%81%D0%B5%D0%BB%D0%B5%D0%BD%D0%B8%D1%8F%20%D0%BD%D0%B0%201.01.2022%20%D0%B3%D0%BE%D0%B4%D0%B0.pdf" TargetMode="External"/><Relationship Id="rId305" Type="http://schemas.openxmlformats.org/officeDocument/2006/relationships/hyperlink" Target="http://fintotsk.ru/file/download/1156" TargetMode="External"/><Relationship Id="rId512" Type="http://schemas.openxmlformats.org/officeDocument/2006/relationships/hyperlink" Target="http://zheleznoe-sp.ru/publ/normativnye_pravovye_akty/reshenija/reshenie_soveta_zheleznogo_selskogo_poselenija_ot_14_12_2021_g_1_protokol_42/3-1-0-668" TargetMode="External"/><Relationship Id="rId957" Type="http://schemas.openxmlformats.org/officeDocument/2006/relationships/hyperlink" Target="http://novyekluchi.kinel-cherkassy.ru/wp-content/uploads/2021/08/&#1056;&#1077;&#1096;&#1077;&#1085;&#1080;&#1077;-&#1087;&#1086;-&#1080;&#1085;&#1094;&#1080;&#1080;&#1088;&#1086;&#1074;&#1072;&#1085;&#1080;&#1102;-10-1&#1053;&#1086;&#1074;&#1099;&#1077;-&#1050;&#1083;&#1102;&#1095;&#1080;.doc" TargetMode="External"/><Relationship Id="rId1142" Type="http://schemas.openxmlformats.org/officeDocument/2006/relationships/hyperlink" Target="mailto:adm_shugur@mail.ru" TargetMode="External"/><Relationship Id="rId86" Type="http://schemas.openxmlformats.org/officeDocument/2006/relationships/hyperlink" Target="https://lbt.yanao.ru/activity/730/?nav-projects=page-1" TargetMode="External"/><Relationship Id="rId817" Type="http://schemas.openxmlformats.org/officeDocument/2006/relationships/hyperlink" Target="https://otradny.org/%20populatijn-census" TargetMode="External"/><Relationship Id="rId1002" Type="http://schemas.openxmlformats.org/officeDocument/2006/relationships/hyperlink" Target="https://khv27.ru/projects/territorialnoe-obshchestvennoe-samoupravlenie/konkursy/" TargetMode="External"/><Relationship Id="rId1307" Type="http://schemas.openxmlformats.org/officeDocument/2006/relationships/hyperlink" Target="https://ag.sbor.ru/poll/69" TargetMode="External"/><Relationship Id="rId13" Type="http://schemas.openxmlformats.org/officeDocument/2006/relationships/hyperlink" Target="https://volokonovskij-r31.gosweb.gosuslugi.ru/deyatelnost/napravleniya-deyatelnosti/strategicheskoe-planirovanie/munitsipalnye-programmy/dokumenty-10_3817.html" TargetMode="External"/><Relationship Id="rId162" Type="http://schemas.openxmlformats.org/officeDocument/2006/relationships/hyperlink" Target="https://www.survio.com/survey/w/M8F3O7Q8R2F8P2I9T" TargetMode="External"/><Relationship Id="rId467" Type="http://schemas.openxmlformats.org/officeDocument/2006/relationships/hyperlink" Target="https://adm-zaparozhskaya.ru/" TargetMode="External"/><Relationship Id="rId1097" Type="http://schemas.openxmlformats.org/officeDocument/2006/relationships/hyperlink" Target="https://admsurgut.ru/rubric/24927/Ispolzovanie-brendbuka-pri-provedenii-municipalnogo-konkursa-iniciativnyh-proektov" TargetMode="External"/><Relationship Id="rId674" Type="http://schemas.openxmlformats.org/officeDocument/2006/relationships/hyperlink" Target="https://borcity.ru/authority/mp_akt.php" TargetMode="External"/><Relationship Id="rId881" Type="http://schemas.openxmlformats.org/officeDocument/2006/relationships/hyperlink" Target="https://www.gks.ru/scripts/db_inet2/passport/table.aspx?opt=366164082022" TargetMode="External"/><Relationship Id="rId979" Type="http://schemas.openxmlformats.org/officeDocument/2006/relationships/hyperlink" Target="http://chernovka.kinel-cherkassy.ru/wp-content/uploads/2023/03/30-23-&#1041;&#1083;&#1072;&#1075;&#1086;&#1091;&#1089;&#1090;&#1088;&#1086;&#1081;&#1089;&#1090;&#1074;&#1086;-&#1063;&#1077;&#1088;&#1085;&#1086;&#1074;&#1082;&#1072;.doc" TargetMode="External"/><Relationship Id="rId327" Type="http://schemas.openxmlformats.org/officeDocument/2006/relationships/hyperlink" Target="https://cherepovec-r19.gosweb.gosuslugi.ru/" TargetMode="External"/><Relationship Id="rId534" Type="http://schemas.openxmlformats.org/officeDocument/2006/relationships/hyperlink" Target="https://admdetchino.ru/2022/11/12887/" TargetMode="External"/><Relationship Id="rId741" Type="http://schemas.openxmlformats.org/officeDocument/2006/relationships/hyperlink" Target="https://krur.midural.ru/article/show/id/10268" TargetMode="External"/><Relationship Id="rId839" Type="http://schemas.openxmlformats.org/officeDocument/2006/relationships/hyperlink" Target="https://www.samadm.ru/docs/official-publication/31618/" TargetMode="External"/><Relationship Id="rId1164" Type="http://schemas.openxmlformats.org/officeDocument/2006/relationships/hyperlink" Target="mailto:ionina.ev@dvinaland.ru" TargetMode="External"/><Relationship Id="rId1371" Type="http://schemas.openxmlformats.org/officeDocument/2006/relationships/hyperlink" Target="mailto:kuzmina.mv@ulminfin.ru" TargetMode="External"/><Relationship Id="rId601" Type="http://schemas.openxmlformats.org/officeDocument/2006/relationships/hyperlink" Target="mailto:kna@ys.orb.ru" TargetMode="External"/><Relationship Id="rId1024" Type="http://schemas.openxmlformats.org/officeDocument/2006/relationships/hyperlink" Target="http://&#1074;&#1086;&#1088;&#1082;&#1091;&#1090;&#1072;.&#1088;&#1092;/city/strategic-management/the-strategy-of-socio-economic-development-of-the-constituent-vorkuta/?ELEMENT_ID=18015" TargetMode="External"/><Relationship Id="rId1231" Type="http://schemas.openxmlformats.org/officeDocument/2006/relationships/hyperlink" Target="https://www.&#1082;&#1086;&#1095;&#1091;&#1073;&#1077;&#1077;&#1074;&#1089;&#1082;&#1080;&#1081;-&#1088;&#1072;&#1081;&#1086;&#1085;.&#1088;&#1092;/izveshcenie-o-vnesenii-initciativnykh-proektov-2022.html" TargetMode="External"/><Relationship Id="rId906" Type="http://schemas.openxmlformats.org/officeDocument/2006/relationships/hyperlink" Target="mailto:adm.kabanovka@yandex.ru" TargetMode="External"/><Relationship Id="rId1329" Type="http://schemas.openxmlformats.org/officeDocument/2006/relationships/hyperlink" Target="mailto:rfo24@minfin.omskportal.ru" TargetMode="External"/><Relationship Id="rId35" Type="http://schemas.openxmlformats.org/officeDocument/2006/relationships/hyperlink" Target="https://yakovgo.gosuslugi.ru/netcat_files/282/2650/Rasporyazhenie_449_r_ot_25.05.2022_g..pdf" TargetMode="External"/><Relationship Id="rId184" Type="http://schemas.openxmlformats.org/officeDocument/2006/relationships/hyperlink" Target="https://buzuluk.orb.ru/activity/20976/" TargetMode="External"/><Relationship Id="rId391" Type="http://schemas.openxmlformats.org/officeDocument/2006/relationships/hyperlink" Target="mailto:sergievka@list.ru" TargetMode="External"/><Relationship Id="rId251" Type="http://schemas.openxmlformats.org/officeDocument/2006/relationships/hyperlink" Target="http://pp-bz.ru/legal-acts/1078" TargetMode="External"/><Relationship Id="rId489" Type="http://schemas.openxmlformats.org/officeDocument/2006/relationships/hyperlink" Target="http://&#1072;&#1076;&#1084;-&#1090;&#1072;&#1084;&#1072;&#1085;&#1100;.&#1088;&#1092;/index.php?option=com_attachments&amp;task=download&amp;id=2446" TargetMode="External"/><Relationship Id="rId696" Type="http://schemas.openxmlformats.org/officeDocument/2006/relationships/hyperlink" Target="https://primorsky.ru/administratsiya/&#1055;&#1086;&#1089;&#1090;&#1072;&#1085;&#1086;&#1074;&#1083;&#1077;&#1085;&#1080;&#1077;%20&#1040;&#1055;&#1050;%20&#1086;&#1090;%2031.08.2017%20&#8470;%20356-&#1087;&#1072;.docx" TargetMode="External"/><Relationship Id="rId349" Type="http://schemas.openxmlformats.org/officeDocument/2006/relationships/hyperlink" Target="mailto:adm-chsp@mail.ru" TargetMode="External"/><Relationship Id="rId556" Type="http://schemas.openxmlformats.org/officeDocument/2006/relationships/hyperlink" Target="https://www.afanasyevo.ru/dokumenty/resheniya-afanasevskoj-rajonnoj-dumy/item/19333-resheniya-afanasevskoj-rajonnoj-dumy-za-2021" TargetMode="External"/><Relationship Id="rId763" Type="http://schemas.openxmlformats.org/officeDocument/2006/relationships/hyperlink" Target="mailto:root@rf46.krasnoyarsk.su" TargetMode="External"/><Relationship Id="rId1186" Type="http://schemas.openxmlformats.org/officeDocument/2006/relationships/hyperlink" Target="http://www.andropovskiy.ru/images/Downloads/Iniciativ_proekt/Pravovaya_baza/2021/June/1.3/&#1088;&#1077;&#1096;&#1077;&#1085;&#1080;&#1077;%20&#1089;&#1086;&#1074;&#1077;&#1090;&#1072;%20&#1072;&#1084;&#1086;%20&#1089;&#1082;%20&#1086;&#1090;%2031%20&#1084;&#1072;&#1088;&#1090;&#1072;%202021%20&#1075;.%20&#8470;10-100-1.doc" TargetMode="External"/><Relationship Id="rId1393" Type="http://schemas.openxmlformats.org/officeDocument/2006/relationships/hyperlink" Target="https://73.rosstat.gov.ru/folder/40275" TargetMode="External"/><Relationship Id="rId111" Type="http://schemas.openxmlformats.org/officeDocument/2006/relationships/hyperlink" Target="mailto:NSZabolotskih@muravlenko.yanao." TargetMode="External"/><Relationship Id="rId209" Type="http://schemas.openxmlformats.org/officeDocument/2006/relationships/hyperlink" Target="http://www.gfo-sorochinsk.ru/tshb" TargetMode="External"/><Relationship Id="rId416" Type="http://schemas.openxmlformats.org/officeDocument/2006/relationships/hyperlink" Target="https://&#1085;&#1086;&#1074;&#1086;&#1072;&#1083;&#1077;&#1082;&#1089;&#1077;&#1077;&#1074;&#1089;&#1082;&#1072;&#1103;.&#1088;&#1092;/documents/630.html" TargetMode="External"/><Relationship Id="rId970" Type="http://schemas.openxmlformats.org/officeDocument/2006/relationships/hyperlink" Target="http://sadgorod.kinel-cherkassy.ru/wp-content/uploads/2021/07/&#1056;&#1077;&#1096;&#1077;&#1085;&#1080;&#1077;-7-1-&#1086;&#1090;-12.07.2021-&#1054;&#1073;-&#1091;&#1090;&#1074;&#1077;&#1088;&#1078;&#1076;&#1077;&#1085;&#1080;&#1103;-&#1087;&#1086;&#1083;&#1086;&#1078;&#1077;&#1085;&#1080;&#1103;-&#1086;-&#1080;&#1085;&#1080;&#1094;&#1080;&#1080;&#1088;&#1086;&#1074;&#1072;&#1085;&#1080;&#1080;-&#1080;-&#1088;&#1077;&#1072;&#1083;&#1080;&#1079;&#1072;&#1094;&#1080;&#1080;-&#1080;&#1085;&#1080;&#1094;&#1080;&#1072;&#1090;&#1080;&#1074;&#1085;&#1099;&#1093;-&#1087;&#1088;&#1086;&#1077;&#1082;&#1090;&#1086;&#1074;-&#1085;&#1072;-&#1090;&#1077;&#1088;&#1088;&#1080;&#1090;&#1086;&#1088;&#1080;&#1080;-&#1089;&#1077;&#1083;&#1100;&#1089;&#1082;&#1086;&#1075;&#1086;-&#1087;&#1086;&#1089;&#1077;&#1083;&#1077;&#1085;&#1080;&#1103;.docx" TargetMode="External"/><Relationship Id="rId1046" Type="http://schemas.openxmlformats.org/officeDocument/2006/relationships/hyperlink" Target="https://ustvymskij.ru/index.php/upravlenie-ekonomiki/strategii-otchety" TargetMode="External"/><Relationship Id="rId1253" Type="http://schemas.openxmlformats.org/officeDocument/2006/relationships/hyperlink" Target="http://newalexandrovsk.ru/initsiativnoe-byudzhetirovanie/info/" TargetMode="External"/><Relationship Id="rId623" Type="http://schemas.openxmlformats.org/officeDocument/2006/relationships/hyperlink" Target="mailto:fu.karaid@bashkortostan.ru" TargetMode="External"/><Relationship Id="rId830" Type="http://schemas.openxmlformats.org/officeDocument/2006/relationships/hyperlink" Target="https://pohgor.ru/sociosfera/prestige-pricing/image-projects_56.html" TargetMode="External"/><Relationship Id="rId928" Type="http://schemas.openxmlformats.org/officeDocument/2006/relationships/hyperlink" Target="https://samarastat.gks.ru/population" TargetMode="External"/><Relationship Id="rId57" Type="http://schemas.openxmlformats.org/officeDocument/2006/relationships/hyperlink" Target="mailto:fu@adm-vyaz.ru" TargetMode="External"/><Relationship Id="rId1113" Type="http://schemas.openxmlformats.org/officeDocument/2006/relationships/hyperlink" Target="http://lugovoikonda.ru/tinybrowser/files/2020/-172-rassmotreniya-iniciativnyh-proektov.doc" TargetMode="External"/><Relationship Id="rId1320" Type="http://schemas.openxmlformats.org/officeDocument/2006/relationships/hyperlink" Target="mailto:pimenovaiv@minfin.omskportal.ru" TargetMode="External"/><Relationship Id="rId273" Type="http://schemas.openxmlformats.org/officeDocument/2006/relationships/hyperlink" Target="mailto:krasnogvard_fo@mail.ru" TargetMode="External"/><Relationship Id="rId480" Type="http://schemas.openxmlformats.org/officeDocument/2006/relationships/hyperlink" Target="mailto:nawi1@yandex.ru" TargetMode="External"/><Relationship Id="rId68" Type="http://schemas.openxmlformats.org/officeDocument/2006/relationships/hyperlink" Target="https://www.salekhard.org/normativno-pravovye-akty/resheniya-gorodskoy-dumy/26253" TargetMode="External"/><Relationship Id="rId133" Type="http://schemas.openxmlformats.org/officeDocument/2006/relationships/hyperlink" Target="https://&#1078;&#1080;&#1074;&#1105;&#1084;&#1085;&#1072;&#1089;&#1077;&#1074;&#1077;&#1088;&#1077;.&#1088;&#1092;/cozyYamal/about" TargetMode="External"/><Relationship Id="rId340" Type="http://schemas.openxmlformats.org/officeDocument/2006/relationships/hyperlink" Target="https://unarokovo.ru/" TargetMode="External"/><Relationship Id="rId578" Type="http://schemas.openxmlformats.org/officeDocument/2006/relationships/hyperlink" Target="https://adamfin.ru/narodnyij-byudzhet" TargetMode="External"/><Relationship Id="rId785" Type="http://schemas.openxmlformats.org/officeDocument/2006/relationships/hyperlink" Target="https://dalmatovo.su/economika/strategiya-planirovaniya/strategiya/7871-o-strategii-sotsialno-ekonomicheskogo-razvitiya-dalmatovskogo-rajona-do-2030-goda.html" TargetMode="External"/><Relationship Id="rId992" Type="http://schemas.openxmlformats.org/officeDocument/2006/relationships/hyperlink" Target="https://kadm63.ru/Selo/Chetyrovka/NPA_Sobr_Pred/R_SP_SP_Chetirovka_44_15-06-2021.pdf" TargetMode="External"/><Relationship Id="rId200" Type="http://schemas.openxmlformats.org/officeDocument/2006/relationships/hyperlink" Target="https://orenburg.ru/documents/other/63573/" TargetMode="External"/><Relationship Id="rId438" Type="http://schemas.openxmlformats.org/officeDocument/2006/relationships/hyperlink" Target="mailto:fbu@nross.ru" TargetMode="External"/><Relationship Id="rId645" Type="http://schemas.openxmlformats.org/officeDocument/2006/relationships/hyperlink" Target="mailto:perovskiy-sov@mail.ru" TargetMode="External"/><Relationship Id="rId852" Type="http://schemas.openxmlformats.org/officeDocument/2006/relationships/hyperlink" Target="https://www.kuibsamara.ru/iniciativnoe_byudzhetirovanie/" TargetMode="External"/><Relationship Id="rId1068" Type="http://schemas.openxmlformats.org/officeDocument/2006/relationships/hyperlink" Target="https://25.rosstat.gov.ru/" TargetMode="External"/><Relationship Id="rId1275" Type="http://schemas.openxmlformats.org/officeDocument/2006/relationships/hyperlink" Target="https://www.boradmin.ru/documents/8996.html" TargetMode="External"/><Relationship Id="rId284" Type="http://schemas.openxmlformats.org/officeDocument/2006/relationships/hyperlink" Target="http://fin-or.ru/ckfinder/userfiles/files/%D0%9F%D0%BE%D1%81%D1%82%D0%B0%D0%BD%D0%BE%D0%B2%D0%BB%D0%B5%D0%BD%D0%B8%D0%B5%20983%D0%BF%20%D0%BE%D1%82%2019052021(1).pdf" TargetMode="External"/><Relationship Id="rId491" Type="http://schemas.openxmlformats.org/officeDocument/2006/relationships/hyperlink" Target="mailto:org_timregion@mail.ru" TargetMode="External"/><Relationship Id="rId505" Type="http://schemas.openxmlformats.org/officeDocument/2006/relationships/hyperlink" Target="http://dvubratskoe-sp.ucoz.ru/Reshenie/2022/reshenie_5_ot_21.01.2022.pdf" TargetMode="External"/><Relationship Id="rId712" Type="http://schemas.openxmlformats.org/officeDocument/2006/relationships/hyperlink" Target="mailto:agofin520@yandex.ru" TargetMode="External"/><Relationship Id="rId1135" Type="http://schemas.openxmlformats.org/officeDocument/2006/relationships/hyperlink" Target="http://www.gks.ru/free_doc/new_site/bd_munst/munst.htm" TargetMode="External"/><Relationship Id="rId1342" Type="http://schemas.openxmlformats.org/officeDocument/2006/relationships/hyperlink" Target="https://barysh.org/upload/iblock/7d7/788-mr.doc" TargetMode="External"/><Relationship Id="rId79" Type="http://schemas.openxmlformats.org/officeDocument/2006/relationships/hyperlink" Target="https://rosstat.gov.ru/compendium/document/13282;%20https:/invest.yanao.ru/municipalities/labitnangi/" TargetMode="External"/><Relationship Id="rId144" Type="http://schemas.openxmlformats.org/officeDocument/2006/relationships/hyperlink" Target="https://yam.yanao.ru/documents/active/256110/" TargetMode="External"/><Relationship Id="rId589" Type="http://schemas.openxmlformats.org/officeDocument/2006/relationships/hyperlink" Target="https://orenstat.gks.ru/storage/document/document_statistic_collection/2022-06/12/&#1052;&#1091;&#1085;&#1080;&#1094;&#1080;&#1087;&#1072;&#1083;&#1100;&#1085;&#1099;&#1077;%20&#1086;&#1073;&#1088;&#1072;&#1079;&#1086;&#1074;&#1072;&#1085;&#1080;&#1103;%20&#1085;&#1072;%201%20&#1103;&#1085;&#1074;&#1072;&#1088;&#1103;%202022%20&#1075;&#1086;&#1076;&#1072;.pdf" TargetMode="External"/><Relationship Id="rId796" Type="http://schemas.openxmlformats.org/officeDocument/2006/relationships/hyperlink" Target="https://admkirov.ru/" TargetMode="External"/><Relationship Id="rId1202" Type="http://schemas.openxmlformats.org/officeDocument/2006/relationships/hyperlink" Target="mailto:fin@georgievsk.stavregion.ru" TargetMode="External"/><Relationship Id="rId351" Type="http://schemas.openxmlformats.org/officeDocument/2006/relationships/hyperlink" Target="mailto:adm_pervomaisk@mail.ru" TargetMode="External"/><Relationship Id="rId449" Type="http://schemas.openxmlformats.org/officeDocument/2006/relationships/hyperlink" Target="mailto:lvovskoe@yandex.ru" TargetMode="External"/><Relationship Id="rId656" Type="http://schemas.openxmlformats.org/officeDocument/2006/relationships/hyperlink" Target="https://www.gks.ru/scripts/db_inet2/passport/table.aspx?opt=227210002022" TargetMode="External"/><Relationship Id="rId863" Type="http://schemas.openxmlformats.org/officeDocument/2006/relationships/hyperlink" Target="https://rosstat.gov.ru/folder/12781" TargetMode="External"/><Relationship Id="rId1079" Type="http://schemas.openxmlformats.org/officeDocument/2006/relationships/hyperlink" Target="https://budget.uray.ru/iniciativnoe-bjudzhetirovanie-v-rf/opisanie-proektov-2022/;" TargetMode="External"/><Relationship Id="rId1286" Type="http://schemas.openxmlformats.org/officeDocument/2006/relationships/hyperlink" Target="http://komobrkrr.edusite.ru/p26aa1detales203.html" TargetMode="External"/><Relationship Id="rId211" Type="http://schemas.openxmlformats.org/officeDocument/2006/relationships/hyperlink" Target="mailto:gorfo@esoo.ru" TargetMode="External"/><Relationship Id="rId295" Type="http://schemas.openxmlformats.org/officeDocument/2006/relationships/hyperlink" Target="http://fin-or.ru/content/dokumenty-6" TargetMode="External"/><Relationship Id="rId309" Type="http://schemas.openxmlformats.org/officeDocument/2006/relationships/hyperlink" Target="http://fintotsk.ru/hearing/11" TargetMode="External"/><Relationship Id="rId516" Type="http://schemas.openxmlformats.org/officeDocument/2006/relationships/hyperlink" Target="mailto:sp_tenginka@mail.ru" TargetMode="External"/><Relationship Id="rId1146" Type="http://schemas.openxmlformats.org/officeDocument/2006/relationships/hyperlink" Target="http://www.gks.ru/free_doc/new_site/bd_munst/munst.htm" TargetMode="External"/><Relationship Id="rId723" Type="http://schemas.openxmlformats.org/officeDocument/2006/relationships/hyperlink" Target="mailto:feu-budjet11@mail.ru" TargetMode="External"/><Relationship Id="rId930" Type="http://schemas.openxmlformats.org/officeDocument/2006/relationships/hyperlink" Target="http://gorka.kinel-cherkassy.ru/?p=3809" TargetMode="External"/><Relationship Id="rId1006" Type="http://schemas.openxmlformats.org/officeDocument/2006/relationships/hyperlink" Target="mailto:amrizhmazam@mail.ru" TargetMode="External"/><Relationship Id="rId1353" Type="http://schemas.openxmlformats.org/officeDocument/2006/relationships/hyperlink" Target="https://uln.gks.ru/search?q=&#1095;&#1080;&#1089;&#1083;&#1077;&#1085;&#1085;&#1086;&#1089;&#1090;&#1100;+&#1042;&#1077;&#1096;&#1082;&#1072;&#1081;&#1084;&#1089;&#1082;&#1086;&#1075;&#1086;+&#1088;&#1072;&#1081;&#1086;&#1085;&#1072;" TargetMode="External"/><Relationship Id="rId155" Type="http://schemas.openxmlformats.org/officeDocument/2006/relationships/hyperlink" Target="https://tasu.ru/ekonomika-i-finansy/initsiativnoe-byudzhetirovanie/normativno-pravovye-akty/normativno-pravovye-akty-2021-goda/" TargetMode="External"/><Relationship Id="rId362" Type="http://schemas.openxmlformats.org/officeDocument/2006/relationships/hyperlink" Target="https://privoladm.ru/initsiativnoe-byudzhetirovanie" TargetMode="External"/><Relationship Id="rId1213" Type="http://schemas.openxmlformats.org/officeDocument/2006/relationships/hyperlink" Target="https://www.adm-grsk.ru/sobranie-deputatov/resheniya-soveta/resheniya-2021/reshenie-ot-22-04-2021-g-37-o-nekotorykh-voprosakh-realizatsii-initsiativnykh-proektov-na-territorii-grachevskogo-munitsipalnogo-okruga-stavropolskogo-kraya" TargetMode="External"/><Relationship Id="rId1297" Type="http://schemas.openxmlformats.org/officeDocument/2006/relationships/hyperlink" Target="https://novgorodstat.gks.ru/storage/mediabank/&#1063;&#1080;&#1089;&#1083;&#1077;&#1085;&#1085;&#1086;&#1089;&#1090;&#1100;%20&#1085;&#1072;&#1089;&#1077;&#1083;&#1077;&#1085;&#1080;&#1103;%20&#1085;&#1072;%201.01.2022%20&#1075;&#1086;&#1076;&#1072;.pdf" TargetMode="External"/><Relationship Id="rId222" Type="http://schemas.openxmlformats.org/officeDocument/2006/relationships/hyperlink" Target="http://finadam@mail.orb.ru" TargetMode="External"/><Relationship Id="rId667" Type="http://schemas.openxmlformats.org/officeDocument/2006/relationships/hyperlink" Target="http://bg-adm.ru./?p__doc_act=1553&amp;p__doc_status=&amp;p__search_date1=10.12.2020&amp;p__search_date2=10.12.2020&amp;p__doc_number=&amp;p__search_text2=&amp;p__search_rules=0&amp;send=&#1055;&#1086;&#1080;&#1089;&#1082;&amp;action=process&amp;id=495&amp;form_name=form_495" TargetMode="External"/><Relationship Id="rId874" Type="http://schemas.openxmlformats.org/officeDocument/2006/relationships/hyperlink" Target="https://www.gks.ru/scripts/db_inet2/passport/table.aspx?opt=366164082022" TargetMode="External"/><Relationship Id="rId17" Type="http://schemas.openxmlformats.org/officeDocument/2006/relationships/hyperlink" Target="https://belg.gks.ru/" TargetMode="External"/><Relationship Id="rId527" Type="http://schemas.openxmlformats.org/officeDocument/2006/relationships/hyperlink" Target="mailto:7102@bk.ru" TargetMode="External"/><Relationship Id="rId734" Type="http://schemas.openxmlformats.org/officeDocument/2006/relationships/hyperlink" Target="http://&#1080;&#1085;&#1080;&#1094;&#1080;&#1072;&#1090;&#1080;&#1074;&#1072;.&#1077;&#1082;&#1072;&#1090;&#1077;&#1088;&#1080;&#1085;&#1073;&#1091;&#1088;&#1075;.&#1088;&#1092;/" TargetMode="External"/><Relationship Id="rId941" Type="http://schemas.openxmlformats.org/officeDocument/2006/relationships/hyperlink" Target="https://samarastat.gks.ru/" TargetMode="External"/><Relationship Id="rId1157" Type="http://schemas.openxmlformats.org/officeDocument/2006/relationships/hyperlink" Target="http://hmrn.ru/raion/ekonomika/ser/passport_socio_economic_situation/index.php" TargetMode="External"/><Relationship Id="rId1364" Type="http://schemas.openxmlformats.org/officeDocument/2006/relationships/hyperlink" Target="https://inzenskijinzenskoe-r73.gosweb.gosuslugi.ru/ofitsialno/dokumenty/normativno-pravovye-akty/resheniya-soveta-deputatov/resheniya-soveta-2021/reshenie-soveta-38-ot-24122021/" TargetMode="External"/><Relationship Id="rId70" Type="http://schemas.openxmlformats.org/officeDocument/2006/relationships/hyperlink" Target="https://72.rosstat.gov.ru/ofs_demp_ynao" TargetMode="External"/><Relationship Id="rId166" Type="http://schemas.openxmlformats.org/officeDocument/2006/relationships/hyperlink" Target="http://&#1073;&#1091;&#1079;&#1091;&#1083;&#1091;&#1082;-&#1087;&#1088;&#1072;&#1074;&#1086;.&#1088;&#1092;/node/5771," TargetMode="External"/><Relationship Id="rId373" Type="http://schemas.openxmlformats.org/officeDocument/2006/relationships/hyperlink" Target="mailto:bratkovsk@mail.ru" TargetMode="External"/><Relationship Id="rId580" Type="http://schemas.openxmlformats.org/officeDocument/2006/relationships/hyperlink" Target="https://vk.com/club211208773?z=photo-211208773_457239022%2Falbum-211208773_00%2Frev" TargetMode="External"/><Relationship Id="rId801" Type="http://schemas.openxmlformats.org/officeDocument/2006/relationships/hyperlink" Target="https://&#1082;&#1080;&#1088;&#1086;&#1074;.&#1088;&#1092;/upload/medialibrary/710/uf821n0hq6j15ykgmn3sq579rgc00s55/&#1076;&#1083;&#1103;%20&#1087;&#1091;&#1073;&#1083;&#1080;&#1082;&#1072;&#1094;&#1080;&#1080;.pdf" TargetMode="External"/><Relationship Id="rId1017" Type="http://schemas.openxmlformats.org/officeDocument/2006/relationships/hyperlink" Target="http://adm.govuktyl.ru/dokumenty/postanovleniya/2022-god/aprel" TargetMode="External"/><Relationship Id="rId1224" Type="http://schemas.openxmlformats.org/officeDocument/2006/relationships/hyperlink" Target="http://kir-portal.ru/duma/doc/345_23.03.2021.doc" TargetMode="External"/><Relationship Id="rId1" Type="http://schemas.openxmlformats.org/officeDocument/2006/relationships/hyperlink" Target="https://vejdelevskij-r31.gosweb.gosuslugi.ru/deyatelnost/munitsipalnye-programmy/programma-13/" TargetMode="External"/><Relationship Id="rId233" Type="http://schemas.openxmlformats.org/officeDocument/2006/relationships/hyperlink" Target="https://asfin56.ru/narodnyij-byudzhet" TargetMode="External"/><Relationship Id="rId440" Type="http://schemas.openxmlformats.org/officeDocument/2006/relationships/hyperlink" Target="https://admnvrsk.ru/gorozhanam/initsiativnoe-byudzhetirovanie/" TargetMode="External"/><Relationship Id="rId678" Type="http://schemas.openxmlformats.org/officeDocument/2006/relationships/hyperlink" Target="https://borcity.ru/okrug/okrug_info.php" TargetMode="External"/><Relationship Id="rId885" Type="http://schemas.openxmlformats.org/officeDocument/2006/relationships/hyperlink" Target="mailto:semja@List.ru" TargetMode="External"/><Relationship Id="rId1070" Type="http://schemas.openxmlformats.org/officeDocument/2006/relationships/hyperlink" Target="https://adm-ussuriisk.ru/ob_okruge/otkrytyy_byudzhet/initsiativnoe_byudzhetirovanie/mestnye_initsiativy/" TargetMode="External"/><Relationship Id="rId28" Type="http://schemas.openxmlformats.org/officeDocument/2006/relationships/hyperlink" Target="mailto:svod2@beldepfin.ru" TargetMode="External"/><Relationship Id="rId300" Type="http://schemas.openxmlformats.org/officeDocument/2006/relationships/hyperlink" Target="mailto:velav@mail.orb.ru" TargetMode="External"/><Relationship Id="rId538" Type="http://schemas.openxmlformats.org/officeDocument/2006/relationships/hyperlink" Target="https://admdetchino.ru/2021/11/9690/" TargetMode="External"/><Relationship Id="rId745" Type="http://schemas.openxmlformats.org/officeDocument/2006/relationships/hyperlink" Target="https://admrevda.ru/ekonomika/5247-initsiativnoe-byudzhetirovanie.html" TargetMode="External"/><Relationship Id="rId952" Type="http://schemas.openxmlformats.org/officeDocument/2006/relationships/hyperlink" Target="http://mukhanovo.kinel-cherkassy.ru/?page_id=203" TargetMode="External"/><Relationship Id="rId1168" Type="http://schemas.openxmlformats.org/officeDocument/2006/relationships/hyperlink" Target="https://www.arhcity.ru/?page=2865/2" TargetMode="External"/><Relationship Id="rId1375" Type="http://schemas.openxmlformats.org/officeDocument/2006/relationships/hyperlink" Target="http://karsunmo.ru/postanovleniya/" TargetMode="External"/><Relationship Id="rId81" Type="http://schemas.openxmlformats.org/officeDocument/2006/relationships/hyperlink" Target="https://lbt.yanao.ru/documents/active/8685/;" TargetMode="External"/><Relationship Id="rId177" Type="http://schemas.openxmlformats.org/officeDocument/2006/relationships/hyperlink" Target="https://buzuluk.orb.ru/documents/active/119556/" TargetMode="External"/><Relationship Id="rId384" Type="http://schemas.openxmlformats.org/officeDocument/2006/relationships/hyperlink" Target="mailto:platnirovka@mail.ru" TargetMode="External"/><Relationship Id="rId591" Type="http://schemas.openxmlformats.org/officeDocument/2006/relationships/hyperlink" Target="https://gy.orb.ru/upload/uf/2cd/strategy_2012.doc" TargetMode="External"/><Relationship Id="rId605" Type="http://schemas.openxmlformats.org/officeDocument/2006/relationships/hyperlink" Target="mailto:velav@mail.orb.ru" TargetMode="External"/><Relationship Id="rId812" Type="http://schemas.openxmlformats.org/officeDocument/2006/relationships/hyperlink" Target="mailto:dyadkovsk@inbox.ru" TargetMode="External"/><Relationship Id="rId1028" Type="http://schemas.openxmlformats.org/officeDocument/2006/relationships/hyperlink" Target="https://vk.com/gorodvorkuta" TargetMode="External"/><Relationship Id="rId1235" Type="http://schemas.openxmlformats.org/officeDocument/2006/relationships/hyperlink" Target="mailto:zapros.ler@yandex.ru" TargetMode="External"/><Relationship Id="rId244" Type="http://schemas.openxmlformats.org/officeDocument/2006/relationships/hyperlink" Target="https://bugraifo.orb.ru/upload/uf/91c/Protokol.pdf" TargetMode="External"/><Relationship Id="rId689" Type="http://schemas.openxmlformats.org/officeDocument/2006/relationships/hyperlink" Target="https://docs.semenov.nnov.ru/open/?nd=816838795&amp;searchType=phrase&amp;query=2911" TargetMode="External"/><Relationship Id="rId896" Type="http://schemas.openxmlformats.org/officeDocument/2006/relationships/hyperlink" Target="http://berezniki.ucoz.ru/admu/4/resh.sp_15-1_ot_16.08.2021..doc" TargetMode="External"/><Relationship Id="rId1081" Type="http://schemas.openxmlformats.org/officeDocument/2006/relationships/hyperlink" Target="https://disk.yandex.ru/d/xyVA5QUgcXwf9g" TargetMode="External"/><Relationship Id="rId1302" Type="http://schemas.openxmlformats.org/officeDocument/2006/relationships/hyperlink" Target="http://okuladm.ru/documents/16853" TargetMode="External"/><Relationship Id="rId39" Type="http://schemas.openxmlformats.org/officeDocument/2006/relationships/hyperlink" Target="https://vk.com/yakovlevez?w=wall-202831546_401&amp;ysclid=lggl3asamn715497386" TargetMode="External"/><Relationship Id="rId451" Type="http://schemas.openxmlformats.org/officeDocument/2006/relationships/hyperlink" Target="https://sochi.ru/gorodskaya-vlast/normativno-pravovyye-akty/?ELEMENT_ID=171037" TargetMode="External"/><Relationship Id="rId549" Type="http://schemas.openxmlformats.org/officeDocument/2006/relationships/hyperlink" Target="mailto:adm.ermolino@yandex.ru" TargetMode="External"/><Relationship Id="rId756" Type="http://schemas.openxmlformats.org/officeDocument/2006/relationships/hyperlink" Target="mailto:gafieva_mi@zav.udmr.ru" TargetMode="External"/><Relationship Id="rId1179" Type="http://schemas.openxmlformats.org/officeDocument/2006/relationships/hyperlink" Target="http://www.admkud.ru/duma/r2021/21.pdf" TargetMode="External"/><Relationship Id="rId1386" Type="http://schemas.openxmlformats.org/officeDocument/2006/relationships/hyperlink" Target="mailto:uprobr2@mail.ru" TargetMode="External"/><Relationship Id="rId104" Type="http://schemas.openxmlformats.org/officeDocument/2006/relationships/hyperlink" Target="https://muravlenko.yanao.ru/activity/27372/?filter%5Bdocuments%5D%5Bsection%5D=15" TargetMode="External"/><Relationship Id="rId188" Type="http://schemas.openxmlformats.org/officeDocument/2006/relationships/hyperlink" Target="https://www.gorodmednogorsk.ru/fin/budgot.html" TargetMode="External"/><Relationship Id="rId311" Type="http://schemas.openxmlformats.org/officeDocument/2006/relationships/hyperlink" Target="https://sun9-9.userapi.com/impg/dzXnoRHDmP8elgq3frPkEiWZkI7scWVV5IicWQ/_3pj8kjAHWw.jpg?size=927x631&amp;quality=95&amp;sign=ca1913112ee4399d625970e617235a88&amp;c_uniq_tag=OU88g3Ov147kk_MMyX4Y7JjmZs2BA2MJ4l4NqLOjJJU&amp;type=album" TargetMode="External"/><Relationship Id="rId395" Type="http://schemas.openxmlformats.org/officeDocument/2006/relationships/hyperlink" Target="mailto:poltadm@list.ru" TargetMode="External"/><Relationship Id="rId409" Type="http://schemas.openxmlformats.org/officeDocument/2006/relationships/hyperlink" Target="mailto:admnovomish@mail.ru" TargetMode="External"/><Relationship Id="rId963" Type="http://schemas.openxmlformats.org/officeDocument/2006/relationships/hyperlink" Target="https://podgornoe.kinel-cherkassy.ru/wp-content/uploads/2021/07/&#1056;&#1077;&#1096;-10-1-&#1088;&#1077;&#1096;&#1077;&#1085;&#1080;&#1103;-&#1055;&#1086;&#1083;&#1086;&#1078;&#1077;&#1085;&#1080;&#1077;-&#1086;&#1073;-&#1080;&#1085;&#1080;&#1094;&#1080;&#1080;&#1088;&#1086;&#1074;&#1072;&#1085;&#1080;&#1080;.docx" TargetMode="External"/><Relationship Id="rId1039" Type="http://schemas.openxmlformats.org/officeDocument/2006/relationships/hyperlink" Target="https://syktyvdin.gosuslugi.ru/)" TargetMode="External"/><Relationship Id="rId1246" Type="http://schemas.openxmlformats.org/officeDocument/2006/relationships/hyperlink" Target="http://newalexandrovsk.ru/initsiativnoe-byudzhetirovanie/info/" TargetMode="External"/><Relationship Id="rId92" Type="http://schemas.openxmlformats.org/officeDocument/2006/relationships/hyperlink" Target="https://tumstat.gks.ru/storage/mediabank/&#1063;&#1080;&#1089;&#1083;&#1077;&#1085;&#1086;&#1089;&#1090;&#1100;%20&#1085;&#1072;&#1089;&#1077;&#1083;&#1077;&#1085;&#1080;&#1103;%20&#1071;&#1053;&#1040;&#1054;%20&#1085;&#1072;%20&#1085;&#1072;&#1095;&#1072;&#1083;&#1086;%202017-2023%20&#1075;&#1086;&#1076;&#1072;.xlsx" TargetMode="External"/><Relationship Id="rId616" Type="http://schemas.openxmlformats.org/officeDocument/2006/relationships/hyperlink" Target="mailto:taschla.tfin@yandex.ru" TargetMode="External"/><Relationship Id="rId823" Type="http://schemas.openxmlformats.org/officeDocument/2006/relationships/hyperlink" Target="http://www.pohgor.ru/documents/municipal-programm/predpisanija_38.html" TargetMode="External"/><Relationship Id="rId255" Type="http://schemas.openxmlformats.org/officeDocument/2006/relationships/hyperlink" Target="https://orenstat.gks.ru/storage/document/document_statistic_collection/2022-12/30/%D0%95%D0%B6%D0%B5%D0%B3%D0%BE%D0%B4%D0%BD%D0%B8%D0%BA_2022.pdf" TargetMode="External"/><Relationship Id="rId462" Type="http://schemas.openxmlformats.org/officeDocument/2006/relationships/hyperlink" Target="mailto:fin217@yandex.ru" TargetMode="External"/><Relationship Id="rId1092" Type="http://schemas.openxmlformats.org/officeDocument/2006/relationships/hyperlink" Target="http://budget.admsurgut.ru/budget/319176050" TargetMode="External"/><Relationship Id="rId1106" Type="http://schemas.openxmlformats.org/officeDocument/2006/relationships/hyperlink" Target="mailto:oms@admkonda.ru" TargetMode="External"/><Relationship Id="rId1313" Type="http://schemas.openxmlformats.org/officeDocument/2006/relationships/hyperlink" Target="mailto:kfsbor@sbor.ru" TargetMode="External"/><Relationship Id="rId1397" Type="http://schemas.openxmlformats.org/officeDocument/2006/relationships/hyperlink" Target="https://uln.gks.ru/storage/mediabank/73-nas-22.xlsx" TargetMode="External"/><Relationship Id="rId115" Type="http://schemas.openxmlformats.org/officeDocument/2006/relationships/hyperlink" Target="https://www.gubadm.ru/activity/14305" TargetMode="External"/><Relationship Id="rId322" Type="http://schemas.openxmlformats.org/officeDocument/2006/relationships/hyperlink" Target="mailto:velav@mail.orb.ru" TargetMode="External"/><Relationship Id="rId767" Type="http://schemas.openxmlformats.org/officeDocument/2006/relationships/hyperlink" Target="https://krasstat.gks.ru/folder/27812" TargetMode="External"/><Relationship Id="rId974" Type="http://schemas.openxmlformats.org/officeDocument/2006/relationships/hyperlink" Target="mailto:Patel77@mail.ru" TargetMode="External"/><Relationship Id="rId199" Type="http://schemas.openxmlformats.org/officeDocument/2006/relationships/hyperlink" Target="https://orenburg.ru/documents/other/63559/" TargetMode="External"/><Relationship Id="rId627" Type="http://schemas.openxmlformats.org/officeDocument/2006/relationships/hyperlink" Target="mailto:kochetkova.e@bashkortostan.ru" TargetMode="External"/><Relationship Id="rId834" Type="http://schemas.openxmlformats.org/officeDocument/2006/relationships/hyperlink" Target="http://kirovskiy.gordumasamara.ru/ustav-kirovskogo-vnutrigorodskogo-rajona/?doing_wp_cron=1649222951.5339250564575195312500" TargetMode="External"/><Relationship Id="rId1257" Type="http://schemas.openxmlformats.org/officeDocument/2006/relationships/hyperlink" Target="https://stavstat.gks.ru/folder/28386" TargetMode="External"/><Relationship Id="rId266" Type="http://schemas.openxmlformats.org/officeDocument/2006/relationships/hyperlink" Target="mailto:velav@mail.orb.ru" TargetMode="External"/><Relationship Id="rId473" Type="http://schemas.openxmlformats.org/officeDocument/2006/relationships/hyperlink" Target="https://adm-zaparozhskaya.ru/" TargetMode="External"/><Relationship Id="rId680" Type="http://schemas.openxmlformats.org/officeDocument/2006/relationships/hyperlink" Target="https://borcity.ru/authority/acts/postadm/index2021.php" TargetMode="External"/><Relationship Id="rId901" Type="http://schemas.openxmlformats.org/officeDocument/2006/relationships/hyperlink" Target="http://erzovka.kinel-cherkassy.ru/?p=2396" TargetMode="External"/><Relationship Id="rId1117" Type="http://schemas.openxmlformats.org/officeDocument/2006/relationships/hyperlink" Target="https://www.gks.ru/scripts/db_inet2/passport/table.aspx?opt=718161572022" TargetMode="External"/><Relationship Id="rId1324" Type="http://schemas.openxmlformats.org/officeDocument/2006/relationships/hyperlink" Target="https://kormil.omskportal.ru/omsu/kormil-3-52-223-1/etc/CelevProgrammy" TargetMode="External"/><Relationship Id="rId30" Type="http://schemas.openxmlformats.org/officeDocument/2006/relationships/hyperlink" Target="mailto:svod2@beldepfin.ru" TargetMode="External"/><Relationship Id="rId126" Type="http://schemas.openxmlformats.org/officeDocument/2006/relationships/hyperlink" Target="https://nadym.yanao.ru/documents/active/131380" TargetMode="External"/><Relationship Id="rId333" Type="http://schemas.openxmlformats.org/officeDocument/2006/relationships/hyperlink" Target="https://cherinfo.ru/nb," TargetMode="External"/><Relationship Id="rId540" Type="http://schemas.openxmlformats.org/officeDocument/2006/relationships/hyperlink" Target="https://vk.com/svh_borovskiy?w=wall-199033158_1085" TargetMode="External"/><Relationship Id="rId778" Type="http://schemas.openxmlformats.org/officeDocument/2006/relationships/hyperlink" Target="mailto:suxom.rf35@yandex.ru" TargetMode="External"/><Relationship Id="rId985" Type="http://schemas.openxmlformats.org/officeDocument/2006/relationships/hyperlink" Target="http://www.kinel.ru/tselevye-programmy-selskikh-poselenijj/malaja-malyshevka/" TargetMode="External"/><Relationship Id="rId1170" Type="http://schemas.openxmlformats.org/officeDocument/2006/relationships/hyperlink" Target="https://www.arhcity.ru/data/2946/agd%20reshenie%20598_30112022.pdf" TargetMode="External"/><Relationship Id="rId638" Type="http://schemas.openxmlformats.org/officeDocument/2006/relationships/hyperlink" Target="mailto:jankoi-gfu@yandex.ru" TargetMode="External"/><Relationship Id="rId845" Type="http://schemas.openxmlformats.org/officeDocument/2006/relationships/hyperlink" Target="https://samadm.ru/upload/iblock/d34/Postanovlenie-_-679-ot-20.10.2021-po-TKD.pdf" TargetMode="External"/><Relationship Id="rId1030" Type="http://schemas.openxmlformats.org/officeDocument/2006/relationships/hyperlink" Target="mailto:e.v.novikova@priluzie.ru" TargetMode="External"/><Relationship Id="rId1268" Type="http://schemas.openxmlformats.org/officeDocument/2006/relationships/hyperlink" Target="mailto:territory@updtpmo.ru" TargetMode="External"/><Relationship Id="rId277" Type="http://schemas.openxmlformats.org/officeDocument/2006/relationships/hyperlink" Target="https://gks.ru/dbscripts/munst/munst53/DBInet.cgi" TargetMode="External"/><Relationship Id="rId400" Type="http://schemas.openxmlformats.org/officeDocument/2006/relationships/hyperlink" Target="http://&#1072;&#1076;&#1084;-&#1080;&#1074;&#1072;&#1085;&#1086;&#1074;&#1089;&#1082;&#1072;&#1103;.&#1088;&#1092;/ivanovskoe-sel-skoe-poselenie-krasnoarmeyskogo-rayona-podalo-zayavku-dlya-uchastiya-v-kraevom-konkurse-po-otboru-proektov-mestnykh-initciativ-v-2022-godu.html" TargetMode="External"/><Relationship Id="rId484" Type="http://schemas.openxmlformats.org/officeDocument/2006/relationships/hyperlink" Target="mailto:zkh.admtsp@yandex.ru" TargetMode="External"/><Relationship Id="rId705" Type="http://schemas.openxmlformats.org/officeDocument/2006/relationships/hyperlink" Target="https://sd-pravo.ru/npa/files/npa/7008.docx" TargetMode="External"/><Relationship Id="rId1128" Type="http://schemas.openxmlformats.org/officeDocument/2006/relationships/hyperlink" Target="http://www.admkonda.ru/documents/16785.html" TargetMode="External"/><Relationship Id="rId1335" Type="http://schemas.openxmlformats.org/officeDocument/2006/relationships/hyperlink" Target="https://bsizgan.ulregion.ru/document/npa/6759/9555.html" TargetMode="External"/><Relationship Id="rId137" Type="http://schemas.openxmlformats.org/officeDocument/2006/relationships/hyperlink" Target="https://disk.yandex.ru/d/GbFvvDzIdbgmKw" TargetMode="External"/><Relationship Id="rId344" Type="http://schemas.openxmlformats.org/officeDocument/2006/relationships/hyperlink" Target="https://adm-yaroslavskogo.ru/&#1087;&#1088;&#1086;&#1077;&#1082;&#1090;&#1099;-&#1084;&#1077;&#1089;&#1090;&#1085;&#1099;&#1093;-&#1080;&#1085;&#1080;&#1094;&#1080;&#1072;&#1090;&#1080;&#1074;" TargetMode="External"/><Relationship Id="rId691" Type="http://schemas.openxmlformats.org/officeDocument/2006/relationships/hyperlink" Target="https://www.penza-gorod.ru/upload/medialibrary/6f0/6f0a29fc4cc5508d641cbf93834d8eae.pdf" TargetMode="External"/><Relationship Id="rId789" Type="http://schemas.openxmlformats.org/officeDocument/2006/relationships/hyperlink" Target="https://g58.tmbreg.ru/socialno-ekonomicheskoe-razvitie-goroda/strategija-goroda-uvarovo.html" TargetMode="External"/><Relationship Id="rId912" Type="http://schemas.openxmlformats.org/officeDocument/2006/relationships/hyperlink" Target="http://kabanovka.kinel-cherkassy.ru/?p=9558" TargetMode="External"/><Relationship Id="rId996" Type="http://schemas.openxmlformats.org/officeDocument/2006/relationships/hyperlink" Target="https://www.gks.ru/scripts/db_inet2/passport/table.aspx?opt=366244802022" TargetMode="External"/><Relationship Id="rId41" Type="http://schemas.openxmlformats.org/officeDocument/2006/relationships/hyperlink" Target="https://yakovgo.gosuslugi.ru/netcat_files/282/2650/Postanovlenie_191_ot_19.04.2022_g..pdf" TargetMode="External"/><Relationship Id="rId551" Type="http://schemas.openxmlformats.org/officeDocument/2006/relationships/hyperlink" Target="mailto:rfo02@mail.ru" TargetMode="External"/><Relationship Id="rId649" Type="http://schemas.openxmlformats.org/officeDocument/2006/relationships/hyperlink" Target="https://dzhankoy.rk.gov.ru/ru/structure/2022_03_16_15_21_konkurs_proektov_initsiativnogo_biudzhetirovaniia_v_munitsipalnom_obrazovanii_gorodskoi_okrug_dzhankoi_respubliki_krym_2022_god" TargetMode="External"/><Relationship Id="rId856" Type="http://schemas.openxmlformats.org/officeDocument/2006/relationships/hyperlink" Target="mailto:promtos63@mail.ru" TargetMode="External"/><Relationship Id="rId1181" Type="http://schemas.openxmlformats.org/officeDocument/2006/relationships/hyperlink" Target="http://www.admkud.ru/initsiativnoe-byudzhetirovanie/index.php" TargetMode="External"/><Relationship Id="rId1279" Type="http://schemas.openxmlformats.org/officeDocument/2006/relationships/hyperlink" Target="https://www.gks.ru/scripts/db_inet2/passport/table.aspx?opt=496064132022" TargetMode="External"/><Relationship Id="rId1402" Type="http://schemas.openxmlformats.org/officeDocument/2006/relationships/hyperlink" Target="mailto:kuzmina.mv@ulminfin.ru" TargetMode="External"/><Relationship Id="rId190" Type="http://schemas.openxmlformats.org/officeDocument/2006/relationships/hyperlink" Target="https://www.gorodmednogorsk.ru/economic/adm-oe-info.html" TargetMode="External"/><Relationship Id="rId204" Type="http://schemas.openxmlformats.org/officeDocument/2006/relationships/hyperlink" Target="http://sorochinsk56.ru/assets/files/2022-Postanovlenie/12/1870-P.pdf" TargetMode="External"/><Relationship Id="rId288" Type="http://schemas.openxmlformats.org/officeDocument/2006/relationships/hyperlink" Target="http://&#1087;&#1087;&#1086;&#1082;&#1088;&#1086;&#1074;&#1082;&#1072;.&#1088;&#1092;/?page_id=2910" TargetMode="External"/><Relationship Id="rId411" Type="http://schemas.openxmlformats.org/officeDocument/2006/relationships/hyperlink" Target="https://internet.garant.ru/" TargetMode="External"/><Relationship Id="rId509" Type="http://schemas.openxmlformats.org/officeDocument/2006/relationships/hyperlink" Target="http://leninskoesp.ru/pages/initsiativnoe-bjudzhetirovanie" TargetMode="External"/><Relationship Id="rId1041" Type="http://schemas.openxmlformats.org/officeDocument/2006/relationships/hyperlink" Target="mailto:Nikiforova_AA@sykt.rkomi.ru" TargetMode="External"/><Relationship Id="rId1139" Type="http://schemas.openxmlformats.org/officeDocument/2006/relationships/hyperlink" Target="http://www.shugur.ru/documents/1868.html" TargetMode="External"/><Relationship Id="rId1346" Type="http://schemas.openxmlformats.org/officeDocument/2006/relationships/hyperlink" Target="http://barysh.org/regulatory/Post2015/490.pdf" TargetMode="External"/><Relationship Id="rId495" Type="http://schemas.openxmlformats.org/officeDocument/2006/relationships/hyperlink" Target="http://admrogovskaya.ru/" TargetMode="External"/><Relationship Id="rId716" Type="http://schemas.openxmlformats.org/officeDocument/2006/relationships/hyperlink" Target="https://dalmdr.ru/node/4932" TargetMode="External"/><Relationship Id="rId923" Type="http://schemas.openxmlformats.org/officeDocument/2006/relationships/hyperlink" Target="https://admkinel-cherkassy.ru/2021/08/18/%d1%80%d0%b5%d1%88%d0%b5%d0%bd%d0%b8%d0%b5-%e2%84%96-19-3-%d0%be%d1%82-12-08-2021-%d0%be%d0%b1-%d1%83%d1%82%d0%b2%d0%b5%d1%80%d0%b6%d0%b4%d0%b5%d0%bd%d0%b8%d0%b8-%d0%bf%d0%be%d0%bb%d0%be%d0%b6/" TargetMode="External"/><Relationship Id="rId52" Type="http://schemas.openxmlformats.org/officeDocument/2006/relationships/hyperlink" Target="http://www.adm-vyaz.ru/tinybrowser/files/administratciya/postanovleniya/2022/12_3/P_1593_22.doc" TargetMode="External"/><Relationship Id="rId148" Type="http://schemas.openxmlformats.org/officeDocument/2006/relationships/hyperlink" Target="https://www.gks.ru/scripts/db_inet2/passport/pass.aspx?base=munst71&amp;r=71948000" TargetMode="External"/><Relationship Id="rId355" Type="http://schemas.openxmlformats.org/officeDocument/2006/relationships/hyperlink" Target="https://&#1087;&#1096;&#1077;&#1093;&#1089;&#1082;&#1086;&#1077;.&#1088;&#1092;/dokumenty/programmy/39112/?sphrase_id=28428" TargetMode="External"/><Relationship Id="rId562" Type="http://schemas.openxmlformats.org/officeDocument/2006/relationships/hyperlink" Target="mailto:kurfin@mail.ru" TargetMode="External"/><Relationship Id="rId1192" Type="http://schemas.openxmlformats.org/officeDocument/2006/relationships/hyperlink" Target="http://abgosk.ru/finansy/initsiativnoe-byudzhetirovanie/normativno-pravovaya-baza/normativno-pravovaya-baza.php" TargetMode="External"/><Relationship Id="rId1206" Type="http://schemas.openxmlformats.org/officeDocument/2006/relationships/hyperlink" Target="https://www.georgievsk.ru/mestnye-initsiativy/failes/2180_proekt.doc" TargetMode="External"/><Relationship Id="rId215" Type="http://schemas.openxmlformats.org/officeDocument/2006/relationships/hyperlink" Target="mailto:kna@ys.orb.ru" TargetMode="External"/><Relationship Id="rId422" Type="http://schemas.openxmlformats.org/officeDocument/2006/relationships/hyperlink" Target="mailto:admrodn@bk.ru" TargetMode="External"/><Relationship Id="rId867" Type="http://schemas.openxmlformats.org/officeDocument/2006/relationships/hyperlink" Target="https://samarastat.gks.ru/population" TargetMode="External"/><Relationship Id="rId1052" Type="http://schemas.openxmlformats.org/officeDocument/2006/relationships/hyperlink" Target="https://usinsk.gosuslugi.ru/deyatelnost/napravleniya-deyatelnosti/initsiativnoe-byudzhetirovanie/narodnaya-initsiativa/pravovoe-regulirovanie-i-obraztsy-dokumentov/dokumenty-omsu_1294.html" TargetMode="External"/><Relationship Id="rId299" Type="http://schemas.openxmlformats.org/officeDocument/2006/relationships/hyperlink" Target="mailto:onl-or@mail.ru" TargetMode="External"/><Relationship Id="rId727" Type="http://schemas.openxmlformats.org/officeDocument/2006/relationships/hyperlink" Target="https://asbestadm.ru/economy/initsiativnoe-byudzhetirovanie/normativno-pravovyie-dokumentyi/" TargetMode="External"/><Relationship Id="rId934" Type="http://schemas.openxmlformats.org/officeDocument/2006/relationships/hyperlink" Target="http://krotovka.kinel-cherkassy.ru/images/files/Reshenie_19-2_ot_23.08.2021.pdf" TargetMode="External"/><Relationship Id="rId1357" Type="http://schemas.openxmlformats.org/officeDocument/2006/relationships/hyperlink" Target="mailto:finupr.adm.vesh@mail.ru" TargetMode="External"/><Relationship Id="rId63" Type="http://schemas.openxmlformats.org/officeDocument/2006/relationships/hyperlink" Target="https://omsukchan-adm.ru/inova_block_documentset/document/328406/" TargetMode="External"/><Relationship Id="rId159" Type="http://schemas.openxmlformats.org/officeDocument/2006/relationships/hyperlink" Target="https://trk-luch.ru/search/index.php?q=&#1059;&#1102;&#1090;&#1085;&#1099;&#1081;+&#1071;&#1084;&#1072;&#1083;&amp;s=" TargetMode="External"/><Relationship Id="rId366" Type="http://schemas.openxmlformats.org/officeDocument/2006/relationships/hyperlink" Target="mailto:fu25.166@bk.ru" TargetMode="External"/><Relationship Id="rId573" Type="http://schemas.openxmlformats.org/officeDocument/2006/relationships/hyperlink" Target="https://vk.com/public217341028?w=wall-217341028_16" TargetMode="External"/><Relationship Id="rId780" Type="http://schemas.openxmlformats.org/officeDocument/2006/relationships/hyperlink" Target="https://selo-life.ru/news/19606-zhitelej-prozhivaet-v-suhobuzimskom-rajone/" TargetMode="External"/><Relationship Id="rId1217" Type="http://schemas.openxmlformats.org/officeDocument/2006/relationships/hyperlink" Target="http://izobadmin.ru/taxonomy/term/345" TargetMode="External"/><Relationship Id="rId226" Type="http://schemas.openxmlformats.org/officeDocument/2006/relationships/hyperlink" Target="http://finadam@mail.orb.ru" TargetMode="External"/><Relationship Id="rId433" Type="http://schemas.openxmlformats.org/officeDocument/2006/relationships/hyperlink" Target="mailto:bsp2009@mail.ru" TargetMode="External"/><Relationship Id="rId878" Type="http://schemas.openxmlformats.org/officeDocument/2006/relationships/hyperlink" Target="mailto:admspisakly@yandex.ru" TargetMode="External"/><Relationship Id="rId1063" Type="http://schemas.openxmlformats.org/officeDocument/2006/relationships/hyperlink" Target="mailto:gaponov_aa@kaluga-gov.ru" TargetMode="External"/><Relationship Id="rId1270" Type="http://schemas.openxmlformats.org/officeDocument/2006/relationships/hyperlink" Target="https://pyatigorsk.org/filesarhiv/docs?FilesarhivSearch%5Binner_id%5D=8-66+%D0%A0%D0%94&amp;FilesarhivSearch%5Btitle%5D=&amp;FilesarhivSearch%5Btypeid%5D=&amp;FilesarhivSearch%5Bcatid%5D=&amp;FilesarhivSearch%5Bcreated%5D=" TargetMode="External"/><Relationship Id="rId640" Type="http://schemas.openxmlformats.org/officeDocument/2006/relationships/hyperlink" Target="https://perovskoe.rk.gov.ru/ru/document/show/2092" TargetMode="External"/><Relationship Id="rId738" Type="http://schemas.openxmlformats.org/officeDocument/2006/relationships/hyperlink" Target="https://kgo66.ru/str-eco/str-eco-inbud/str-eco-inbud-inpr" TargetMode="External"/><Relationship Id="rId945" Type="http://schemas.openxmlformats.org/officeDocument/2006/relationships/hyperlink" Target="http://krotovka.kinel-cherkassy.ru/images/files/Reshenie_19-2_ot_23.08.2021.pdf" TargetMode="External"/><Relationship Id="rId1368" Type="http://schemas.openxmlformats.org/officeDocument/2006/relationships/hyperlink" Target="http://www.&#1082;&#1072;&#1088;&#1075;&#1080;&#1085;&#1089;&#1082;&#1086;&#1077;.&#1088;&#1092;/load/dokumenty_administracii/postanovlenija_2021_g/postanovlenie_64_ot_08_11_2021g/63-1-0-1065" TargetMode="External"/><Relationship Id="rId74" Type="http://schemas.openxmlformats.org/officeDocument/2006/relationships/hyperlink" Target="https://vk.com/uyt_yamal,%20https:/df.salekhard.org/%20%20(&#1056;&#1040;&#1047;&#1044;&#1045;&#1051;%20%22&#1041;&#1048;&#1043;%22)" TargetMode="External"/><Relationship Id="rId377" Type="http://schemas.openxmlformats.org/officeDocument/2006/relationships/hyperlink" Target="https://zhuravskaja.ru/initsiativnoe-byudzhetirovanie/2021" TargetMode="External"/><Relationship Id="rId500" Type="http://schemas.openxmlformats.org/officeDocument/2006/relationships/hyperlink" Target="mailto:org_timregion@mail.ru" TargetMode="External"/><Relationship Id="rId584" Type="http://schemas.openxmlformats.org/officeDocument/2006/relationships/hyperlink" Target="https://grigorevskaia.krasnodar.ru/poselenie/initsiativnye-proety/" TargetMode="External"/><Relationship Id="rId805" Type="http://schemas.openxmlformats.org/officeDocument/2006/relationships/hyperlink" Target="http://admmeleuz.ru/index.php?option=com_content&amp;view=article&amp;id=13194:rasporyazhenie-ot-06-06-2022g-260-ob-utverzhdenii-o-konkurse-munitsipalnogo-proekta-initsiativnogo-byudzhetirovaniya-nashe-selo&amp;catid=905&amp;Itemid=356" TargetMode="External"/><Relationship Id="rId1130" Type="http://schemas.openxmlformats.org/officeDocument/2006/relationships/hyperlink" Target="http://admkuma.ru/polozhenie-o-provedenii-konkursnogo-otbora-proektov-narodnyy-byudzhet-v-gorodskom-poselenii-kuminskiy.html" TargetMode="External"/><Relationship Id="rId1228" Type="http://schemas.openxmlformats.org/officeDocument/2006/relationships/hyperlink" Target="https://www.&#1082;&#1086;&#1095;&#1091;&#1073;&#1077;&#1077;&#1074;&#1089;&#1082;&#1080;&#1081;-&#1088;&#1072;&#1081;&#1086;&#1085;.&#1088;&#1092;/dokumenty.htm" TargetMode="External"/><Relationship Id="rId5" Type="http://schemas.openxmlformats.org/officeDocument/2006/relationships/hyperlink" Target="mailto:lemzyakova_yua@ve.belregion.ru" TargetMode="External"/><Relationship Id="rId237" Type="http://schemas.openxmlformats.org/officeDocument/2006/relationships/hyperlink" Target="https://www.gks.ru/scripts/db_inet2/passport/table.aspx?opt=536114132022;" TargetMode="External"/><Relationship Id="rId791" Type="http://schemas.openxmlformats.org/officeDocument/2006/relationships/hyperlink" Target="https://g58.tmbreg.ru/zhilischno-kommunalnoe-hozjajstvo.html" TargetMode="External"/><Relationship Id="rId889" Type="http://schemas.openxmlformats.org/officeDocument/2006/relationships/hyperlink" Target="mailto:galinabondareva@list.ru" TargetMode="External"/><Relationship Id="rId1074" Type="http://schemas.openxmlformats.org/officeDocument/2006/relationships/hyperlink" Target="mailto:finans@adm-ussuriisk.ru" TargetMode="External"/><Relationship Id="rId444" Type="http://schemas.openxmlformats.org/officeDocument/2006/relationships/hyperlink" Target="https://&#1084;&#1086;&#1081;-&#1085;&#1086;&#1074;&#1086;&#1088;&#1086;&#1089;&#1089;&#1080;&#1081;&#1089;&#1082;.&#1088;&#1092;/programs" TargetMode="External"/><Relationship Id="rId651" Type="http://schemas.openxmlformats.org/officeDocument/2006/relationships/hyperlink" Target="mailto:jankoi-gfu@yandex.ru" TargetMode="External"/><Relationship Id="rId749" Type="http://schemas.openxmlformats.org/officeDocument/2006/relationships/hyperlink" Target="http://www.tyumendoc.ru/docs/dokumenty-tgd/view-9479" TargetMode="External"/><Relationship Id="rId1281" Type="http://schemas.openxmlformats.org/officeDocument/2006/relationships/hyperlink" Target="mailto:bud_komfin@novreg.ru" TargetMode="External"/><Relationship Id="rId1379" Type="http://schemas.openxmlformats.org/officeDocument/2006/relationships/hyperlink" Target="http://maina-poselenie.ru/" TargetMode="External"/><Relationship Id="rId290" Type="http://schemas.openxmlformats.org/officeDocument/2006/relationships/hyperlink" Target="http://fin-or.ru/content/narodnyy-byudzhet" TargetMode="External"/><Relationship Id="rId304" Type="http://schemas.openxmlformats.org/officeDocument/2006/relationships/hyperlink" Target="http://&#1087;&#1077;&#1088;&#1074;&#1086;&#1084;&#1072;&#1081;&#1089;&#1082;&#1080;&#1081;-&#1088;&#1072;&#1081;&#1086;&#1085;.&#1088;&#1092;/shkol-nyy-byudzhet.html" TargetMode="External"/><Relationship Id="rId388" Type="http://schemas.openxmlformats.org/officeDocument/2006/relationships/hyperlink" Target="https://23.rosstat.gov.ru/storage/mediabank/Ocenka22.htm" TargetMode="External"/><Relationship Id="rId511" Type="http://schemas.openxmlformats.org/officeDocument/2006/relationships/hyperlink" Target="mailto:Sp-Kirpili@yandex.ru" TargetMode="External"/><Relationship Id="rId609" Type="http://schemas.openxmlformats.org/officeDocument/2006/relationships/hyperlink" Target="http://&#1089;&#1074;&#1077;&#1090;&#1083;&#1099;&#1081;-&#1089;-&#1089;.&#1088;&#1092;/" TargetMode="External"/><Relationship Id="rId956" Type="http://schemas.openxmlformats.org/officeDocument/2006/relationships/hyperlink" Target="https://samarastat.gks.ru/" TargetMode="External"/><Relationship Id="rId1141" Type="http://schemas.openxmlformats.org/officeDocument/2006/relationships/hyperlink" Target="mailto:reshetnikovasa86@mail.ru" TargetMode="External"/><Relationship Id="rId1239" Type="http://schemas.openxmlformats.org/officeDocument/2006/relationships/hyperlink" Target="mailto:finnev@nevsk.stavregion.ru" TargetMode="External"/><Relationship Id="rId85" Type="http://schemas.openxmlformats.org/officeDocument/2006/relationships/hyperlink" Target="https://lbt.yanao.ru/presscenter/news/10190" TargetMode="External"/><Relationship Id="rId150" Type="http://schemas.openxmlformats.org/officeDocument/2006/relationships/hyperlink" Target="https://vk.com/doyamal?w=wall-127918423_7198" TargetMode="External"/><Relationship Id="rId595" Type="http://schemas.openxmlformats.org/officeDocument/2006/relationships/hyperlink" Target="https://gy.orb.ru/documents/active/66763/" TargetMode="External"/><Relationship Id="rId816" Type="http://schemas.openxmlformats.org/officeDocument/2006/relationships/hyperlink" Target="mailto:nkootr@bk.ru" TargetMode="External"/><Relationship Id="rId1001" Type="http://schemas.openxmlformats.org/officeDocument/2006/relationships/hyperlink" Target="https://khv27.ru/projects/territorialnoe-obshchestvennoe-samoupravlenie/" TargetMode="External"/><Relationship Id="rId248" Type="http://schemas.openxmlformats.org/officeDocument/2006/relationships/hyperlink" Target="mailto:velav@mail.orb.ru" TargetMode="External"/><Relationship Id="rId455" Type="http://schemas.openxmlformats.org/officeDocument/2006/relationships/hyperlink" Target="https://gs-sochi.ru/wp-content/uploads/2021/06/r2021_059.pdf" TargetMode="External"/><Relationship Id="rId662" Type="http://schemas.openxmlformats.org/officeDocument/2006/relationships/hyperlink" Target="http://bg-adm.ru./?id=8074" TargetMode="External"/><Relationship Id="rId1085" Type="http://schemas.openxmlformats.org/officeDocument/2006/relationships/hyperlink" Target="mailto:KonstantinovaOA@admmegion.ru" TargetMode="External"/><Relationship Id="rId1292" Type="http://schemas.openxmlformats.org/officeDocument/2006/relationships/hyperlink" Target="https://komobrlub.edusite.ru/p94aa1.html" TargetMode="External"/><Relationship Id="rId1306" Type="http://schemas.openxmlformats.org/officeDocument/2006/relationships/hyperlink" Target="https://sbor.ru/finance/bd/otkrbud/plan" TargetMode="External"/><Relationship Id="rId12" Type="http://schemas.openxmlformats.org/officeDocument/2006/relationships/hyperlink" Target="https://volokonovskij-r31.gosweb.gosuslugi.ru/" TargetMode="External"/><Relationship Id="rId108" Type="http://schemas.openxmlformats.org/officeDocument/2006/relationships/hyperlink" Target="https://vk.com/wall-189302525?q=&#1073;&#1102;&#1076;&#1078;&#1077;&#1090;&#1080;&#1088;&#1086;&#1074;&#1072;&#1085;&#1080;&#1077;" TargetMode="External"/><Relationship Id="rId315" Type="http://schemas.openxmlformats.org/officeDocument/2006/relationships/hyperlink" Target="https://tu.orb.ru/activity/21506/" TargetMode="External"/><Relationship Id="rId522" Type="http://schemas.openxmlformats.org/officeDocument/2006/relationships/hyperlink" Target="http://starscherb.ru/2020/Iniciati_proekt/rs_ot_06.11.2020_8.docx" TargetMode="External"/><Relationship Id="rId967" Type="http://schemas.openxmlformats.org/officeDocument/2006/relationships/hyperlink" Target="https://podgornoe.kinel-cherkassy.ru/" TargetMode="External"/><Relationship Id="rId1152" Type="http://schemas.openxmlformats.org/officeDocument/2006/relationships/hyperlink" Target="http://nvraion.ru/ekonomika-i-finansy/initsiativnoe-byudzhetirovanie/&#1062;&#1042;&#1045;&#1058;.jpg" TargetMode="External"/><Relationship Id="rId96" Type="http://schemas.openxmlformats.org/officeDocument/2006/relationships/hyperlink" Target="https://gorod-noyabrsk89.testportal.yanao.ru/documents/active/225346/" TargetMode="External"/><Relationship Id="rId161" Type="http://schemas.openxmlformats.org/officeDocument/2006/relationships/hyperlink" Target="https://rosstat.gov.ru/compendium/document/13282" TargetMode="External"/><Relationship Id="rId399" Type="http://schemas.openxmlformats.org/officeDocument/2006/relationships/hyperlink" Target="http://&#1072;&#1076;&#1084;-&#1080;&#1074;&#1072;&#1085;&#1086;&#1074;&#1089;&#1082;&#1072;&#1103;.&#1088;&#1092;/documents/1615.html" TargetMode="External"/><Relationship Id="rId827" Type="http://schemas.openxmlformats.org/officeDocument/2006/relationships/hyperlink" Target="https://www.gks.ru/scripts/db_inet2/passport/table.aspx?opt=367270002021" TargetMode="External"/><Relationship Id="rId1012" Type="http://schemas.openxmlformats.org/officeDocument/2006/relationships/hyperlink" Target="mailto:econom@inta.rkomi.ru" TargetMode="External"/><Relationship Id="rId259" Type="http://schemas.openxmlformats.org/officeDocument/2006/relationships/hyperlink" Target="https://grach-rf.orb.ru/activity/17136/" TargetMode="External"/><Relationship Id="rId466" Type="http://schemas.openxmlformats.org/officeDocument/2006/relationships/hyperlink" Target="http://golubitskoe.ru/%D0%B8%D0%BD%D0%B8%D1%86%D0%B8%D0%B0%D1%82%D0%B8%D0%B2%D0%BD%D0%BE%D0%B5-%D0%B1%D1%8E%D0%B4%D0%B6%D0%B5%D1%82%D0%B8%D1%80%D0%BE%D0%B2%D0%B0%D0%BD%D0%B8%D0%B5.html" TargetMode="External"/><Relationship Id="rId673" Type="http://schemas.openxmlformats.org/officeDocument/2006/relationships/hyperlink" Target="https://borcity.ru/authority/acts/postadm/index2015.php" TargetMode="External"/><Relationship Id="rId880" Type="http://schemas.openxmlformats.org/officeDocument/2006/relationships/hyperlink" Target="https://isakli.ru/documents/priobretenie-konteynerov-dlya-skladirovaniya-tbo/164-27-12-2021-o-vnesen-izmenen-v-zhkkh../" TargetMode="External"/><Relationship Id="rId1096" Type="http://schemas.openxmlformats.org/officeDocument/2006/relationships/hyperlink" Target="https://vk.com/public211812330" TargetMode="External"/><Relationship Id="rId1317" Type="http://schemas.openxmlformats.org/officeDocument/2006/relationships/hyperlink" Target="https://vk.com/wall-117639365_195731" TargetMode="External"/><Relationship Id="rId23" Type="http://schemas.openxmlformats.org/officeDocument/2006/relationships/hyperlink" Target="https://gubkinadm.gosuslugi.ru/ofitsialno/dokumenty/?filter%5B297%5D%5BName%5D=457-&#1087;&#1072;" TargetMode="External"/><Relationship Id="rId119" Type="http://schemas.openxmlformats.org/officeDocument/2006/relationships/hyperlink" Target="https://vk.com/gubadm" TargetMode="External"/><Relationship Id="rId326" Type="http://schemas.openxmlformats.org/officeDocument/2006/relationships/hyperlink" Target="https://cherinfo-doc.ru/documents/postanovlenie-merii-goroda-cherepovca-ot-26.10.2021-4132-ob-utverzhdenii-municipalnoj-programmy-osucshestvlenie-byudzhetnyh-investicij-v-socialnuyu-kommunalnuyu-transportnuyu-infrastruktury-i-kapitalnyj-remont-obektov-municipalnoj-sobstvennosti-" TargetMode="External"/><Relationship Id="rId533" Type="http://schemas.openxmlformats.org/officeDocument/2006/relationships/hyperlink" Target="mailto:admdet@mail.ru" TargetMode="External"/><Relationship Id="rId978" Type="http://schemas.openxmlformats.org/officeDocument/2006/relationships/hyperlink" Target="http://adm-timashevo.ru/images/postanovleniya/2018/post_53_ot_25.04.18.zip" TargetMode="External"/><Relationship Id="rId1163" Type="http://schemas.openxmlformats.org/officeDocument/2006/relationships/hyperlink" Target="https://www.arhcity.ru/?page=2373/6" TargetMode="External"/><Relationship Id="rId1370" Type="http://schemas.openxmlformats.org/officeDocument/2006/relationships/hyperlink" Target="mailto:finupr.adm.vesh@mail.ru" TargetMode="External"/><Relationship Id="rId740" Type="http://schemas.openxmlformats.org/officeDocument/2006/relationships/hyperlink" Target="https://krur.midural.ru/article/show/id/10620" TargetMode="External"/><Relationship Id="rId838" Type="http://schemas.openxmlformats.org/officeDocument/2006/relationships/hyperlink" Target="mailto:SolovevaOE@samadm.ru" TargetMode="External"/><Relationship Id="rId1023" Type="http://schemas.openxmlformats.org/officeDocument/2006/relationships/hyperlink" Target="http://&#1074;&#1086;&#1088;&#1082;&#1091;&#1090;&#1072;.&#1088;&#1092;/about/str/department-of-economy/munitsipalnye-programmy-2022-goda/files/%D0%9F%D0%BE%D1%81%D1%8270.pdf" TargetMode="External"/><Relationship Id="rId172" Type="http://schemas.openxmlformats.org/officeDocument/2006/relationships/hyperlink" Target="https://vk.com/wall-120041745_17733" TargetMode="External"/><Relationship Id="rId477" Type="http://schemas.openxmlformats.org/officeDocument/2006/relationships/hyperlink" Target="mailto:admi-krasnostrelskay@yandex.ru" TargetMode="External"/><Relationship Id="rId600" Type="http://schemas.openxmlformats.org/officeDocument/2006/relationships/hyperlink" Target="https://&#1092;&#1080;&#1085;&#1086;&#1090;&#1076;&#1077;&#1083;-&#1103;&#1089;&#1085;&#1099;&#1081;.&#1088;&#1092;/proekt-narodnyij-byudzhet" TargetMode="External"/><Relationship Id="rId684" Type="http://schemas.openxmlformats.org/officeDocument/2006/relationships/hyperlink" Target="mailto:ati@semenov.nnov.ru" TargetMode="External"/><Relationship Id="rId1230" Type="http://schemas.openxmlformats.org/officeDocument/2006/relationships/hyperlink" Target="https://www.&#1082;&#1086;&#1095;&#1091;&#1073;&#1077;&#1077;&#1074;&#1089;&#1082;&#1080;&#1081;-&#1088;&#1072;&#1081;&#1086;&#1085;.&#1088;&#1092;/rezul-taty-realizatcii-initciativnykh-proektov.html" TargetMode="External"/><Relationship Id="rId1328" Type="http://schemas.openxmlformats.org/officeDocument/2006/relationships/hyperlink" Target="http://ivnmssk.tevr.omskportal.ru/omsu/tevr-3-52-255-1/poseleniya/ivanovo-myisskoe/etc/inibudget" TargetMode="External"/><Relationship Id="rId337" Type="http://schemas.openxmlformats.org/officeDocument/2006/relationships/hyperlink" Target="https://unarokovo.ru/" TargetMode="External"/><Relationship Id="rId891" Type="http://schemas.openxmlformats.org/officeDocument/2006/relationships/hyperlink" Target="http://aleksandrovka.kinel-cherkassy.ru/?p=6117" TargetMode="External"/><Relationship Id="rId905" Type="http://schemas.openxmlformats.org/officeDocument/2006/relationships/hyperlink" Target="http://erzovka.kinel-cherkassy.ru/?p=8935" TargetMode="External"/><Relationship Id="rId989" Type="http://schemas.openxmlformats.org/officeDocument/2006/relationships/hyperlink" Target="mailto:malamalish@yandex.ru" TargetMode="External"/><Relationship Id="rId34" Type="http://schemas.openxmlformats.org/officeDocument/2006/relationships/hyperlink" Target="https://yakov-go.ru/media/site_platform_media/2021/7/5/postanovlenie--121-ot-05032021-g.pdf" TargetMode="External"/><Relationship Id="rId544" Type="http://schemas.openxmlformats.org/officeDocument/2006/relationships/hyperlink" Target="mailto:foborovsk@adm.kaluga.ru" TargetMode="External"/><Relationship Id="rId751" Type="http://schemas.openxmlformats.org/officeDocument/2006/relationships/hyperlink" Target="http://www.tyumen-city.ru/ekonomika/finansi/iniciativnoe-budjetirovanie/" TargetMode="External"/><Relationship Id="rId849" Type="http://schemas.openxmlformats.org/officeDocument/2006/relationships/hyperlink" Target="http://kuibishevskiy.gordumasamara.ru/wp-content/uploads/2021/02/%D0%A0%D0%B5%D1%88%D0%B5%D0%BD%D0%B8%D0%B5-%D0%BE%D1%82-16.02.2021-%E2%84%9635.pdf" TargetMode="External"/><Relationship Id="rId1174" Type="http://schemas.openxmlformats.org/officeDocument/2006/relationships/hyperlink" Target="mailto:lagileva@vereschagino.permkrai.ru" TargetMode="External"/><Relationship Id="rId1381" Type="http://schemas.openxmlformats.org/officeDocument/2006/relationships/hyperlink" Target="mailto:fin-mgp@mail.ru" TargetMode="External"/><Relationship Id="rId183" Type="http://schemas.openxmlformats.org/officeDocument/2006/relationships/hyperlink" Target="https://buzuluk.orb.ru/activity/20976/" TargetMode="External"/><Relationship Id="rId390" Type="http://schemas.openxmlformats.org/officeDocument/2006/relationships/hyperlink" Target="mailto:sergievka@list.ru" TargetMode="External"/><Relationship Id="rId404" Type="http://schemas.openxmlformats.org/officeDocument/2006/relationships/hyperlink" Target="http://www.admnovomysh.ru/images/resheniya/2021/resh_18.2_ot_19.01.21.doc" TargetMode="External"/><Relationship Id="rId611" Type="http://schemas.openxmlformats.org/officeDocument/2006/relationships/hyperlink" Target="mailto:velav@mail.orb.ru" TargetMode="External"/><Relationship Id="rId1034" Type="http://schemas.openxmlformats.org/officeDocument/2006/relationships/hyperlink" Target="http://www.&#1089;&#1099;&#1089;&#1086;&#1083;&#1072;-&#1072;&#1076;&#1084;.&#1088;&#1092;/area/12-1674_19.pdf,%20ww.&#1089;&#1099;&#1089;&#1086;&#1083;&#1072;-&#1072;&#1076;&#1084;.&#1088;&#1092;/area/12_1697_r.pdf," TargetMode="External"/><Relationship Id="rId1241" Type="http://schemas.openxmlformats.org/officeDocument/2006/relationships/hyperlink" Target="https://www.angosk.ru/index.php/munitsipalnye-programmy/7469-munitsipalnaya-programma-razvitie-zhilishchno-kommunalnogo-khozyajstva-i-uluchshenie-zhilishchnykh-uslovij-2" TargetMode="External"/><Relationship Id="rId1339" Type="http://schemas.openxmlformats.org/officeDocument/2006/relationships/hyperlink" Target="https://www.gks.ru/scripts/db_inet2/passport/table.aspx?opt=736021512022" TargetMode="External"/><Relationship Id="rId250" Type="http://schemas.openxmlformats.org/officeDocument/2006/relationships/hyperlink" Target="http://pp-bz.ru/legal-acts/2425" TargetMode="External"/><Relationship Id="rId488" Type="http://schemas.openxmlformats.org/officeDocument/2006/relationships/hyperlink" Target="http://&#1072;&#1076;&#1084;-&#1090;&#1072;&#1084;&#1072;&#1085;&#1100;.&#1088;&#1092;/images/SMI/proekt/&#1055;&#1086;&#1089;&#1090;%20&#8470;%20359%20&#1086;&#1090;%2013.10.2022%20&#1086;&#1073;%20&#1086;&#1087;&#1088;&#1077;&#1076;&#1077;&#1083;&#1077;&#1085;&#1080;&#1080;%20&#1095;&#1072;&#1089;&#1090;&#1080;%20&#1090;&#1077;&#1088;&#1088;&#1080;&#1090;&#1086;&#1088;&#1080;&#1080;.pdf" TargetMode="External"/><Relationship Id="rId695" Type="http://schemas.openxmlformats.org/officeDocument/2006/relationships/hyperlink" Target="https://www.penzainform.ru/news/social/2022/06/07/na_podderzhku_initciativ_grazhdan_iz_byudzheta_penzi_videlyat_18_mln.html" TargetMode="External"/><Relationship Id="rId709" Type="http://schemas.openxmlformats.org/officeDocument/2006/relationships/hyperlink" Target="https://vk.com/wall-203950610_1948" TargetMode="External"/><Relationship Id="rId916" Type="http://schemas.openxmlformats.org/officeDocument/2006/relationships/hyperlink" Target="mailto:poselenie63@mail.ru" TargetMode="External"/><Relationship Id="rId1101" Type="http://schemas.openxmlformats.org/officeDocument/2006/relationships/hyperlink" Target="https://www.n-vartovsk.ru/documents/dumaReshenie/" TargetMode="External"/><Relationship Id="rId45" Type="http://schemas.openxmlformats.org/officeDocument/2006/relationships/hyperlink" Target="mailto:bud@vladfin.ru" TargetMode="External"/><Relationship Id="rId110" Type="http://schemas.openxmlformats.org/officeDocument/2006/relationships/hyperlink" Target="https://vk.com/wall-189302525?q=&#1073;&#1102;&#1076;&#1078;&#1077;&#1090;&#1080;&#1088;&#1086;&#1074;&#1072;&#1085;&#1080;&#1077;" TargetMode="External"/><Relationship Id="rId348" Type="http://schemas.openxmlformats.org/officeDocument/2006/relationships/hyperlink" Target="https://www.chernigovskaya.ru/docs/otchet/&#1086;&#1090;&#1095;&#1077;&#1090;%202023%20&#1043;&#1054;&#1058;&#1054;&#1042;&#1067;&#1049;%201.docx" TargetMode="External"/><Relationship Id="rId555" Type="http://schemas.openxmlformats.org/officeDocument/2006/relationships/hyperlink" Target="https://www.afanasyevo.ru/ekonomika/initsiativnye-proekty" TargetMode="External"/><Relationship Id="rId762" Type="http://schemas.openxmlformats.org/officeDocument/2006/relationships/hyperlink" Target="https://divnogorsk.gosuslugi.ru/" TargetMode="External"/><Relationship Id="rId1185" Type="http://schemas.openxmlformats.org/officeDocument/2006/relationships/hyperlink" Target="https://stavstat.gks.ru/folder/28386" TargetMode="External"/><Relationship Id="rId1392" Type="http://schemas.openxmlformats.org/officeDocument/2006/relationships/hyperlink" Target="http://www.stemasskoe.ru/load/normativno_pravovye_akty/utverzhdennye/postanovlenie_administracii_mo_stemasskoe_selskoe_poselenie_ot_01_11_2018_45/37-1-0-170" TargetMode="External"/><Relationship Id="rId1406" Type="http://schemas.openxmlformats.org/officeDocument/2006/relationships/hyperlink" Target="https://veshkajma-r73.gosweb.gosuslugi.ru/deyatelnost/napravleniya-deyatelnosti/finansy/budgetgr/" TargetMode="External"/><Relationship Id="rId194" Type="http://schemas.openxmlformats.org/officeDocument/2006/relationships/hyperlink" Target="mailto:fo@mednogorsk56.ru" TargetMode="External"/><Relationship Id="rId208" Type="http://schemas.openxmlformats.org/officeDocument/2006/relationships/hyperlink" Target="http://sorochinsk56.ru/assets/files/2017-POSTANOVLENIYA/12/%D0%A0-2145--20.12.2017.pdf" TargetMode="External"/><Relationship Id="rId415" Type="http://schemas.openxmlformats.org/officeDocument/2006/relationships/hyperlink" Target="mailto:prigorod_adm49@mail.ru" TargetMode="External"/><Relationship Id="rId622" Type="http://schemas.openxmlformats.org/officeDocument/2006/relationships/hyperlink" Target="https://karaidel.bashkortostan.ru/presscenter/news/357766/" TargetMode="External"/><Relationship Id="rId1045" Type="http://schemas.openxmlformats.org/officeDocument/2006/relationships/hyperlink" Target="mailto:Lodygina_irina@mail.ru" TargetMode="External"/><Relationship Id="rId1252" Type="http://schemas.openxmlformats.org/officeDocument/2006/relationships/hyperlink" Target="https://stavstat.gks.ru/folder/28386" TargetMode="External"/><Relationship Id="rId261" Type="http://schemas.openxmlformats.org/officeDocument/2006/relationships/hyperlink" Target="https://grach-rf.orb.ru/upload/uf/783/Narodnyy_byudzhet_2022.rar" TargetMode="External"/><Relationship Id="rId499" Type="http://schemas.openxmlformats.org/officeDocument/2006/relationships/hyperlink" Target="http://admrogovskaya.ru/" TargetMode="External"/><Relationship Id="rId927" Type="http://schemas.openxmlformats.org/officeDocument/2006/relationships/hyperlink" Target="http://gorka.kinel-cherkassy.ru/?p=4625" TargetMode="External"/><Relationship Id="rId1112" Type="http://schemas.openxmlformats.org/officeDocument/2006/relationships/hyperlink" Target="mailto:finans@kondadm.ru" TargetMode="External"/><Relationship Id="rId56" Type="http://schemas.openxmlformats.org/officeDocument/2006/relationships/hyperlink" Target="https://33mayak.ru/2022/04/21/58568" TargetMode="External"/><Relationship Id="rId359" Type="http://schemas.openxmlformats.org/officeDocument/2006/relationships/hyperlink" Target="https://privoladm.ru/initsiativnoe-byudzhetirovanie" TargetMode="External"/><Relationship Id="rId566" Type="http://schemas.openxmlformats.org/officeDocument/2006/relationships/hyperlink" Target="https://mokurmsovet.ru/content/obyavleniya" TargetMode="External"/><Relationship Id="rId773" Type="http://schemas.openxmlformats.org/officeDocument/2006/relationships/hyperlink" Target="http://www.admse.ru/rayon/initsiativnye-proekty/" TargetMode="External"/><Relationship Id="rId1196" Type="http://schemas.openxmlformats.org/officeDocument/2006/relationships/hyperlink" Target="mailto:fublar@mfsk.ru" TargetMode="External"/><Relationship Id="rId121" Type="http://schemas.openxmlformats.org/officeDocument/2006/relationships/hyperlink" Target="mailto:AIKilienko@mogub.yanao.ru" TargetMode="External"/><Relationship Id="rId219" Type="http://schemas.openxmlformats.org/officeDocument/2006/relationships/hyperlink" Target="https://adamfin.ru/assets/files/1oldfile/Postanovlenie_13.03.2021_175-p-Narodnyy-byudzhet.PDF" TargetMode="External"/><Relationship Id="rId426" Type="http://schemas.openxmlformats.org/officeDocument/2006/relationships/hyperlink" Target="https://&#1082;&#1086;&#1085;&#1089;&#1090;&#1072;&#1085;&#1090;&#1080;&#1085;&#1086;&#1074;&#1089;&#1082;&#1086;&#1077;-&#1089;&#1087;.&#1088;&#1092;/initciativnyy-proekt-2022-god.html" TargetMode="External"/><Relationship Id="rId633" Type="http://schemas.openxmlformats.org/officeDocument/2006/relationships/hyperlink" Target="https://dzhankoy.rk.gov.ru/document/show/4055" TargetMode="External"/><Relationship Id="rId980" Type="http://schemas.openxmlformats.org/officeDocument/2006/relationships/hyperlink" Target="http://chernovka.kinel-cherkassy.ru/wp-content/uploads/2021/07/&#1056;&#1077;&#1096;&#1077;&#1085;&#1080;&#1077;&#8470;-26-1-&#1086;&#1090;-23.07.2021.doc" TargetMode="External"/><Relationship Id="rId1056" Type="http://schemas.openxmlformats.org/officeDocument/2006/relationships/hyperlink" Target="mailto:vladimir-nosov-59@mail.ru" TargetMode="External"/><Relationship Id="rId1263" Type="http://schemas.openxmlformats.org/officeDocument/2006/relationships/hyperlink" Target="https://pmosk.ru/archives/3503" TargetMode="External"/><Relationship Id="rId840" Type="http://schemas.openxmlformats.org/officeDocument/2006/relationships/hyperlink" Target="https://www.samadm.ru/docs/official-publication" TargetMode="External"/><Relationship Id="rId938" Type="http://schemas.openxmlformats.org/officeDocument/2006/relationships/hyperlink" Target="http://krotovka.kinel-cherkassy.ru/index.php" TargetMode="External"/><Relationship Id="rId67" Type="http://schemas.openxmlformats.org/officeDocument/2006/relationships/hyperlink" Target="https://www.salekhard.org/normativno-pravovye-akty/postanovleniya-administratsii/18333" TargetMode="External"/><Relationship Id="rId272" Type="http://schemas.openxmlformats.org/officeDocument/2006/relationships/hyperlink" Target="https://krasnogvardfo.ru/narodnyij-byudzhet" TargetMode="External"/><Relationship Id="rId577" Type="http://schemas.openxmlformats.org/officeDocument/2006/relationships/hyperlink" Target="https://adamfin.ru/shb-2022" TargetMode="External"/><Relationship Id="rId700" Type="http://schemas.openxmlformats.org/officeDocument/2006/relationships/hyperlink" Target="http://artemokrug.ru/administratsiya/otdely-i-upravleniya-administratsii-ago/upravlenie-dorozhnoy-deyatelnosti-i-blagoustroystva/dokumenty/?ELEMENT_ID=33983&amp;clear_cache=Y" TargetMode="External"/><Relationship Id="rId1123" Type="http://schemas.openxmlformats.org/officeDocument/2006/relationships/hyperlink" Target="http://admkonda.ru/initciativnye-proekty-2022-god-mortka-byudzhet.html" TargetMode="External"/><Relationship Id="rId1330" Type="http://schemas.openxmlformats.org/officeDocument/2006/relationships/hyperlink" Target="https://ok.ru/profile/531681201290/statuses/153441776734346" TargetMode="External"/><Relationship Id="rId132" Type="http://schemas.openxmlformats.org/officeDocument/2006/relationships/hyperlink" Target="https://admmuji.yanao.ru/documents/active/253497" TargetMode="External"/><Relationship Id="rId784" Type="http://schemas.openxmlformats.org/officeDocument/2006/relationships/hyperlink" Target="https://dalmatovo.su/images/post30_16.01.20.pdf" TargetMode="External"/><Relationship Id="rId991" Type="http://schemas.openxmlformats.org/officeDocument/2006/relationships/hyperlink" Target="https://kadm63.ru/Selo/Chetyrovka/NPA/P_SP_Chetirovka_71_30-12-2021.pdf" TargetMode="External"/><Relationship Id="rId1067" Type="http://schemas.openxmlformats.org/officeDocument/2006/relationships/hyperlink" Target="https://adm-ussuriisk.ru/ob_okruge/kompleksnoe_razvitie_selskikh_territoriy_ussuriyskogo_gorodskogo_okruga_na_2020_2024_gody/" TargetMode="External"/><Relationship Id="rId437" Type="http://schemas.openxmlformats.org/officeDocument/2006/relationships/hyperlink" Target="https://www.labinsk-city.ru/" TargetMode="External"/><Relationship Id="rId644" Type="http://schemas.openxmlformats.org/officeDocument/2006/relationships/hyperlink" Target="https://crimea.gks.ru/folder/179764" TargetMode="External"/><Relationship Id="rId851" Type="http://schemas.openxmlformats.org/officeDocument/2006/relationships/hyperlink" Target="mailto:lukianovpv@samadm.ru" TargetMode="External"/><Relationship Id="rId1274" Type="http://schemas.openxmlformats.org/officeDocument/2006/relationships/hyperlink" Target="https://stavstat.gks.ru/folder/28386" TargetMode="External"/><Relationship Id="rId283" Type="http://schemas.openxmlformats.org/officeDocument/2006/relationships/hyperlink" Target="mailto:velav@mail.orb.ru" TargetMode="External"/><Relationship Id="rId490" Type="http://schemas.openxmlformats.org/officeDocument/2006/relationships/hyperlink" Target="http://&#1072;&#1076;&#1084;-&#1090;&#1072;&#1084;&#1072;&#1085;&#1100;.&#1088;&#1092;/index.php/administratsiya-2/glava-tamanskogo-selskogo-poseleniya-20/glava-tamanskogo-selskogo-poseleniya-25" TargetMode="External"/><Relationship Id="rId504" Type="http://schemas.openxmlformats.org/officeDocument/2006/relationships/hyperlink" Target="mailto:budget.fin.usp@yandex.ru" TargetMode="External"/><Relationship Id="rId711" Type="http://schemas.openxmlformats.org/officeDocument/2006/relationships/hyperlink" Target="mailto:agofin520@yandex.ru" TargetMode="External"/><Relationship Id="rId949" Type="http://schemas.openxmlformats.org/officeDocument/2006/relationships/hyperlink" Target="http://krotovka.kinel-cherkassy.ru/images/files/blagoustroystvo_Krotovka.doc" TargetMode="External"/><Relationship Id="rId1134" Type="http://schemas.openxmlformats.org/officeDocument/2006/relationships/hyperlink" Target="http://www.admkonda.ru/munitcipal-nye-programmy-na-2019-2022-gody.html" TargetMode="External"/><Relationship Id="rId1341" Type="http://schemas.openxmlformats.org/officeDocument/2006/relationships/hyperlink" Target="https://barysh.org/upload/iblock/62d/tmnjfibw%20wvjxetqfjfluca%20jgzc%202022%20ixcypw%20kcfqlgn5i.doc" TargetMode="External"/><Relationship Id="rId78" Type="http://schemas.openxmlformats.org/officeDocument/2006/relationships/hyperlink" Target="https://lbt.yanao.ru/documents/active/83650/" TargetMode="External"/><Relationship Id="rId143" Type="http://schemas.openxmlformats.org/officeDocument/2006/relationships/hyperlink" Target="https://vektor-tv.ru/upload/iblock/edf/edf43b0aa455055a1a5eb455ec3d1e53.png" TargetMode="External"/><Relationship Id="rId350" Type="http://schemas.openxmlformats.org/officeDocument/2006/relationships/hyperlink" Target="mailto:adm-chsp@mail.ru" TargetMode="External"/><Relationship Id="rId588" Type="http://schemas.openxmlformats.org/officeDocument/2006/relationships/hyperlink" Target="https://gy.orb.ru/documents/active/22068/" TargetMode="External"/><Relationship Id="rId795" Type="http://schemas.openxmlformats.org/officeDocument/2006/relationships/hyperlink" Target="https://&#1082;&#1080;&#1088;&#1086;&#1074;.&#1088;&#1092;/upload/medialibrary/710/uf821n0hq6j15ykgmn3sq579rgc00s55/&#1076;&#1083;&#1103;%20&#1087;&#1091;&#1073;&#1083;&#1080;&#1082;&#1072;&#1094;&#1080;&#1080;.pdf" TargetMode="External"/><Relationship Id="rId809" Type="http://schemas.openxmlformats.org/officeDocument/2006/relationships/hyperlink" Target="mailto:meleuz_gfu@ufamts.ru" TargetMode="External"/><Relationship Id="rId1201" Type="http://schemas.openxmlformats.org/officeDocument/2006/relationships/hyperlink" Target="http://www.georgievsk.ru/duma/reshen/469-24.doc" TargetMode="External"/><Relationship Id="rId9" Type="http://schemas.openxmlformats.org/officeDocument/2006/relationships/hyperlink" Target="mailto:podotdel.gkh-volokonovka@yandex.ru" TargetMode="External"/><Relationship Id="rId210" Type="http://schemas.openxmlformats.org/officeDocument/2006/relationships/hyperlink" Target="http://www.gfo-sorochinsk.ru/tshb" TargetMode="External"/><Relationship Id="rId448" Type="http://schemas.openxmlformats.org/officeDocument/2006/relationships/hyperlink" Target="mailto:afipskij@sevadm.ru" TargetMode="External"/><Relationship Id="rId655" Type="http://schemas.openxmlformats.org/officeDocument/2006/relationships/hyperlink" Target="https://&#1072;&#1076;&#1084;&#1076;&#1079;&#1077;&#1088;&#1078;&#1080;&#1085;&#1089;&#1082;.&#1088;&#1092;/ekonomika-i-imushchestvo/ekonomika/normativno-pravovye-dokumenty/initsiativnoe-byudzhetirovanie/" TargetMode="External"/><Relationship Id="rId862" Type="http://schemas.openxmlformats.org/officeDocument/2006/relationships/hyperlink" Target="https://tgl.ru/documentation/obj?obj=32772" TargetMode="External"/><Relationship Id="rId1078" Type="http://schemas.openxmlformats.org/officeDocument/2006/relationships/hyperlink" Target="https://uray.ru/strategiya-razvitiya/obsujdeniya-proekta-perspektivnogo-plana-razvitiya-munitsipalnog/" TargetMode="External"/><Relationship Id="rId1285" Type="http://schemas.openxmlformats.org/officeDocument/2006/relationships/hyperlink" Target="http://komobrkrr.edusite.ru/magicpage.html?page=32018" TargetMode="External"/><Relationship Id="rId294" Type="http://schemas.openxmlformats.org/officeDocument/2006/relationships/hyperlink" Target="http://fin-or.ru/content/shkolnyy-byudzhet" TargetMode="External"/><Relationship Id="rId308" Type="http://schemas.openxmlformats.org/officeDocument/2006/relationships/hyperlink" Target="https://rosstat.gov.ru/storage/mediabank/Chisl_nasel_RF_MO_01-01-2022.xlsx" TargetMode="External"/><Relationship Id="rId515" Type="http://schemas.openxmlformats.org/officeDocument/2006/relationships/hyperlink" Target="http://zheleznoe-sp.ru/publ/normativnye_pravovye_akty/postanovlenie_administracii_zheleznogo_selskogo_poselenija_ot_30_12_2020_g_153/1-1-0-799" TargetMode="External"/><Relationship Id="rId722" Type="http://schemas.openxmlformats.org/officeDocument/2006/relationships/hyperlink" Target="https://mo-lgo.ru/documents/?mode=edit&amp;list_id=46&amp;section_id=188&amp;element_id=37325&amp;list_section_id=188" TargetMode="External"/><Relationship Id="rId1145" Type="http://schemas.openxmlformats.org/officeDocument/2006/relationships/hyperlink" Target="mailto:leushi@mail.ru" TargetMode="External"/><Relationship Id="rId1352" Type="http://schemas.openxmlformats.org/officeDocument/2006/relationships/hyperlink" Target="https://mo-veshkaima.ru/view_news.php?id=23328" TargetMode="External"/><Relationship Id="rId89" Type="http://schemas.openxmlformats.org/officeDocument/2006/relationships/hyperlink" Target="https://nur.yanao.ru/documents/active/107772/,%20https:/www.newurengoy.ru/uploads/files/2020-03/1584596719_104-ot-18-03-2020.pdf" TargetMode="External"/><Relationship Id="rId154" Type="http://schemas.openxmlformats.org/officeDocument/2006/relationships/hyperlink" Target="https://tumstat.gks.ru/ofs_demp_ynao" TargetMode="External"/><Relationship Id="rId361" Type="http://schemas.openxmlformats.org/officeDocument/2006/relationships/hyperlink" Target="mailto:fu25.165@mail.ru" TargetMode="External"/><Relationship Id="rId599" Type="http://schemas.openxmlformats.org/officeDocument/2006/relationships/hyperlink" Target="https://&#1092;&#1080;&#1085;&#1086;&#1090;&#1076;&#1077;&#1083;-&#1103;&#1089;&#1085;&#1099;&#1081;.&#1088;&#1092;/proekt-narodnyij-byudzhet" TargetMode="External"/><Relationship Id="rId1005" Type="http://schemas.openxmlformats.org/officeDocument/2006/relationships/hyperlink" Target="https://www.gks.ru/dbscripts/munst/munst87/DBInet.cgi" TargetMode="External"/><Relationship Id="rId1212" Type="http://schemas.openxmlformats.org/officeDocument/2006/relationships/hyperlink" Target="https://www.adm-grsk.ru/sobranie-deputatov/resheniya-soveta/resheniya-2021/reshenie-ot-22-04-2021-g-37-o-nekotorykh-voprosakh-realizatsii-initsiativnykh-proektov-na-territorii-grachevskogo-munitsipalnogo-okruga-stavropolskogo-kraya" TargetMode="External"/><Relationship Id="rId459" Type="http://schemas.openxmlformats.org/officeDocument/2006/relationships/hyperlink" Target="https://www.temryuk.ru/administratsiya/munitsipalnye-pravovye-akty/docs.php?find=&amp;num=&amp;from=&amp;to=&amp;type%5B0%5D=20&amp;creator%5B0%5D=5&amp;sort=1&amp;PAGEN_1=3" TargetMode="External"/><Relationship Id="rId666" Type="http://schemas.openxmlformats.org/officeDocument/2006/relationships/hyperlink" Target="http://www.bg-adm.ru/?id=13194consultantplus://offline/ref=2CC86A632DDCDBD2BEF227A416F02E4579DBE4E7B0AB25168217C6E6DDF8D71865C457A6B9452A0828U4G4M" TargetMode="External"/><Relationship Id="rId873" Type="http://schemas.openxmlformats.org/officeDocument/2006/relationships/hyperlink" Target="mailto:admspisakly@yandex.ru" TargetMode="External"/><Relationship Id="rId1089" Type="http://schemas.openxmlformats.org/officeDocument/2006/relationships/hyperlink" Target="https://depfin.admmegion.ru/initiative_budget/" TargetMode="External"/><Relationship Id="rId1296" Type="http://schemas.openxmlformats.org/officeDocument/2006/relationships/hyperlink" Target="mailto:komlub2@yandex.ru" TargetMode="External"/><Relationship Id="rId16" Type="http://schemas.openxmlformats.org/officeDocument/2006/relationships/hyperlink" Target="mailto:svod2@beldepfin.ru" TargetMode="External"/><Relationship Id="rId221" Type="http://schemas.openxmlformats.org/officeDocument/2006/relationships/hyperlink" Target="https://adamfin.ru/assets/files/1oldfile/Protokol-no-2-ot-15.06.2022.rar" TargetMode="External"/><Relationship Id="rId319" Type="http://schemas.openxmlformats.org/officeDocument/2006/relationships/hyperlink" Target="https://ok.ru/group/55117096812709/topic/154245047101605" TargetMode="External"/><Relationship Id="rId526" Type="http://schemas.openxmlformats.org/officeDocument/2006/relationships/hyperlink" Target="http://starscherb.ru/2022/Iniciati_proekt/ustanovka_v_parke_kultury_i_otdykha_malykh_arkhite.docx" TargetMode="External"/><Relationship Id="rId1156" Type="http://schemas.openxmlformats.org/officeDocument/2006/relationships/hyperlink" Target="http://hmrn.ru/raion/ekonomika/ser/socio_economic_programm/programms/perechen-munitsipalnykh-programm-na-2022-2024-gody-vstupaet-v-silu-s-01-01-2022-goda-.php?clear_cache=Y" TargetMode="External"/><Relationship Id="rId1363" Type="http://schemas.openxmlformats.org/officeDocument/2006/relationships/hyperlink" Target="https://73.rosstat.gov.ru/folder/40275" TargetMode="External"/><Relationship Id="rId733" Type="http://schemas.openxmlformats.org/officeDocument/2006/relationships/hyperlink" Target="https://sverdl.gks.ru/" TargetMode="External"/><Relationship Id="rId940" Type="http://schemas.openxmlformats.org/officeDocument/2006/relationships/hyperlink" Target="mailto:administraziy75@mail.ru" TargetMode="External"/><Relationship Id="rId1016" Type="http://schemas.openxmlformats.org/officeDocument/2006/relationships/hyperlink" Target="mailto:t.p.vershinina@koigorodok.rkomi.ru" TargetMode="External"/><Relationship Id="rId165" Type="http://schemas.openxmlformats.org/officeDocument/2006/relationships/hyperlink" Target="mailto:velav@mail.orb.ru" TargetMode="External"/><Relationship Id="rId372" Type="http://schemas.openxmlformats.org/officeDocument/2006/relationships/hyperlink" Target="mailto:markeeva@admkor.ru" TargetMode="External"/><Relationship Id="rId677" Type="http://schemas.openxmlformats.org/officeDocument/2006/relationships/hyperlink" Target="https://borcity.ru/authority/mp_akt.php" TargetMode="External"/><Relationship Id="rId800" Type="http://schemas.openxmlformats.org/officeDocument/2006/relationships/hyperlink" Target="mailto:org@admkirov.ru" TargetMode="External"/><Relationship Id="rId1223" Type="http://schemas.openxmlformats.org/officeDocument/2006/relationships/hyperlink" Target="http://ipatovo.org/userfiles/file/2021/fevral/resheniya/reshenie_16_poryadka_vyd_rassm__inic_proektov.doc" TargetMode="External"/><Relationship Id="rId232" Type="http://schemas.openxmlformats.org/officeDocument/2006/relationships/hyperlink" Target="https://asfin56.ru/narodnyij-byudzhet" TargetMode="External"/><Relationship Id="rId884" Type="http://schemas.openxmlformats.org/officeDocument/2006/relationships/hyperlink" Target="http://kcherk.samgd.ru/acts/decisions/79325/" TargetMode="External"/><Relationship Id="rId27" Type="http://schemas.openxmlformats.org/officeDocument/2006/relationships/hyperlink" Target="mailto:DGKH31@mail.ru" TargetMode="External"/><Relationship Id="rId537" Type="http://schemas.openxmlformats.org/officeDocument/2006/relationships/hyperlink" Target="https://vk.com/wall659391180_113" TargetMode="External"/><Relationship Id="rId744" Type="http://schemas.openxmlformats.org/officeDocument/2006/relationships/hyperlink" Target="https://krur.midural.ru/article/show/id/10381" TargetMode="External"/><Relationship Id="rId951" Type="http://schemas.openxmlformats.org/officeDocument/2006/relationships/hyperlink" Target="http://mukhanovo.kinel-cherkassy.ru/?page_id=930" TargetMode="External"/><Relationship Id="rId1167" Type="http://schemas.openxmlformats.org/officeDocument/2006/relationships/hyperlink" Target="mailto:lychevava@arhcity.ru" TargetMode="External"/><Relationship Id="rId1374" Type="http://schemas.openxmlformats.org/officeDocument/2006/relationships/hyperlink" Target="http://karsunmo.ru/narbudget.html" TargetMode="External"/><Relationship Id="rId80" Type="http://schemas.openxmlformats.org/officeDocument/2006/relationships/hyperlink" Target="https://lbt.yanao.ru/about/structure/1549" TargetMode="External"/><Relationship Id="rId176" Type="http://schemas.openxmlformats.org/officeDocument/2006/relationships/hyperlink" Target="http://&#1073;&#1091;&#1079;&#1091;&#1083;&#1091;&#1082;-&#1087;&#1088;&#1072;&#1074;&#1086;.&#1088;&#1092;/node/5934" TargetMode="External"/><Relationship Id="rId383" Type="http://schemas.openxmlformats.org/officeDocument/2006/relationships/hyperlink" Target="http://www.platnirovskaja.ru/" TargetMode="External"/><Relationship Id="rId590" Type="http://schemas.openxmlformats.org/officeDocument/2006/relationships/hyperlink" Target="https://gy.orb.ru/upload/uf/c88/Postanovlenie-1000_pA_2019.doc;" TargetMode="External"/><Relationship Id="rId604" Type="http://schemas.openxmlformats.org/officeDocument/2006/relationships/hyperlink" Target="http://finotdel-akbulak.ru/index.php?option=com_content&amp;view=article&amp;id=202&amp;Itemid=117" TargetMode="External"/><Relationship Id="rId811" Type="http://schemas.openxmlformats.org/officeDocument/2006/relationships/hyperlink" Target="https://ok.ru/profile/331821742169" TargetMode="External"/><Relationship Id="rId1027" Type="http://schemas.openxmlformats.org/officeDocument/2006/relationships/hyperlink" Target="http://&#1074;&#1086;&#1088;&#1082;&#1091;&#1090;&#1072;.&#1088;&#1092;/regulatory/initsiativnoe-byudzhetirovanie/" TargetMode="External"/><Relationship Id="rId1234" Type="http://schemas.openxmlformats.org/officeDocument/2006/relationships/hyperlink" Target="http://krasnogvardeiskoe.info/sites/krasnogvardeiskoe.info/files/of/userfiles/file/sovet%20kmr/obnarodovanie/2021/%D0%A0%D0%B5%D1%88%D0%B5%D0%BD%D0%B8%D0%B5%20%25%20%20%20E2%84%96%20114%20%D0%BE%D1%82%2024.02.2021%20%D0%B3..doc" TargetMode="External"/><Relationship Id="rId243" Type="http://schemas.openxmlformats.org/officeDocument/2006/relationships/hyperlink" Target="https://www.gks.ru/scripts/db_inet2/passport/table.aspx?opt=536114312022" TargetMode="External"/><Relationship Id="rId450" Type="http://schemas.openxmlformats.org/officeDocument/2006/relationships/hyperlink" Target="mailto:titovaep@sochiadm.ru" TargetMode="External"/><Relationship Id="rId688" Type="http://schemas.openxmlformats.org/officeDocument/2006/relationships/hyperlink" Target="https://vk.com/stvsemenov?z=video-213848216_456239395%2Fe33fe47399e5ac0148%2Fpl_post_-213848216_816" TargetMode="External"/><Relationship Id="rId895" Type="http://schemas.openxmlformats.org/officeDocument/2006/relationships/hyperlink" Target="https://mail.yandex.ru/?uid=1553361628" TargetMode="External"/><Relationship Id="rId909" Type="http://schemas.openxmlformats.org/officeDocument/2006/relationships/hyperlink" Target="http://kabanovka.kinel-cherkassy.ru/?p=7952" TargetMode="External"/><Relationship Id="rId1080" Type="http://schemas.openxmlformats.org/officeDocument/2006/relationships/hyperlink" Target="https://disk.yandex.ru/i/fM7X8foiRA52Vg" TargetMode="External"/><Relationship Id="rId1301" Type="http://schemas.openxmlformats.org/officeDocument/2006/relationships/hyperlink" Target="http://okuladm.ru/news/23297" TargetMode="External"/><Relationship Id="rId38" Type="http://schemas.openxmlformats.org/officeDocument/2006/relationships/hyperlink" Target="https://vk.com/yakovlevez?w=wall-202831546_401&amp;ysclid=lggl3asamn715497386" TargetMode="External"/><Relationship Id="rId103" Type="http://schemas.openxmlformats.org/officeDocument/2006/relationships/hyperlink" Target="http://old.muravlenko.com:15051/administraciya-goroda/normativno-pravovye-akty/postanovleniya-administracii-goroda/postanovleniya-administracii-za-2020-g/page/69" TargetMode="External"/><Relationship Id="rId310" Type="http://schemas.openxmlformats.org/officeDocument/2006/relationships/hyperlink" Target="https://vk.com/fintotsk?w=wall-163040897_111" TargetMode="External"/><Relationship Id="rId548" Type="http://schemas.openxmlformats.org/officeDocument/2006/relationships/hyperlink" Target="mailto:adm.ermolino@yandex.ru" TargetMode="External"/><Relationship Id="rId755" Type="http://schemas.openxmlformats.org/officeDocument/2006/relationships/hyperlink" Target="https://zav-18.gosuslugi.ru/netcat_files/144/1077/207.pdf" TargetMode="External"/><Relationship Id="rId962" Type="http://schemas.openxmlformats.org/officeDocument/2006/relationships/hyperlink" Target="https://podgornoe.kinel-cherkassy.ru/wp-content/uploads/2023/03/&#1055;&#1086;&#1089;&#1090;-27-&#1048;&#1079;&#1084;&#1077;&#1085;&#1077;&#1085;&#1080;&#1103;-&#1073;&#1083;&#1072;&#1075;&#1086;&#1091;&#1089;&#1090;-&#1055;&#1086;&#1076;&#1075;&#1086;&#1088;&#1085;&#1086;&#1077;-.doc" TargetMode="External"/><Relationship Id="rId1178" Type="http://schemas.openxmlformats.org/officeDocument/2006/relationships/hyperlink" Target="https://vk.com/brz_official" TargetMode="External"/><Relationship Id="rId1385" Type="http://schemas.openxmlformats.org/officeDocument/2006/relationships/hyperlink" Target="https://adm-melekess.gosuslugi.ru/deyatelnost/proekty-i-programmy/munitsipalnye-programmy/munitsipalnye-programmy-2020-2022/" TargetMode="External"/><Relationship Id="rId91" Type="http://schemas.openxmlformats.org/officeDocument/2006/relationships/hyperlink" Target="https://www.newurengoy.ru/doc/16234-ob-utverzhdenii-strategii-socialno-ekonomicheskogo-razvitiya-municipalnogo-obrazovaniya-gorod-novyy-urengoy-do-2030-goda.html" TargetMode="External"/><Relationship Id="rId187" Type="http://schemas.openxmlformats.org/officeDocument/2006/relationships/hyperlink" Target="https://www.gorodmednogorsk.ru/fin/npo-fo1.html" TargetMode="External"/><Relationship Id="rId394" Type="http://schemas.openxmlformats.org/officeDocument/2006/relationships/hyperlink" Target="mailto:poltadm@list.ru" TargetMode="External"/><Relationship Id="rId408" Type="http://schemas.openxmlformats.org/officeDocument/2006/relationships/hyperlink" Target="mailto:admnovomish@mail.ru" TargetMode="External"/><Relationship Id="rId615" Type="http://schemas.openxmlformats.org/officeDocument/2006/relationships/hyperlink" Target="https://tl.orb.ru/activity/10699/" TargetMode="External"/><Relationship Id="rId822" Type="http://schemas.openxmlformats.org/officeDocument/2006/relationships/hyperlink" Target="http://pohgor.samgd.ru/acts/decisions/77554/" TargetMode="External"/><Relationship Id="rId1038" Type="http://schemas.openxmlformats.org/officeDocument/2006/relationships/hyperlink" Target="mailto:o.b.kalmykova@syktyvdin.rkomi.ru" TargetMode="External"/><Relationship Id="rId1245" Type="http://schemas.openxmlformats.org/officeDocument/2006/relationships/hyperlink" Target="mailto:neftekumsk_fu@mail.ru" TargetMode="External"/><Relationship Id="rId254" Type="http://schemas.openxmlformats.org/officeDocument/2006/relationships/hyperlink" Target="http://pp-bz.ru/legal-acts/2603" TargetMode="External"/><Relationship Id="rId699" Type="http://schemas.openxmlformats.org/officeDocument/2006/relationships/hyperlink" Target="https://25.rosstat.gov.ru/storage/mediabank/&#1063;&#1080;&#1089;&#1083;&#1077;&#1085;&#1085;&#1086;&#1089;&#1090;&#1100;%20&#1043;&#1054;,%20&#1052;&#1054;%20&#1080;%20&#1052;&#1056;%20&#1085;&#1072;%20&#1085;&#1072;&#1095;&#1072;&#1083;&#1086;%20&#1075;&#1086;&#1076;&#1072;.xlsx" TargetMode="External"/><Relationship Id="rId1091" Type="http://schemas.openxmlformats.org/officeDocument/2006/relationships/hyperlink" Target="http://admsurgut.ru/files/materials/files/files1/%D0%A1%D1%82%D1%80%D0%B0%D1%82%D0%B5%D0%B3%D0%B8%D1%8F_%D0%B3%D0%BE%D1%80%D0%BE%D0%B4%D0%B0_%D0%B4%D0%BE_2030__%D1%81_%D0%B8%D0%B7%D0%BC_09.11.2021.docx" TargetMode="External"/><Relationship Id="rId1105" Type="http://schemas.openxmlformats.org/officeDocument/2006/relationships/hyperlink" Target="mailto:invest@n-vartovsk.ru" TargetMode="External"/><Relationship Id="rId1312" Type="http://schemas.openxmlformats.org/officeDocument/2006/relationships/hyperlink" Target="https://vk.com/sbor.budget?z=photo-51946917_456239578%2Falbum-51946917_0%2Frev" TargetMode="External"/><Relationship Id="rId49" Type="http://schemas.openxmlformats.org/officeDocument/2006/relationships/hyperlink" Target="https://admsud.ru/kontrolno-ekonomicheskoe-upravlenie/otdel-ekonomiki-i-selskogo-hozyaystva/municipalnye-programmy/perechen-municipalnyh-programm/3237-reestr-municipalnyh-programm-na-2017-g.html" TargetMode="External"/><Relationship Id="rId114" Type="http://schemas.openxmlformats.org/officeDocument/2006/relationships/hyperlink" Target="https://www.gubadm.ru/documents/all" TargetMode="External"/><Relationship Id="rId461" Type="http://schemas.openxmlformats.org/officeDocument/2006/relationships/hyperlink" Target="https://www.temryuk.ru/administratsiya/ukaz-prezidenta-607/" TargetMode="External"/><Relationship Id="rId559" Type="http://schemas.openxmlformats.org/officeDocument/2006/relationships/hyperlink" Target="mailto:foburakovsk@mail.ru" TargetMode="External"/><Relationship Id="rId766" Type="http://schemas.openxmlformats.org/officeDocument/2006/relationships/hyperlink" Target="http://www.admkrsk.ru/citytoday/municipal/initiative_projects/Pages/spisok_projects.aspx" TargetMode="External"/><Relationship Id="rId1189" Type="http://schemas.openxmlformats.org/officeDocument/2006/relationships/hyperlink" Target="https://aamrsk.ru/deyatelnost/initsiativnoe-byudzhetirovanie/initsiativnye-proekty/dokumenty.php" TargetMode="External"/><Relationship Id="rId1396" Type="http://schemas.openxmlformats.org/officeDocument/2006/relationships/hyperlink" Target="https://terenga.gosuslugi.ru/deyatelnost/napravleniya-deyatelnosti/finansy-i-byudzhet/otkrytyy-byudzhet/narodnyy-byudzhet/2023-god/dokumenty_862.html" TargetMode="External"/><Relationship Id="rId198" Type="http://schemas.openxmlformats.org/officeDocument/2006/relationships/hyperlink" Target="https://orenburg.ru/activity/15194/" TargetMode="External"/><Relationship Id="rId321" Type="http://schemas.openxmlformats.org/officeDocument/2006/relationships/hyperlink" Target="mailto:velav@mail.orb.ru" TargetMode="External"/><Relationship Id="rId419" Type="http://schemas.openxmlformats.org/officeDocument/2006/relationships/hyperlink" Target="https://&#1072;&#1076;&#1084;-&#1088;&#1086;&#1076;&#1085;&#1080;&#1082;&#1086;&#1074;&#1089;&#1082;&#1072;&#1103;.&#1088;&#1092;/documents/1930.html" TargetMode="External"/><Relationship Id="rId626" Type="http://schemas.openxmlformats.org/officeDocument/2006/relationships/hyperlink" Target="https://miyaki.bashkortostan.ru/activity/12234/?ysclid=lggfjq9720124205462" TargetMode="External"/><Relationship Id="rId973" Type="http://schemas.openxmlformats.org/officeDocument/2006/relationships/hyperlink" Target="http://sadgorod.kinel-cherkassy.ru/wp-content/uploads/2021/07/&#1056;&#1077;&#1096;&#1077;&#1085;&#1080;&#1077;-7-1-&#1086;&#1090;-12.07.2021-&#1054;&#1073;-&#1091;&#1090;&#1074;&#1077;&#1088;&#1078;&#1076;&#1077;&#1085;&#1080;&#1103;-&#1087;&#1086;&#1083;&#1086;&#1078;&#1077;&#1085;&#1080;&#1103;-&#1086;-&#1080;&#1085;&#1080;&#1094;&#1080;&#1080;&#1088;&#1086;&#1074;&#1072;&#1085;&#1080;&#1080;-&#1080;-&#1088;&#1077;&#1072;&#1083;&#1080;&#1079;&#1072;&#1094;&#1080;&#1080;-&#1080;&#1085;&#1080;&#1094;&#1080;&#1072;&#1090;&#1080;&#1074;&#1085;&#1099;&#1093;-&#1087;&#1088;&#1086;&#1077;&#1082;&#1090;&#1086;&#1074;-&#1085;&#1072;-&#1090;&#1077;&#1088;&#1088;&#1080;&#1090;&#1086;&#1088;&#1080;&#1080;-&#1089;&#1077;&#1083;&#1100;&#1089;&#1082;&#1086;&#1075;&#1086;-&#1087;&#1086;&#1089;&#1077;&#1083;&#1077;&#1085;&#1080;&#1103;.docx" TargetMode="External"/><Relationship Id="rId1049" Type="http://schemas.openxmlformats.org/officeDocument/2006/relationships/hyperlink" Target="mailto:economraz@mail.ru" TargetMode="External"/><Relationship Id="rId1256" Type="http://schemas.openxmlformats.org/officeDocument/2006/relationships/hyperlink" Target="http://petrgosk.ru/ekonomika/ekonomicheskoe-razvitie/munitsipalnye-programmy-petrovskogo-gorodskogo-okruga-stavropolskogo-kraya-/munitsipalnye-programmy-2021-2026-gg/" TargetMode="External"/><Relationship Id="rId833" Type="http://schemas.openxmlformats.org/officeDocument/2006/relationships/hyperlink" Target="https://www.samadm.ru/docs/official-publication/31618/" TargetMode="External"/><Relationship Id="rId1116" Type="http://schemas.openxmlformats.org/officeDocument/2006/relationships/hyperlink" Target="http://lugovoikonda.ru/tinybrowser/files/2021/rasporygeniy/protokol-sbora-podpisey.doc" TargetMode="External"/><Relationship Id="rId265" Type="http://schemas.openxmlformats.org/officeDocument/2006/relationships/hyperlink" Target="mailto:fin-otdel@esoo.ru" TargetMode="External"/><Relationship Id="rId472" Type="http://schemas.openxmlformats.org/officeDocument/2006/relationships/hyperlink" Target="https://adm-zaparozhskaya.ru/" TargetMode="External"/><Relationship Id="rId900" Type="http://schemas.openxmlformats.org/officeDocument/2006/relationships/hyperlink" Target="mailto:erzowka@yandex.ru" TargetMode="External"/><Relationship Id="rId1323" Type="http://schemas.openxmlformats.org/officeDocument/2006/relationships/hyperlink" Target="https://kormil.omskportal.ru/magnoliaPublic/dam/jcr:f896145f-27af-412e-a323-75204d18e65b/&#1057;&#1090;&#1088;&#1072;&#1090;&#1077;&#1075;&#1080;&#1103;.rar" TargetMode="External"/><Relationship Id="rId125" Type="http://schemas.openxmlformats.org/officeDocument/2006/relationships/hyperlink" Target="https://tumstat.gks.ru/storage/mediabank/&#1063;&#1080;&#1089;&#1083;&#1077;&#1085;&#1086;&#1089;&#1090;&#1100;%20&#1085;&#1072;&#1089;&#1077;&#1083;&#1077;&#1085;&#1080;&#1103;%20&#1071;&#1053;&#1040;&#1054;%20&#1085;&#1072;%20&#1085;&#1072;&#1095;&#1072;&#1083;&#1086;%202017-2023%20&#1075;&#1086;&#1076;&#1072;.xlsx" TargetMode="External"/><Relationship Id="rId332" Type="http://schemas.openxmlformats.org/officeDocument/2006/relationships/hyperlink" Target="https://35.rosstat.gov.ru/storage/mediabank/%D0%9E%D1%86%D0%B5%D0%BD%D0%BA%D0%B0%20%D1%87%D0%B8%D1%81%D0%BB%D0%B5%D0%BD%D0%BD%D0%BE%D1%81%D1%82%D0%B8%20%D0%BD%D0%B0%2001.01.2023(2).htm" TargetMode="External"/><Relationship Id="rId777" Type="http://schemas.openxmlformats.org/officeDocument/2006/relationships/hyperlink" Target="https://suhobuzimo.ru/docs/id1619.html" TargetMode="External"/><Relationship Id="rId984" Type="http://schemas.openxmlformats.org/officeDocument/2006/relationships/hyperlink" Target="http://chernovka.kinel-cherkassy.ru/" TargetMode="External"/><Relationship Id="rId637" Type="http://schemas.openxmlformats.org/officeDocument/2006/relationships/hyperlink" Target="https://dzhankoy.rk.gov.ru/uploads/txteditor/dzhankoy/attachments/d4/1d/8c/d98f00b204e9800998ecf8427e/phpU7ZELM_&#1052;&#1077;&#1090;&#1086;&#1076;&#1080;&#1095;&#1082;&#1072;%20&#1052;&#1054;&#1051;&#1054;&#1044;&#1054;&#1045;%20&#1055;&#1054;&#1050;&#1054;&#1051;&#1045;&#1053;&#1048;&#1045;.pdf" TargetMode="External"/><Relationship Id="rId844" Type="http://schemas.openxmlformats.org/officeDocument/2006/relationships/hyperlink" Target="mailto:EmeljanovaTN@samadm.ru" TargetMode="External"/><Relationship Id="rId1267" Type="http://schemas.openxmlformats.org/officeDocument/2006/relationships/hyperlink" Target="http://updtpmo.ru/" TargetMode="External"/><Relationship Id="rId276" Type="http://schemas.openxmlformats.org/officeDocument/2006/relationships/hyperlink" Target="https://finotdnovoorsk.ru/assets/files/2021/458-p-ot-04.06.2021.pdf" TargetMode="External"/><Relationship Id="rId483" Type="http://schemas.openxmlformats.org/officeDocument/2006/relationships/hyperlink" Target="mailto:fintaman@yandex.ru" TargetMode="External"/><Relationship Id="rId690" Type="http://schemas.openxmlformats.org/officeDocument/2006/relationships/hyperlink" Target="mailto:paramonova_iv@fin.kreml.nnov.ru" TargetMode="External"/><Relationship Id="rId704" Type="http://schemas.openxmlformats.org/officeDocument/2006/relationships/hyperlink" Target="https://spasskd.ru/images/files/2021/raznoe/0617/reshenie_dumy_2-npa_o_poryadke_realizacii_proektov_iniciativnogo_byudzhetirovaniya.docx" TargetMode="External"/><Relationship Id="rId911" Type="http://schemas.openxmlformats.org/officeDocument/2006/relationships/hyperlink" Target="mailto:adm.kabanovka@yandex.ru" TargetMode="External"/><Relationship Id="rId1127" Type="http://schemas.openxmlformats.org/officeDocument/2006/relationships/hyperlink" Target="mailto:adm-mortka@maii.ru" TargetMode="External"/><Relationship Id="rId1334" Type="http://schemas.openxmlformats.org/officeDocument/2006/relationships/hyperlink" Target="https://bsizgan.gosuslugi.ru/ofitsialno/dokumenty/rsd-mo/rsd-2016/dokumenty_372.html" TargetMode="External"/><Relationship Id="rId40" Type="http://schemas.openxmlformats.org/officeDocument/2006/relationships/hyperlink" Target="https://yakovgo.gosuslugi.ru/glavnoe/territorialnye-obschestvennye-samoupravleniya-tos/" TargetMode="External"/><Relationship Id="rId136" Type="http://schemas.openxmlformats.org/officeDocument/2006/relationships/hyperlink" Target="http://spmuzhi.ru/?p=35724" TargetMode="External"/><Relationship Id="rId343" Type="http://schemas.openxmlformats.org/officeDocument/2006/relationships/hyperlink" Target="https://adm-yaroslavskogo.ru/&#1087;&#1088;&#1086;&#1077;&#1082;&#1090;&#1099;-&#1084;&#1077;&#1089;&#1090;&#1085;&#1099;&#1093;-&#1080;&#1085;&#1080;&#1094;&#1080;&#1072;&#1090;&#1080;&#1074;" TargetMode="External"/><Relationship Id="rId550" Type="http://schemas.openxmlformats.org/officeDocument/2006/relationships/hyperlink" Target="https://admermolino.ru/?page_id=18160" TargetMode="External"/><Relationship Id="rId788" Type="http://schemas.openxmlformats.org/officeDocument/2006/relationships/hyperlink" Target="https://kurganobl.ru/sites/default/files/imceFiles/user-03/PPKO_ot_28.12.2019_no458.pdf" TargetMode="External"/><Relationship Id="rId995" Type="http://schemas.openxmlformats.org/officeDocument/2006/relationships/hyperlink" Target="mailto:rfu6374@samtel.ru" TargetMode="External"/><Relationship Id="rId1180" Type="http://schemas.openxmlformats.org/officeDocument/2006/relationships/hyperlink" Target="http://admkud.ru/Doc/2022/11012022/4.pdf" TargetMode="External"/><Relationship Id="rId1401" Type="http://schemas.openxmlformats.org/officeDocument/2006/relationships/hyperlink" Target="http://www.terenga.ru/node/12731" TargetMode="External"/><Relationship Id="rId203" Type="http://schemas.openxmlformats.org/officeDocument/2006/relationships/hyperlink" Target="http://sorochinsk56.ru/assets/files/2020-Postanovlenia/349-17.03.2020.pdf" TargetMode="External"/><Relationship Id="rId648" Type="http://schemas.openxmlformats.org/officeDocument/2006/relationships/hyperlink" Target="https://dzhankoy.rk.gov.ru/uploads/txteditor/dzhankoy/attachments/d4/1d/8c/d98f00b204e9800998ecf8427e/phpa8l5UJ_&#1055;&#1088;&#1090;&#1086;&#1082;&#1086;&#1083;%20&#8470;%201%20&#1086;&#1090;%2029.04.2022%20&#1075;.%20&#1079;&#1072;&#1089;&#1077;&#1076;&#1072;&#1085;&#1080;&#1103;%20&#1082;&#1086;&#1084;&#1080;&#1089;&#1089;&#1080;&#1080;%20&#1087;&#1086;%20&#1088;&#1072;&#1089;&#1089;&#1084;&#1086;&#1090;&#1088;&#1077;&#1085;&#1080;&#1102;%20&#1087;&#1088;&#1086;&#1077;&#1082;&#1090;&#1072;.pdf" TargetMode="External"/><Relationship Id="rId855" Type="http://schemas.openxmlformats.org/officeDocument/2006/relationships/hyperlink" Target="https://www.samadm.ru/authority/industrial-inner-city/" TargetMode="External"/><Relationship Id="rId1040" Type="http://schemas.openxmlformats.org/officeDocument/2006/relationships/hyperlink" Target="https://syktyvdin.ru/ru/page/residents.malyje_i_narodnyje_projekty.NB_2021.narodnye_initsiativy_2021_1" TargetMode="External"/><Relationship Id="rId1278" Type="http://schemas.openxmlformats.org/officeDocument/2006/relationships/hyperlink" Target="mailto:bud_komfin@novreg.ru" TargetMode="External"/><Relationship Id="rId287" Type="http://schemas.openxmlformats.org/officeDocument/2006/relationships/hyperlink" Target="http://fin-or.ru/ckfinder/userfiles/files/%D0%BF%D0%BE%D1%81%D1%82%D0%B0%D0%BD%D0%BE%D0%B2%D0%BB%D0%B5%D0%BD%D0%B8%D0%B5%201694%20%D0%BF%20%D0%BE%D1%82%2003_09_2021.pdf" TargetMode="External"/><Relationship Id="rId410" Type="http://schemas.openxmlformats.org/officeDocument/2006/relationships/hyperlink" Target="https://internet.garant.ru/" TargetMode="External"/><Relationship Id="rId494" Type="http://schemas.openxmlformats.org/officeDocument/2006/relationships/hyperlink" Target="http://admrogovskaya.ru/" TargetMode="External"/><Relationship Id="rId508" Type="http://schemas.openxmlformats.org/officeDocument/2006/relationships/hyperlink" Target="mailto:adminleninsk@mail.ru" TargetMode="External"/><Relationship Id="rId715" Type="http://schemas.openxmlformats.org/officeDocument/2006/relationships/hyperlink" Target="https://dalmdr.ru/sites/default/files/download/Finansi/resdumi/2022/&#1056;&#1077;&#1096;&#1077;&#1085;&#1080;&#1077;%20&#1044;&#1091;&#1084;&#1099;%20&#1086;&#1090;%2022.12.2022%20&#8470;%20333-&#1052;&#1053;&#1055;&#1040;.zip" TargetMode="External"/><Relationship Id="rId922" Type="http://schemas.openxmlformats.org/officeDocument/2006/relationships/hyperlink" Target="mailto:poselenie63@mail.ru" TargetMode="External"/><Relationship Id="rId1138" Type="http://schemas.openxmlformats.org/officeDocument/2006/relationships/hyperlink" Target="http://shugur.ru/blagoustroystvo-munitcipal-nogo-obrazovaniya-sel-skoe-poselenie-shugur-na-2020-2026-gody.html" TargetMode="External"/><Relationship Id="rId1345" Type="http://schemas.openxmlformats.org/officeDocument/2006/relationships/hyperlink" Target="https://checklink.mail.ru/proxy?es=GMbaw9imyAQOqASLBUmANft%2Fyn5bMbD3h4pVHwZNZKM%3D&amp;egid=3AbA0OMwQIRGT16%2FrmW0B2UcMddvORcZIIku83EmBzo%3D&amp;url=https%3A%2F%2Fclick.mail.ru%2Fredir%3Fu%3Dhttps%253A%252F%252Fbarysh.gosuslugi.ru%252Fdeyatelnost%252Fmunitsipalnye-finansy%252Fnarodnyy-byudzhet%252F%26c%3Dswm%26r%3Dhttp%26o%3Dmail%26v%3D3%26s%3D8146e0fc97296664&amp;uidl=16807832161039341018&amp;from=&amp;to=&amp;email=budget-baryshsk%40mail.ru" TargetMode="External"/><Relationship Id="rId147" Type="http://schemas.openxmlformats.org/officeDocument/2006/relationships/hyperlink" Target="https://yam.yanao.ru/documents/active/256110/" TargetMode="External"/><Relationship Id="rId354" Type="http://schemas.openxmlformats.org/officeDocument/2006/relationships/hyperlink" Target="mailto:fo.psh@mail.ru" TargetMode="External"/><Relationship Id="rId799" Type="http://schemas.openxmlformats.org/officeDocument/2006/relationships/hyperlink" Target="https://docs.cntd.ru/document/578008025" TargetMode="External"/><Relationship Id="rId1191" Type="http://schemas.openxmlformats.org/officeDocument/2006/relationships/hyperlink" Target="https://bdex.ru/naselenie/stavropolskiy-kray/n/apanasenkovskiy/" TargetMode="External"/><Relationship Id="rId1205" Type="http://schemas.openxmlformats.org/officeDocument/2006/relationships/hyperlink" Target="https://www.georgievsk.ru/about/admin/economics/strateg/munitsipal-programmy_2019-2024.php" TargetMode="External"/><Relationship Id="rId51" Type="http://schemas.openxmlformats.org/officeDocument/2006/relationships/hyperlink" Target="http://www.adm-vyaz.ru/tinybrowser/files/finupr/2022/Post_23-03-2022_277.zip" TargetMode="External"/><Relationship Id="rId561" Type="http://schemas.openxmlformats.org/officeDocument/2006/relationships/hyperlink" Target="mailto:proletarka05@mail.ru" TargetMode="External"/><Relationship Id="rId659" Type="http://schemas.openxmlformats.org/officeDocument/2006/relationships/hyperlink" Target="http://www.dumadzr.ru/index.php?id_page=6&amp;id_catalog=6200" TargetMode="External"/><Relationship Id="rId866" Type="http://schemas.openxmlformats.org/officeDocument/2006/relationships/hyperlink" Target="mailto:gorfo@samtel.ru" TargetMode="External"/><Relationship Id="rId1289" Type="http://schemas.openxmlformats.org/officeDocument/2006/relationships/hyperlink" Target="https://novgorodstat.gks.ru/storage/mediabank/%D0%A7%D0%B8%D1%81%D0%BB%D0%B5%D0%BD%D0%BD%D0%BE%D1%81%D1%82%D1%8C%20%D0%BD%D0%B0%D1%81%D0%B5%D0%BB%D0%B5%D0%BD%D0%B8%D1%8F%20%D0%BD%D0%B0%201.01.2022%20%D0%B3%D0%BE%D0%B4%D0%B0.pdf" TargetMode="External"/><Relationship Id="rId214" Type="http://schemas.openxmlformats.org/officeDocument/2006/relationships/hyperlink" Target="https://&#1092;&#1080;&#1085;&#1086;&#1090;&#1076;&#1077;&#1083;-&#1103;&#1089;&#1085;&#1099;&#1081;.&#1088;&#1092;/2022god" TargetMode="External"/><Relationship Id="rId298" Type="http://schemas.openxmlformats.org/officeDocument/2006/relationships/hyperlink" Target="https://vk.com/wall-205848157_275" TargetMode="External"/><Relationship Id="rId421" Type="http://schemas.openxmlformats.org/officeDocument/2006/relationships/hyperlink" Target="https://&#1072;&#1076;&#1084;-&#1088;&#1086;&#1076;&#1085;&#1080;&#1082;&#1086;&#1074;&#1089;&#1082;&#1072;&#1103;.&#1088;&#1092;/documents/1930.html" TargetMode="External"/><Relationship Id="rId519" Type="http://schemas.openxmlformats.org/officeDocument/2006/relationships/hyperlink" Target="http://admekaterinovka.ru/category/normotvorcheskaya-deyatelnost/postanovleniya/2021/" TargetMode="External"/><Relationship Id="rId1051" Type="http://schemas.openxmlformats.org/officeDocument/2006/relationships/hyperlink" Target="mailto:o.n.vityuk@usinsk.rkomi.ru" TargetMode="External"/><Relationship Id="rId1149" Type="http://schemas.openxmlformats.org/officeDocument/2006/relationships/hyperlink" Target="http://nvraion.ru/ekonomika-i-finansy/social-economic-district/munitsipalnye-programmy/programm-rayona-na-2014-2020/" TargetMode="External"/><Relationship Id="rId1356" Type="http://schemas.openxmlformats.org/officeDocument/2006/relationships/hyperlink" Target="mailto:kuzmina.mv@ulminfin.ru" TargetMode="External"/><Relationship Id="rId158" Type="http://schemas.openxmlformats.org/officeDocument/2006/relationships/hyperlink" Target="https://www.puradm.ru/one-doc/12513" TargetMode="External"/><Relationship Id="rId726" Type="http://schemas.openxmlformats.org/officeDocument/2006/relationships/hyperlink" Target="mailto:admin_amo@mail.ru" TargetMode="External"/><Relationship Id="rId933" Type="http://schemas.openxmlformats.org/officeDocument/2006/relationships/hyperlink" Target="mailto:administraziy75@mail.ru" TargetMode="External"/><Relationship Id="rId1009" Type="http://schemas.openxmlformats.org/officeDocument/2006/relationships/hyperlink" Target="http://www.adminta.ru/city/ekonomika/strategicheskoe-upravlenie/munitsipalnye-programmy/obshchestvennye-obsuzhdeniya/14101/" TargetMode="External"/><Relationship Id="rId62" Type="http://schemas.openxmlformats.org/officeDocument/2006/relationships/hyperlink" Target="https://omsukchan-adm.ru/inova_block_documentset/document/370896/" TargetMode="External"/><Relationship Id="rId365" Type="http://schemas.openxmlformats.org/officeDocument/2006/relationships/hyperlink" Target="mailto:fu25.165@mail.ru" TargetMode="External"/><Relationship Id="rId572" Type="http://schemas.openxmlformats.org/officeDocument/2006/relationships/hyperlink" Target="https://www.adm-kavkaz.ru/sobranie-deputatov/reshenie-sobranij/resheniya-2020/3741-reshenie-4-ot-08-02-2019-goda-o-peredache-kavkazskomu-selskomu-poseleniyu-kavkazskogo-rajona-proektnoj-dokumentatsii-ob-ekta-gazifikatsii;" TargetMode="External"/><Relationship Id="rId1216" Type="http://schemas.openxmlformats.org/officeDocument/2006/relationships/hyperlink" Target="http://izobadmin.ru/taxonomy/term/345" TargetMode="External"/><Relationship Id="rId225" Type="http://schemas.openxmlformats.org/officeDocument/2006/relationships/hyperlink" Target="https://adamfin.ru/assets/files/documents/Shkolnyi%20budjet/2022/itogi-otbora-proektnyix-predlozhenij-po-proektu-shkolnyij-byudzhet-za-2022-god.pdf" TargetMode="External"/><Relationship Id="rId432" Type="http://schemas.openxmlformats.org/officeDocument/2006/relationships/hyperlink" Target="http://&#1073;&#1077;&#1079;&#1074;&#1086;&#1076;&#1085;&#1086;&#1077;.&#1088;&#1092;/iniciativnoe-byudzhetirovanie-1.html" TargetMode="External"/><Relationship Id="rId877" Type="http://schemas.openxmlformats.org/officeDocument/2006/relationships/hyperlink" Target="https://isakli.ru/documents/priobretenie-i-ustanovka-derevyannoy-gorki-teremok/40-a-ot-25-12-2020-po-po-ib/" TargetMode="External"/><Relationship Id="rId1062" Type="http://schemas.openxmlformats.org/officeDocument/2006/relationships/hyperlink" Target="https://www.kaluga-gov.ru/obshchestvo/initsiativnye-proekty/pravovaya-baza/2740/" TargetMode="External"/><Relationship Id="rId737" Type="http://schemas.openxmlformats.org/officeDocument/2006/relationships/hyperlink" Target="https://kgo66.ru/str-eco/str-eco-inbud/str-eco-inbud-inpr" TargetMode="External"/><Relationship Id="rId944" Type="http://schemas.openxmlformats.org/officeDocument/2006/relationships/hyperlink" Target="http://krotovka.kinel-cherkassy.ru/index.php" TargetMode="External"/><Relationship Id="rId1367" Type="http://schemas.openxmlformats.org/officeDocument/2006/relationships/hyperlink" Target="https://veshkajma-r73.gosweb.gosuslugi.ru/deyatelnost/napravleniya-deyatelnosti/finansy/budgetgr/" TargetMode="External"/><Relationship Id="rId73" Type="http://schemas.openxmlformats.org/officeDocument/2006/relationships/hyperlink" Target="https://df.salekhard.org/byudzhetnaya-initsiativa-grazhdan/2021.php" TargetMode="External"/><Relationship Id="rId169" Type="http://schemas.openxmlformats.org/officeDocument/2006/relationships/hyperlink" Target="https://buzuluk.orb.ru/documents/active/89748/" TargetMode="External"/><Relationship Id="rId376" Type="http://schemas.openxmlformats.org/officeDocument/2006/relationships/hyperlink" Target="https://zhuravskaja.ru/images/docs/2022/07/post2022_111.doc" TargetMode="External"/><Relationship Id="rId583" Type="http://schemas.openxmlformats.org/officeDocument/2006/relationships/hyperlink" Target="mailto:org_adm_kalina@mail.ru" TargetMode="External"/><Relationship Id="rId790" Type="http://schemas.openxmlformats.org/officeDocument/2006/relationships/hyperlink" Target="mailto:trv@g58.tambov.gov.ru" TargetMode="External"/><Relationship Id="rId804" Type="http://schemas.openxmlformats.org/officeDocument/2006/relationships/hyperlink" Target="https://02.rosstat.gov.ru/storage/mediabank/CHislennost-naseleniya-po-municipalnym-rajonam-i-gorodskim-okrugam-Respubliki-%20Bashkortostan-na-1-yanvarya-2022-g-s-uchetom-VPN-2020.pdf" TargetMode="External"/><Relationship Id="rId1227" Type="http://schemas.openxmlformats.org/officeDocument/2006/relationships/hyperlink" Target="https://www.&#1082;&#1086;&#1095;&#1091;&#1073;&#1077;&#1077;&#1074;&#1089;&#1082;&#1080;&#1081;-&#1088;&#1072;&#1081;&#1086;&#1085;.&#1088;&#1092;/strategiya-sotcial-no-e-konomicheskogo-razvitiya-kochubeevskogo-munitcipal-nogo-okruga-stavropol-skogo-kraya-do-2035-goda.html" TargetMode="External"/><Relationship Id="rId4" Type="http://schemas.openxmlformats.org/officeDocument/2006/relationships/hyperlink" Target="https://ok.ru/profile/574795459450" TargetMode="External"/><Relationship Id="rId236" Type="http://schemas.openxmlformats.org/officeDocument/2006/relationships/hyperlink" Target="https://bugraifo.orb.ru/upload/uf/4a1/Reshenie.pdf" TargetMode="External"/><Relationship Id="rId443" Type="http://schemas.openxmlformats.org/officeDocument/2006/relationships/hyperlink" Target="https://disk.yandex.ru/d/MmHCxAIzB7KhFA" TargetMode="External"/><Relationship Id="rId650" Type="http://schemas.openxmlformats.org/officeDocument/2006/relationships/hyperlink" Target="https://dzhankoy.rk.gov.ru/uploads/txteditor/dzhankoy/attachments/d4/1d/8c/d98f00b204e9800998ecf8427e/phpm1golM_&#1084;&#1086;&#1083;&#1086;&#1076;&#1086;&#1077;%20&#1087;&#1086;&#1082;&#1086;&#1083;&#1077;&#1085;&#1080;&#1077;%20&#1048;&#1085;&#1080;&#1094;&#1080;&#1072;&#1090;&#1080;&#1074;&#1085;&#1086;&#1077;%20&#1073;&#1102;&#1076;&#1078;&#1077;&#1090;&#1080;&#1088;&#1086;&#1074;&#1072;&#1085;&#1080;&#1077;%20&#1055;&#1051;&#1040;&#1050;&#1040;&#1090;%202021.jpg" TargetMode="External"/><Relationship Id="rId888" Type="http://schemas.openxmlformats.org/officeDocument/2006/relationships/hyperlink" Target="https://www.kinel-cherkassy.ru/index.php/dokumenty/ofitsialnoe-opublikovanie/39924-postanovlenie-administratsii-kinel-cherkasskogo-rajona-ot-06-02-2023-65" TargetMode="External"/><Relationship Id="rId1073" Type="http://schemas.openxmlformats.org/officeDocument/2006/relationships/hyperlink" Target="mailto:finans@adm-ussuriisk.ru" TargetMode="External"/><Relationship Id="rId1280" Type="http://schemas.openxmlformats.org/officeDocument/2006/relationships/hyperlink" Target="mailto:vomp@adm.nov.ru" TargetMode="External"/><Relationship Id="rId303" Type="http://schemas.openxmlformats.org/officeDocument/2006/relationships/hyperlink" Target="https://vk.com/wall418432023_262" TargetMode="External"/><Relationship Id="rId748" Type="http://schemas.openxmlformats.org/officeDocument/2006/relationships/hyperlink" Target="http://www.tyumendoc.ru/docs/postanovleniya/view-10076" TargetMode="External"/><Relationship Id="rId955" Type="http://schemas.openxmlformats.org/officeDocument/2006/relationships/hyperlink" Target="mailto:Adm.muxanovo.ru@yandex.ru" TargetMode="External"/><Relationship Id="rId1140" Type="http://schemas.openxmlformats.org/officeDocument/2006/relationships/hyperlink" Target="http://shugur.ru/narodnyy-byudzhet.html" TargetMode="External"/><Relationship Id="rId1378" Type="http://schemas.openxmlformats.org/officeDocument/2006/relationships/hyperlink" Target="mailto:karsunzakaz1@rambler.ru" TargetMode="External"/><Relationship Id="rId84" Type="http://schemas.openxmlformats.org/officeDocument/2006/relationships/hyperlink" Target="https://m.vk.com/lbt_yanao_ru" TargetMode="External"/><Relationship Id="rId387" Type="http://schemas.openxmlformats.org/officeDocument/2006/relationships/hyperlink" Target="https://proletarskoe.ru/images/phocagallery/2021/post-2021-N-175.doc" TargetMode="External"/><Relationship Id="rId510" Type="http://schemas.openxmlformats.org/officeDocument/2006/relationships/hyperlink" Target="http://leninskoesp.ru/pages/tselevye-programmy" TargetMode="External"/><Relationship Id="rId594" Type="http://schemas.openxmlformats.org/officeDocument/2006/relationships/hyperlink" Target="https://gy.orb.ru/presscenter/news/50364/" TargetMode="External"/><Relationship Id="rId608" Type="http://schemas.openxmlformats.org/officeDocument/2006/relationships/hyperlink" Target="mailto:velav@mail.orb.ru" TargetMode="External"/><Relationship Id="rId815" Type="http://schemas.openxmlformats.org/officeDocument/2006/relationships/hyperlink" Target="https://otradny.org/upload/iblock/7bc/7bc175f2c67dda090fca1003efa1e173.rar" TargetMode="External"/><Relationship Id="rId1238" Type="http://schemas.openxmlformats.org/officeDocument/2006/relationships/hyperlink" Target="https://stavstat.gks.ru/folder/28386" TargetMode="External"/><Relationship Id="rId247" Type="http://schemas.openxmlformats.org/officeDocument/2006/relationships/hyperlink" Target="mailto:bugraifo@mail.ru" TargetMode="External"/><Relationship Id="rId899" Type="http://schemas.openxmlformats.org/officeDocument/2006/relationships/hyperlink" Target="http://berezniki.ucoz.ru/index/0-2" TargetMode="External"/><Relationship Id="rId1000" Type="http://schemas.openxmlformats.org/officeDocument/2006/relationships/hyperlink" Target="mailto:Khomutovaed@khv27.ru" TargetMode="External"/><Relationship Id="rId1084" Type="http://schemas.openxmlformats.org/officeDocument/2006/relationships/hyperlink" Target="https://www.dumamegion.ru/laws/resheniya/detail.php?ID=9646" TargetMode="External"/><Relationship Id="rId1305" Type="http://schemas.openxmlformats.org/officeDocument/2006/relationships/hyperlink" Target="http://okuladm.ru/documents/21052" TargetMode="External"/><Relationship Id="rId107" Type="http://schemas.openxmlformats.org/officeDocument/2006/relationships/hyperlink" Target="https://vk.com/@-193603247-shkolnoe-iniciativnoe-budzhetirovanie-2021%20%20https:/vk.com/wall-189302525?q=&#1073;&#1102;&#1076;&#1078;&#1077;&#1090;&#1080;&#1088;&#1086;&#1074;&#1072;&#1085;&#1080;&#1077;" TargetMode="External"/><Relationship Id="rId454" Type="http://schemas.openxmlformats.org/officeDocument/2006/relationships/hyperlink" Target="https://23.rosstat.gov.ru/folder/55805" TargetMode="External"/><Relationship Id="rId661" Type="http://schemas.openxmlformats.org/officeDocument/2006/relationships/hyperlink" Target="mailto:paramonova_iv@fin.kreml.nnov.ru" TargetMode="External"/><Relationship Id="rId759" Type="http://schemas.openxmlformats.org/officeDocument/2006/relationships/hyperlink" Target="mailto:org@gorod.amursk.ru" TargetMode="External"/><Relationship Id="rId966" Type="http://schemas.openxmlformats.org/officeDocument/2006/relationships/hyperlink" Target="mailto:adm.podgorny.2010@mail.ru" TargetMode="External"/><Relationship Id="rId1291" Type="http://schemas.openxmlformats.org/officeDocument/2006/relationships/hyperlink" Target="https://adm-krestcy.ru/documents/6103.html" TargetMode="External"/><Relationship Id="rId1389" Type="http://schemas.openxmlformats.org/officeDocument/2006/relationships/hyperlink" Target="https://adm-melekess.gosuslugi.ru/deyatelnost/napravleniya-deyatelnosti/finansovaya-deyatelnost/byudzhet/2022-god/byudzhet-na-2022-god/" TargetMode="External"/><Relationship Id="rId11" Type="http://schemas.openxmlformats.org/officeDocument/2006/relationships/hyperlink" Target="https://belg.gks.ru/" TargetMode="External"/><Relationship Id="rId314" Type="http://schemas.openxmlformats.org/officeDocument/2006/relationships/hyperlink" Target="https://tu.orb.ru/documents/active/81959/" TargetMode="External"/><Relationship Id="rId398" Type="http://schemas.openxmlformats.org/officeDocument/2006/relationships/hyperlink" Target="http://&#1072;&#1076;&#1084;-&#1080;&#1074;&#1072;&#1085;&#1086;&#1074;&#1089;&#1082;&#1072;&#1103;.&#1088;&#1092;/documents/1523%7Bpage-3%7D.html" TargetMode="External"/><Relationship Id="rId521" Type="http://schemas.openxmlformats.org/officeDocument/2006/relationships/hyperlink" Target="http://starscherb.ru/2021/Iniciati_proekt/281_ot_28.10.2021-lozinskaja.doc" TargetMode="External"/><Relationship Id="rId619" Type="http://schemas.openxmlformats.org/officeDocument/2006/relationships/hyperlink" Target="https://karaidel.bashkortostan.ru/presscenter/news/357766/" TargetMode="External"/><Relationship Id="rId1151" Type="http://schemas.openxmlformats.org/officeDocument/2006/relationships/hyperlink" Target="http://nvraion.ru/ekonomika-i-finansy/initsiativnoe-byudzhetirovanie/" TargetMode="External"/><Relationship Id="rId1249" Type="http://schemas.openxmlformats.org/officeDocument/2006/relationships/hyperlink" Target="http://newalexandrovsk.ru/initsiativnoe-byudzhetirovanie/info/" TargetMode="External"/><Relationship Id="rId95" Type="http://schemas.openxmlformats.org/officeDocument/2006/relationships/hyperlink" Target="mailto:kulikova.em@nur.yanao.ru" TargetMode="External"/><Relationship Id="rId160" Type="http://schemas.openxmlformats.org/officeDocument/2006/relationships/hyperlink" Target="https://selkup.yanao.ru/documents/active/106983/" TargetMode="External"/><Relationship Id="rId826" Type="http://schemas.openxmlformats.org/officeDocument/2006/relationships/hyperlink" Target="http://www.pohgor.ru/economyka/strategiya-razvitiya-2030/npa/" TargetMode="External"/><Relationship Id="rId1011" Type="http://schemas.openxmlformats.org/officeDocument/2006/relationships/hyperlink" Target="https://11.rosstat.gov.ru/vpn2020" TargetMode="External"/><Relationship Id="rId1109" Type="http://schemas.openxmlformats.org/officeDocument/2006/relationships/hyperlink" Target="http://admkonda.ru/kondinskoe-tcelevye-programmy.html" TargetMode="External"/><Relationship Id="rId258" Type="http://schemas.openxmlformats.org/officeDocument/2006/relationships/hyperlink" Target="mailto:velav@mail.orb.ru" TargetMode="External"/><Relationship Id="rId465" Type="http://schemas.openxmlformats.org/officeDocument/2006/relationships/hyperlink" Target="http://golubitskoe.ru/%D0%B4%D0%BE%D0%BA%D1%83%D0%BC%D0%B5%D0%BD%D1%82%D1%8B/postanovlenija/%D0%BF%D0%BE%D1%81%D1%82%D0%B0%D0%BD%D0%BE%D0%B2%D0%BB%D0%B5%D0%BD%D0%B8%D1%8F-2022.html" TargetMode="External"/><Relationship Id="rId672" Type="http://schemas.openxmlformats.org/officeDocument/2006/relationships/hyperlink" Target="mailto:paramonova_iv@fin.kreml.nnov.ru" TargetMode="External"/><Relationship Id="rId1095" Type="http://schemas.openxmlformats.org/officeDocument/2006/relationships/hyperlink" Target="https://admsurgut.ru/rubric/24175/Iniciativnye-proekty" TargetMode="External"/><Relationship Id="rId1316" Type="http://schemas.openxmlformats.org/officeDocument/2006/relationships/hyperlink" Target="https://disk.yandex.ru/i/rzhmmNjAlE-1Kg" TargetMode="External"/><Relationship Id="rId22" Type="http://schemas.openxmlformats.org/officeDocument/2006/relationships/hyperlink" Target="mailto:svod2@beldepfin.ru" TargetMode="External"/><Relationship Id="rId118" Type="http://schemas.openxmlformats.org/officeDocument/2006/relationships/hyperlink" Target="https://www.gubadm.ru/activity/14305/" TargetMode="External"/><Relationship Id="rId325" Type="http://schemas.openxmlformats.org/officeDocument/2006/relationships/hyperlink" Target="https://cherinfo-doc.ru/resolution/85077-resenie-cerepoveckoj-gorodskoj-dumy-ot-06122016-no-242-ob-utverzdenii-strategii-socialno-ekonomiceskogo-razvitia-goroda-cerepovc" TargetMode="External"/><Relationship Id="rId532" Type="http://schemas.openxmlformats.org/officeDocument/2006/relationships/hyperlink" Target="mailto:e.zykina@gov39.ru" TargetMode="External"/><Relationship Id="rId977" Type="http://schemas.openxmlformats.org/officeDocument/2006/relationships/hyperlink" Target="http://adm-timashevo.ru/" TargetMode="External"/><Relationship Id="rId1162" Type="http://schemas.openxmlformats.org/officeDocument/2006/relationships/hyperlink" Target="https://www.arhcity.ru/?page=2373/6" TargetMode="External"/><Relationship Id="rId171" Type="http://schemas.openxmlformats.org/officeDocument/2006/relationships/hyperlink" Target="https://buzuluk.orb.ru/activity/23687/" TargetMode="External"/><Relationship Id="rId837" Type="http://schemas.openxmlformats.org/officeDocument/2006/relationships/hyperlink" Target="mailto:TitovDY@samadm.ru" TargetMode="External"/><Relationship Id="rId1022" Type="http://schemas.openxmlformats.org/officeDocument/2006/relationships/hyperlink" Target="http://&#1074;&#1086;&#1088;&#1082;&#1091;&#1090;&#1072;.&#1088;&#1092;/regulatory/?ELEMENT_ID=23895" TargetMode="External"/><Relationship Id="rId269" Type="http://schemas.openxmlformats.org/officeDocument/2006/relationships/hyperlink" Target="https://krasnogvardfo.ru/assets/files/%D0%9C%D1%83%D0%BD%D0%B8%D1%86%D0%B8%D0%BF%D0%B0%D0%BB%D1%8C%D0%BD%D1%8B%D0%B5%20%D0%BF%D1%80%D0%BE%D0%B3%D1%80%D0%B0%D0%BC%D0%BC%D1%8B/1-na-sajt.rar" TargetMode="External"/><Relationship Id="rId476" Type="http://schemas.openxmlformats.org/officeDocument/2006/relationships/hyperlink" Target="https://admkrasnostrelskaya.ru/index.php?id=219&amp;page=invbud" TargetMode="External"/><Relationship Id="rId683" Type="http://schemas.openxmlformats.org/officeDocument/2006/relationships/hyperlink" Target="https://kstovo-adm.ru/regulatory/34479/" TargetMode="External"/><Relationship Id="rId890" Type="http://schemas.openxmlformats.org/officeDocument/2006/relationships/hyperlink" Target="https://samarastat.gks.ru/population" TargetMode="External"/><Relationship Id="rId904" Type="http://schemas.openxmlformats.org/officeDocument/2006/relationships/hyperlink" Target="http://erzovka.kinel-cherkassy.ru/" TargetMode="External"/><Relationship Id="rId1327" Type="http://schemas.openxmlformats.org/officeDocument/2006/relationships/hyperlink" Target="mailto:pimenovaiv@minfin.omskportal.ru" TargetMode="External"/><Relationship Id="rId33" Type="http://schemas.openxmlformats.org/officeDocument/2006/relationships/hyperlink" Target="https://yakovgo.gosuslugi.ru/ofitsialno/dokumenty/dokumenty-all-2494_1860.html" TargetMode="External"/><Relationship Id="rId129" Type="http://schemas.openxmlformats.org/officeDocument/2006/relationships/hyperlink" Target="http://gasu.gov.ru/sp/sp-stratdocs/rest/file/download/454068601" TargetMode="External"/><Relationship Id="rId336" Type="http://schemas.openxmlformats.org/officeDocument/2006/relationships/hyperlink" Target="mailto:mahoshevka@mail.ru" TargetMode="External"/><Relationship Id="rId543" Type="http://schemas.openxmlformats.org/officeDocument/2006/relationships/hyperlink" Target="https://40.rosstat.gov.ru/storage/mediabank/&#1090;&#1072;&#1073;&#1083;+5(1).pdf" TargetMode="External"/><Relationship Id="rId988" Type="http://schemas.openxmlformats.org/officeDocument/2006/relationships/hyperlink" Target="https://mmal-11.samgd.ru/acts/decisions/76333/" TargetMode="External"/><Relationship Id="rId1173" Type="http://schemas.openxmlformats.org/officeDocument/2006/relationships/hyperlink" Target="https://vk.com/wall-179945354?q=%D0%B8%D0%BD%D0%B8%D1%86%D0%B8%D0%B0%D1%82%D0%B8%D0%B2%D0%BD%D1%8B%D0%B5%20%D0%BF%D1%80%D0%BE%D0%B5%D0%BA%D1%82%D1%8B&amp;w=wall-179945354_10938" TargetMode="External"/><Relationship Id="rId1380" Type="http://schemas.openxmlformats.org/officeDocument/2006/relationships/hyperlink" Target="https://73.rosstat.gov.ru/search?" TargetMode="External"/><Relationship Id="rId182" Type="http://schemas.openxmlformats.org/officeDocument/2006/relationships/hyperlink" Target="http://&#1073;&#1091;&#1079;&#1091;&#1083;&#1091;&#1082;-&#1087;&#1088;&#1072;&#1074;&#1086;.&#1088;&#1092;/node/4713" TargetMode="External"/><Relationship Id="rId403" Type="http://schemas.openxmlformats.org/officeDocument/2006/relationships/hyperlink" Target="mailto:oktpos@mail.ru" TargetMode="External"/><Relationship Id="rId750" Type="http://schemas.openxmlformats.org/officeDocument/2006/relationships/hyperlink" Target="https://rosstat.gov.ru/storage/mediabank/Chisl_nasel_RF_MO_01-01-2022.xlsx" TargetMode="External"/><Relationship Id="rId848" Type="http://schemas.openxmlformats.org/officeDocument/2006/relationships/hyperlink" Target="mailto:EmeljanovaTN@samadm.ru" TargetMode="External"/><Relationship Id="rId1033" Type="http://schemas.openxmlformats.org/officeDocument/2006/relationships/hyperlink" Target="mailto:byudjet@pechora.rkomi.ru" TargetMode="External"/><Relationship Id="rId487" Type="http://schemas.openxmlformats.org/officeDocument/2006/relationships/hyperlink" Target="http://&#1072;&#1076;&#1084;-&#1090;&#1072;&#1084;&#1072;&#1085;&#1100;.&#1088;&#1092;/images/SMI/proekt/&#1055;&#1086;&#1089;&#1090;%20335%20&#1086;&#1090;%2007.10.2022%20&#1089;&#1086;&#1075;&#1083;&#1072;&#1089;&#1080;&#1090;%20&#1082;&#1086;&#1084;&#1080;&#1089;&#1089;&#1080;&#1103;.pdf" TargetMode="External"/><Relationship Id="rId610" Type="http://schemas.openxmlformats.org/officeDocument/2006/relationships/hyperlink" Target="http://sakmara_ru@mail.ru" TargetMode="External"/><Relationship Id="rId694" Type="http://schemas.openxmlformats.org/officeDocument/2006/relationships/hyperlink" Target="https://www.penza-gorod.ru/line_of_activity/public_self_government/konkurs-sotsialno-znachimykh-proektov-napravlennykh-na-razvitie-territorialnogo-obshchestvennogo-sam/2022-god/" TargetMode="External"/><Relationship Id="rId708" Type="http://schemas.openxmlformats.org/officeDocument/2006/relationships/hyperlink" Target="https://spasskd.ru/index.php/initsiativnoe-byudzhetirovanie" TargetMode="External"/><Relationship Id="rId915" Type="http://schemas.openxmlformats.org/officeDocument/2006/relationships/hyperlink" Target="http://kabanovka.kinel-cherkassy.ru/?p=7952" TargetMode="External"/><Relationship Id="rId1240" Type="http://schemas.openxmlformats.org/officeDocument/2006/relationships/hyperlink" Target="https://www.angosk.ru/attachments/article/10123/955%20%D0%BA%D0%BE%D0%BC%D0%B8%D1%81%D1%81%D0%B8%D1%8F_%D0%BE%D1%82%D0%B1%D0%BE%D1%80%20%D0%BA%D0%BE%D0%BD%D0%BA%D1%83%D1%80%D1%81%D0%BD.%D0%BF%D1%80%D0%BE%D0%B5%D0%BA%D1%82%D0%BE%D0%B2.pdf" TargetMode="External"/><Relationship Id="rId1338" Type="http://schemas.openxmlformats.org/officeDocument/2006/relationships/hyperlink" Target="https://bsizgan.gosuslugi.ru/ofitsialno/dokumenty/rsd-bgp/rsd-bgp-2021/dokumenty_1254.html" TargetMode="External"/><Relationship Id="rId347" Type="http://schemas.openxmlformats.org/officeDocument/2006/relationships/hyperlink" Target="https://adm-yaroslavskogo.ru/&#1087;&#1088;&#1086;&#1077;&#1082;&#1090;&#1099;-&#1084;&#1077;&#1089;&#1090;&#1085;&#1099;&#1093;-&#1080;&#1085;&#1080;&#1094;&#1080;&#1072;&#1090;&#1080;&#1074;" TargetMode="External"/><Relationship Id="rId999" Type="http://schemas.openxmlformats.org/officeDocument/2006/relationships/hyperlink" Target="https://samarastat.gks.ru/population" TargetMode="External"/><Relationship Id="rId1100" Type="http://schemas.openxmlformats.org/officeDocument/2006/relationships/hyperlink" Target="https://www.n-vartovsk.ru/documents/" TargetMode="External"/><Relationship Id="rId1184" Type="http://schemas.openxmlformats.org/officeDocument/2006/relationships/hyperlink" Target="https://aleksadmin.ru/initsiativnoe-byudzhetirovanie/mestnye-praktiki/" TargetMode="External"/><Relationship Id="rId1405" Type="http://schemas.openxmlformats.org/officeDocument/2006/relationships/hyperlink" Target="https://73.rosstat.gov.ru/folder/40275" TargetMode="External"/><Relationship Id="rId44" Type="http://schemas.openxmlformats.org/officeDocument/2006/relationships/hyperlink" Target="mailto:finu@gusr.ru" TargetMode="External"/><Relationship Id="rId554" Type="http://schemas.openxmlformats.org/officeDocument/2006/relationships/hyperlink" Target="https://43.rosstat.gov.ru/main_indicators" TargetMode="External"/><Relationship Id="rId761" Type="http://schemas.openxmlformats.org/officeDocument/2006/relationships/hyperlink" Target="https://divnogorsk.gosuslugi.ru/ofitsialno/dokumenty/arhiv-dokumentov/arhiv-resheniy-gorodskogo-soveta/resheniya-gorodskogo-soveta-2021-god/postanovleniya-2021_604.html" TargetMode="External"/><Relationship Id="rId859" Type="http://schemas.openxmlformats.org/officeDocument/2006/relationships/hyperlink" Target="https://samarastat.gks.ru/population" TargetMode="External"/><Relationship Id="rId1391" Type="http://schemas.openxmlformats.org/officeDocument/2006/relationships/hyperlink" Target="https://veshkajma-r73.gosweb.gosuslugi.ru/deyatelnost/napravleniya-deyatelnosti/finansy/budgetgr/" TargetMode="External"/><Relationship Id="rId193" Type="http://schemas.openxmlformats.org/officeDocument/2006/relationships/hyperlink" Target="https://vk.com/profm56" TargetMode="External"/><Relationship Id="rId207" Type="http://schemas.openxmlformats.org/officeDocument/2006/relationships/hyperlink" Target="http://www.gfo-sorochinsk.ru/tshb" TargetMode="External"/><Relationship Id="rId414" Type="http://schemas.openxmlformats.org/officeDocument/2006/relationships/hyperlink" Target="mailto:a.smaglyuk@krd.ru" TargetMode="External"/><Relationship Id="rId498" Type="http://schemas.openxmlformats.org/officeDocument/2006/relationships/hyperlink" Target="http://admrogovskaya.ru/" TargetMode="External"/><Relationship Id="rId621" Type="http://schemas.openxmlformats.org/officeDocument/2006/relationships/hyperlink" Target="https://02.rosstat.gov.ru/storage/mediabank/CHislennost-naseleniya-po-municipalnym-rajonam-i-gorodskim-okrugam-Respubliki-%20Bashkortostan-na-1-yanvarya-2022-g-s-uchetom-VPN-2020.pdf" TargetMode="External"/><Relationship Id="rId1044" Type="http://schemas.openxmlformats.org/officeDocument/2006/relationships/hyperlink" Target="http://&#1091;&#1089;&#1090;&#1100;-&#1082;&#1091;&#1083;&#1086;&#1084;.&#1088;&#1092;/city/narodnye-initsiativy/" TargetMode="External"/><Relationship Id="rId1251" Type="http://schemas.openxmlformats.org/officeDocument/2006/relationships/hyperlink" Target="mailto:fiupravlenie@yandex.ru" TargetMode="External"/><Relationship Id="rId1349" Type="http://schemas.openxmlformats.org/officeDocument/2006/relationships/hyperlink" Target="https://73.rosstat.gov.ru/folder/40275" TargetMode="External"/><Relationship Id="rId260" Type="http://schemas.openxmlformats.org/officeDocument/2006/relationships/hyperlink" Target="https://grach-rf.orb.ru/documents/active/74643/" TargetMode="External"/><Relationship Id="rId719" Type="http://schemas.openxmlformats.org/officeDocument/2006/relationships/hyperlink" Target="mailto:Fin561@bk.ru" TargetMode="External"/><Relationship Id="rId926" Type="http://schemas.openxmlformats.org/officeDocument/2006/relationships/hyperlink" Target="https://samarastat.gks.ru/population" TargetMode="External"/><Relationship Id="rId1111" Type="http://schemas.openxmlformats.org/officeDocument/2006/relationships/hyperlink" Target="http://www.admkonda.ru/2022-nb.html" TargetMode="External"/><Relationship Id="rId55" Type="http://schemas.openxmlformats.org/officeDocument/2006/relationships/hyperlink" Target="https://vk.com/video-186108534_456239992?list=c00328f21a03e76cd2" TargetMode="External"/><Relationship Id="rId120" Type="http://schemas.openxmlformats.org/officeDocument/2006/relationships/hyperlink" Target="https://disk.yandex.ru/d/CmMsm_ql0UsX5Q" TargetMode="External"/><Relationship Id="rId358" Type="http://schemas.openxmlformats.org/officeDocument/2006/relationships/hyperlink" Target="https://privoladm.ru/initsiativnoe-byudzhetirovanie" TargetMode="External"/><Relationship Id="rId565" Type="http://schemas.openxmlformats.org/officeDocument/2006/relationships/hyperlink" Target="mailto:kurfin@mail.ru" TargetMode="External"/><Relationship Id="rId772" Type="http://schemas.openxmlformats.org/officeDocument/2006/relationships/hyperlink" Target="http://www.admse.ru/upload/iblock/a92/oxg028k3a7ukc8ju1x22ddfwb0qdt5iu.xls" TargetMode="External"/><Relationship Id="rId1195" Type="http://schemas.openxmlformats.org/officeDocument/2006/relationships/hyperlink" Target="http://abgosk.ru/finansy/initsiativnoe-byudzhetirovanie/normativno-pravovaya-baza/normativno-pravovaya-baza.php" TargetMode="External"/><Relationship Id="rId1209" Type="http://schemas.openxmlformats.org/officeDocument/2006/relationships/hyperlink" Target="https://www.georgievsk.ru/mestnye-initsiativy/budjetirovanie/1895_22_06_2021.doc" TargetMode="External"/><Relationship Id="rId218" Type="http://schemas.openxmlformats.org/officeDocument/2006/relationships/hyperlink" Target="https://adamfin.ru/assets/files/1oldfile/Postanovlenie_13.03.2021_175-p-Narodnyy-byudzhet.PDF" TargetMode="External"/><Relationship Id="rId425" Type="http://schemas.openxmlformats.org/officeDocument/2006/relationships/hyperlink" Target="https://&#1082;&#1086;&#1085;&#1089;&#1090;&#1072;&#1085;&#1090;&#1080;&#1085;&#1086;&#1074;&#1089;&#1082;&#1086;&#1077;-&#1089;&#1087;.&#1088;&#1092;/documents/1530.html" TargetMode="External"/><Relationship Id="rId632" Type="http://schemas.openxmlformats.org/officeDocument/2006/relationships/hyperlink" Target="https://dzhankoy.rk.gov.ru/uploads/txteditor/dzhankoy/attachments/d4/1d/8c/d98f00b204e9800998ecf8427e/phpgZYxU7_189.pdf" TargetMode="External"/><Relationship Id="rId1055" Type="http://schemas.openxmlformats.org/officeDocument/2006/relationships/hyperlink" Target="https://www.gks.ru/scripts/db_inet2/passport/table.aspx?opt=877250002022" TargetMode="External"/><Relationship Id="rId1262" Type="http://schemas.openxmlformats.org/officeDocument/2006/relationships/hyperlink" Target="https://pmosk.ru/archives/5711" TargetMode="External"/><Relationship Id="rId271" Type="http://schemas.openxmlformats.org/officeDocument/2006/relationships/hyperlink" Target="https://krasnogvardfo.ru/assets/files/%D0%9D%D0%B0%D1%80%D0%BE%D0%B4%D0%BD%D1%8B%D0%B9%20%D0%B1%D1%8E%D0%B4%D0%B6%D0%B5%D1%82/1-itogi-narodnyij-byudzhet-2022.rar" TargetMode="External"/><Relationship Id="rId937" Type="http://schemas.openxmlformats.org/officeDocument/2006/relationships/hyperlink" Target="http://krotovka.kinel-cherkassy.ru/images/files/blagoustroystvo_Krotovka.doc" TargetMode="External"/><Relationship Id="rId1122" Type="http://schemas.openxmlformats.org/officeDocument/2006/relationships/hyperlink" Target="mailto:adm-mortka@maii.ru" TargetMode="External"/><Relationship Id="rId66" Type="http://schemas.openxmlformats.org/officeDocument/2006/relationships/hyperlink" Target="https://omsukchan-adm.ru/inova_block_documentset/document/330471/" TargetMode="External"/><Relationship Id="rId131" Type="http://schemas.openxmlformats.org/officeDocument/2006/relationships/hyperlink" Target="https://rosstat.gov.ru/compendium/document/13282" TargetMode="External"/><Relationship Id="rId369" Type="http://schemas.openxmlformats.org/officeDocument/2006/relationships/hyperlink" Target="https://sovet.korenovsk.ru/wp-content/files/__37__23.12.2020_._.pdf" TargetMode="External"/><Relationship Id="rId576" Type="http://schemas.openxmlformats.org/officeDocument/2006/relationships/hyperlink" Target="https://vk.com/club211208773?w=wall-211208773_52%2Fall" TargetMode="External"/><Relationship Id="rId783" Type="http://schemas.openxmlformats.org/officeDocument/2006/relationships/hyperlink" Target="http://finupr.dalmatovo.su/images/finupr/reshenie_dumi_112_2021.zip" TargetMode="External"/><Relationship Id="rId990" Type="http://schemas.openxmlformats.org/officeDocument/2006/relationships/hyperlink" Target="https://kadm63.ru/Selo/Chetyrovka/NPA_Sobr_Pred/R_SP_SP_Chetirovka_44_15-06-2021.pdf" TargetMode="External"/><Relationship Id="rId229" Type="http://schemas.openxmlformats.org/officeDocument/2006/relationships/hyperlink" Target="https://asfin56.ru/assets/files/documents/2021/1/postanovlenie.doc" TargetMode="External"/><Relationship Id="rId436" Type="http://schemas.openxmlformats.org/officeDocument/2006/relationships/hyperlink" Target="mailto:fin@labinsk-city.ru" TargetMode="External"/><Relationship Id="rId643" Type="http://schemas.openxmlformats.org/officeDocument/2006/relationships/hyperlink" Target="mailto:perovskiy-sov@mail.ru" TargetMode="External"/><Relationship Id="rId1066" Type="http://schemas.openxmlformats.org/officeDocument/2006/relationships/hyperlink" Target="mailto:Lapo@fin.admkrsk.ru" TargetMode="External"/><Relationship Id="rId1273" Type="http://schemas.openxmlformats.org/officeDocument/2006/relationships/hyperlink" Target="mailto:fintrunov@yandex.ru" TargetMode="External"/><Relationship Id="rId850" Type="http://schemas.openxmlformats.org/officeDocument/2006/relationships/hyperlink" Target="http://kuibishevskiy.gordumasamara.ru/wp-content/uploads/2021/02/%D0%A0%D0%B5%D1%88%D0%B5%D0%BD%D0%B8%D0%B5-%D0%BE%D1%82-16.02.2021-%E2%84%9635.pdf" TargetMode="External"/><Relationship Id="rId948" Type="http://schemas.openxmlformats.org/officeDocument/2006/relationships/hyperlink" Target="https://samarastat.gks.ru/" TargetMode="External"/><Relationship Id="rId1133" Type="http://schemas.openxmlformats.org/officeDocument/2006/relationships/hyperlink" Target="mailto:admkuma@yandex.ru" TargetMode="External"/><Relationship Id="rId77" Type="http://schemas.openxmlformats.org/officeDocument/2006/relationships/hyperlink" Target="https://dflbt.yanao.ru/documents/other/253954" TargetMode="External"/><Relationship Id="rId282" Type="http://schemas.openxmlformats.org/officeDocument/2006/relationships/hyperlink" Target="http://finotd_no@mail.orb.ru" TargetMode="External"/><Relationship Id="rId503" Type="http://schemas.openxmlformats.org/officeDocument/2006/relationships/hyperlink" Target="mailto:orgkad205@mail.ru" TargetMode="External"/><Relationship Id="rId587" Type="http://schemas.openxmlformats.org/officeDocument/2006/relationships/hyperlink" Target="mailto:grigorevskoesp@sevadm.ru" TargetMode="External"/><Relationship Id="rId710" Type="http://schemas.openxmlformats.org/officeDocument/2006/relationships/hyperlink" Target="https://spasskd.ru/images/files/2022/ago/04/foto_mestnaya_iniciativa.jpg" TargetMode="External"/><Relationship Id="rId808" Type="http://schemas.openxmlformats.org/officeDocument/2006/relationships/hyperlink" Target="mailto:kochetkova.e@bashkortostan.ru" TargetMode="External"/><Relationship Id="rId1340" Type="http://schemas.openxmlformats.org/officeDocument/2006/relationships/hyperlink" Target="http://bsizgan.ulregion.ru/econom/bjudzhet_rajona/narod-budzhet.html" TargetMode="External"/><Relationship Id="rId8" Type="http://schemas.openxmlformats.org/officeDocument/2006/relationships/hyperlink" Target="https://volokonovskij-r31.gosweb.gosuslugi.ru/" TargetMode="External"/><Relationship Id="rId142" Type="http://schemas.openxmlformats.org/officeDocument/2006/relationships/hyperlink" Target="http://&#1087;&#1088;&#1080;&#1091;&#1088;&#1072;&#1083;&#1100;&#1089;&#1082;&#1080;&#1081;&#1088;&#1072;&#1081;&#1086;&#1085;.&#1088;&#1092;/economy/initsiativnoe-byudzhetirovanie/" TargetMode="External"/><Relationship Id="rId447" Type="http://schemas.openxmlformats.org/officeDocument/2006/relationships/hyperlink" Target="https://severskoe.sevadm.ru/about/initsiativnye-proekty/" TargetMode="External"/><Relationship Id="rId794" Type="http://schemas.openxmlformats.org/officeDocument/2006/relationships/hyperlink" Target="mailto:org@admkirov.ru" TargetMode="External"/><Relationship Id="rId1077" Type="http://schemas.openxmlformats.org/officeDocument/2006/relationships/hyperlink" Target="https://uray.ru/strategiya-razvitiya/municipalnye-programmy/" TargetMode="External"/><Relationship Id="rId1200" Type="http://schemas.openxmlformats.org/officeDocument/2006/relationships/hyperlink" Target="https://rosstat.gov.ru/compendium/document/13282" TargetMode="External"/><Relationship Id="rId654" Type="http://schemas.openxmlformats.org/officeDocument/2006/relationships/hyperlink" Target="https://82.rosstat.gov.ru/storage/mediabank/&#1057;&#1088;&#1077;&#1076;&#1085;&#1077;&#1075;&#1086;&#1076;&#1086;&#1074;&#1072;&#1103;%20&#1085;&#1072;%20&#1089;&#1072;&#1081;&#1090;%202022(2).pd" TargetMode="External"/><Relationship Id="rId861" Type="http://schemas.openxmlformats.org/officeDocument/2006/relationships/hyperlink" Target="https://tgl.ru/documentation/obj?obj=35118" TargetMode="External"/><Relationship Id="rId959" Type="http://schemas.openxmlformats.org/officeDocument/2006/relationships/hyperlink" Target="http://novyekluchi.kinel-cherkassy.ru/" TargetMode="External"/><Relationship Id="rId1284" Type="http://schemas.openxmlformats.org/officeDocument/2006/relationships/hyperlink" Target="http://komobrkrr.edusite.ru/p26aa1detales203.html" TargetMode="External"/><Relationship Id="rId293" Type="http://schemas.openxmlformats.org/officeDocument/2006/relationships/hyperlink" Target="mailto:velav@mail.orb.ru" TargetMode="External"/><Relationship Id="rId307" Type="http://schemas.openxmlformats.org/officeDocument/2006/relationships/hyperlink" Target="http://fintotsk.ru/file/download/1628" TargetMode="External"/><Relationship Id="rId514" Type="http://schemas.openxmlformats.org/officeDocument/2006/relationships/hyperlink" Target="mailto:zheleznoe_sp@mail.ru" TargetMode="External"/><Relationship Id="rId721" Type="http://schemas.openxmlformats.org/officeDocument/2006/relationships/hyperlink" Target="https://mo-lgo.ru/documents/?mode=edit&amp;list_id=46&amp;section_id=188&amp;element_id=37325&amp;list_section_id=188" TargetMode="External"/><Relationship Id="rId1144" Type="http://schemas.openxmlformats.org/officeDocument/2006/relationships/hyperlink" Target="mailto:leushi@mail.ru" TargetMode="External"/><Relationship Id="rId1351" Type="http://schemas.openxmlformats.org/officeDocument/2006/relationships/hyperlink" Target="mailto:finupr.adm.vesh@mail.ru" TargetMode="External"/><Relationship Id="rId88" Type="http://schemas.openxmlformats.org/officeDocument/2006/relationships/hyperlink" Target="https://www.newurengoy.ru/doc/19695-ob-utverzhdenii-polozheniya-o-realizacii-proekta-shkolnogo-iniciativnogo-partisipatornogo-byudzhetirovaniya-klass.html" TargetMode="External"/><Relationship Id="rId153" Type="http://schemas.openxmlformats.org/officeDocument/2006/relationships/hyperlink" Target="https://tasu.ru/ekonomika-i-finansy/initsiativnoe-byudzhetirovanie/normativno-pravovye-akty/normativno-pravovye-akty-2021-goda/" TargetMode="External"/><Relationship Id="rId360" Type="http://schemas.openxmlformats.org/officeDocument/2006/relationships/hyperlink" Target="https://privoladm.ru/initsiativnoe-byudzhetirovanie" TargetMode="External"/><Relationship Id="rId598" Type="http://schemas.openxmlformats.org/officeDocument/2006/relationships/hyperlink" Target="https://&#1092;&#1080;&#1085;&#1086;&#1090;&#1076;&#1077;&#1083;-&#1103;&#1089;&#1085;&#1099;&#1081;.&#1088;&#1092;/npa1" TargetMode="External"/><Relationship Id="rId819" Type="http://schemas.openxmlformats.org/officeDocument/2006/relationships/hyperlink" Target="https://otradny.org/upload/iblock/1f3/1f3df8aa53ea75199261fa1fcc0289b8.docx" TargetMode="External"/><Relationship Id="rId1004" Type="http://schemas.openxmlformats.org/officeDocument/2006/relationships/hyperlink" Target="https://habstat.gks.ru/storage/mediabank/&#1063;&#1080;&#1089;&#1083;&#1077;&#1085;&#1085;&#1086;&#1089;&#1090;&#1100;%20&#1085;&#1072;&#1089;&#1077;&#1083;&#1077;&#1085;&#1080;&#1103;%20&#1061;&#1072;&#1073;&#1072;&#1088;&#1086;&#1074;&#1089;&#1082;&#1086;&#1075;&#1086;%20&#1082;&#1088;&#1072;&#1103;%20&#1087;&#1086;%20&#1084;&#1091;&#1085;&#1080;&#1094;&#1080;&#1087;&#1072;&#1083;&#1100;&#1085;&#1099;&#1084;%20&#1086;&#1073;&#1088;&#1072;&#1079;&#1086;&#1074;&#1072;&#1085;&#1080;&#1103;&#1084;%20&#1085;&#1072;%201%20&#1103;&#1085;&#1074;&#1072;&#1088;&#1103;%202022%20&#1075;&#1086;&#1076;&#1072;.pdf" TargetMode="External"/><Relationship Id="rId1211" Type="http://schemas.openxmlformats.org/officeDocument/2006/relationships/hyperlink" Target="https://georgievsk.ru/mestnye-initsiativy/budjetirovanie/nashokrug.jpg" TargetMode="External"/><Relationship Id="rId220" Type="http://schemas.openxmlformats.org/officeDocument/2006/relationships/hyperlink" Target="https://www.gks.ru/scripts/db_inet2/passport/pass.aspx?base=munst53&amp;r=53604000" TargetMode="External"/><Relationship Id="rId458" Type="http://schemas.openxmlformats.org/officeDocument/2006/relationships/hyperlink" Target="https://www.temryuk.ru/nash-rayon/initsiativnoe-byudzhetirovanie/normativno-pravovye-akty/2022-god/" TargetMode="External"/><Relationship Id="rId665" Type="http://schemas.openxmlformats.org/officeDocument/2006/relationships/hyperlink" Target="mailto:vachaganchik@mail.ru" TargetMode="External"/><Relationship Id="rId872" Type="http://schemas.openxmlformats.org/officeDocument/2006/relationships/hyperlink" Target="mailto:admspisakly@yandex.ru" TargetMode="External"/><Relationship Id="rId1088" Type="http://schemas.openxmlformats.org/officeDocument/2006/relationships/hyperlink" Target="https://admmegion.ru/gov/laws/index.php?ELEMENT_ID=369346" TargetMode="External"/><Relationship Id="rId1295" Type="http://schemas.openxmlformats.org/officeDocument/2006/relationships/hyperlink" Target="https://komobrlub.edusite.ru/p94aa1.html" TargetMode="External"/><Relationship Id="rId1309" Type="http://schemas.openxmlformats.org/officeDocument/2006/relationships/hyperlink" Target="https://sbor.ru/economy/soceconrazv/inform" TargetMode="External"/><Relationship Id="rId15" Type="http://schemas.openxmlformats.org/officeDocument/2006/relationships/hyperlink" Target="mailto:org-otdel33@yandex.ru" TargetMode="External"/><Relationship Id="rId318" Type="http://schemas.openxmlformats.org/officeDocument/2006/relationships/hyperlink" Target="https://tu.orb.ru/activity/20630/" TargetMode="External"/><Relationship Id="rId525" Type="http://schemas.openxmlformats.org/officeDocument/2006/relationships/hyperlink" Target="http://starscherb.ru/" TargetMode="External"/><Relationship Id="rId732" Type="http://schemas.openxmlformats.org/officeDocument/2006/relationships/hyperlink" Target="http://&#1080;&#1085;&#1080;&#1094;&#1080;&#1072;&#1090;&#1080;&#1074;&#1072;.&#1077;&#1082;&#1072;&#1090;&#1077;&#1088;&#1080;&#1085;&#1073;&#1091;&#1088;&#1075;.&#1088;&#1092;/about/documents" TargetMode="External"/><Relationship Id="rId1155" Type="http://schemas.openxmlformats.org/officeDocument/2006/relationships/hyperlink" Target="http://nvraion.ru/ekonomika-i-finansy/initsiativnoe-byudzhetirovanie/" TargetMode="External"/><Relationship Id="rId1362" Type="http://schemas.openxmlformats.org/officeDocument/2006/relationships/hyperlink" Target="mailto:inza.finotdel@mail.ru" TargetMode="External"/><Relationship Id="rId99" Type="http://schemas.openxmlformats.org/officeDocument/2006/relationships/hyperlink" Target="https://&#1078;&#1080;&#1074;&#1105;&#1084;&#1085;&#1072;&#1089;&#1077;&#1074;&#1077;&#1088;&#1077;.&#1088;&#1092;/votings/2212" TargetMode="External"/><Relationship Id="rId164" Type="http://schemas.openxmlformats.org/officeDocument/2006/relationships/hyperlink" Target="mailto:tatianaakomarova@krasnoselkupsky.yanao.ru" TargetMode="External"/><Relationship Id="rId371" Type="http://schemas.openxmlformats.org/officeDocument/2006/relationships/hyperlink" Target="https://ru.wikipedia.org/wiki/&#1041;&#1091;&#1088;&#1072;&#1082;&#1086;&#1074;&#1089;&#1082;&#1080;&#1081;_(&#1050;&#1088;&#1072;&#1089;&#1085;&#1086;&#1076;&#1072;&#1088;&#1089;&#1082;&#1080;&#1081;_&#1082;&#1088;&#1072;&#1081;)" TargetMode="External"/><Relationship Id="rId1015" Type="http://schemas.openxmlformats.org/officeDocument/2006/relationships/hyperlink" Target="https://kojgorodok.ru/finansyi/narodnyie-initsiativyi/npa/" TargetMode="External"/><Relationship Id="rId1222" Type="http://schemas.openxmlformats.org/officeDocument/2006/relationships/hyperlink" Target="http://ipatovo.org/userfiles/file/2019/aprel/636_ob_utverzhdenii_pravil_malyh_sel.zip" TargetMode="External"/><Relationship Id="rId469" Type="http://schemas.openxmlformats.org/officeDocument/2006/relationships/hyperlink" Target="mailto:zaporoz_adm@mail.ru" TargetMode="External"/><Relationship Id="rId676" Type="http://schemas.openxmlformats.org/officeDocument/2006/relationships/hyperlink" Target="mailto:paramonova_iv@fin.kreml.nnov.ru" TargetMode="External"/><Relationship Id="rId883" Type="http://schemas.openxmlformats.org/officeDocument/2006/relationships/hyperlink" Target="mailto:mburdk59@mail.ru" TargetMode="External"/><Relationship Id="rId1099" Type="http://schemas.openxmlformats.org/officeDocument/2006/relationships/hyperlink" Target="https://www.n-vartovsk.ru/documents/dumaReshenie/" TargetMode="External"/><Relationship Id="rId26" Type="http://schemas.openxmlformats.org/officeDocument/2006/relationships/hyperlink" Target="https://gubtrk.ru/news/administracziya/10760-241220" TargetMode="External"/><Relationship Id="rId231" Type="http://schemas.openxmlformats.org/officeDocument/2006/relationships/hyperlink" Target="https://asfin56.ru/assets/files/271221/9/reshenie-&#8470;-50-ob-utverzhdenii-poryadka-realizaczii-ip.docx" TargetMode="External"/><Relationship Id="rId329" Type="http://schemas.openxmlformats.org/officeDocument/2006/relationships/hyperlink" Target="https://cherinfo.ru/nb" TargetMode="External"/><Relationship Id="rId536" Type="http://schemas.openxmlformats.org/officeDocument/2006/relationships/hyperlink" Target="https://40.rosstat.gov.ru/storage/mediabank/&#1090;&#1072;&#1073;&#1083;+5(1).pdf" TargetMode="External"/><Relationship Id="rId1166" Type="http://schemas.openxmlformats.org/officeDocument/2006/relationships/hyperlink" Target="mailto:essemenova@yandex.ru" TargetMode="External"/><Relationship Id="rId1373" Type="http://schemas.openxmlformats.org/officeDocument/2006/relationships/hyperlink" Target="https://gks.ru/dbscripts/munst/munst73/DBInet.cgi" TargetMode="External"/><Relationship Id="rId175" Type="http://schemas.openxmlformats.org/officeDocument/2006/relationships/hyperlink" Target="http://&#1073;&#1091;&#1079;&#1091;&#1083;&#1091;&#1082;-&#1087;&#1088;&#1072;&#1074;&#1086;.&#1088;&#1092;/sites/default/files/legal-acts/27.02.2020_no_242-p.docx" TargetMode="External"/><Relationship Id="rId743" Type="http://schemas.openxmlformats.org/officeDocument/2006/relationships/hyperlink" Target="https://krur.midural.ru/article/show/id/10381" TargetMode="External"/><Relationship Id="rId950" Type="http://schemas.openxmlformats.org/officeDocument/2006/relationships/hyperlink" Target="http://krotovka.kinel-cherkassy.ru/images/files/Reshenie_19-2_ot_23.08.2021.pdf" TargetMode="External"/><Relationship Id="rId1026" Type="http://schemas.openxmlformats.org/officeDocument/2006/relationships/hyperlink" Target="https://rosstat.gov.ru/compendium/document/13282" TargetMode="External"/><Relationship Id="rId382" Type="http://schemas.openxmlformats.org/officeDocument/2006/relationships/hyperlink" Target="http://www.platnirovskaja.ru/f_docs/rokvl21i4hdc/postanovlenie-administratsii-platnirovskogo-selskogo-poseleniya-korenovskogo-rayona-ot-24112022-g--258-ob-utverjdenii-vedomstvennoy-tselevoy-programmyi-realizatsiya-initsiativnyih-proektov-v-platnirovskom-selskom-poselenii-korenovskogo-rayona-na-2022.html" TargetMode="External"/><Relationship Id="rId603" Type="http://schemas.openxmlformats.org/officeDocument/2006/relationships/hyperlink" Target="https://disk.yandex.ru/d/G4_51Lpc60p5MA" TargetMode="External"/><Relationship Id="rId687" Type="http://schemas.openxmlformats.org/officeDocument/2006/relationships/hyperlink" Target="https://semenov.52gov.ru/search/?q=%D0%B8%D0%BD%D0%B8%D1%86%D0%B8%D0%B0%D1%82%D0%B8%D0%B2%D0%BD%D0%BE%D0%B5+%D0%B1%D1%8E%D0%B4%D0%B6%D0%B5%D1%82%D0%B8%D1%80%D0%BE%D0%B2%D0%B0%D0%BD%D0%B8%D0%B5" TargetMode="External"/><Relationship Id="rId810" Type="http://schemas.openxmlformats.org/officeDocument/2006/relationships/hyperlink" Target="https://www.dyadkovskaya.ru/munitsipalnye-pravovye-akty/ustav-poseleniya/4763-ustav-dyadkovskogo-selskogo-poseleniya-korenovskogo-rajona-2017-god" TargetMode="External"/><Relationship Id="rId908" Type="http://schemas.openxmlformats.org/officeDocument/2006/relationships/hyperlink" Target="https://samarastat.gks.ru/population" TargetMode="External"/><Relationship Id="rId1233" Type="http://schemas.openxmlformats.org/officeDocument/2006/relationships/hyperlink" Target="http://krasnogvardeiskoe.info/ru" TargetMode="External"/><Relationship Id="rId242" Type="http://schemas.openxmlformats.org/officeDocument/2006/relationships/hyperlink" Target="https://bugraifo.orb.ru/upload/uf/641/Postanovlenie_815_p_ot_07.12.2021g_o_realizatsii_proekta_Kulturnyy_byudzhet.pdf" TargetMode="External"/><Relationship Id="rId894" Type="http://schemas.openxmlformats.org/officeDocument/2006/relationships/hyperlink" Target="https://samarastat.gks.ru/population" TargetMode="External"/><Relationship Id="rId1177" Type="http://schemas.openxmlformats.org/officeDocument/2006/relationships/hyperlink" Target="https://adm-brz.ru/grazhdanam/initsiativy/initsiativnye-proekty/" TargetMode="External"/><Relationship Id="rId1300" Type="http://schemas.openxmlformats.org/officeDocument/2006/relationships/hyperlink" Target="mailto:komobr@okuladm.ru" TargetMode="External"/><Relationship Id="rId37" Type="http://schemas.openxmlformats.org/officeDocument/2006/relationships/hyperlink" Target="mailto:yakov@ya.belregion.ru" TargetMode="External"/><Relationship Id="rId102" Type="http://schemas.openxmlformats.org/officeDocument/2006/relationships/hyperlink" Target="mailto:AMGalkin@noyabrsk.yanao.ru" TargetMode="External"/><Relationship Id="rId547" Type="http://schemas.openxmlformats.org/officeDocument/2006/relationships/hyperlink" Target="https://admermolino.ru/?page_id=7964" TargetMode="External"/><Relationship Id="rId754" Type="http://schemas.openxmlformats.org/officeDocument/2006/relationships/hyperlink" Target="http://www.tyumen-city.ru/ekonomika/finansi/iniciativnoe-budjetirovanie/" TargetMode="External"/><Relationship Id="rId961" Type="http://schemas.openxmlformats.org/officeDocument/2006/relationships/hyperlink" Target="mailto:n.kluchi@yandex.ru" TargetMode="External"/><Relationship Id="rId1384" Type="http://schemas.openxmlformats.org/officeDocument/2006/relationships/hyperlink" Target="https://adm-melekess.gosuslugi.ru/deyatelnost/napravleniya-deyatelnosti/finansovaya-deyatelnost/narodnyy-byudzhet/2022-god/" TargetMode="External"/><Relationship Id="rId90" Type="http://schemas.openxmlformats.org/officeDocument/2006/relationships/hyperlink" Target="https://www.newurengoy.ru/doc/12900-ob-utverzhdenii-municipalnoy-programmy-municipalnogo-obrazovaniya-gorod-novyy-urengoy-blagoustroystvo-i-razvitie-transportnogo-kompleksa-na-territorii-municipalnogo-obrazovaniya-gorod-novyy-urengoy.html,%20https:/www.n" TargetMode="External"/><Relationship Id="rId186" Type="http://schemas.openxmlformats.org/officeDocument/2006/relationships/hyperlink" Target="mailto:velav@mail.orb.ru" TargetMode="External"/><Relationship Id="rId393" Type="http://schemas.openxmlformats.org/officeDocument/2006/relationships/hyperlink" Target="https://www.poltavadm.ru/index.php/ru/pravotvorchestvo/munitsipalnye-pravovye-akty/455-postanovleniya" TargetMode="External"/><Relationship Id="rId407" Type="http://schemas.openxmlformats.org/officeDocument/2006/relationships/hyperlink" Target="http://www.admnovomysh.ru/images/ZKX/2022/iniciativ_proekt.pdf" TargetMode="External"/><Relationship Id="rId614" Type="http://schemas.openxmlformats.org/officeDocument/2006/relationships/hyperlink" Target="https://tl.orb.ru/activity/14412/" TargetMode="External"/><Relationship Id="rId821" Type="http://schemas.openxmlformats.org/officeDocument/2006/relationships/hyperlink" Target="https://otradny.org/administracziya/ekonjmika1/strategiya" TargetMode="External"/><Relationship Id="rId1037" Type="http://schemas.openxmlformats.org/officeDocument/2006/relationships/hyperlink" Target="http://www.&#1089;&#1099;&#1089;&#1086;&#1083;&#1072;-&#1072;&#1076;&#1084;.&#1088;&#1092;/archive/grant22.pdf" TargetMode="External"/><Relationship Id="rId1244" Type="http://schemas.openxmlformats.org/officeDocument/2006/relationships/hyperlink" Target="https://www.angosk.ru/index.php/ekonomika/strategiya-razvitiya/12343-o-vnesenii-izmenenij-v-strategiyu-sotsialno-ekonomicheskogo-razvitiya-ngo-sk-na-period-do-2035-goda-utverzhdennuyu-resheniem-dumy-ngo-sk-ot-12-dekabrya-2019-goda-406" TargetMode="External"/><Relationship Id="rId253" Type="http://schemas.openxmlformats.org/officeDocument/2006/relationships/hyperlink" Target="mailto:velav@mail.orb.ru" TargetMode="External"/><Relationship Id="rId460" Type="http://schemas.openxmlformats.org/officeDocument/2006/relationships/hyperlink" Target="mailto:fumotr@yandex.ru" TargetMode="External"/><Relationship Id="rId698" Type="http://schemas.openxmlformats.org/officeDocument/2006/relationships/hyperlink" Target="http://artemduma.ru/?page_id=2861" TargetMode="External"/><Relationship Id="rId919" Type="http://schemas.openxmlformats.org/officeDocument/2006/relationships/hyperlink" Target="https://samarastat.gks.ru/population" TargetMode="External"/><Relationship Id="rId1090" Type="http://schemas.openxmlformats.org/officeDocument/2006/relationships/hyperlink" Target="https://admmegion.ru/city/economika/socpass/index.php?ELEMENT_ID=365309" TargetMode="External"/><Relationship Id="rId1104" Type="http://schemas.openxmlformats.org/officeDocument/2006/relationships/hyperlink" Target="https://www.n-vartovsk.ru/ibudget/" TargetMode="External"/><Relationship Id="rId1311" Type="http://schemas.openxmlformats.org/officeDocument/2006/relationships/hyperlink" Target="https://sbor.ru/finance/bd/otkrbud/plan" TargetMode="External"/><Relationship Id="rId48" Type="http://schemas.openxmlformats.org/officeDocument/2006/relationships/hyperlink" Target="https://admsud.ru/npa-i-mps/normativnye-dokumenty/rasporyazheniya-glavy/24336-rasporyazhenie-administracii-ot-10102022-441-r.html" TargetMode="External"/><Relationship Id="rId113" Type="http://schemas.openxmlformats.org/officeDocument/2006/relationships/hyperlink" Target="https://www.gubadm.ru/activity/14305/" TargetMode="External"/><Relationship Id="rId320" Type="http://schemas.openxmlformats.org/officeDocument/2006/relationships/hyperlink" Target="mailto:vitalik8406@mail.ru" TargetMode="External"/><Relationship Id="rId558" Type="http://schemas.openxmlformats.org/officeDocument/2006/relationships/hyperlink" Target="mailto:romanova_o@depfin.kirov.ru" TargetMode="External"/><Relationship Id="rId765" Type="http://schemas.openxmlformats.org/officeDocument/2006/relationships/hyperlink" Target="mailto:k312@krasfin.ru" TargetMode="External"/><Relationship Id="rId972" Type="http://schemas.openxmlformats.org/officeDocument/2006/relationships/hyperlink" Target="http://sadgorod.kinel-cherkassy.ru/" TargetMode="External"/><Relationship Id="rId1188" Type="http://schemas.openxmlformats.org/officeDocument/2006/relationships/hyperlink" Target="https://aamrsk.ru/deyatelnost/initsiativnoe-byudzhetirovanie/initsiativnye-proekty/dokumenty.php" TargetMode="External"/><Relationship Id="rId1395" Type="http://schemas.openxmlformats.org/officeDocument/2006/relationships/hyperlink" Target="mailto:kuzmina.mv@ulminfin.ru" TargetMode="External"/><Relationship Id="rId1409" Type="http://schemas.openxmlformats.org/officeDocument/2006/relationships/drawing" Target="../drawings/drawing2.xml"/><Relationship Id="rId197" Type="http://schemas.openxmlformats.org/officeDocument/2006/relationships/hyperlink" Target="https://orenburg.ru/documents/other/63573/" TargetMode="External"/><Relationship Id="rId418" Type="http://schemas.openxmlformats.org/officeDocument/2006/relationships/hyperlink" Target="mailto:novoalpos@mail.ru" TargetMode="External"/><Relationship Id="rId625" Type="http://schemas.openxmlformats.org/officeDocument/2006/relationships/hyperlink" Target="https://02.rosstat.gov.ru/storage/mediabank/CHislennost-naseleniya-po-municipalnym-rajonam-i-gorodskim-okrugam-Respubliki-%20Bashkortostan-na-1-yanvarya-2022-g-s-uchetom-VPN-2020.pdf" TargetMode="External"/><Relationship Id="rId832" Type="http://schemas.openxmlformats.org/officeDocument/2006/relationships/hyperlink" Target="mailto:SolovevaOE@samadm.ru" TargetMode="External"/><Relationship Id="rId1048" Type="http://schemas.openxmlformats.org/officeDocument/2006/relationships/hyperlink" Target="https://www.gks.ru/scripts/db_inet2/passport/table.aspx?opt=8764400020222023" TargetMode="External"/><Relationship Id="rId1255" Type="http://schemas.openxmlformats.org/officeDocument/2006/relationships/hyperlink" Target="https://www.novoselickoe.ru/category/okrug/ekonomika/strategicheskoe-planirovanie/strategiya-sotsialno-ekonomicheskogo-razvitiya" TargetMode="External"/><Relationship Id="rId264" Type="http://schemas.openxmlformats.org/officeDocument/2006/relationships/hyperlink" Target="http://fin-otdel.ru/byudzhet-i-otchetnost/&#1041;&#1102;&#1076;&#1078;&#1077;&#1090;&#1085;&#1099;&#1077;%20&#1086;&#1073;&#1079;&#1086;&#1088;&#1099;/&#1048;&#1090;&#1086;&#1075;&#1080;%20&#1048;&#1041;%202022.pdf" TargetMode="External"/><Relationship Id="rId471" Type="http://schemas.openxmlformats.org/officeDocument/2006/relationships/hyperlink" Target="https://adm-zaparozhskaya.ru/" TargetMode="External"/><Relationship Id="rId1115" Type="http://schemas.openxmlformats.org/officeDocument/2006/relationships/hyperlink" Target="mailto:lugovoikonda@mail.ru" TargetMode="External"/><Relationship Id="rId1322" Type="http://schemas.openxmlformats.org/officeDocument/2006/relationships/hyperlink" Target="mailto:rfo07@minfin.omskportal.ru" TargetMode="External"/><Relationship Id="rId59" Type="http://schemas.openxmlformats.org/officeDocument/2006/relationships/hyperlink" Target="mailto:mczks.otd@yandex.ru" TargetMode="External"/><Relationship Id="rId124" Type="http://schemas.openxmlformats.org/officeDocument/2006/relationships/hyperlink" Target="https://nadym.yanao.ru/documents/active/131380/" TargetMode="External"/><Relationship Id="rId569" Type="http://schemas.openxmlformats.org/officeDocument/2006/relationships/hyperlink" Target="mailto:novo.posel@mail.ru" TargetMode="External"/><Relationship Id="rId776" Type="http://schemas.openxmlformats.org/officeDocument/2006/relationships/hyperlink" Target="mailto:rf34@krasfin.ru" TargetMode="External"/><Relationship Id="rId983" Type="http://schemas.openxmlformats.org/officeDocument/2006/relationships/hyperlink" Target="mailto:adm.s.p.chernowka@yandex.ru" TargetMode="External"/><Relationship Id="rId1199" Type="http://schemas.openxmlformats.org/officeDocument/2006/relationships/hyperlink" Target="http://www.abgosk.ru/city/economica/municipal-programs/razvitie-zhkkh-i-dorozhnoy-infrastruktury.php" TargetMode="External"/><Relationship Id="rId331" Type="http://schemas.openxmlformats.org/officeDocument/2006/relationships/hyperlink" Target="https://cherinfo-doc.ru/documents/postanovlenie-merii-goroda-cherepovca-ot-18.06.2019-2883-o-proekte-narodnyj-byudzhet-tos," TargetMode="External"/><Relationship Id="rId429" Type="http://schemas.openxmlformats.org/officeDocument/2006/relationships/hyperlink" Target="http://&#1073;&#1077;&#1079;&#1074;&#1086;&#1076;&#1085;&#1086;&#1077;.&#1088;&#1092;/documents/999.html" TargetMode="External"/><Relationship Id="rId636" Type="http://schemas.openxmlformats.org/officeDocument/2006/relationships/hyperlink" Target="https://dzhankoy.rk.gov.ru/uploads/txteditor/dzhankoy/attachments/d4/1d/8c/d98f00b204e9800998ecf8427e/phpm1golM_&#1084;&#1086;&#1083;&#1086;&#1076;&#1086;&#1077;%20&#1087;&#1086;&#1082;&#1086;&#1083;&#1077;&#1085;&#1080;&#1077;%20&#1048;&#1085;&#1080;&#1094;&#1080;&#1072;&#1090;&#1080;&#1074;&#1085;&#1086;&#1077;%20&#1073;&#1102;&#1076;&#1078;&#1077;&#1090;&#1080;&#1088;&#1086;&#1074;&#1072;&#1085;&#1080;&#1077;%20&#1055;&#1051;&#1040;&#1050;&#1040;&#1090;%202021.jpg" TargetMode="External"/><Relationship Id="rId1059" Type="http://schemas.openxmlformats.org/officeDocument/2006/relationships/hyperlink" Target="https://www.kaluga-gov.ru/uprava/munitsipalnye-programmy/perechen-programm/grazhdanskaya-initsiativa/" TargetMode="External"/><Relationship Id="rId1266" Type="http://schemas.openxmlformats.org/officeDocument/2006/relationships/hyperlink" Target="https://pmosk.ru/archives/category/programma-podderzhki-mestnyh-iniciativ-stavropolskogo-kraya/vydvizhenie-iniciativnyh-proektov/page/2" TargetMode="External"/><Relationship Id="rId843" Type="http://schemas.openxmlformats.org/officeDocument/2006/relationships/hyperlink" Target="mailto:AkritovaVT@samadm.ru" TargetMode="External"/><Relationship Id="rId1126" Type="http://schemas.openxmlformats.org/officeDocument/2006/relationships/hyperlink" Target="http://www.gks.ru/free_doc/new_site/bd_munst/munst.htm" TargetMode="External"/><Relationship Id="rId275" Type="http://schemas.openxmlformats.org/officeDocument/2006/relationships/hyperlink" Target="https://finotdnovoorsk.ru/postanovlenie-o-narodnom-byudzhete" TargetMode="External"/><Relationship Id="rId482" Type="http://schemas.openxmlformats.org/officeDocument/2006/relationships/hyperlink" Target="http://admsennaya.krd.eis1.ru/perechen_program_2022" TargetMode="External"/><Relationship Id="rId703" Type="http://schemas.openxmlformats.org/officeDocument/2006/relationships/hyperlink" Target="https://spasskd.ru/images/files/2022/ago/04/rasporyazhenie_196-ra_ot_18042022_o_provedenii_konkursnogo_otbora.pdf" TargetMode="External"/><Relationship Id="rId910" Type="http://schemas.openxmlformats.org/officeDocument/2006/relationships/hyperlink" Target="http://kabanovka.kinel-cherkassy.ru/?p=7952" TargetMode="External"/><Relationship Id="rId1333" Type="http://schemas.openxmlformats.org/officeDocument/2006/relationships/hyperlink" Target="https://omskportal.ru/npa?id=/omsu/tevr-3-52-255-1/ivanovo-myisskoe/2022/05/05/01" TargetMode="External"/><Relationship Id="rId135" Type="http://schemas.openxmlformats.org/officeDocument/2006/relationships/hyperlink" Target="https://vektor-tv.ru/upload/iblock/edf/edf43b0aa455055a1a5eb455ec3d1e53.png" TargetMode="External"/><Relationship Id="rId342" Type="http://schemas.openxmlformats.org/officeDocument/2006/relationships/hyperlink" Target="https://adm-yaroslavskogo.ru/&#1087;&#1088;&#1086;&#1077;&#1082;&#1090;&#1099;-&#1084;&#1077;&#1089;&#1090;&#1085;&#1099;&#1093;-&#1080;&#1085;&#1080;&#1094;&#1080;&#1072;&#1090;&#1080;&#1074;" TargetMode="External"/><Relationship Id="rId787" Type="http://schemas.openxmlformats.org/officeDocument/2006/relationships/hyperlink" Target="mailto:dalfinupr@yandex.ru" TargetMode="External"/><Relationship Id="rId994" Type="http://schemas.openxmlformats.org/officeDocument/2006/relationships/hyperlink" Target="mailto:beloothernoe-2011@mail.ru" TargetMode="External"/><Relationship Id="rId1400" Type="http://schemas.openxmlformats.org/officeDocument/2006/relationships/hyperlink" Target="https://terenga.gosuslugi.ru/deyatelnost/napravleniya-deyatelnosti/finansy-i-byudzhet/otkrytyy-byudzhet/narodnyy-byudzhet/2022-god/" TargetMode="External"/><Relationship Id="rId202" Type="http://schemas.openxmlformats.org/officeDocument/2006/relationships/hyperlink" Target="mailto:velav@mail.orb.ru" TargetMode="External"/><Relationship Id="rId647" Type="http://schemas.openxmlformats.org/officeDocument/2006/relationships/hyperlink" Target="https://dzhankoy.rk.gov.ru/document/show/4055" TargetMode="External"/><Relationship Id="rId854" Type="http://schemas.openxmlformats.org/officeDocument/2006/relationships/hyperlink" Target="https://promadm.ru/allfiles/202304/Postanovlenie_ot-1680785647-5thvy.zip" TargetMode="External"/><Relationship Id="rId1277" Type="http://schemas.openxmlformats.org/officeDocument/2006/relationships/hyperlink" Target="mailto:polia.alt2020@yandex.ru" TargetMode="External"/><Relationship Id="rId286" Type="http://schemas.openxmlformats.org/officeDocument/2006/relationships/hyperlink" Target="http://fin-or.ru/ckfinder/userfiles/files/&#1055;&#1086;&#1089;&#1090;&#1072;&#1085;&#1086;&#1074;&#1083;&#1077;&#1085;&#1080;&#1077;%201932-&#1087;.pdf" TargetMode="External"/><Relationship Id="rId493" Type="http://schemas.openxmlformats.org/officeDocument/2006/relationships/hyperlink" Target="mailto:fumotim@mail.ru" TargetMode="External"/><Relationship Id="rId507" Type="http://schemas.openxmlformats.org/officeDocument/2006/relationships/hyperlink" Target="http://dvubratskoe-sp.ru/load/iniciativnoe_bjudzhetirovanie/62" TargetMode="External"/><Relationship Id="rId714" Type="http://schemas.openxmlformats.org/officeDocument/2006/relationships/hyperlink" Target="https://dalmdr.ru/node/3678" TargetMode="External"/><Relationship Id="rId921" Type="http://schemas.openxmlformats.org/officeDocument/2006/relationships/hyperlink" Target="mailto:kdz58@mail.ru" TargetMode="External"/><Relationship Id="rId1137" Type="http://schemas.openxmlformats.org/officeDocument/2006/relationships/hyperlink" Target="http://www.shugur.ru/documents/1396.html" TargetMode="External"/><Relationship Id="rId1344" Type="http://schemas.openxmlformats.org/officeDocument/2006/relationships/hyperlink" Target="https://uln.gks.ru/storage/mediabank/73-nas-22.xlsx" TargetMode="External"/><Relationship Id="rId50" Type="http://schemas.openxmlformats.org/officeDocument/2006/relationships/hyperlink" Target="https://vladimirstat.gks.ru/" TargetMode="External"/><Relationship Id="rId146" Type="http://schemas.openxmlformats.org/officeDocument/2006/relationships/hyperlink" Target="https://yam.yanao.ru/documents/active/227755" TargetMode="External"/><Relationship Id="rId353" Type="http://schemas.openxmlformats.org/officeDocument/2006/relationships/hyperlink" Target="mailto:fo.ugn@mail.ru" TargetMode="External"/><Relationship Id="rId560" Type="http://schemas.openxmlformats.org/officeDocument/2006/relationships/hyperlink" Target="mailto:fo.juravskaya@inbox.ru" TargetMode="External"/><Relationship Id="rId798" Type="http://schemas.openxmlformats.org/officeDocument/2006/relationships/hyperlink" Target="https://&#1082;&#1080;&#1088;&#1086;&#1074;.&#1088;&#1092;/upload/iblock/30e/20ggmc5n97w4a5dtgpa10du9dhpaonlv/kss500_20220606_15341904.pdf" TargetMode="External"/><Relationship Id="rId1190" Type="http://schemas.openxmlformats.org/officeDocument/2006/relationships/hyperlink" Target="https://aamrsk.ru/deyatelnost/initsiativnoe-byudzhetirovanie/initsiativnye-proekty/" TargetMode="External"/><Relationship Id="rId1204" Type="http://schemas.openxmlformats.org/officeDocument/2006/relationships/hyperlink" Target="https://www.georgievsk.ru/mestnye-initsiativy/budjetirovanie/1386_26-04-2022.doc" TargetMode="External"/><Relationship Id="rId1411" Type="http://schemas.openxmlformats.org/officeDocument/2006/relationships/comments" Target="../comments2.xml"/><Relationship Id="rId213" Type="http://schemas.openxmlformats.org/officeDocument/2006/relationships/hyperlink" Target="https://&#1092;&#1080;&#1085;&#1086;&#1090;&#1076;&#1077;&#1083;-&#1103;&#1089;&#1085;&#1099;&#1081;.&#1088;&#1092;/npa-po-proektu-shkolnyij-byudzhe" TargetMode="External"/><Relationship Id="rId420" Type="http://schemas.openxmlformats.org/officeDocument/2006/relationships/hyperlink" Target="https://&#1072;&#1076;&#1084;-&#1088;&#1086;&#1076;&#1085;&#1080;&#1082;&#1086;&#1074;&#1089;&#1082;&#1072;&#1103;.&#1088;&#1092;/documents/2576.html" TargetMode="External"/><Relationship Id="rId658" Type="http://schemas.openxmlformats.org/officeDocument/2006/relationships/hyperlink" Target="https://&#1072;&#1076;&#1084;&#1076;&#1079;&#1077;&#1088;&#1078;&#1080;&#1085;&#1089;&#1082;.&#1088;&#1092;/documents/&#1053;&#1086;&#1074;&#1086;&#1089;&#1090;&#1080;/1.&#1057;&#1090;&#1088;&#1072;&#1090;&#1077;&#1075;&#1080;&#1103;%20&#1076;&#1086;%202030%20&#1075;&#1086;&#1076;&#1072;_30.01.2020.doc" TargetMode="External"/><Relationship Id="rId865" Type="http://schemas.openxmlformats.org/officeDocument/2006/relationships/hyperlink" Target="mailto:ugh-chap@yandex.ru" TargetMode="External"/><Relationship Id="rId1050" Type="http://schemas.openxmlformats.org/officeDocument/2006/relationships/hyperlink" Target="https://11.rosstat.gov.ru/population" TargetMode="External"/><Relationship Id="rId1288" Type="http://schemas.openxmlformats.org/officeDocument/2006/relationships/hyperlink" Target="mailto:finans@adm-krestcy.ru" TargetMode="External"/><Relationship Id="rId297" Type="http://schemas.openxmlformats.org/officeDocument/2006/relationships/hyperlink" Target="http://fin-or.ru/content/shkolnyy-byudzhet" TargetMode="External"/><Relationship Id="rId518" Type="http://schemas.openxmlformats.org/officeDocument/2006/relationships/hyperlink" Target="mailto:sp07ek@mail/" TargetMode="External"/><Relationship Id="rId725" Type="http://schemas.openxmlformats.org/officeDocument/2006/relationships/hyperlink" Target="https://www.gks.ru/scripts/db_inet2/passport/table.aspx?opt=657710002022" TargetMode="External"/><Relationship Id="rId932" Type="http://schemas.openxmlformats.org/officeDocument/2006/relationships/hyperlink" Target="mailto:adm-kr2013@yandex.ru" TargetMode="External"/><Relationship Id="rId1148" Type="http://schemas.openxmlformats.org/officeDocument/2006/relationships/hyperlink" Target="mailto:AntonovaDS@admugansk.ru" TargetMode="External"/><Relationship Id="rId1355" Type="http://schemas.openxmlformats.org/officeDocument/2006/relationships/hyperlink" Target="https://mo-veshkaima.ru/view_news.php?id=23210" TargetMode="External"/><Relationship Id="rId157" Type="http://schemas.openxmlformats.org/officeDocument/2006/relationships/hyperlink" Target="https://rosstat.gov.ru/storage/mediabank/Chisl_nasel_RF_MO_01-01-2022.xlsx" TargetMode="External"/><Relationship Id="rId364" Type="http://schemas.openxmlformats.org/officeDocument/2006/relationships/hyperlink" Target="https://privoladm.ru/initsiativnoe-byudzhetirovanie" TargetMode="External"/><Relationship Id="rId1008" Type="http://schemas.openxmlformats.org/officeDocument/2006/relationships/hyperlink" Target="http://www.adminta.ru/city/ekonomika/strategicheskoe-upravlenie/strategiya-sotsialno-ekonomicheskogo-razvitiya.php" TargetMode="External"/><Relationship Id="rId1215" Type="http://schemas.openxmlformats.org/officeDocument/2006/relationships/hyperlink" Target="mailto:grfu@yandex.ru" TargetMode="External"/><Relationship Id="rId61" Type="http://schemas.openxmlformats.org/officeDocument/2006/relationships/hyperlink" Target="https://omsukchan-adm.ru/inova_block_documentset/document/330471/" TargetMode="External"/><Relationship Id="rId571" Type="http://schemas.openxmlformats.org/officeDocument/2006/relationships/hyperlink" Target="https://www.adm-kavkaz.ru/sobranie-deputatov/reshenie-sobranij/resheniya-2020/3741-reshenie-4-ot-08-02-2019-goda-o-peredache-kavkazskomu-selskomu-poseleniyu-kavkazskogo-rajona-proektnoj-dokumentatsii-ob-ekta-gazifikatsii" TargetMode="External"/><Relationship Id="rId669" Type="http://schemas.openxmlformats.org/officeDocument/2006/relationships/hyperlink" Target="https://borcity.ru/authority/acts/postadm/" TargetMode="External"/><Relationship Id="rId876" Type="http://schemas.openxmlformats.org/officeDocument/2006/relationships/hyperlink" Target="https://isakli.ru/documents/priobretenie-i-ustanovka-derevyannoy-gorki-teremok/" TargetMode="External"/><Relationship Id="rId1299" Type="http://schemas.openxmlformats.org/officeDocument/2006/relationships/hyperlink" Target="https://komobrlub.edusite.ru/images/p94_ob-yavlenie-tshb-_1_.jpg" TargetMode="External"/><Relationship Id="rId19" Type="http://schemas.openxmlformats.org/officeDocument/2006/relationships/hyperlink" Target="https://volokonovskij-r31.gosweb.gosuslugi.ru/deyatelnost/napravleniya-deyatelnosti/strategicheskoe-planirovanie/munitsipalnye-programmy/dokumenty-10_3817.html" TargetMode="External"/><Relationship Id="rId224" Type="http://schemas.openxmlformats.org/officeDocument/2006/relationships/hyperlink" Target="https://adamfin.ru/assets/files/documents/Shkolnyi%20budjet/2022/poryadok-ot-05.10.2022-&#8470;847.pdf" TargetMode="External"/><Relationship Id="rId431" Type="http://schemas.openxmlformats.org/officeDocument/2006/relationships/hyperlink" Target="http://&#1073;&#1077;&#1079;&#1074;&#1086;&#1076;&#1085;&#1086;&#1077;.&#1088;&#1092;/iniciativnoe-byudzhetirovanie-1.html" TargetMode="External"/><Relationship Id="rId529" Type="http://schemas.openxmlformats.org/officeDocument/2006/relationships/hyperlink" Target="mailto:e.zykina@gov39.ru" TargetMode="External"/><Relationship Id="rId736" Type="http://schemas.openxmlformats.org/officeDocument/2006/relationships/hyperlink" Target="https://gks.ru/dbscripts/munst/munst65/DbInet.cgi" TargetMode="External"/><Relationship Id="rId1061" Type="http://schemas.openxmlformats.org/officeDocument/2006/relationships/hyperlink" Target="https://www.kaluga-gov.ru/obshchestvo/initsiativnye-proekty/pravovaya-baza/2743/" TargetMode="External"/><Relationship Id="rId1159" Type="http://schemas.openxmlformats.org/officeDocument/2006/relationships/hyperlink" Target="https://www.arhcity.ru/?page=2371/1" TargetMode="External"/><Relationship Id="rId1366" Type="http://schemas.openxmlformats.org/officeDocument/2006/relationships/hyperlink" Target="https://inzenskij-r73.gosweb.gosuslugi.ru/dlya-zhiteley/narodnaya-initsiativa/proekt-narodnyy-byudzhet/remont-peshehodnogo-mosta/" TargetMode="External"/><Relationship Id="rId168" Type="http://schemas.openxmlformats.org/officeDocument/2006/relationships/hyperlink" Target="https://buzuluk.orb.ru/documents/active/119556/" TargetMode="External"/><Relationship Id="rId943" Type="http://schemas.openxmlformats.org/officeDocument/2006/relationships/hyperlink" Target="http://krotovka.kinel-cherkassy.ru/images/files/blagoustroystvo_Krotovka.doc" TargetMode="External"/><Relationship Id="rId1019" Type="http://schemas.openxmlformats.org/officeDocument/2006/relationships/hyperlink" Target="https://vk.com/govuktyl" TargetMode="External"/><Relationship Id="rId72" Type="http://schemas.openxmlformats.org/officeDocument/2006/relationships/hyperlink" Target="https://www.yamal.kp.ru/online/news/4306062/" TargetMode="External"/><Relationship Id="rId375" Type="http://schemas.openxmlformats.org/officeDocument/2006/relationships/hyperlink" Target="https://23.rosstat.gov.ru/storage/mediabank/Ocenka22.htm" TargetMode="External"/><Relationship Id="rId582" Type="http://schemas.openxmlformats.org/officeDocument/2006/relationships/hyperlink" Target="mailto:velav@mail.orb.ru" TargetMode="External"/><Relationship Id="rId803" Type="http://schemas.openxmlformats.org/officeDocument/2006/relationships/hyperlink" Target="mailto:romanova_o@depfin.kirov.ru" TargetMode="External"/><Relationship Id="rId1226" Type="http://schemas.openxmlformats.org/officeDocument/2006/relationships/hyperlink" Target="https://rosstat.gov.ru/storage/mediabank/Chisl_nasel_RF_MO_01-01-2022.xlsx" TargetMode="External"/><Relationship Id="rId3" Type="http://schemas.openxmlformats.org/officeDocument/2006/relationships/hyperlink" Target="https://vejdelevskij-r31.gosweb.gosuslugi.ru/" TargetMode="External"/><Relationship Id="rId235" Type="http://schemas.openxmlformats.org/officeDocument/2006/relationships/hyperlink" Target="mailto:velav@mail.orb.ru" TargetMode="External"/><Relationship Id="rId442" Type="http://schemas.openxmlformats.org/officeDocument/2006/relationships/hyperlink" Target="https://disk.yandex.ru/d/0znO5iLzr_dUIA" TargetMode="External"/><Relationship Id="rId887" Type="http://schemas.openxmlformats.org/officeDocument/2006/relationships/hyperlink" Target="https://samarastat.gks.ru/population" TargetMode="External"/><Relationship Id="rId1072" Type="http://schemas.openxmlformats.org/officeDocument/2006/relationships/hyperlink" Target="https://adm-ussuriisk.ru/ob_okruge/otkrytyy_byudzhet/initsiativnoe_byudzhetirovanie/mestnye_initsiativy/" TargetMode="External"/><Relationship Id="rId302" Type="http://schemas.openxmlformats.org/officeDocument/2006/relationships/hyperlink" Target="mailto:l_frolova@pm.orb.ru" TargetMode="External"/><Relationship Id="rId747" Type="http://schemas.openxmlformats.org/officeDocument/2006/relationships/hyperlink" Target="mailto:fu15@fin.tambov.gov.ru" TargetMode="External"/><Relationship Id="rId954" Type="http://schemas.openxmlformats.org/officeDocument/2006/relationships/hyperlink" Target="https://samarastat.gks.ru/" TargetMode="External"/><Relationship Id="rId1377" Type="http://schemas.openxmlformats.org/officeDocument/2006/relationships/hyperlink" Target="http://karsunmo.ru/postanovleniya/" TargetMode="External"/><Relationship Id="rId83" Type="http://schemas.openxmlformats.org/officeDocument/2006/relationships/hyperlink" Target="https://lbt.yanao.ru/activity/730" TargetMode="External"/><Relationship Id="rId179" Type="http://schemas.openxmlformats.org/officeDocument/2006/relationships/hyperlink" Target="https://buzuluk.orb.ru/documents/other/91622/" TargetMode="External"/><Relationship Id="rId386" Type="http://schemas.openxmlformats.org/officeDocument/2006/relationships/hyperlink" Target="https://proletarskoe.ru/images/doc/resh-2020-N-95.docx" TargetMode="External"/><Relationship Id="rId593" Type="http://schemas.openxmlformats.org/officeDocument/2006/relationships/hyperlink" Target="mailto:gy_fin@mail.orb.ru" TargetMode="External"/><Relationship Id="rId607" Type="http://schemas.openxmlformats.org/officeDocument/2006/relationships/hyperlink" Target="https://www.aleksandrovka56.ru/munitsipalitet/?ELEMENT_ID=4542" TargetMode="External"/><Relationship Id="rId814" Type="http://schemas.openxmlformats.org/officeDocument/2006/relationships/hyperlink" Target="https://otradny.org/upload/iblock/5cl/5cl55b50763d0a813b9fc482744cc5fe.rar" TargetMode="External"/><Relationship Id="rId1237" Type="http://schemas.openxmlformats.org/officeDocument/2006/relationships/hyperlink" Target="https://nevadm.ru/economy/socialeconomy/serprogramm/" TargetMode="External"/><Relationship Id="rId246" Type="http://schemas.openxmlformats.org/officeDocument/2006/relationships/hyperlink" Target="https://bugr.orb.ru/activity/30209/" TargetMode="External"/><Relationship Id="rId453" Type="http://schemas.openxmlformats.org/officeDocument/2006/relationships/hyperlink" Target="https://sochi.ru/gorodskaya-vlast/deyatelnost/mun-sluzhba/initsiativnye-proekty/171202/" TargetMode="External"/><Relationship Id="rId660" Type="http://schemas.openxmlformats.org/officeDocument/2006/relationships/hyperlink" Target="https://&#1072;&#1076;&#1084;&#1076;&#1079;&#1077;&#1088;&#1078;&#1080;&#1085;&#1089;&#1082;.&#1088;&#1092;/ekonomika-i-imushchestvo/ekonomika/strategicheskoe-planirovanie/munitsipalnye-programmy/razvitie-fizicheskoy-kultury-i-sporta-v-gorodskom-okruge-gorod-dzerzhinsk/" TargetMode="External"/><Relationship Id="rId898" Type="http://schemas.openxmlformats.org/officeDocument/2006/relationships/hyperlink" Target="http://berezniki.ucoz.ru/index/reshenija_2021_god/0-164" TargetMode="External"/><Relationship Id="rId1083" Type="http://schemas.openxmlformats.org/officeDocument/2006/relationships/hyperlink" Target="mailto:lebedevais@uray.ru" TargetMode="External"/><Relationship Id="rId1290" Type="http://schemas.openxmlformats.org/officeDocument/2006/relationships/hyperlink" Target="mailto:bud_komfin@novreg.ru" TargetMode="External"/><Relationship Id="rId1304" Type="http://schemas.openxmlformats.org/officeDocument/2006/relationships/hyperlink" Target="https://www.gks.ru/scripts/db_inet2/passport/table.aspx?opt=496281542022" TargetMode="External"/><Relationship Id="rId106" Type="http://schemas.openxmlformats.org/officeDocument/2006/relationships/hyperlink" Target="https://muravlenko.yanao.ru/documents/active/248972/" TargetMode="External"/><Relationship Id="rId313" Type="http://schemas.openxmlformats.org/officeDocument/2006/relationships/hyperlink" Target="mailto:velav@mail.orb.ru" TargetMode="External"/><Relationship Id="rId758" Type="http://schemas.openxmlformats.org/officeDocument/2006/relationships/hyperlink" Target="https://habstat.gks.ru/folder/25028" TargetMode="External"/><Relationship Id="rId965" Type="http://schemas.openxmlformats.org/officeDocument/2006/relationships/hyperlink" Target="https://samarastat.gks.ru/population" TargetMode="External"/><Relationship Id="rId1150" Type="http://schemas.openxmlformats.org/officeDocument/2006/relationships/hyperlink" Target="http://nvraion.ru/ekonomika-i-finansy/chislennost/" TargetMode="External"/><Relationship Id="rId1388" Type="http://schemas.openxmlformats.org/officeDocument/2006/relationships/hyperlink" Target="https://uln.gks.ru/folder/40275" TargetMode="External"/><Relationship Id="rId10" Type="http://schemas.openxmlformats.org/officeDocument/2006/relationships/hyperlink" Target="mailto:svod2@beldepfin.ru" TargetMode="External"/><Relationship Id="rId94" Type="http://schemas.openxmlformats.org/officeDocument/2006/relationships/hyperlink" Target="https://shurbiblio.yam.muzkult.ru/media/2019/08/02/1263863178/yamal.png" TargetMode="External"/><Relationship Id="rId397" Type="http://schemas.openxmlformats.org/officeDocument/2006/relationships/hyperlink" Target="http://&#1072;&#1076;&#1084;-&#1080;&#1074;&#1072;&#1085;&#1086;&#1074;&#1089;&#1082;&#1072;&#1103;.&#1088;&#1092;/munitcipal-nye-programmy-ivanovskogo-sel-skogo-poseleniya-krasnoarmeyskogo-rayona-na-2021-2026-gody.html" TargetMode="External"/><Relationship Id="rId520" Type="http://schemas.openxmlformats.org/officeDocument/2006/relationships/hyperlink" Target="https://rosstat.gov.ru/compendium/document/13282" TargetMode="External"/><Relationship Id="rId618" Type="http://schemas.openxmlformats.org/officeDocument/2006/relationships/hyperlink" Target="https://karaidel.bashkortostan.ru/documents/active/417423/" TargetMode="External"/><Relationship Id="rId825" Type="http://schemas.openxmlformats.org/officeDocument/2006/relationships/hyperlink" Target="https://pohgor.ru/documents/postanovlenie/npa_1884.html" TargetMode="External"/><Relationship Id="rId1248" Type="http://schemas.openxmlformats.org/officeDocument/2006/relationships/hyperlink" Target="http://newalexandrovsk.ru/finansy-i-byudzhet/reshenie-o-byudzhete/reshenie-soveta-57521/" TargetMode="External"/><Relationship Id="rId257" Type="http://schemas.openxmlformats.org/officeDocument/2006/relationships/hyperlink" Target="mailto:bns@bz-orb.ru" TargetMode="External"/><Relationship Id="rId464" Type="http://schemas.openxmlformats.org/officeDocument/2006/relationships/hyperlink" Target="http://golubitskoe.ru/%D0%B4%D0%BE%D0%BA%D1%83%D0%BC%D0%B5%D0%BD%D1%82%D1%8B/reshenija/%D1%80%D0%B5%D1%88%D0%B5%D0%BD%D0%B8%D1%8F-2022.html" TargetMode="External"/><Relationship Id="rId1010" Type="http://schemas.openxmlformats.org/officeDocument/2006/relationships/hyperlink" Target="http://adminta.ru/about/info/news/12760/" TargetMode="External"/><Relationship Id="rId1094" Type="http://schemas.openxmlformats.org/officeDocument/2006/relationships/hyperlink" Target="https://isib.myopenugra.ru/compete/regional/view/?id=557368" TargetMode="External"/><Relationship Id="rId1108" Type="http://schemas.openxmlformats.org/officeDocument/2006/relationships/hyperlink" Target="http://admkonda.ru/documents/17169.html" TargetMode="External"/><Relationship Id="rId1315" Type="http://schemas.openxmlformats.org/officeDocument/2006/relationships/hyperlink" Target="mailto:pimenovaiv@minfin.omskportal.ru" TargetMode="External"/><Relationship Id="rId117" Type="http://schemas.openxmlformats.org/officeDocument/2006/relationships/hyperlink" Target="https://tumstat.gks.ru/ofstat_ynao" TargetMode="External"/><Relationship Id="rId671" Type="http://schemas.openxmlformats.org/officeDocument/2006/relationships/hyperlink" Target="https://borcity.ru/okrug/okrug_info.php" TargetMode="External"/><Relationship Id="rId769" Type="http://schemas.openxmlformats.org/officeDocument/2006/relationships/hyperlink" Target="mailto:k312@krasfin.ru" TargetMode="External"/><Relationship Id="rId976" Type="http://schemas.openxmlformats.org/officeDocument/2006/relationships/hyperlink" Target="https://samarastat.gks.ru/population" TargetMode="External"/><Relationship Id="rId1399" Type="http://schemas.openxmlformats.org/officeDocument/2006/relationships/hyperlink" Target="https://terenga.gosuslugi.ru/deyatelnost/napravleniya-deyatelnosti/finansy-i-byudzhet/otkrytyy-byudzhet/narodnyy-byudzhet/2022-god/dokumenty_861.html" TargetMode="External"/><Relationship Id="rId324" Type="http://schemas.openxmlformats.org/officeDocument/2006/relationships/hyperlink" Target="https://cherinfo-doc.ru/documents/postanovlenie-merii-goroda-cherepovca-ot-18.06.2019-2883-o-proekte-narodnyj-byudzhet-tos," TargetMode="External"/><Relationship Id="rId531" Type="http://schemas.openxmlformats.org/officeDocument/2006/relationships/hyperlink" Target="mailto:Coi.gvard@mail.ru" TargetMode="External"/><Relationship Id="rId629" Type="http://schemas.openxmlformats.org/officeDocument/2006/relationships/hyperlink" Target="https://02.rosstat.gov.ru/storage/mediabank/CHislennost-naseleniya-po-municipalnym-rajonam-i-gorodskim-okrugam-Respubliki-%20Bashkortostan-na-1-yanvarya-2022-g-s-uchetom-VPN-2020.pdf" TargetMode="External"/><Relationship Id="rId1161" Type="http://schemas.openxmlformats.org/officeDocument/2006/relationships/hyperlink" Target="mailto:essemenova@yandex.ru" TargetMode="External"/><Relationship Id="rId1259" Type="http://schemas.openxmlformats.org/officeDocument/2006/relationships/hyperlink" Target="http://petrgosk.ru/initsiativnye-proekty/materialy/index.php" TargetMode="External"/><Relationship Id="rId836" Type="http://schemas.openxmlformats.org/officeDocument/2006/relationships/hyperlink" Target="https://samarastat.gks.ru/population" TargetMode="External"/><Relationship Id="rId1021" Type="http://schemas.openxmlformats.org/officeDocument/2006/relationships/hyperlink" Target="mailto:fo@vuktyl.rkomi.ru" TargetMode="External"/><Relationship Id="rId1119" Type="http://schemas.openxmlformats.org/officeDocument/2006/relationships/hyperlink" Target="http://lugovoikonda.ru/tinybrowser/files/2023/raznoe/_-283-komissiya-po-proektam-ib-1.doc" TargetMode="External"/><Relationship Id="rId903" Type="http://schemas.openxmlformats.org/officeDocument/2006/relationships/hyperlink" Target="https://samarastat.gks.ru/population" TargetMode="External"/><Relationship Id="rId1326" Type="http://schemas.openxmlformats.org/officeDocument/2006/relationships/hyperlink" Target="http://ivnmssk.tevr.omskportal.ru/omsu/tevr-3-52-255-1/poseleniya/ivanovo-myisskoe/etc/inibudget" TargetMode="External"/><Relationship Id="rId32" Type="http://schemas.openxmlformats.org/officeDocument/2006/relationships/hyperlink" Target="https://rovenkiadm.gosuslugi.ru/deyatelnost/proekty-i-programmy-rovenskogo-rayona/razvitie-obschestvennogo-samoupravleniya/" TargetMode="External"/><Relationship Id="rId181" Type="http://schemas.openxmlformats.org/officeDocument/2006/relationships/hyperlink" Target="https://buzuluk.orb.ru/documents/active/119556/" TargetMode="External"/><Relationship Id="rId279" Type="http://schemas.openxmlformats.org/officeDocument/2006/relationships/hyperlink" Target="https://finotdnovoorsk.ru/kadrovoe-obespechenie" TargetMode="External"/><Relationship Id="rId486" Type="http://schemas.openxmlformats.org/officeDocument/2006/relationships/hyperlink" Target="http://&#1072;&#1076;&#1084;-&#1090;&#1072;&#1084;&#1072;&#1085;&#1100;.&#1088;&#1092;/images/SMI/proekt/&#1055;&#1088;&#1086;&#1090;&#1086;&#1082;&#1086;&#1083;%20&#1089;&#1086;&#1075;&#1083;&#1072;&#1089;&#1080;&#1090;&#1077;&#1083;&#1100;&#1085;&#1086;&#1081;%20&#1082;&#1086;&#1084;&#1080;&#1089;&#1089;&#1080;&#1080;.pdf" TargetMode="External"/><Relationship Id="rId693" Type="http://schemas.openxmlformats.org/officeDocument/2006/relationships/hyperlink" Target="https://pnz.gks.ru/demography" TargetMode="External"/><Relationship Id="rId139" Type="http://schemas.openxmlformats.org/officeDocument/2006/relationships/hyperlink" Target="https://rosstat.gov.ru/vpn_popul" TargetMode="External"/><Relationship Id="rId346" Type="http://schemas.openxmlformats.org/officeDocument/2006/relationships/hyperlink" Target="https://adm-yaroslavskogo.ru/&#1087;&#1088;&#1086;&#1077;&#1082;&#1090;&#1099;-&#1084;&#1077;&#1089;&#1090;&#1085;&#1099;&#1093;-&#1080;&#1085;&#1080;&#1094;&#1080;&#1072;&#1090;&#1080;&#1074;" TargetMode="External"/><Relationship Id="rId553" Type="http://schemas.openxmlformats.org/officeDocument/2006/relationships/hyperlink" Target="https://www.afanasyevo.ru/ekonomika/initsiativnye-proekty" TargetMode="External"/><Relationship Id="rId760" Type="http://schemas.openxmlformats.org/officeDocument/2006/relationships/hyperlink" Target="https://divnogorsk.gosuslugi.ru/ofitsialno/dokumenty/arhiv-dokumentov/arhiv-resheniy-gorodskogo-soveta/resheniya-gorodskogo-soveta-2021-god/postanovleniya-2021_604.html" TargetMode="External"/><Relationship Id="rId998" Type="http://schemas.openxmlformats.org/officeDocument/2006/relationships/hyperlink" Target="https://malibrykino.ru/category/docs/postanov/" TargetMode="External"/><Relationship Id="rId1183" Type="http://schemas.openxmlformats.org/officeDocument/2006/relationships/hyperlink" Target="https://aleksadmin.ru/initsiativnoe-byudzhetirovanie/mestnye-praktiki/normativno-pravovye-akty" TargetMode="External"/><Relationship Id="rId1390" Type="http://schemas.openxmlformats.org/officeDocument/2006/relationships/hyperlink" Target="mailto:kuzmina.mv@ulminfin.ru" TargetMode="External"/><Relationship Id="rId206" Type="http://schemas.openxmlformats.org/officeDocument/2006/relationships/hyperlink" Target="http://www.gfo-sorochinsk.ru/tshb" TargetMode="External"/><Relationship Id="rId413" Type="http://schemas.openxmlformats.org/officeDocument/2006/relationships/hyperlink" Target="mailto:n.dubchak@krd.ru" TargetMode="External"/><Relationship Id="rId858" Type="http://schemas.openxmlformats.org/officeDocument/2006/relationships/hyperlink" Target="http://sovadmsamara.ru/tvoj_konstruktor_dvora/" TargetMode="External"/><Relationship Id="rId1043" Type="http://schemas.openxmlformats.org/officeDocument/2006/relationships/hyperlink" Target="https://www.gks.ru/scripts/db_inet2/passport/table.aspx?opt=876480002022" TargetMode="External"/><Relationship Id="rId620" Type="http://schemas.openxmlformats.org/officeDocument/2006/relationships/hyperlink" Target="mailto:kochetkova.e@bashkortostan.ru" TargetMode="External"/><Relationship Id="rId718" Type="http://schemas.openxmlformats.org/officeDocument/2006/relationships/hyperlink" Target="mailto:Fin561@bk.ru" TargetMode="External"/><Relationship Id="rId925" Type="http://schemas.openxmlformats.org/officeDocument/2006/relationships/hyperlink" Target="https://www.kinel-cherkassy.ru/index.php/initsiativnye-proekty" TargetMode="External"/><Relationship Id="rId1250" Type="http://schemas.openxmlformats.org/officeDocument/2006/relationships/hyperlink" Target="http://newalexandrovsk.ru/initsiativnoe-byudzhetirovanie/info/" TargetMode="External"/><Relationship Id="rId1348" Type="http://schemas.openxmlformats.org/officeDocument/2006/relationships/hyperlink" Target="http://www.&#1073;&#1077;&#1082;&#1077;&#1090;&#1086;&#1074;&#1089;&#1082;&#1086;&#1077;.&#1088;&#1092;/load/administracija/normativnye_pravovye_akty/postanovlenie_ot_17_12_2022_66/9-1-0-864" TargetMode="External"/><Relationship Id="rId1110" Type="http://schemas.openxmlformats.org/officeDocument/2006/relationships/hyperlink" Target="https://www.gks.ru/scripts/db_inet2/passport/table.aspx?opt=718161512022" TargetMode="External"/><Relationship Id="rId1208" Type="http://schemas.openxmlformats.org/officeDocument/2006/relationships/hyperlink" Target="https://rosstat.gov.ru/storage/mediabank/chisl_&#1052;&#1054;_Site_01-01-2022.xlsx" TargetMode="External"/><Relationship Id="rId54" Type="http://schemas.openxmlformats.org/officeDocument/2006/relationships/hyperlink" Target="https://rosstat.gov.ru/compendium/document/13282" TargetMode="External"/><Relationship Id="rId270" Type="http://schemas.openxmlformats.org/officeDocument/2006/relationships/hyperlink" Target="https://krasnogvardfo.ru/assets/files/106-post-%E2%84%96-85-p-ot-27.02.2020-finotdel-byudzhetnyij-prognoz-do-2025.docx" TargetMode="External"/><Relationship Id="rId130" Type="http://schemas.openxmlformats.org/officeDocument/2006/relationships/hyperlink" Target="https://admmuji.yanao.ru/documents/other/170350/" TargetMode="External"/><Relationship Id="rId368" Type="http://schemas.openxmlformats.org/officeDocument/2006/relationships/hyperlink" Target="https://disk.yandex.ru/i/pELIk2qfIWxV6w" TargetMode="External"/><Relationship Id="rId575" Type="http://schemas.openxmlformats.org/officeDocument/2006/relationships/hyperlink" Target="https://gks.ru/dbscripts/munst/munst53/DBInet.cgi" TargetMode="External"/><Relationship Id="rId782" Type="http://schemas.openxmlformats.org/officeDocument/2006/relationships/hyperlink" Target="http://suhobuzimo.ru/sites/default/files/docs/byudzhet_dlya_grazhdan_2023.pdf" TargetMode="External"/><Relationship Id="rId228" Type="http://schemas.openxmlformats.org/officeDocument/2006/relationships/hyperlink" Target="mailto:velav@mail.orb.ru" TargetMode="External"/><Relationship Id="rId435" Type="http://schemas.openxmlformats.org/officeDocument/2006/relationships/hyperlink" Target="https://www.labinsk-city.ru/ru/doc/munitsipalnye-i-vedomstvennye-tselevye-programmy/?sphrase_id=2906" TargetMode="External"/><Relationship Id="rId642" Type="http://schemas.openxmlformats.org/officeDocument/2006/relationships/hyperlink" Target="https://perovskoe.rk.gov.ru/ru/structure/2022_02_17_13_11_normativnye_pravovye_dokumenty_po_initsiativnomu_biudzhetirovaniiu_administratsii_perovskogo_selskogo_poseleniia" TargetMode="External"/><Relationship Id="rId1065" Type="http://schemas.openxmlformats.org/officeDocument/2006/relationships/hyperlink" Target="https://40.rosstat.gov.ru/storage/mediabank/&#1063;&#1080;&#1089;&#1083;&#1077;&#1085;&#1085;&#1086;&#1089;&#1090;&#1100;%20&#1087;&#1086;&#1089;&#1090;&#1086;&#1103;&#1085;&#1085;&#1086;&#1075;&#1086;%20&#1085;&#1072;&#1089;&#1077;&#1083;&#1077;&#1085;&#1080;&#1103;%20&#1050;&#1072;&#1083;&#1091;&#1078;&#1089;&#1082;&#1086;&#1081;%20&#1086;&#1073;&#1083;&#1072;&#1089;&#1090;&#1080;%20&#1087;&#1086;%20&#1084;&#1091;&#1085;&#1080;&#1094;&#1080;&#1087;&#1072;&#1083;&#1100;&#1085;&#1099;&#1084;%20&#1086;&#1073;&#1088;&#1072;&#1079;&#1086;&#1074;&#1072;&#1085;&#1080;&#1103;&#1084;.pdf" TargetMode="External"/><Relationship Id="rId1272" Type="http://schemas.openxmlformats.org/officeDocument/2006/relationships/hyperlink" Target="https://pyatigorsk.org/" TargetMode="External"/><Relationship Id="rId502" Type="http://schemas.openxmlformats.org/officeDocument/2006/relationships/hyperlink" Target="https://vk.com/g.bakhilin?w=wall710267413_945%2Fall" TargetMode="External"/><Relationship Id="rId947" Type="http://schemas.openxmlformats.org/officeDocument/2006/relationships/hyperlink" Target="http://krotovka.kinel-cherkassy.ru/index.php" TargetMode="External"/><Relationship Id="rId1132" Type="http://schemas.openxmlformats.org/officeDocument/2006/relationships/hyperlink" Target="mailto:admkuma@yandex.ru" TargetMode="External"/><Relationship Id="rId76" Type="http://schemas.openxmlformats.org/officeDocument/2006/relationships/hyperlink" Target="https://sever-press.ru/news/ekonomika/ujutnyj-jamal-salehardcy-uvideli-prezentaciju-luchshih-idej-po-blagoustrojstvu-goroda/" TargetMode="External"/><Relationship Id="rId807" Type="http://schemas.openxmlformats.org/officeDocument/2006/relationships/hyperlink" Target="http://admmeleuz.ru/index.php?option=com_content&amp;view=category&amp;id=905&amp;Itemid=356" TargetMode="External"/><Relationship Id="rId292" Type="http://schemas.openxmlformats.org/officeDocument/2006/relationships/hyperlink" Target="mailto:onl-or@mail.ru" TargetMode="External"/><Relationship Id="rId597" Type="http://schemas.openxmlformats.org/officeDocument/2006/relationships/hyperlink" Target="https://gy.orb.ru/vote/187/result/expired/" TargetMode="External"/><Relationship Id="rId152" Type="http://schemas.openxmlformats.org/officeDocument/2006/relationships/hyperlink" Target="https://tasu.ru/mestnoe-samoupravlenie/administratsiya/postanovleniya-administratsii-rayona/o-realizatsii-proekta-shkolnoe-partisipatornoe-byudzhetirovanie-v-munitsipalnom-okruge-tazovskiy-rayon-yamalo-nenetskogo-avtonomnogo-okruga-48554/" TargetMode="External"/><Relationship Id="rId457" Type="http://schemas.openxmlformats.org/officeDocument/2006/relationships/hyperlink" Target="https://www.temryuk.ru/nash-rayon/initsiativnoe-byudzhetirovanie/initsiativnye-proekty/2022-god/" TargetMode="External"/><Relationship Id="rId1087" Type="http://schemas.openxmlformats.org/officeDocument/2006/relationships/hyperlink" Target="https://www.dumamegion.ru/laws/resheniya/detail.php?ID=7846" TargetMode="External"/><Relationship Id="rId1294" Type="http://schemas.openxmlformats.org/officeDocument/2006/relationships/hyperlink" Target="https://komobrlub.edusite.ru/p94aa1.html" TargetMode="External"/><Relationship Id="rId664" Type="http://schemas.openxmlformats.org/officeDocument/2006/relationships/hyperlink" Target="http://bg-adm.ru./?id=30562" TargetMode="External"/><Relationship Id="rId871" Type="http://schemas.openxmlformats.org/officeDocument/2006/relationships/hyperlink" Target="https://mikushkino.ru/documents/decision/detail.php?id=1347075" TargetMode="External"/><Relationship Id="rId969" Type="http://schemas.openxmlformats.org/officeDocument/2006/relationships/hyperlink" Target="http://sadgorod.kinel-cherkassy.ru/wp-content/uploads/2021/12/&#1055;&#1086;&#1089;&#1090;&#1072;&#1085;&#1086;&#1074;&#1083;&#1077;&#1085;&#1080;&#1077;-&#8470;-134-&#1086;&#1090;-21.12.21-&#1041;&#1083;&#1072;&#1075;&#1086;-&#1074;&#1086;-&#1057;&#1072;&#1076;&#1075;&#1086;&#1088;&#1086;&#1076;.doc" TargetMode="External"/><Relationship Id="rId317" Type="http://schemas.openxmlformats.org/officeDocument/2006/relationships/hyperlink" Target="https://tu.orb.ru/documents/other/132806/" TargetMode="External"/><Relationship Id="rId524" Type="http://schemas.openxmlformats.org/officeDocument/2006/relationships/hyperlink" Target="https://rosstat.gov.ru/compendium/document/13282" TargetMode="External"/><Relationship Id="rId731" Type="http://schemas.openxmlformats.org/officeDocument/2006/relationships/hyperlink" Target="https://asbestadm.ru/economy/initsiativnoe-byudzhetirovanie/normativno-pravovyie-dokumentyi/" TargetMode="External"/><Relationship Id="rId1154" Type="http://schemas.openxmlformats.org/officeDocument/2006/relationships/hyperlink" Target="mailto:BakharevaEV@NVraion.ru" TargetMode="External"/><Relationship Id="rId1361" Type="http://schemas.openxmlformats.org/officeDocument/2006/relationships/hyperlink" Target="https://inza.ulregion.ru/62/74/1184/20536/20526/12114.html" TargetMode="External"/><Relationship Id="rId98" Type="http://schemas.openxmlformats.org/officeDocument/2006/relationships/hyperlink" Target="https://rosstat.gov.ru/storage/mediabank/Chisl_nasel_RF_MO_01-01-2022.xlsx" TargetMode="External"/><Relationship Id="rId829" Type="http://schemas.openxmlformats.org/officeDocument/2006/relationships/hyperlink" Target="https://pohgor.ru/sociosfera/prestige-pricing/image-projects_56.html" TargetMode="External"/><Relationship Id="rId1014" Type="http://schemas.openxmlformats.org/officeDocument/2006/relationships/hyperlink" Target="https://kortkeros-r11.gosweb.gosuslugi.ru/netcat_files/userfiles/Razvitie_rayona/1756.zip" TargetMode="External"/><Relationship Id="rId1221" Type="http://schemas.openxmlformats.org/officeDocument/2006/relationships/hyperlink" Target="https://rosstat.gov.ru/storage/mediabank/chisl_&#1052;&#1054;_Site_01-01-2022.xlsx" TargetMode="External"/><Relationship Id="rId1319" Type="http://schemas.openxmlformats.org/officeDocument/2006/relationships/hyperlink" Target="https://kormil.omskportal.ru/omsu/kormil-3-52-223-1/etc/inbudg/2022" TargetMode="External"/><Relationship Id="rId25" Type="http://schemas.openxmlformats.org/officeDocument/2006/relationships/hyperlink" Target="https://gubkinadm.gosuslugi.ru/netcat_files/41/297/Pasport_GGO_na_01.01.2023.pdf" TargetMode="External"/><Relationship Id="rId174" Type="http://schemas.openxmlformats.org/officeDocument/2006/relationships/hyperlink" Target="mailto:velav@mail.orb.ru" TargetMode="External"/><Relationship Id="rId381" Type="http://schemas.openxmlformats.org/officeDocument/2006/relationships/hyperlink" Target="http://www.platnirovskaja.ru/f_docs/qm1w2j12tvzw/reshenie-soveta-platnirovskogo-selskogo-poseleniya-korenovskogo-rayona-ot-24122020-101-ob-utverjdenii-polojeniya-o-poryadke-realizatsii-initsiativnyih-proektov-v-platnirovskom-selskom-poselenii-korenovskogo-rayona.html" TargetMode="External"/><Relationship Id="rId241" Type="http://schemas.openxmlformats.org/officeDocument/2006/relationships/hyperlink" Target="mailto:velav@mail.orb.ru" TargetMode="External"/><Relationship Id="rId479" Type="http://schemas.openxmlformats.org/officeDocument/2006/relationships/hyperlink" Target="http://admsennaya.krd.eis1.ru/media/2022/03/22/1295341633/jpg2pdf_69.pdf" TargetMode="External"/><Relationship Id="rId686" Type="http://schemas.openxmlformats.org/officeDocument/2006/relationships/hyperlink" Target="https://www.gks.ru/scripts/db_inet2/passport/table.aspx?opt=227370002022" TargetMode="External"/><Relationship Id="rId893" Type="http://schemas.openxmlformats.org/officeDocument/2006/relationships/hyperlink" Target="http://aleksandrovka.kinel-cherkassy.ru/?p=6117" TargetMode="External"/><Relationship Id="rId339" Type="http://schemas.openxmlformats.org/officeDocument/2006/relationships/hyperlink" Target="https://unarokovo.ru/" TargetMode="External"/><Relationship Id="rId546" Type="http://schemas.openxmlformats.org/officeDocument/2006/relationships/hyperlink" Target="https://admermolino.ru/?page_id=7964" TargetMode="External"/><Relationship Id="rId753" Type="http://schemas.openxmlformats.org/officeDocument/2006/relationships/hyperlink" Target="https://www.tyumen-city.ru/vlast/administration/struktura-administracii-goroda-tumeni/departaments/departament/napravleniya/municipalynieprogrammi/" TargetMode="External"/><Relationship Id="rId1176" Type="http://schemas.openxmlformats.org/officeDocument/2006/relationships/hyperlink" Target="https://59.rosstat.gov.ru/folder/160087" TargetMode="External"/><Relationship Id="rId1383" Type="http://schemas.openxmlformats.org/officeDocument/2006/relationships/hyperlink" Target="https://majnskij-r73.gosweb.gosuslugi.ru/deyatelnost/napravleniya-deyatelnosti/finansovoe-upravlenie/initsiativnoe-byudzhetirovanie/narodnyy-byudzhet/2022-god/" TargetMode="External"/><Relationship Id="rId101" Type="http://schemas.openxmlformats.org/officeDocument/2006/relationships/hyperlink" Target="https://admnoyabrsk.ru/obshchestvo/ritm?ysclid=lg3nvhi7gc998813957" TargetMode="External"/><Relationship Id="rId406" Type="http://schemas.openxmlformats.org/officeDocument/2006/relationships/hyperlink" Target="http://www.admnovomysh.ru/images/resheniya/2021/resh_18.2_ot_19.01.21.doc" TargetMode="External"/><Relationship Id="rId960" Type="http://schemas.openxmlformats.org/officeDocument/2006/relationships/hyperlink" Target="http://novyekluchi.kinel-cherkassy.ru/wp-content/uploads/2021/08/&#1056;&#1077;&#1096;&#1077;&#1085;&#1080;&#1077;-&#1087;&#1086;-&#1080;&#1085;&#1094;&#1080;&#1080;&#1088;&#1086;&#1074;&#1072;&#1085;&#1080;&#1102;-10-1&#1053;&#1086;&#1074;&#1099;&#1077;-&#1050;&#1083;&#1102;&#1095;&#1080;.doc" TargetMode="External"/><Relationship Id="rId1036" Type="http://schemas.openxmlformats.org/officeDocument/2006/relationships/hyperlink" Target="http://www.&#1089;&#1099;&#1089;&#1086;&#1083;&#1072;-&#1072;&#1076;&#1084;.&#1088;&#1092;/archive/grant22.pdf" TargetMode="External"/><Relationship Id="rId1243" Type="http://schemas.openxmlformats.org/officeDocument/2006/relationships/hyperlink" Target="https://www.angosk.ru/index.php/duma-ngo-sk/normotvorchestvo-2/resheniya-dumy-ngo-sk/2021/8065-reshenie-590-ob-utverzhdenii-polozheniya-ob-initsiativnom-byudzhetirovanii-v-neftekumskom-gorodskom-okruge-stavropolskogo-kraya" TargetMode="External"/><Relationship Id="rId613" Type="http://schemas.openxmlformats.org/officeDocument/2006/relationships/hyperlink" Target="https://tl.orb.ru/vote/207/result/expired/" TargetMode="External"/><Relationship Id="rId820" Type="http://schemas.openxmlformats.org/officeDocument/2006/relationships/hyperlink" Target="https://otradny.org/upload/iblock/6e5/6e5df4460e11f37c28f56b712082eb20.rar" TargetMode="External"/><Relationship Id="rId918" Type="http://schemas.openxmlformats.org/officeDocument/2006/relationships/hyperlink" Target="https://www.kinel-cherkassy.ru/index.php/dokumenty/ofitsialnoe-opublikovanie/37533-postanovlenie-administratsii-kinel-cherkasskogo-rajona-ot-29-06-2022-677" TargetMode="External"/><Relationship Id="rId1103" Type="http://schemas.openxmlformats.org/officeDocument/2006/relationships/hyperlink" Target="https://www.nakanune.ru/news/2022/09/14/22674835/" TargetMode="External"/><Relationship Id="rId1310" Type="http://schemas.openxmlformats.org/officeDocument/2006/relationships/hyperlink" Target="https://vk.com/album-51946917_283084658" TargetMode="External"/><Relationship Id="rId1408" Type="http://schemas.openxmlformats.org/officeDocument/2006/relationships/hyperlink" Target="mailto:kuzmina.mv@ulminfin.ru" TargetMode="External"/><Relationship Id="rId47" Type="http://schemas.openxmlformats.org/officeDocument/2006/relationships/hyperlink" Target="mailto:bud@vladfin.ru" TargetMode="External"/><Relationship Id="rId196" Type="http://schemas.openxmlformats.org/officeDocument/2006/relationships/hyperlink" Target="https://orenburg.ru/documents/active/73077/" TargetMode="External"/><Relationship Id="rId263" Type="http://schemas.openxmlformats.org/officeDocument/2006/relationships/hyperlink" Target="https://grach-rf.orb.ru/activity/14679/" TargetMode="External"/><Relationship Id="rId470" Type="http://schemas.openxmlformats.org/officeDocument/2006/relationships/hyperlink" Target="mailto:zaporoz_adm@mail.ru" TargetMode="External"/><Relationship Id="rId123" Type="http://schemas.openxmlformats.org/officeDocument/2006/relationships/hyperlink" Target="https://nadym.yanao.ru/documents/active/161227/;https:/nadym.yanao.ru/documents/active/161347/" TargetMode="External"/><Relationship Id="rId330" Type="http://schemas.openxmlformats.org/officeDocument/2006/relationships/hyperlink" Target="https://cherinfo-doc.ru/documents/reshenie-cherepoveckoj-gorodskoj-dumy-ot-29.01.2021-7-ob-utverzhdenii-polozheniya-ob-iniciativnyh-proektah-na-territorii-goroda-cherepovca" TargetMode="External"/><Relationship Id="rId568" Type="http://schemas.openxmlformats.org/officeDocument/2006/relationships/hyperlink" Target="mailto:novo.posel@mail.ru" TargetMode="External"/><Relationship Id="rId775" Type="http://schemas.openxmlformats.org/officeDocument/2006/relationships/hyperlink" Target="mailto:adm_gpse@admse.ru" TargetMode="External"/><Relationship Id="rId982" Type="http://schemas.openxmlformats.org/officeDocument/2006/relationships/hyperlink" Target="https://samarastat.gks.ru/population" TargetMode="External"/><Relationship Id="rId1198" Type="http://schemas.openxmlformats.org/officeDocument/2006/relationships/hyperlink" Target="http://www.abgosk.ru/about/dependents/otdel_econom_razvitiya_i_mun_zakupok/15_10112022.docx" TargetMode="External"/><Relationship Id="rId428" Type="http://schemas.openxmlformats.org/officeDocument/2006/relationships/hyperlink" Target="mailto:orgotdel.kurganinsk@mail.ru" TargetMode="External"/><Relationship Id="rId635" Type="http://schemas.openxmlformats.org/officeDocument/2006/relationships/hyperlink" Target="https://dzhankoy.rk.gov.ru/ru/structure/1915" TargetMode="External"/><Relationship Id="rId842" Type="http://schemas.openxmlformats.org/officeDocument/2006/relationships/hyperlink" Target="https://www.samadm.ru/docs/official-publication/31618/" TargetMode="External"/><Relationship Id="rId1058" Type="http://schemas.openxmlformats.org/officeDocument/2006/relationships/hyperlink" Target="https://www.kaluga-gov.ru/obshchestvo/initsiativnye-proekty/pravovaya-baza/2740/" TargetMode="External"/><Relationship Id="rId1265" Type="http://schemas.openxmlformats.org/officeDocument/2006/relationships/hyperlink" Target="https://stavstat.gks.ru/folder/28386" TargetMode="External"/><Relationship Id="rId702" Type="http://schemas.openxmlformats.org/officeDocument/2006/relationships/hyperlink" Target="mailto:ladonnikova_np@fin.artemokrug.ru" TargetMode="External"/><Relationship Id="rId1125" Type="http://schemas.openxmlformats.org/officeDocument/2006/relationships/hyperlink" Target="https://vk.com/public188912037" TargetMode="External"/><Relationship Id="rId1332" Type="http://schemas.openxmlformats.org/officeDocument/2006/relationships/hyperlink" Target="https://omskportal.ru/npa?id=/omsu/tevr-3-52-255-1/ivanovo-myisskoe/2022/04/12/010" TargetMode="External"/><Relationship Id="rId69" Type="http://schemas.openxmlformats.org/officeDocument/2006/relationships/hyperlink" Target="https://www.salekhard.org/normativno-pravovye-akty/postanovleniya-administratsii/31558" TargetMode="External"/><Relationship Id="rId285" Type="http://schemas.openxmlformats.org/officeDocument/2006/relationships/hyperlink" Target="http://fin-or.ru/ckfinder/userfiles/files/%D0%9F%D0%BE%D1%81%D1%82%D0%B0%D0%BD%D0%BE%D0%B2%D0%BB%D0%B5%D0%BD%D0%B8%D0%B5%20983%D0%BF%20%D0%BE%D1%82%2019052021(1).pdf" TargetMode="External"/><Relationship Id="rId492" Type="http://schemas.openxmlformats.org/officeDocument/2006/relationships/hyperlink" Target="http://adm-nezaymanovskaya.ru/index.php/administratsiya/postanovleniya-administratsii" TargetMode="External"/><Relationship Id="rId797" Type="http://schemas.openxmlformats.org/officeDocument/2006/relationships/hyperlink" Target="mailto:romanova_o@depfin.kirov.ru" TargetMode="External"/><Relationship Id="rId145" Type="http://schemas.openxmlformats.org/officeDocument/2006/relationships/hyperlink" Target="https://yam.yanao.ru/documents/active/256113/" TargetMode="External"/><Relationship Id="rId352" Type="http://schemas.openxmlformats.org/officeDocument/2006/relationships/hyperlink" Target="mailto:adm.ugn@mail.ru" TargetMode="External"/><Relationship Id="rId1287" Type="http://schemas.openxmlformats.org/officeDocument/2006/relationships/hyperlink" Target="http://publication.pravo.gov.ru/Document/View/5300202005080009" TargetMode="External"/><Relationship Id="rId212" Type="http://schemas.openxmlformats.org/officeDocument/2006/relationships/hyperlink" Target="mailto:velav@mail.orb.ru" TargetMode="External"/><Relationship Id="rId657" Type="http://schemas.openxmlformats.org/officeDocument/2006/relationships/hyperlink" Target="mailto:veselova@fino.dzr.nnov.ru" TargetMode="External"/><Relationship Id="rId864" Type="http://schemas.openxmlformats.org/officeDocument/2006/relationships/hyperlink" Target="mailto:strazhec.ns@tgl.ru" TargetMode="External"/><Relationship Id="rId517" Type="http://schemas.openxmlformats.org/officeDocument/2006/relationships/hyperlink" Target="http://admekaterinovka.ru/initsiativnye-proekty/" TargetMode="External"/><Relationship Id="rId724" Type="http://schemas.openxmlformats.org/officeDocument/2006/relationships/hyperlink" Target="https://alapaevskoe.ru/article/show/id/10222" TargetMode="External"/><Relationship Id="rId931" Type="http://schemas.openxmlformats.org/officeDocument/2006/relationships/hyperlink" Target="http://gorka.kinel-cherkassy.ru/?page_id=4645" TargetMode="External"/><Relationship Id="rId1147" Type="http://schemas.openxmlformats.org/officeDocument/2006/relationships/hyperlink" Target="http://www.admugansk.ru/read/52979" TargetMode="External"/><Relationship Id="rId1354" Type="http://schemas.openxmlformats.org/officeDocument/2006/relationships/hyperlink" Target="https://veshkajma-r73.gosweb.gosuslugi.ru/deyatelnost/napravleniya-deyatelnosti/finansy/budgetgr/" TargetMode="External"/><Relationship Id="rId60" Type="http://schemas.openxmlformats.org/officeDocument/2006/relationships/hyperlink" Target="mailto:tenka_fino@rambler.ru" TargetMode="External"/><Relationship Id="rId1007" Type="http://schemas.openxmlformats.org/officeDocument/2006/relationships/hyperlink" Target="http://adminta.ru/upload/iblock/fcb/055ldf0yzk3jaw1vd5y33g7a4y4tapo8.pdf" TargetMode="External"/><Relationship Id="rId1214" Type="http://schemas.openxmlformats.org/officeDocument/2006/relationships/hyperlink" Target="https://www.adm-grsk.ru/initsiativnye-proekty" TargetMode="External"/><Relationship Id="rId18" Type="http://schemas.openxmlformats.org/officeDocument/2006/relationships/hyperlink" Target="https://volokonovskij-r31.gosweb.gosuslugi.ru/" TargetMode="External"/><Relationship Id="rId167" Type="http://schemas.openxmlformats.org/officeDocument/2006/relationships/hyperlink" Target="http://&#1073;&#1091;&#1079;&#1091;&#1083;&#1091;&#1082;-&#1087;&#1088;&#1072;&#1074;&#1086;.&#1088;&#1092;/node/5771;" TargetMode="External"/><Relationship Id="rId374" Type="http://schemas.openxmlformats.org/officeDocument/2006/relationships/hyperlink" Target="https://23.rosstat.gov.ru/storage/mediabank/Ocenka22.htm" TargetMode="External"/><Relationship Id="rId581" Type="http://schemas.openxmlformats.org/officeDocument/2006/relationships/hyperlink" Target="https://vk.com/club211208773?z=photo-211208773_457239048%2Falbum-211208773_00%2Frev" TargetMode="External"/><Relationship Id="rId234" Type="http://schemas.openxmlformats.org/officeDocument/2006/relationships/hyperlink" Target="mailto:asfin@inbox.ru" TargetMode="External"/><Relationship Id="rId679" Type="http://schemas.openxmlformats.org/officeDocument/2006/relationships/hyperlink" Target="mailto:paramonova_iv@fin.kreml.nnov.ru" TargetMode="External"/><Relationship Id="rId886" Type="http://schemas.openxmlformats.org/officeDocument/2006/relationships/hyperlink" Target="https://www.kinel-cherkassy.ru/index.php/dokumenty/ofitsialnoe-opublikovanie/40258-postanovlenie-administratsii-kinel-cherkasskogo-rajona-ot-21-03-2023-260" TargetMode="External"/><Relationship Id="rId2" Type="http://schemas.openxmlformats.org/officeDocument/2006/relationships/hyperlink" Target="https://vejdelevskij-r31.gosweb.gosuslugi.ru/deyatelnost/napravleniya-deyatelnosti/strategicheskoe-planirovanie/" TargetMode="External"/><Relationship Id="rId441" Type="http://schemas.openxmlformats.org/officeDocument/2006/relationships/hyperlink" Target="mailto:642651@mail.ru" TargetMode="External"/><Relationship Id="rId539" Type="http://schemas.openxmlformats.org/officeDocument/2006/relationships/hyperlink" Target="mailto:admdet@mail.ru" TargetMode="External"/><Relationship Id="rId746" Type="http://schemas.openxmlformats.org/officeDocument/2006/relationships/hyperlink" Target="https://admrevda.ru/ekonomika/5247-initsiativnoe-byudzhetirovanie.html" TargetMode="External"/><Relationship Id="rId1071" Type="http://schemas.openxmlformats.org/officeDocument/2006/relationships/hyperlink" Target="https://vk.com/fuauss" TargetMode="External"/><Relationship Id="rId1169" Type="http://schemas.openxmlformats.org/officeDocument/2006/relationships/hyperlink" Target="https://www.arhcity.ru/?page=2946/1" TargetMode="External"/><Relationship Id="rId1376" Type="http://schemas.openxmlformats.org/officeDocument/2006/relationships/hyperlink" Target="http://karsunmo.ru/sdresch/" TargetMode="External"/><Relationship Id="rId301" Type="http://schemas.openxmlformats.org/officeDocument/2006/relationships/hyperlink" Target="mailto:velav@mail.orb.ru" TargetMode="External"/><Relationship Id="rId953" Type="http://schemas.openxmlformats.org/officeDocument/2006/relationships/hyperlink" Target="http://mukhanovo.kinel-cherkassy.ru/?page_id=930" TargetMode="External"/><Relationship Id="rId1029" Type="http://schemas.openxmlformats.org/officeDocument/2006/relationships/hyperlink" Target="mailto:gfo-vorkuta@mail.ru" TargetMode="External"/><Relationship Id="rId1236" Type="http://schemas.openxmlformats.org/officeDocument/2006/relationships/hyperlink" Target="http://nevadm.ru/communal/gkh/mestnyie-initsiativyi/" TargetMode="External"/><Relationship Id="rId82" Type="http://schemas.openxmlformats.org/officeDocument/2006/relationships/hyperlink" Target="https://lbt.yanao.ru/documents/other/134187" TargetMode="External"/><Relationship Id="rId606" Type="http://schemas.openxmlformats.org/officeDocument/2006/relationships/hyperlink" Target="https://www.aleksandrovka56.ru/munitsipalitet/?ELEMENT_ID=4542" TargetMode="External"/><Relationship Id="rId813" Type="http://schemas.openxmlformats.org/officeDocument/2006/relationships/hyperlink" Target="mailto:dyadkovsk@inbox.ru" TargetMode="External"/><Relationship Id="rId1303" Type="http://schemas.openxmlformats.org/officeDocument/2006/relationships/hyperlink" Target="http://okuladm.ru/documents/21583" TargetMode="External"/><Relationship Id="rId189" Type="http://schemas.openxmlformats.org/officeDocument/2006/relationships/hyperlink" Target="https://&#1076;&#1086;&#1082;&#1091;&#1084;&#1077;&#1085;&#1090;.&#1075;&#1086;&#1088;&#1086;&#1076;&#1084;&#1077;&#1076;&#1085;&#1086;&#1075;&#1086;&#1088;&#1089;&#1082;.&#1088;&#1092;/index.php/mpostanovleniya-administratsii-goroda-2022/item/2983-postanovlenie-1516-pa-ot-22-12-2022" TargetMode="External"/><Relationship Id="rId396" Type="http://schemas.openxmlformats.org/officeDocument/2006/relationships/hyperlink" Target="mailto:ivanovsk@list.ru" TargetMode="External"/><Relationship Id="rId256" Type="http://schemas.openxmlformats.org/officeDocument/2006/relationships/hyperlink" Target="https://vk.com/buzulukskiyraion?w=wall-173587551_1491" TargetMode="External"/><Relationship Id="rId463" Type="http://schemas.openxmlformats.org/officeDocument/2006/relationships/hyperlink" Target="mailto:fin217@yandex.ru" TargetMode="External"/><Relationship Id="rId670" Type="http://schemas.openxmlformats.org/officeDocument/2006/relationships/hyperlink" Target="https://borcity.ru/authority/mp_akt.php" TargetMode="External"/><Relationship Id="rId1093" Type="http://schemas.openxmlformats.org/officeDocument/2006/relationships/hyperlink" Target="https://rosstat.gov.ru/compendium/document/13282" TargetMode="External"/><Relationship Id="rId116" Type="http://schemas.openxmlformats.org/officeDocument/2006/relationships/hyperlink" Target="https://tumstat.gks.ru/ofstat_ynao" TargetMode="External"/><Relationship Id="rId323" Type="http://schemas.openxmlformats.org/officeDocument/2006/relationships/hyperlink" Target="mailto:velav@mail.orb.ru" TargetMode="External"/><Relationship Id="rId530" Type="http://schemas.openxmlformats.org/officeDocument/2006/relationships/hyperlink" Target="https://gvardeysk.gov39.ru/files/dokumentu/normativnue-pravovue-aktu/2021-reshenia-soveta/52_18_02_2021_sd.docx" TargetMode="External"/><Relationship Id="rId768" Type="http://schemas.openxmlformats.org/officeDocument/2006/relationships/hyperlink" Target="mailto:Pilyugaeva@fin.admkrsk.ru" TargetMode="External"/><Relationship Id="rId975" Type="http://schemas.openxmlformats.org/officeDocument/2006/relationships/hyperlink" Target="http://adm-timashevo.ru/images/resheniya/2021/resh_9-1_ot_27.07.21-1.doc" TargetMode="External"/><Relationship Id="rId1160" Type="http://schemas.openxmlformats.org/officeDocument/2006/relationships/hyperlink" Target="https://vk.com/btv29" TargetMode="External"/><Relationship Id="rId1398" Type="http://schemas.openxmlformats.org/officeDocument/2006/relationships/hyperlink" Target="https://terenga.gosuslugi.ru/deyatelnost/napravleniya-deyatelnosti/finansy-i-byudzhet/otkrytyy-byudzhet/narodnyy-byudzhet/2022-god/dokumenty_859.html" TargetMode="External"/><Relationship Id="rId628" Type="http://schemas.openxmlformats.org/officeDocument/2006/relationships/hyperlink" Target="https://sterlibash.bashkortostan.ru/documents/active/427286/," TargetMode="External"/><Relationship Id="rId835" Type="http://schemas.openxmlformats.org/officeDocument/2006/relationships/hyperlink" Target="https://www.samadm.ru/docs/official-publication/31618/" TargetMode="External"/><Relationship Id="rId1258" Type="http://schemas.openxmlformats.org/officeDocument/2006/relationships/hyperlink" Target="http://petrgosk.ru/initsiativnye-proekty/" TargetMode="External"/><Relationship Id="rId1020" Type="http://schemas.openxmlformats.org/officeDocument/2006/relationships/hyperlink" Target="mailto:org.otdel.vuktyl@mail" TargetMode="External"/><Relationship Id="rId1118" Type="http://schemas.openxmlformats.org/officeDocument/2006/relationships/hyperlink" Target="http://lugovoikonda.ru/initciativnyy-proekt-skver-100-letiya.html" TargetMode="External"/><Relationship Id="rId1325" Type="http://schemas.openxmlformats.org/officeDocument/2006/relationships/hyperlink" Target="https://kormil.omskportal.ru/omsu/kormil-3-52-223-1/etc/inbudg" TargetMode="External"/><Relationship Id="rId902" Type="http://schemas.openxmlformats.org/officeDocument/2006/relationships/hyperlink" Target="http://erzovka.kinel-cherkassy.ru/?p=8935" TargetMode="External"/><Relationship Id="rId31" Type="http://schemas.openxmlformats.org/officeDocument/2006/relationships/hyperlink" Target="https://rovenkiadm.gosuslugi.ru/deyatelnost/proekty-i-programmy-rovenskogo-rayona/razvitie-obschestvennogo-samoupravleniya/" TargetMode="External"/><Relationship Id="rId180" Type="http://schemas.openxmlformats.org/officeDocument/2006/relationships/hyperlink" Target="http://&#1073;&#1091;&#1079;&#1091;&#1083;&#1091;&#1082;-&#1087;&#1088;&#1072;&#1074;&#1086;.&#1088;&#1092;/node/5771" TargetMode="External"/><Relationship Id="rId278" Type="http://schemas.openxmlformats.org/officeDocument/2006/relationships/hyperlink" Target="https://finotdnovoorsk.ru/assets/files/2023/protokol-ot-26.04.2022.pdf" TargetMode="External"/><Relationship Id="rId485" Type="http://schemas.openxmlformats.org/officeDocument/2006/relationships/hyperlink" Target="http://&#1072;&#1076;&#1084;-&#1090;&#1072;&#1084;&#1072;&#1085;&#1100;.&#1088;&#1092;/index.php/nasha-taman/initsiativnogo-byudzhetirovaniya/initsiativnogo-byudzhetirovaniya-4/initsiativnogo-byudzhetirovaniya-5" TargetMode="External"/><Relationship Id="rId692" Type="http://schemas.openxmlformats.org/officeDocument/2006/relationships/hyperlink" Target="https://www.penza-gorod.ru/line_of_activity/econom/economy/city-development-strategy/" TargetMode="External"/><Relationship Id="rId138" Type="http://schemas.openxmlformats.org/officeDocument/2006/relationships/hyperlink" Target="mailto:chuprova_nk@shur.yanao.ru" TargetMode="External"/><Relationship Id="rId345" Type="http://schemas.openxmlformats.org/officeDocument/2006/relationships/hyperlink" Target="https://adm-yaroslavskogo.ru/&#1087;&#1088;&#1086;&#1077;&#1082;&#1090;&#1099;-&#1084;&#1077;&#1089;&#1090;&#1085;&#1099;&#1093;-&#1080;&#1085;&#1080;&#1094;&#1080;&#1072;&#1090;&#1080;&#1074;" TargetMode="External"/><Relationship Id="rId552" Type="http://schemas.openxmlformats.org/officeDocument/2006/relationships/hyperlink" Target="https://www.afanasyevo.ru/ekonomika/initsiativnye-proekty/item/23022-protokol-1-2022-zasedaniya-komissii-po-provedeniyu-konkursnogo-otbora-initsiativnykh-proektov" TargetMode="External"/><Relationship Id="rId997" Type="http://schemas.openxmlformats.org/officeDocument/2006/relationships/hyperlink" Target="https://kraskluchi.ru/documents/order/" TargetMode="External"/><Relationship Id="rId1182" Type="http://schemas.openxmlformats.org/officeDocument/2006/relationships/hyperlink" Target="mailto:tv_zubova@mail.ru" TargetMode="External"/><Relationship Id="rId205" Type="http://schemas.openxmlformats.org/officeDocument/2006/relationships/hyperlink" Target="http://sorochinsk56.ru/index.php?id=519" TargetMode="External"/><Relationship Id="rId412" Type="http://schemas.openxmlformats.org/officeDocument/2006/relationships/hyperlink" Target="https://krd.ru/administratsiya/administratsii-krasnodara/departament-po-svyazyam-s-obschestvennostyu-vzaimodeystviyu/ip/" TargetMode="External"/><Relationship Id="rId857" Type="http://schemas.openxmlformats.org/officeDocument/2006/relationships/hyperlink" Target="https://sgpress.ru/pdf_archive;http:/sovadmsamara.ru" TargetMode="External"/><Relationship Id="rId1042" Type="http://schemas.openxmlformats.org/officeDocument/2006/relationships/hyperlink" Target="https://&#1089;&#1099;&#1082;&#1090;&#1099;&#1074;&#1082;&#1072;&#1088;.&#1088;&#1092;/" TargetMode="External"/><Relationship Id="rId717" Type="http://schemas.openxmlformats.org/officeDocument/2006/relationships/hyperlink" Target="https://dalmdr.ru/node/4901" TargetMode="External"/><Relationship Id="rId924" Type="http://schemas.openxmlformats.org/officeDocument/2006/relationships/hyperlink" Target="https://kinel-cherkassy.ru/attachments/article/39069/%D0%9F%D0%BE%D1%81%D1%82%D0%B0%D0%BD%D0%BE%D0%B2%D0%BB%D0%B5%D0%BD%D0%B8%D0%B5%20%D0%BE%D1%82%2002.12.2022%20%E2%84%96%201288.docx" TargetMode="External"/><Relationship Id="rId1347" Type="http://schemas.openxmlformats.org/officeDocument/2006/relationships/hyperlink" Target="https://veshkajma-r73.gosweb.gosuslugi.ru/deyatelnost/napravleniya-deyatelnosti/finansy/budgetgr/" TargetMode="External"/><Relationship Id="rId53" Type="http://schemas.openxmlformats.org/officeDocument/2006/relationships/hyperlink" Target="http://www.adm-vyaz.ru/tinybrowser/files/finupr/2022/Pol_IB_2022.zip" TargetMode="External"/><Relationship Id="rId1207" Type="http://schemas.openxmlformats.org/officeDocument/2006/relationships/hyperlink" Target="https://www.georgievsk.ru/mestnye-initsiativy/" TargetMode="External"/><Relationship Id="rId367" Type="http://schemas.openxmlformats.org/officeDocument/2006/relationships/hyperlink" Target="https://&#1095;&#1077;&#1083;&#1073;&#1072;&#1089;&#1089;&#1082;&#1072;&#1103;.&#1088;&#1092;/wp-content/uploads/2023/04/----155-ot-20.10.2020-MP-Razvitie-ZHKH.doc" TargetMode="External"/><Relationship Id="rId574" Type="http://schemas.openxmlformats.org/officeDocument/2006/relationships/hyperlink" Target="https://&#1102;&#1078;&#1085;&#1077;&#1085;&#1089;&#1082;&#1086;&#1077;-&#1089;&#1087;.&#1088;&#1092;/" TargetMode="External"/><Relationship Id="rId227" Type="http://schemas.openxmlformats.org/officeDocument/2006/relationships/hyperlink" Target="mailto:velav@mail.orb.ru" TargetMode="External"/><Relationship Id="rId781" Type="http://schemas.openxmlformats.org/officeDocument/2006/relationships/hyperlink" Target="mailto:k312@krasfin.ru" TargetMode="External"/><Relationship Id="rId879" Type="http://schemas.openxmlformats.org/officeDocument/2006/relationships/hyperlink" Target="mailto:admspisakly@yandex.ru" TargetMode="External"/><Relationship Id="rId434" Type="http://schemas.openxmlformats.org/officeDocument/2006/relationships/hyperlink" Target="https://www.labinsk-city.ru/ru/doc/organizatsionno-pravovye-voprosy/?sphrase_id=2905" TargetMode="External"/><Relationship Id="rId641" Type="http://schemas.openxmlformats.org/officeDocument/2006/relationships/hyperlink" Target="https://perovskoe.rk.gov.ru/ru/document/show/2092" TargetMode="External"/><Relationship Id="rId739" Type="http://schemas.openxmlformats.org/officeDocument/2006/relationships/hyperlink" Target="mailto:e.mokrushina@kgo66.ru" TargetMode="External"/><Relationship Id="rId1064" Type="http://schemas.openxmlformats.org/officeDocument/2006/relationships/hyperlink" Target="mailto:prokhorova_es@kaluga-gov.ru" TargetMode="External"/><Relationship Id="rId1271" Type="http://schemas.openxmlformats.org/officeDocument/2006/relationships/hyperlink" Target="https://pyatigorsk.org/filesarhiv/docs?FilesarhivSearch%5Binner_id%5D=3535&amp;FilesarhivSearch%5Btitle%5D=&amp;FilesarhivSearch%5Btypeid%5D=&amp;FilesarhivSearch%5Bcatid%5D=&amp;FilesarhivSearch%5Bcreated%5D=" TargetMode="External"/><Relationship Id="rId1369" Type="http://schemas.openxmlformats.org/officeDocument/2006/relationships/hyperlink" Target="https://73.rosstat.gov.ru/folder/40275" TargetMode="External"/><Relationship Id="rId501" Type="http://schemas.openxmlformats.org/officeDocument/2006/relationships/hyperlink" Target="mailto:fumotim@mail.ru" TargetMode="External"/><Relationship Id="rId946" Type="http://schemas.openxmlformats.org/officeDocument/2006/relationships/hyperlink" Target="mailto:administraziy75@mail.ru" TargetMode="External"/><Relationship Id="rId1131" Type="http://schemas.openxmlformats.org/officeDocument/2006/relationships/hyperlink" Target="http://admkuma.ru/narodnyy-byudzhet.html" TargetMode="External"/><Relationship Id="rId1229" Type="http://schemas.openxmlformats.org/officeDocument/2006/relationships/hyperlink" Target="https://www.&#1082;&#1086;&#1095;&#1091;&#1073;&#1077;&#1077;&#1074;&#1089;&#1082;&#1080;&#1081;-&#1088;&#1072;&#1081;&#1086;&#1085;.&#1088;&#1092;/" TargetMode="External"/><Relationship Id="rId75" Type="http://schemas.openxmlformats.org/officeDocument/2006/relationships/hyperlink" Target="https://df.salekhard.org/upload/medialibrary/db2/&#1091;&#1102;&#1090;&#1085;&#1099;&#1081;%20&#1103;&#1084;&#1072;&#1083;.png" TargetMode="External"/><Relationship Id="rId806" Type="http://schemas.openxmlformats.org/officeDocument/2006/relationships/hyperlink" Target="http://admmeleuz.ru/index.php?option=com_content&amp;view=category&amp;id=905&amp;Itemid=356" TargetMode="External"/><Relationship Id="rId291" Type="http://schemas.openxmlformats.org/officeDocument/2006/relationships/hyperlink" Target="http://fin-or.ru/news/narodnyy-byudzhet-1" TargetMode="External"/><Relationship Id="rId151" Type="http://schemas.openxmlformats.org/officeDocument/2006/relationships/hyperlink" Target="https://vk.com/moi_yamalskiy_raion?w=wall-75005231_26093" TargetMode="External"/><Relationship Id="rId389" Type="http://schemas.openxmlformats.org/officeDocument/2006/relationships/hyperlink" Target="mailto:samylki-olga@yandex.ru" TargetMode="External"/><Relationship Id="rId596" Type="http://schemas.openxmlformats.org/officeDocument/2006/relationships/hyperlink" Target="https://vk.com/wall-43693019_9940" TargetMode="External"/><Relationship Id="rId249" Type="http://schemas.openxmlformats.org/officeDocument/2006/relationships/hyperlink" Target="http://pp-bz.ru/legal-acts/1078" TargetMode="External"/><Relationship Id="rId456" Type="http://schemas.openxmlformats.org/officeDocument/2006/relationships/hyperlink" Target="https://sochi.ru/gorodskaya-vlast/normativno-pravovyye-akty/?filter_npa%5Bcontent%5D=&amp;filter_npa%5Bnumber%5D=&amp;filter_npa%5Btype%5D=&amp;filter_npa%5Bdate_from%5D=&amp;filter_npa%5Bdate_to%5D=" TargetMode="External"/><Relationship Id="rId663" Type="http://schemas.openxmlformats.org/officeDocument/2006/relationships/hyperlink" Target="https://nizhstat.gks.ru/folder/33271" TargetMode="External"/><Relationship Id="rId870" Type="http://schemas.openxmlformats.org/officeDocument/2006/relationships/hyperlink" Target="mailto:admbm@mail.ru" TargetMode="External"/><Relationship Id="rId1086" Type="http://schemas.openxmlformats.org/officeDocument/2006/relationships/hyperlink" Target="https://www.dumamegion.ru/laws/resheniya/detail.php?ID=8681" TargetMode="External"/><Relationship Id="rId1293" Type="http://schemas.openxmlformats.org/officeDocument/2006/relationships/hyperlink" Target="https://komobrlub.edusite.ru/p4aa1.html" TargetMode="External"/><Relationship Id="rId109" Type="http://schemas.openxmlformats.org/officeDocument/2006/relationships/hyperlink" Target="https://vk.com/wall-189302525?q=&#1073;&#1102;&#1076;&#1078;&#1077;&#1090;&#1080;&#1088;&#1086;&#1074;&#1072;&#1085;&#1080;&#1077;" TargetMode="External"/><Relationship Id="rId316" Type="http://schemas.openxmlformats.org/officeDocument/2006/relationships/hyperlink" Target="https://rosstat.gov.ru/storage/mediabank/Chisl_nasel_RF_MO_01-01-2022.xlsx" TargetMode="External"/><Relationship Id="rId523" Type="http://schemas.openxmlformats.org/officeDocument/2006/relationships/hyperlink" Target="http://starscherb.ru/2021/Munic_program/339_ot_24.12.2021.doc" TargetMode="External"/><Relationship Id="rId968" Type="http://schemas.openxmlformats.org/officeDocument/2006/relationships/hyperlink" Target="mailto:ssadgorod@yndex.ru" TargetMode="External"/><Relationship Id="rId1153" Type="http://schemas.openxmlformats.org/officeDocument/2006/relationships/hyperlink" Target="mailto:NesterenkoYA@NVraion.ru" TargetMode="External"/><Relationship Id="rId97" Type="http://schemas.openxmlformats.org/officeDocument/2006/relationships/hyperlink" Target="http://gorod-noyabrsk89.yanao.ru/duma/solutions" TargetMode="External"/><Relationship Id="rId730" Type="http://schemas.openxmlformats.org/officeDocument/2006/relationships/hyperlink" Target="mailto:asb.ekonomika@mail.ru" TargetMode="External"/><Relationship Id="rId828" Type="http://schemas.openxmlformats.org/officeDocument/2006/relationships/hyperlink" Target="https://pohgor.ru/sociosfera/prestige-pricing/image-projects_56.html" TargetMode="External"/><Relationship Id="rId1013" Type="http://schemas.openxmlformats.org/officeDocument/2006/relationships/hyperlink" Target="mailto:92551@mail.ru" TargetMode="External"/><Relationship Id="rId1360" Type="http://schemas.openxmlformats.org/officeDocument/2006/relationships/hyperlink" Target="mailto:kuzmina.mv@ulminfin.ru" TargetMode="External"/><Relationship Id="rId1220" Type="http://schemas.openxmlformats.org/officeDocument/2006/relationships/hyperlink" Target="http://ipatovo.org/userfiles/file/2021/fevral/resheniya/reshenie_16_poryadka_vyd_rassm__inic_proektov.doc" TargetMode="External"/><Relationship Id="rId1318" Type="http://schemas.openxmlformats.org/officeDocument/2006/relationships/hyperlink" Target="https://pos.gosuslugi.ru/lkp/project-contests/10129/" TargetMode="External"/><Relationship Id="rId24" Type="http://schemas.openxmlformats.org/officeDocument/2006/relationships/hyperlink" Target="https://gubkinadm.gosuslugi.ru/ofitsialno/dokumenty/strategicheskoe-planirovanie/" TargetMode="External"/><Relationship Id="rId173" Type="http://schemas.openxmlformats.org/officeDocument/2006/relationships/hyperlink" Target="https://buzuluk.orb.ru/activity/23687/" TargetMode="External"/><Relationship Id="rId380" Type="http://schemas.openxmlformats.org/officeDocument/2006/relationships/hyperlink" Target="https://www.novoberezanskoe.ru/images/doc/2020-12-28/872020resh.doc" TargetMode="External"/><Relationship Id="rId240" Type="http://schemas.openxmlformats.org/officeDocument/2006/relationships/hyperlink" Target="mailto:bugraifo@mail.ru" TargetMode="External"/><Relationship Id="rId478" Type="http://schemas.openxmlformats.org/officeDocument/2006/relationships/hyperlink" Target="mailto:admi-krasnostrelskay@yandex.ru" TargetMode="External"/><Relationship Id="rId685" Type="http://schemas.openxmlformats.org/officeDocument/2006/relationships/hyperlink" Target="https://docs.semenov.nnov.ru/open/?nd=495918298&amp;searchType=phrase&amp;query=834" TargetMode="External"/><Relationship Id="rId892" Type="http://schemas.openxmlformats.org/officeDocument/2006/relationships/hyperlink" Target="http://aleksandrovka.kinel-cherkassy.ru/wp-content/uploads/2022/12/&#1055;&#1086;&#1089;&#1090;&#1072;&#1085;&#1086;&#1074;&#1083;&#1077;&#1085;&#1080;&#1077;-&#8470;96-&#1086;&#1090;-02.12.22-&#1080;&#1079;&#1084;-&#1074;-&#1087;&#1088;.&#1041;&#1083;&#1072;&#1075;&#1086;&#1091;&#1089;&#1090;&#1088;&#1086;&#1081;&#1089;&#1090;&#1074;&#1086;-&#1040;&#1083;&#1077;&#1082;&#1089;&#1072;&#1085;&#1076;&#1088;&#1086;&#1074;&#1082;&#1072;-22.11.doc" TargetMode="External"/><Relationship Id="rId100" Type="http://schemas.openxmlformats.org/officeDocument/2006/relationships/hyperlink" Target="https://budget.depfinnbr.ru/initsiativnoe-byudzhetirovanie/proekt-ritm?ysclid=lg3nxyqj3c196949660" TargetMode="External"/><Relationship Id="rId338" Type="http://schemas.openxmlformats.org/officeDocument/2006/relationships/hyperlink" Target="https://unarokovo.ru/" TargetMode="External"/><Relationship Id="rId545" Type="http://schemas.openxmlformats.org/officeDocument/2006/relationships/hyperlink" Target="https://40.rosstat.gov.ru/storage/mediabank/&#1090;&#1072;&#1073;&#1083;+5(1).pdf" TargetMode="External"/><Relationship Id="rId752" Type="http://schemas.openxmlformats.org/officeDocument/2006/relationships/hyperlink" Target="mailto:PryahinAA@tyumen-city.ru" TargetMode="External"/><Relationship Id="rId1175" Type="http://schemas.openxmlformats.org/officeDocument/2006/relationships/hyperlink" Target="mailto:finans-ver@yandex.ru" TargetMode="External"/><Relationship Id="rId1382" Type="http://schemas.openxmlformats.org/officeDocument/2006/relationships/hyperlink" Target="mailto:kuzmina.mv@ulminfin.ru" TargetMode="External"/><Relationship Id="rId405" Type="http://schemas.openxmlformats.org/officeDocument/2006/relationships/hyperlink" Target="http://www.admnovomysh.ru/images/resheniya/2021/resh_18.2_ot_19.01.21.doc" TargetMode="External"/><Relationship Id="rId612" Type="http://schemas.openxmlformats.org/officeDocument/2006/relationships/hyperlink" Target="http://www.gks.ru/scripts/db_inet2/passport/munr.aspx?base=munst53" TargetMode="External"/><Relationship Id="rId1035" Type="http://schemas.openxmlformats.org/officeDocument/2006/relationships/hyperlink" Target="mailto:zakaz@sysola.rkomi.ru" TargetMode="External"/><Relationship Id="rId1242" Type="http://schemas.openxmlformats.org/officeDocument/2006/relationships/hyperlink" Target="https://www.angosk.ru/index.php/informatsiya/mestnye-initsiativy/10123-postanovlenie-administratsii-neftekumskogo-gorodskogo-okruga-stavropolskogo-kraya-955-ot-30-iyunya-2021-g" TargetMode="External"/><Relationship Id="rId917" Type="http://schemas.openxmlformats.org/officeDocument/2006/relationships/hyperlink" Target="https://admkinel-cherkassy.ru/2021/08/18/%d1%80%d0%b5%d1%88%d0%b5%d0%bd%d0%b8%d0%b5-%e2%84%96-19-3-%d0%be%d1%82-12-08-2021-%d0%be%d0%b1-%d1%83%d1%82%d0%b2%d0%b5%d1%80%d0%b6%d0%b4%d0%b5%d0%bd%d0%b8%d0%b8-%d0%bf%d0%be%d0%bb%d0%be%d0%b6/" TargetMode="External"/><Relationship Id="rId1102" Type="http://schemas.openxmlformats.org/officeDocument/2006/relationships/hyperlink" Target="https://www.n-vartovsk.ru/ibudget/" TargetMode="External"/><Relationship Id="rId46" Type="http://schemas.openxmlformats.org/officeDocument/2006/relationships/hyperlink" Target="https://admsud.ru/npa-i-mps/normativnye-dokumenty-snd/resheniya-snd-2021/18959-reshenie-soveta-narodnyh-deputatov-mo-sudogodskiy-rayon-ot-18052021-35-10.html" TargetMode="External"/><Relationship Id="rId1407" Type="http://schemas.openxmlformats.org/officeDocument/2006/relationships/hyperlink" Target="mailto:finupr.adm.vesh@mail.ru" TargetMode="External"/><Relationship Id="rId195" Type="http://schemas.openxmlformats.org/officeDocument/2006/relationships/hyperlink" Target="mailto:velav@mail.orb.ru" TargetMode="External"/><Relationship Id="rId262" Type="http://schemas.openxmlformats.org/officeDocument/2006/relationships/hyperlink" Target="http://gks.ru/dbscripts/munst/munst53/DBInet.cgi" TargetMode="External"/><Relationship Id="rId567" Type="http://schemas.openxmlformats.org/officeDocument/2006/relationships/hyperlink" Target="https://npavlovka.ru/ekonomika-i-finansy/initsiativnoe-byudzhetirovanie/" TargetMode="External"/><Relationship Id="rId1197" Type="http://schemas.openxmlformats.org/officeDocument/2006/relationships/hyperlink" Target="http://abgosk.ru/finansy/initsiativnoe-byudzhetirovanie/initsiativnoe-byudzhetirovanie.php" TargetMode="External"/><Relationship Id="rId122" Type="http://schemas.openxmlformats.org/officeDocument/2006/relationships/hyperlink" Target="https://nadym.yanao.ru/documents/active/131380" TargetMode="External"/><Relationship Id="rId774" Type="http://schemas.openxmlformats.org/officeDocument/2006/relationships/hyperlink" Target="https://vk.com/officialadmse" TargetMode="External"/><Relationship Id="rId981" Type="http://schemas.openxmlformats.org/officeDocument/2006/relationships/hyperlink" Target="http://chernovka.kinel-cherkassy.ru/wp-content/uploads/2021/07/&#1056;&#1077;&#1096;&#1077;&#1085;&#1080;&#1077;&#8470;-26-1-&#1086;&#1090;-23.07.2021.doc" TargetMode="External"/><Relationship Id="rId1057" Type="http://schemas.openxmlformats.org/officeDocument/2006/relationships/hyperlink" Target="https://www.kaluga-gov.ru/obshchestvo/initsiativnye-proekty/pravovaya-baza/8427/" TargetMode="External"/><Relationship Id="rId427" Type="http://schemas.openxmlformats.org/officeDocument/2006/relationships/hyperlink" Target="https://&#1082;&#1086;&#1085;&#1089;&#1090;&#1072;&#1085;&#1090;&#1080;&#1085;&#1086;&#1074;&#1089;&#1082;&#1086;&#1077;-&#1089;&#1087;.&#1088;&#1092;/documents/1896.html" TargetMode="External"/><Relationship Id="rId634" Type="http://schemas.openxmlformats.org/officeDocument/2006/relationships/hyperlink" Target="https://dzhankoy.rk.gov.ru/uploads/txteditor/dzhankoy/attachments/d4/1d/8c/d98f00b204e9800998ecf8427e/php3qgsSu_&#1055;&#1088;&#1086;&#1090;&#1086;&#1082;&#1086;&#1083;%20&#8470;1%20&#1079;&#1072;&#1089;&#1077;&#1076;&#1072;&#1085;&#1080;&#1103;%20&#1082;&#1086;&#1085;&#1082;&#1091;&#1088;&#1089;&#1085;&#1086;&#1081;%20&#1082;&#1086;&#1084;&#1080;&#1089;&#1089;&#1080;&#1080;%20&#1087;&#1086;%20&#1088;&#1072;&#1089;&#1089;&#1084;&#1086;&#1090;&#1088;&#1077;&#1085;&#1080;&#1102;%20&#1080;&#1085;&#1080;&#1094;&#1080;&#1072;&#1090;&#1080;&#1074;&#1085;&#1086;&#1075;&#1086;%20&#1087;&#1088;&#1086;&#1077;&#1082;&#1090;&#1072;.pdf" TargetMode="External"/><Relationship Id="rId841" Type="http://schemas.openxmlformats.org/officeDocument/2006/relationships/hyperlink" Target="https://www.samadm.ru/docs/official-publication/31618/" TargetMode="External"/><Relationship Id="rId1264" Type="http://schemas.openxmlformats.org/officeDocument/2006/relationships/hyperlink" Target="https://pmosk.ru/archives/7202" TargetMode="External"/><Relationship Id="rId701" Type="http://schemas.openxmlformats.org/officeDocument/2006/relationships/hyperlink" Target="mailto:artem-dorogi@yandex.ru" TargetMode="External"/><Relationship Id="rId939" Type="http://schemas.openxmlformats.org/officeDocument/2006/relationships/hyperlink" Target="http://krotovka.kinel-cherkassy.ru/images/files/Reshenie_19-2_ot_23.08.2021.pdf" TargetMode="External"/><Relationship Id="rId1124" Type="http://schemas.openxmlformats.org/officeDocument/2006/relationships/hyperlink" Target="https://vk.com/public188912037" TargetMode="External"/><Relationship Id="rId1331" Type="http://schemas.openxmlformats.org/officeDocument/2006/relationships/hyperlink" Target="https://55.rosstat.gov.ru/storage/mediabank/chisl_MO-2021.xlsx"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adm-zaparozhskaya.ru/" TargetMode="External"/><Relationship Id="rId170" Type="http://schemas.openxmlformats.org/officeDocument/2006/relationships/hyperlink" Target="https://nac.gov.karelia.ru/about/3833/" TargetMode="External"/><Relationship Id="rId987" Type="http://schemas.openxmlformats.org/officeDocument/2006/relationships/hyperlink" Target="https://asbestadm.ru/economy/initsiativnoe-byudzhetirovanie/normativno-pravovyie-dokumentyi/" TargetMode="External"/><Relationship Id="rId847" Type="http://schemas.openxmlformats.org/officeDocument/2006/relationships/hyperlink" Target="https://tgl.ru/documentation/obj?obj=35118" TargetMode="External"/><Relationship Id="rId1477" Type="http://schemas.openxmlformats.org/officeDocument/2006/relationships/hyperlink" Target="https://vk.com/club211208773?w=wall-211208773_52%2Fall" TargetMode="External"/><Relationship Id="rId1684" Type="http://schemas.openxmlformats.org/officeDocument/2006/relationships/hyperlink" Target="https://novgorodstat.gks.ru/storage/mediabank/%D0%A7%D0%B8%D1%81%D0%BB%D0%B5%D0%BD%D0%BD%D0%BE%D1%81%D1%82%D1%8C%20%D0%BD%D0%B0%D1%81%D0%B5%D0%BB%D0%B5%D0%BD%D0%B8%D1%8F%20%D0%BD%D0%B0%201.01.2022%20%D0%B3%D0%BE%D0%B4%D0%B0.pdf" TargetMode="External"/><Relationship Id="rId1891" Type="http://schemas.openxmlformats.org/officeDocument/2006/relationships/hyperlink" Target="mailto:oktpos@mail.ru" TargetMode="External"/><Relationship Id="rId707" Type="http://schemas.openxmlformats.org/officeDocument/2006/relationships/hyperlink" Target="https://www.gks.ru/scripts/db_inet2/passport/table.aspx?opt=8764400020222023" TargetMode="External"/><Relationship Id="rId914" Type="http://schemas.openxmlformats.org/officeDocument/2006/relationships/hyperlink" Target="mailto:administraziy75@mail.ru" TargetMode="External"/><Relationship Id="rId1337" Type="http://schemas.openxmlformats.org/officeDocument/2006/relationships/hyperlink" Target="https://73.rosstat.gov.ru/search?" TargetMode="External"/><Relationship Id="rId1544" Type="http://schemas.openxmlformats.org/officeDocument/2006/relationships/hyperlink" Target="http://gks.ru/dbscripts/munst/munst53/DBInet.cgi" TargetMode="External"/><Relationship Id="rId1751" Type="http://schemas.openxmlformats.org/officeDocument/2006/relationships/hyperlink" Target="https://dzhankoy.rk.gov.ru/uploads/txteditor/dzhankoy/attachments/d4/1d/8c/d98f00b204e9800998ecf8427e/phpU7ZELM_&#1052;&#1077;&#1090;&#1086;&#1076;&#1080;&#1095;&#1082;&#1072;%20&#1052;&#1054;&#1051;&#1054;&#1044;&#1054;&#1045;%20&#1055;&#1054;&#1050;&#1054;&#1051;&#1045;&#1053;&#1048;&#1045;.pdf" TargetMode="External"/><Relationship Id="rId43" Type="http://schemas.openxmlformats.org/officeDocument/2006/relationships/hyperlink" Target="http://publication.pravo.gov.ru/Document/View/3600201905300001?rangeSize=20" TargetMode="External"/><Relationship Id="rId1404" Type="http://schemas.openxmlformats.org/officeDocument/2006/relationships/hyperlink" Target="http://admrogovskaya.ru/" TargetMode="External"/><Relationship Id="rId1611" Type="http://schemas.openxmlformats.org/officeDocument/2006/relationships/hyperlink" Target="mailto:velav@mail.orb.ru" TargetMode="External"/><Relationship Id="rId497" Type="http://schemas.openxmlformats.org/officeDocument/2006/relationships/hyperlink" Target="mailto:lychevava@arhcity.ru" TargetMode="External"/><Relationship Id="rId357" Type="http://schemas.openxmlformats.org/officeDocument/2006/relationships/hyperlink" Target="https://docs.cntd.ru/document/822403530?marker=7DC0K7" TargetMode="External"/><Relationship Id="rId1194" Type="http://schemas.openxmlformats.org/officeDocument/2006/relationships/hyperlink" Target="https://www.salekhard.org/normativno-pravovye-akty/resheniya-gorodskoy-dumy/26253" TargetMode="External"/><Relationship Id="rId2038" Type="http://schemas.openxmlformats.org/officeDocument/2006/relationships/hyperlink" Target="http://budget.orb.ru/images/gritsenko/zakon56ib.docx" TargetMode="External"/><Relationship Id="rId217" Type="http://schemas.openxmlformats.org/officeDocument/2006/relationships/hyperlink" Target="https://kaliningrad.gks.ru/population" TargetMode="External"/><Relationship Id="rId564" Type="http://schemas.openxmlformats.org/officeDocument/2006/relationships/hyperlink" Target="https://vk.com/volokonovskiyrayon?w=wall-159960654_7532" TargetMode="External"/><Relationship Id="rId771" Type="http://schemas.openxmlformats.org/officeDocument/2006/relationships/hyperlink" Target="http://artemokrug.ru/administratsiya/otdely-i-upravleniya-administratsii-ago/upravlenie-dorozhnoy-deyatelnosti-i-blagoustroystva/dokumenty/?ELEMENT_ID=33983&amp;clear_cache=Y" TargetMode="External"/><Relationship Id="rId424" Type="http://schemas.openxmlformats.org/officeDocument/2006/relationships/hyperlink" Target="https://depjkke.admhmao.ru/prioritetnye-proekty/" TargetMode="External"/><Relationship Id="rId631" Type="http://schemas.openxmlformats.org/officeDocument/2006/relationships/hyperlink" Target="https://admermolino.ru/?page_id=7964" TargetMode="External"/><Relationship Id="rId1054" Type="http://schemas.openxmlformats.org/officeDocument/2006/relationships/hyperlink" Target="http://krasnogvardeiskoe.info/sites/krasnogvardeiskoe.info/files/of/userfiles/file/sovet%20kmr/obnarodovanie/2021/%D0%A0%D0%B5%D1%88%D0%B5%D0%BD%D0%B8%D0%B5%20%25%20%20%20E2%84%96%20114%20%D0%BE%D1%82%2024.02.2021%20%D0%B3..doc" TargetMode="External"/><Relationship Id="rId1261" Type="http://schemas.openxmlformats.org/officeDocument/2006/relationships/hyperlink" Target="https://vektor-tv.ru/upload/iblock/edf/edf43b0aa455055a1a5eb455ec3d1e53.png" TargetMode="External"/><Relationship Id="rId2105" Type="http://schemas.openxmlformats.org/officeDocument/2006/relationships/hyperlink" Target="mailto:bud_komfin@novreg.ru" TargetMode="External"/><Relationship Id="rId1121" Type="http://schemas.openxmlformats.org/officeDocument/2006/relationships/hyperlink" Target="mailto:lebedevais@uray.ru" TargetMode="External"/><Relationship Id="rId1938" Type="http://schemas.openxmlformats.org/officeDocument/2006/relationships/hyperlink" Target="https://t.me/minfin55" TargetMode="External"/><Relationship Id="rId281" Type="http://schemas.openxmlformats.org/officeDocument/2006/relationships/hyperlink" Target="https://gkh.admtyumen.ru/OIGV/gkh/actions/programs/program.htm?id=1138@egTargetGrant" TargetMode="External"/><Relationship Id="rId141" Type="http://schemas.openxmlformats.org/officeDocument/2006/relationships/hyperlink" Target="mailto:kochetkova.e@bashkortostan.ru" TargetMode="External"/><Relationship Id="rId7" Type="http://schemas.openxmlformats.org/officeDocument/2006/relationships/hyperlink" Target="https://depfin.tomsk.gov.ru/initsiativnoe-bjudzhetirovanie" TargetMode="External"/><Relationship Id="rId958" Type="http://schemas.openxmlformats.org/officeDocument/2006/relationships/hyperlink" Target="http://adm-timashevo.ru/" TargetMode="External"/><Relationship Id="rId1588" Type="http://schemas.openxmlformats.org/officeDocument/2006/relationships/hyperlink" Target="https://adamfin.ru/assets/files/1oldfile/Postanovlenie_13.03.2021_175-p-Narodnyy-byudzhet.PDF" TargetMode="External"/><Relationship Id="rId1795" Type="http://schemas.openxmlformats.org/officeDocument/2006/relationships/hyperlink" Target="http://starscherb.ru/2020/Iniciati_proekt/rs_ot_06.11.2020_8.docx" TargetMode="External"/><Relationship Id="rId87" Type="http://schemas.openxmlformats.org/officeDocument/2006/relationships/hyperlink" Target="http://www.statdata.ru/naselenie/kostromskoi-oblasti" TargetMode="External"/><Relationship Id="rId818" Type="http://schemas.openxmlformats.org/officeDocument/2006/relationships/hyperlink" Target="mailto:SolovevaOE@samadm.ru" TargetMode="External"/><Relationship Id="rId1448" Type="http://schemas.openxmlformats.org/officeDocument/2006/relationships/hyperlink" Target="http://sakmara_ru@mail.ru" TargetMode="External"/><Relationship Id="rId1655" Type="http://schemas.openxmlformats.org/officeDocument/2006/relationships/hyperlink" Target="https://kormil.omskportal.ru/omsu/kormil-3-52-223-1/etc/inbudg/2022" TargetMode="External"/><Relationship Id="rId1308" Type="http://schemas.openxmlformats.org/officeDocument/2006/relationships/hyperlink" Target="mailto:finupr.adm.vesh@mail.ru" TargetMode="External"/><Relationship Id="rId1862" Type="http://schemas.openxmlformats.org/officeDocument/2006/relationships/hyperlink" Target="http://&#1073;&#1077;&#1079;&#1074;&#1086;&#1076;&#1085;&#1086;&#1077;.&#1088;&#1092;/iniciativnoe-byudzhetirovanie-1.html" TargetMode="External"/><Relationship Id="rId1515" Type="http://schemas.openxmlformats.org/officeDocument/2006/relationships/hyperlink" Target="http://fin-or.ru/news/narodnyy-byudzhet-1" TargetMode="External"/><Relationship Id="rId1722" Type="http://schemas.openxmlformats.org/officeDocument/2006/relationships/hyperlink" Target="https://&#1072;&#1076;&#1084;&#1076;&#1079;&#1077;&#1088;&#1078;&#1080;&#1085;&#1089;&#1082;.&#1088;&#1092;/ekonomika-i-imushchestvo/ekonomika/strategicheskoe-planirovanie/munitsipalnye-programmy/razvitie-fizicheskoy-kultury-i-sporta-v-gorodskom-okruge-gorod-dzerzhinsk/" TargetMode="External"/><Relationship Id="rId14" Type="http://schemas.openxmlformats.org/officeDocument/2006/relationships/hyperlink" Target="mailto:gladysheva@gfu.ru" TargetMode="External"/><Relationship Id="rId468" Type="http://schemas.openxmlformats.org/officeDocument/2006/relationships/hyperlink" Target="https://minfin.bashkortostan.ru/documents/active/461972/" TargetMode="External"/><Relationship Id="rId675" Type="http://schemas.openxmlformats.org/officeDocument/2006/relationships/hyperlink" Target="mailto:t.p.vershinina@koigorodok.rkomi.ru" TargetMode="External"/><Relationship Id="rId882" Type="http://schemas.openxmlformats.org/officeDocument/2006/relationships/hyperlink" Target="http://erzovka.kinel-cherkassy.ru/?p=2396" TargetMode="External"/><Relationship Id="rId1098" Type="http://schemas.openxmlformats.org/officeDocument/2006/relationships/hyperlink" Target="https://g58.tmbreg.ru/zhilischno-kommunalnoe-hozjajstvo.html" TargetMode="External"/><Relationship Id="rId2149" Type="http://schemas.openxmlformats.org/officeDocument/2006/relationships/hyperlink" Target="http://dvubratskoe-sp.ucoz.ru/Reshenie/2022/reshenie_5_ot_21.01.2022.pdf" TargetMode="External"/><Relationship Id="rId328" Type="http://schemas.openxmlformats.org/officeDocument/2006/relationships/hyperlink" Target="https://mcxso.midural.ru/article/show/id/10014" TargetMode="External"/><Relationship Id="rId535" Type="http://schemas.openxmlformats.org/officeDocument/2006/relationships/hyperlink" Target="https://vladimirstat.gks.ru/" TargetMode="External"/><Relationship Id="rId742" Type="http://schemas.openxmlformats.org/officeDocument/2006/relationships/hyperlink" Target="https://zhuravskaja.ru/images/docs/2022/07/post2022_111.doc" TargetMode="External"/><Relationship Id="rId1165" Type="http://schemas.openxmlformats.org/officeDocument/2006/relationships/hyperlink" Target="http://www.admkonda.ru/documents/16785.html" TargetMode="External"/><Relationship Id="rId1372" Type="http://schemas.openxmlformats.org/officeDocument/2006/relationships/hyperlink" Target="https://unarokovo.ru/" TargetMode="External"/><Relationship Id="rId2009" Type="http://schemas.openxmlformats.org/officeDocument/2006/relationships/hyperlink" Target="mailto:vv_nikiforov@lenreg.ru" TargetMode="External"/><Relationship Id="rId602" Type="http://schemas.openxmlformats.org/officeDocument/2006/relationships/hyperlink" Target="https://cherinfo-doc.ru/documents/postanovlenie-merii-goroda-cherepovca-ot-18.06.2019-2883-o-proekte-narodnyj-byudzhet-tos," TargetMode="External"/><Relationship Id="rId1025" Type="http://schemas.openxmlformats.org/officeDocument/2006/relationships/hyperlink" Target="https://www.georgievsk.ru/about/admin/economics/strateg/munitsipal-programmy_2019-2024.php" TargetMode="External"/><Relationship Id="rId1232" Type="http://schemas.openxmlformats.org/officeDocument/2006/relationships/hyperlink" Target="https://muravlenko.yanao.ru/documents/active/248972/" TargetMode="External"/><Relationship Id="rId907" Type="http://schemas.openxmlformats.org/officeDocument/2006/relationships/hyperlink" Target="https://samarastat.gks.ru/population" TargetMode="External"/><Relationship Id="rId1537" Type="http://schemas.openxmlformats.org/officeDocument/2006/relationships/hyperlink" Target="https://krasnogvardfo.ru/assets/files/%D0%9C%D1%83%D0%BD%D0%B8%D1%86%D0%B8%D0%BF%D0%B0%D0%BB%D1%8C%D0%BD%D1%8B%D0%B5%20%D0%BF%D1%80%D0%BE%D0%B3%D1%80%D0%B0%D0%BC%D0%BC%D1%8B/1-na-sajt.rar" TargetMode="External"/><Relationship Id="rId1744" Type="http://schemas.openxmlformats.org/officeDocument/2006/relationships/hyperlink" Target="https://crimea.gks.ru/folder/179764" TargetMode="External"/><Relationship Id="rId1951" Type="http://schemas.openxmlformats.org/officeDocument/2006/relationships/hyperlink" Target="http://orel-region.ru/index.php?head=17&amp;part=19&amp;docid=10476" TargetMode="External"/><Relationship Id="rId36" Type="http://schemas.openxmlformats.org/officeDocument/2006/relationships/hyperlink" Target="http://ivo.garant.ru/proxy/share?data=q4Og0aLnpN5Pvp_qlYq36LHjvI2U8J695LfQTvO68Jew5bHS__WxxaPOtc6Q10G47f7ApZz8kfLbqMS5z7T487_wg-KO4739gw3hjPKZ8aK17LL9vd2-yI7itJsa8bPljOC144bm_g==" TargetMode="External"/><Relationship Id="rId1604" Type="http://schemas.openxmlformats.org/officeDocument/2006/relationships/hyperlink" Target="mailto:velav@mail.orb.ru" TargetMode="External"/><Relationship Id="rId185" Type="http://schemas.openxmlformats.org/officeDocument/2006/relationships/hyperlink" Target="mailto:gluhovaov@dsr.kirov.ru" TargetMode="External"/><Relationship Id="rId1811" Type="http://schemas.openxmlformats.org/officeDocument/2006/relationships/hyperlink" Target="http://&#1072;&#1076;&#1084;-&#1090;&#1072;&#1084;&#1072;&#1085;&#1100;.&#1088;&#1092;/images/SMI/proekt/&#1055;&#1086;&#1089;&#1090;%20&#8470;%20359%20&#1086;&#1090;%2013.10.2022%20&#1086;&#1073;%20&#1086;&#1087;&#1088;&#1077;&#1076;&#1077;&#1083;&#1077;&#1085;&#1080;&#1080;%20&#1095;&#1072;&#1089;&#1090;&#1080;%20&#1090;&#1077;&#1088;&#1088;&#1080;&#1090;&#1086;&#1088;&#1080;&#1080;.pdf" TargetMode="External"/><Relationship Id="rId1909" Type="http://schemas.openxmlformats.org/officeDocument/2006/relationships/hyperlink" Target="mailto:investdsh@kurganobl" TargetMode="External"/><Relationship Id="rId392" Type="http://schemas.openxmlformats.org/officeDocument/2006/relationships/hyperlink" Target="https://rosstat.gov.ru/storage/mediabank/chisl_RF_01-01-2022_VPN-2020.xls" TargetMode="External"/><Relationship Id="rId697" Type="http://schemas.openxmlformats.org/officeDocument/2006/relationships/hyperlink" Target="mailto:o.b.kalmykova@syktyvdin.rkomi.ru" TargetMode="External"/><Relationship Id="rId2073" Type="http://schemas.openxmlformats.org/officeDocument/2006/relationships/hyperlink" Target="https://vk.com/club172332438?w=wall-172332438_410%2Fall" TargetMode="External"/><Relationship Id="rId252" Type="http://schemas.openxmlformats.org/officeDocument/2006/relationships/hyperlink" Target="https://www.consultant.ru/regbase/cgi/online.cgi?req=doc&amp;base=RLAW076&amp;n=50606" TargetMode="External"/><Relationship Id="rId1187" Type="http://schemas.openxmlformats.org/officeDocument/2006/relationships/hyperlink" Target="http://nvraion.ru/ekonomika-i-finansy/chislennost/" TargetMode="External"/><Relationship Id="rId2140" Type="http://schemas.openxmlformats.org/officeDocument/2006/relationships/hyperlink" Target="mailto:PolyanskiyAL@49gov.ru" TargetMode="External"/><Relationship Id="rId112" Type="http://schemas.openxmlformats.org/officeDocument/2006/relationships/hyperlink" Target="https://pskov.ru/vlast/ispolnitelnaya/administratsiya/apparat/samoupr" TargetMode="External"/><Relationship Id="rId557" Type="http://schemas.openxmlformats.org/officeDocument/2006/relationships/hyperlink" Target="https://volokonovskij-r31.gosweb.gosuslugi.ru/ofitsialno/dokumenty/dokumenty-all_3886.html" TargetMode="External"/><Relationship Id="rId764" Type="http://schemas.openxmlformats.org/officeDocument/2006/relationships/hyperlink" Target="https://ok.ru/profile/331821742169" TargetMode="External"/><Relationship Id="rId971" Type="http://schemas.openxmlformats.org/officeDocument/2006/relationships/hyperlink" Target="https://kadm63.ru/Selo/Chetyrovka/NPA_Sobr_Pred/R_SP_SP_Chetirovka_44_15-06-2021.pdf" TargetMode="External"/><Relationship Id="rId1394" Type="http://schemas.openxmlformats.org/officeDocument/2006/relationships/hyperlink" Target="mailto:fumotr@yandex.ru" TargetMode="External"/><Relationship Id="rId1699" Type="http://schemas.openxmlformats.org/officeDocument/2006/relationships/hyperlink" Target="https://kstovo-adm.ru/regulatory/34479/" TargetMode="External"/><Relationship Id="rId2000" Type="http://schemas.openxmlformats.org/officeDocument/2006/relationships/hyperlink" Target="https://mari-el.gov.ru/ministries/minstroy/" TargetMode="External"/><Relationship Id="rId417" Type="http://schemas.openxmlformats.org/officeDocument/2006/relationships/hyperlink" Target="mailto:Madina.Sabirzyanova@tatar.ru" TargetMode="External"/><Relationship Id="rId624" Type="http://schemas.openxmlformats.org/officeDocument/2006/relationships/hyperlink" Target="https://vk.com/svh_borovskiy?w=wall-199033158_1085" TargetMode="External"/><Relationship Id="rId831" Type="http://schemas.openxmlformats.org/officeDocument/2006/relationships/hyperlink" Target="https://samadm.ru/upload/iblock/d34/Postanovlenie-_-679-ot-20.10.2021-po-TKD.pdf" TargetMode="External"/><Relationship Id="rId1047" Type="http://schemas.openxmlformats.org/officeDocument/2006/relationships/hyperlink" Target="https://www.&#1082;&#1086;&#1095;&#1091;&#1073;&#1077;&#1077;&#1074;&#1089;&#1082;&#1080;&#1081;-&#1088;&#1072;&#1081;&#1086;&#1085;.&#1088;&#1092;/strategiya-sotcial-no-e-konomicheskogo-razvitiya-kochubeevskogo-munitcipal-nogo-okruga-stavropol-skogo-kraya-do-2035-goda.html" TargetMode="External"/><Relationship Id="rId1254" Type="http://schemas.openxmlformats.org/officeDocument/2006/relationships/hyperlink" Target="https://admmuji.yanao.ru/documents/active/199673/" TargetMode="External"/><Relationship Id="rId1461" Type="http://schemas.openxmlformats.org/officeDocument/2006/relationships/hyperlink" Target="https://gy.orb.ru/vote/187/result/expired/" TargetMode="External"/><Relationship Id="rId929" Type="http://schemas.openxmlformats.org/officeDocument/2006/relationships/hyperlink" Target="https://samarastat.gks.ru/" TargetMode="External"/><Relationship Id="rId1114" Type="http://schemas.openxmlformats.org/officeDocument/2006/relationships/hyperlink" Target="https://budget.uray.ru/municipalnye-pravovye-akty-2/" TargetMode="External"/><Relationship Id="rId1321" Type="http://schemas.openxmlformats.org/officeDocument/2006/relationships/hyperlink" Target="https://inzenskijinzenskoe-r73.gosweb.gosuslugi.ru/ofitsialno/dokumenty/normativno-pravovye-akty/resheniya-soveta-deputatov/resheniya-soveta-2021/reshenie-soveta-38-ot-24122021/" TargetMode="External"/><Relationship Id="rId1559" Type="http://schemas.openxmlformats.org/officeDocument/2006/relationships/hyperlink" Target="mailto:bugraifo@mail.ru" TargetMode="External"/><Relationship Id="rId1766" Type="http://schemas.openxmlformats.org/officeDocument/2006/relationships/hyperlink" Target="https://selo-life.ru/news/19606-zhitelej-prozhivaet-v-suhobuzimskom-rajone/" TargetMode="External"/><Relationship Id="rId1973" Type="http://schemas.openxmlformats.org/officeDocument/2006/relationships/hyperlink" Target="mailto:unp@minfin.rk.gov.ru" TargetMode="External"/><Relationship Id="rId58" Type="http://schemas.openxmlformats.org/officeDocument/2006/relationships/hyperlink" Target="https://05.rosstat.gov.ru/storage/mediabank/&#1095;&#1080;&#1089;&#1083;.%20&#1085;&#1072;%2001.01.2022&#1075;.%20(&#1095;&#1077;&#1083;.).pdf" TargetMode="External"/><Relationship Id="rId1419" Type="http://schemas.openxmlformats.org/officeDocument/2006/relationships/hyperlink" Target="https://sbor.ru/finance/bd/otkrbud/plan" TargetMode="External"/><Relationship Id="rId1626" Type="http://schemas.openxmlformats.org/officeDocument/2006/relationships/hyperlink" Target="http://&#1073;&#1091;&#1079;&#1091;&#1083;&#1091;&#1082;-&#1087;&#1088;&#1072;&#1074;&#1086;.&#1088;&#1092;/node/5771" TargetMode="External"/><Relationship Id="rId1833" Type="http://schemas.openxmlformats.org/officeDocument/2006/relationships/hyperlink" Target="http://golubitskoe.ru/%D0%B8%D0%BD%D0%B8%D1%86%D0%B8%D0%B0%D1%82%D0%B8%D0%B2%D0%BD%D0%BE%D0%B5-%D0%B1%D1%8E%D0%B4%D0%B6%D0%B5%D1%82%D0%B8%D1%80%D0%BE%D0%B2%D0%B0%D0%BD%D0%B8%D0%B5.html" TargetMode="External"/><Relationship Id="rId1900" Type="http://schemas.openxmlformats.org/officeDocument/2006/relationships/hyperlink" Target="mailto:poltadm@list.ru" TargetMode="External"/><Relationship Id="rId2095" Type="http://schemas.openxmlformats.org/officeDocument/2006/relationships/hyperlink" Target="mailto:bud_komfin@novreg.ru" TargetMode="External"/><Relationship Id="rId274" Type="http://schemas.openxmlformats.org/officeDocument/2006/relationships/hyperlink" Target="https://atmosphere-udm.ru/" TargetMode="External"/><Relationship Id="rId481" Type="http://schemas.openxmlformats.org/officeDocument/2006/relationships/hyperlink" Target="mailto:elena.fedyainova@tularegion.ru" TargetMode="External"/><Relationship Id="rId134" Type="http://schemas.openxmlformats.org/officeDocument/2006/relationships/hyperlink" Target="https://ppmi.bashkortostan.ru/document" TargetMode="External"/><Relationship Id="rId579" Type="http://schemas.openxmlformats.org/officeDocument/2006/relationships/hyperlink" Target="https://yakovgo.gosuslugi.ru/netcat_files/282/2650/Rasporyazhenie_449_r_ot_25.05.2022_g..pdf" TargetMode="External"/><Relationship Id="rId786" Type="http://schemas.openxmlformats.org/officeDocument/2006/relationships/hyperlink" Target="https://dalmdr.ru/sites/default/files/download/Finansi/resdumi/2022/&#1056;&#1077;&#1096;&#1077;&#1085;&#1080;&#1077;%20&#1044;&#1091;&#1084;&#1099;%20&#1086;&#1090;%2022.12.2022%20&#8470;%20333-&#1052;&#1053;&#1055;&#1040;.zip" TargetMode="External"/><Relationship Id="rId993" Type="http://schemas.openxmlformats.org/officeDocument/2006/relationships/hyperlink" Target="https://kgo66.ru/str-eco/str-eco-inbud/str-eco-inbud-inpr" TargetMode="External"/><Relationship Id="rId341" Type="http://schemas.openxmlformats.org/officeDocument/2006/relationships/hyperlink" Target="https://pib.sakhminfin.ru/show/ppi" TargetMode="External"/><Relationship Id="rId439" Type="http://schemas.openxmlformats.org/officeDocument/2006/relationships/hyperlink" Target="mailto:shinkareva@kfin.gov.spb.ru" TargetMode="External"/><Relationship Id="rId646" Type="http://schemas.openxmlformats.org/officeDocument/2006/relationships/hyperlink" Target="https://www.afanasyevo.ru/ekonomika/initsiativnye-proekty" TargetMode="External"/><Relationship Id="rId1069" Type="http://schemas.openxmlformats.org/officeDocument/2006/relationships/hyperlink" Target="http://newalexandrovsk.ru/initsiativnoe-byudzhetirovanie/info/" TargetMode="External"/><Relationship Id="rId1276" Type="http://schemas.openxmlformats.org/officeDocument/2006/relationships/hyperlink" Target="https://vk.com/doyamal?w=wall-127918423_7198" TargetMode="External"/><Relationship Id="rId1483" Type="http://schemas.openxmlformats.org/officeDocument/2006/relationships/hyperlink" Target="mailto:kurfin@mail.ru" TargetMode="External"/><Relationship Id="rId2022" Type="http://schemas.openxmlformats.org/officeDocument/2006/relationships/hyperlink" Target="https://lenobl.ru/ru/dokumenty/opublikovanie-pravovyh-aktov/oficialno-opublikovanie-npa-s-10-iyunya-2013-goda/oficialnoe-opublikovanie-pravovyh-aktov-leningradskoj-oblasti-s-10-iyu/" TargetMode="External"/><Relationship Id="rId201" Type="http://schemas.openxmlformats.org/officeDocument/2006/relationships/hyperlink" Target="https://rosstat.gov.ru/compendium/document/13282" TargetMode="External"/><Relationship Id="rId506" Type="http://schemas.openxmlformats.org/officeDocument/2006/relationships/hyperlink" Target="https://02.rosstat.gov.ru/storage/mediabank/CHislennost-naseleniya-po-municipalnym-rajonam-i-gorodskim-okrugam-Respubliki-%20Bashkortostan-na-1-yanvarya-2022-g-s-uchetom-VPN-2020.pdf" TargetMode="External"/><Relationship Id="rId853" Type="http://schemas.openxmlformats.org/officeDocument/2006/relationships/hyperlink" Target="mailto:admspisakly@yandex.ru" TargetMode="External"/><Relationship Id="rId1136" Type="http://schemas.openxmlformats.org/officeDocument/2006/relationships/hyperlink" Target="mailto:Zhivaeva_ai@admsurgut.ru" TargetMode="External"/><Relationship Id="rId1690" Type="http://schemas.openxmlformats.org/officeDocument/2006/relationships/hyperlink" Target="https://vk.com/public194261304?w=wall-194261304_1908" TargetMode="External"/><Relationship Id="rId1788" Type="http://schemas.openxmlformats.org/officeDocument/2006/relationships/hyperlink" Target="https://grigorevskaia.krasnodar.ru/poselenie/initsiativnye-proety/" TargetMode="External"/><Relationship Id="rId1995" Type="http://schemas.openxmlformats.org/officeDocument/2006/relationships/hyperlink" Target="https://mari-el.gov.ru/proactivities/pages/natpojects_urban/" TargetMode="External"/><Relationship Id="rId713" Type="http://schemas.openxmlformats.org/officeDocument/2006/relationships/hyperlink" Target="mailto:udora_fu@rambler.ru" TargetMode="External"/><Relationship Id="rId920" Type="http://schemas.openxmlformats.org/officeDocument/2006/relationships/hyperlink" Target="http://krotovka.kinel-cherkassy.ru/images/files/Reshenie_19-2_ot_23.08.2021.pdf" TargetMode="External"/><Relationship Id="rId1343" Type="http://schemas.openxmlformats.org/officeDocument/2006/relationships/hyperlink" Target="mailto:uprobr2@mail.ru" TargetMode="External"/><Relationship Id="rId1550" Type="http://schemas.openxmlformats.org/officeDocument/2006/relationships/hyperlink" Target="https://vk.com/buzulukskiyraion?w=wall-173587551_1491" TargetMode="External"/><Relationship Id="rId1648" Type="http://schemas.openxmlformats.org/officeDocument/2006/relationships/hyperlink" Target="http://ivnmssk.tevr.omskportal.ru/omsu/tevr-3-52-255-1/poseleniya/ivanovo-myisskoe/etc/inibudget" TargetMode="External"/><Relationship Id="rId1203" Type="http://schemas.openxmlformats.org/officeDocument/2006/relationships/hyperlink" Target="https://dflbt.yanao.ru/documents/other/253954" TargetMode="External"/><Relationship Id="rId1410" Type="http://schemas.openxmlformats.org/officeDocument/2006/relationships/hyperlink" Target="mailto:fumotim@mail.ru" TargetMode="External"/><Relationship Id="rId1508" Type="http://schemas.openxmlformats.org/officeDocument/2006/relationships/hyperlink" Target="https://vk.com/wall-205848157_275" TargetMode="External"/><Relationship Id="rId1855" Type="http://schemas.openxmlformats.org/officeDocument/2006/relationships/hyperlink" Target="https://admnvrsk.ru/dokumenty/dokumenty-gorodskoy-dumy/reshenija-gorodskoj-dumy/reshenie-gorodskoy-dumy-188-ot-24-12-2021-o-vnesenii-izmeneniy-v-reshenie-gorodskoy-dumy-munitsipaln/" TargetMode="External"/><Relationship Id="rId1715" Type="http://schemas.openxmlformats.org/officeDocument/2006/relationships/hyperlink" Target="http://bg-adm.ru./?p__doc_act=1553&amp;p__doc_status=&amp;p__search_date1=10.12.2020&amp;p__search_date2=10.12.2020&amp;p__doc_number=&amp;p__search_text2=&amp;p__search_rules=0&amp;send=&#1055;&#1086;&#1080;&#1089;&#1082;&amp;action=process&amp;id=495&amp;form_name=form_495" TargetMode="External"/><Relationship Id="rId1922" Type="http://schemas.openxmlformats.org/officeDocument/2006/relationships/hyperlink" Target="https://vote.dobrodel.ru/narodniy_budjet" TargetMode="External"/><Relationship Id="rId296" Type="http://schemas.openxmlformats.org/officeDocument/2006/relationships/hyperlink" Target="https://docs.cntd.ru/document/577949370" TargetMode="External"/><Relationship Id="rId156" Type="http://schemas.openxmlformats.org/officeDocument/2006/relationships/hyperlink" Target="https://76.rosstat.gov.ru/storage/mediabank/chislennost_naseleniya_yaroslavskoy_oblasti.pdf" TargetMode="External"/><Relationship Id="rId363" Type="http://schemas.openxmlformats.org/officeDocument/2006/relationships/hyperlink" Target="https://vk.com/tbvschool" TargetMode="External"/><Relationship Id="rId570" Type="http://schemas.openxmlformats.org/officeDocument/2006/relationships/hyperlink" Target="mailto:DGKH31@mail.ru" TargetMode="External"/><Relationship Id="rId2044" Type="http://schemas.openxmlformats.org/officeDocument/2006/relationships/hyperlink" Target="http://www.consultant.ru/" TargetMode="External"/><Relationship Id="rId223" Type="http://schemas.openxmlformats.org/officeDocument/2006/relationships/hyperlink" Target="http://publication.pravo.gov.ru/Document/View/3900202202210001" TargetMode="External"/><Relationship Id="rId430" Type="http://schemas.openxmlformats.org/officeDocument/2006/relationships/hyperlink" Target="http://lc.mfsk.ru/upload/iblock/6b2/&#1059;&#1089;&#1090;&#1072;&#1074;%20&#1043;&#1050;&#1059;%20&#1044;&#1055;&#1054;%20&#1059;&#1095;&#1077;&#1073;&#1085;&#1099;&#1081;%20&#1094;&#1077;&#1085;&#1090;&#1088;%20&#1084;&#1080;&#1085;&#1080;&#1089;&#1090;&#1077;&#1088;&#1089;&#1090;&#1074;&#1072;%20&#1092;&#1080;&#1085;&#1072;&#1085;&#1089;&#1086;&#1074;%20&#1057;&#1090;&#1072;&#1074;&#1088;&#1086;&#1087;&#1086;&#1083;&#1100;&#1089;&#1082;&#1086;&#1075;&#1086;%20&#1082;&#1088;&#1072;&#1103;.pdf" TargetMode="External"/><Relationship Id="rId668" Type="http://schemas.openxmlformats.org/officeDocument/2006/relationships/hyperlink" Target="http://www.adminta.ru/city/ekonomika/strategicheskoe-upravlenie/munitsipalnye-programmy/obshchestvennye-obsuzhdeniya/14101/" TargetMode="External"/><Relationship Id="rId875" Type="http://schemas.openxmlformats.org/officeDocument/2006/relationships/hyperlink" Target="https://samarastat.gks.ru/population" TargetMode="External"/><Relationship Id="rId1060" Type="http://schemas.openxmlformats.org/officeDocument/2006/relationships/hyperlink" Target="https://www.angosk.ru/attachments/article/10123/955%20%D0%BA%D0%BE%D0%BC%D0%B8%D1%81%D1%81%D0%B8%D1%8F_%D0%BE%D1%82%D0%B1%D0%BE%D1%80%20%D0%BA%D0%BE%D0%BD%D0%BA%D1%83%D1%80%D1%81%D0%BD.%D0%BF%D1%80%D0%BE%D0%B5%D0%BA%D1%82%D0%BE%D0%B2.pdf" TargetMode="External"/><Relationship Id="rId1298" Type="http://schemas.openxmlformats.org/officeDocument/2006/relationships/hyperlink" Target="https://barysh.org/upload/iblock/62d/tmnjfibw%20wvjxetqfjfluca%20jgzc%202022%20ixcypw%20kcfqlgn5i.doc" TargetMode="External"/><Relationship Id="rId2111" Type="http://schemas.openxmlformats.org/officeDocument/2006/relationships/hyperlink" Target="http://docs.cntd.ru/document/553364140" TargetMode="External"/><Relationship Id="rId528" Type="http://schemas.openxmlformats.org/officeDocument/2006/relationships/hyperlink" Target="https://vladimirstat.gks.ru/" TargetMode="External"/><Relationship Id="rId735" Type="http://schemas.openxmlformats.org/officeDocument/2006/relationships/hyperlink" Target="https://&#1095;&#1077;&#1083;&#1073;&#1072;&#1089;&#1089;&#1082;&#1072;&#1103;.&#1088;&#1092;/wp-content/uploads/2023/04/----155-ot-20.10.2020-MP-Razvitie-ZHKH.doc" TargetMode="External"/><Relationship Id="rId942" Type="http://schemas.openxmlformats.org/officeDocument/2006/relationships/hyperlink" Target="mailto:n.kluchi@yandex.ru" TargetMode="External"/><Relationship Id="rId1158" Type="http://schemas.openxmlformats.org/officeDocument/2006/relationships/hyperlink" Target="mailto:lugovoikonda@mail.ru" TargetMode="External"/><Relationship Id="rId1365" Type="http://schemas.openxmlformats.org/officeDocument/2006/relationships/hyperlink" Target="mailto:kuzmina.mv@ulminfin.ru" TargetMode="External"/><Relationship Id="rId1572" Type="http://schemas.openxmlformats.org/officeDocument/2006/relationships/hyperlink" Target="mailto:asfin@inbox.ru" TargetMode="External"/><Relationship Id="rId1018" Type="http://schemas.openxmlformats.org/officeDocument/2006/relationships/hyperlink" Target="http://www.abgosk.ru/about/dependents/otdel_econom_razvitiya_i_mun_zakupok/15_10112022.docx" TargetMode="External"/><Relationship Id="rId1225" Type="http://schemas.openxmlformats.org/officeDocument/2006/relationships/hyperlink" Target="https://&#1078;&#1080;&#1074;&#1105;&#1084;&#1085;&#1072;&#1089;&#1077;&#1074;&#1077;&#1088;&#1077;.&#1088;&#1092;/votings/2212" TargetMode="External"/><Relationship Id="rId1432" Type="http://schemas.openxmlformats.org/officeDocument/2006/relationships/hyperlink" Target="https://59.rosstat.gov.ru/folder/160087" TargetMode="External"/><Relationship Id="rId1877" Type="http://schemas.openxmlformats.org/officeDocument/2006/relationships/hyperlink" Target="https://&#1085;&#1086;&#1074;&#1086;&#1072;&#1083;&#1077;&#1082;&#1089;&#1077;&#1077;&#1074;&#1089;&#1082;&#1072;&#1103;.&#1088;&#1092;/documents/620.html" TargetMode="External"/><Relationship Id="rId71" Type="http://schemas.openxmlformats.org/officeDocument/2006/relationships/hyperlink" Target="https://www.ofukem.ru/activity/initiative-budgeting/about-the-projects/%20%20%20%20%20%20%20%20&#1052;&#1080;&#1085;&#1092;&#1080;&#1085;" TargetMode="External"/><Relationship Id="rId802" Type="http://schemas.openxmlformats.org/officeDocument/2006/relationships/hyperlink" Target="mailto:nkootr@bk.ru" TargetMode="External"/><Relationship Id="rId1737" Type="http://schemas.openxmlformats.org/officeDocument/2006/relationships/hyperlink" Target="mailto:jankoi-gfu@yandex.ru" TargetMode="External"/><Relationship Id="rId1944" Type="http://schemas.openxmlformats.org/officeDocument/2006/relationships/hyperlink" Target="mailto:oee@adm.orel.ru" TargetMode="External"/><Relationship Id="rId29" Type="http://schemas.openxmlformats.org/officeDocument/2006/relationships/hyperlink" Target="http://minfin.kalmregion.ru/deyatelnost/initsiativnoe-byudzhetirovanie/" TargetMode="External"/><Relationship Id="rId178" Type="http://schemas.openxmlformats.org/officeDocument/2006/relationships/hyperlink" Target="https://nac.gov.karelia.ru/about/3841/" TargetMode="External"/><Relationship Id="rId1804" Type="http://schemas.openxmlformats.org/officeDocument/2006/relationships/hyperlink" Target="http://zheleznoe-sp.ru/load/iniciativnoe_bjudzhetirovanie/dokumenty/blagoustrojstvo_territorii_zheleznogo_selskogo_poselenija/99-1-0-1346" TargetMode="External"/><Relationship Id="rId385" Type="http://schemas.openxmlformats.org/officeDocument/2006/relationships/hyperlink" Target="https://64.gorodsreda.ru/" TargetMode="External"/><Relationship Id="rId592" Type="http://schemas.openxmlformats.org/officeDocument/2006/relationships/hyperlink" Target="https://admsud.ru/kontrolno-ekonomicheskoe-upravlenie/otdel-ekonomiki-i-selskogo-hozyaystva/municipalnye-programmy/perechen-municipalnyh-programm/3237-reestr-municipalnyh-programm-na-2017-g.html" TargetMode="External"/><Relationship Id="rId2066" Type="http://schemas.openxmlformats.org/officeDocument/2006/relationships/hyperlink" Target="https://gokucmpi.ru/upload/iblock/a03/qlnw3ih5yzrzhnub3b0p431n5fkdlhet/Ustav-GOKU-TSMPI-_posl.red..pdf" TargetMode="External"/><Relationship Id="rId245" Type="http://schemas.openxmlformats.org/officeDocument/2006/relationships/hyperlink" Target="https://za-gorodsreda.ru/" TargetMode="External"/><Relationship Id="rId452" Type="http://schemas.openxmlformats.org/officeDocument/2006/relationships/hyperlink" Target="https://75.ru/tos" TargetMode="External"/><Relationship Id="rId897" Type="http://schemas.openxmlformats.org/officeDocument/2006/relationships/hyperlink" Target="mailto:poselenie63@mail.ru" TargetMode="External"/><Relationship Id="rId1082" Type="http://schemas.openxmlformats.org/officeDocument/2006/relationships/hyperlink" Target="https://pmosk.ru/archives/5711" TargetMode="External"/><Relationship Id="rId2133" Type="http://schemas.openxmlformats.org/officeDocument/2006/relationships/hyperlink" Target="https://docs.cntd.ru/document/570845985?marker" TargetMode="External"/><Relationship Id="rId105" Type="http://schemas.openxmlformats.org/officeDocument/2006/relationships/hyperlink" Target="https://chuvash.gks.ru/demog" TargetMode="External"/><Relationship Id="rId312" Type="http://schemas.openxmlformats.org/officeDocument/2006/relationships/hyperlink" Target="https://gkh.tmbreg.ru/form/Dostup_Sreda/Dostup_sreda_ogl.htm" TargetMode="External"/><Relationship Id="rId757" Type="http://schemas.openxmlformats.org/officeDocument/2006/relationships/hyperlink" Target="mailto:fo.juravskaya@inbox.ru" TargetMode="External"/><Relationship Id="rId964" Type="http://schemas.openxmlformats.org/officeDocument/2006/relationships/hyperlink" Target="mailto:adm.s.p.chernowka@yandex.ru" TargetMode="External"/><Relationship Id="rId1387" Type="http://schemas.openxmlformats.org/officeDocument/2006/relationships/hyperlink" Target="https://privoladm.ru/initsiativnoe-byudzhetirovanie" TargetMode="External"/><Relationship Id="rId1594" Type="http://schemas.openxmlformats.org/officeDocument/2006/relationships/hyperlink" Target="mailto:velav@mail.orb.ru" TargetMode="External"/><Relationship Id="rId93" Type="http://schemas.openxmlformats.org/officeDocument/2006/relationships/hyperlink" Target="https://login.consultant.ru/link/?req=doc&amp;base=RLAW265&amp;n=104518&amp;dst=100006" TargetMode="External"/><Relationship Id="rId617" Type="http://schemas.openxmlformats.org/officeDocument/2006/relationships/hyperlink" Target="mailto:admdet@mail.ru" TargetMode="External"/><Relationship Id="rId824" Type="http://schemas.openxmlformats.org/officeDocument/2006/relationships/hyperlink" Target="mailto:SolovevaOE@samadm.ru" TargetMode="External"/><Relationship Id="rId1247" Type="http://schemas.openxmlformats.org/officeDocument/2006/relationships/hyperlink" Target="mailto:AIKilienko@mogub.yanao.ru" TargetMode="External"/><Relationship Id="rId1454" Type="http://schemas.openxmlformats.org/officeDocument/2006/relationships/hyperlink" Target="http://finotdel-akbulak.ru/index.php?option=com_content&amp;view=article&amp;id=202&amp;Itemid=117" TargetMode="External"/><Relationship Id="rId1661" Type="http://schemas.openxmlformats.org/officeDocument/2006/relationships/hyperlink" Target="http://okuladm.ru/documents/21052" TargetMode="External"/><Relationship Id="rId1899" Type="http://schemas.openxmlformats.org/officeDocument/2006/relationships/hyperlink" Target="mailto:poltadm@list.ru" TargetMode="External"/><Relationship Id="rId1107" Type="http://schemas.openxmlformats.org/officeDocument/2006/relationships/hyperlink" Target="mailto:org@gorod.amursk.ru" TargetMode="External"/><Relationship Id="rId1314" Type="http://schemas.openxmlformats.org/officeDocument/2006/relationships/hyperlink" Target="mailto:finupr.adm.vesh@mail.ru" TargetMode="External"/><Relationship Id="rId1521" Type="http://schemas.openxmlformats.org/officeDocument/2006/relationships/hyperlink" Target="http://fin-or.ru/ckfinder/userfiles/files/%D0%9F%D0%BE%D1%81%D1%82%D0%B0%D0%BD%D0%BE%D0%B2%D0%BB%D0%B5%D0%BD%D0%B8%D0%B5%20983%D0%BF%20%D0%BE%D1%82%2019052021(1).pdf" TargetMode="External"/><Relationship Id="rId1759" Type="http://schemas.openxmlformats.org/officeDocument/2006/relationships/hyperlink" Target="https://sverdl.gks.ru/storage/mediabank/TwCtEIIi/2021.zip" TargetMode="External"/><Relationship Id="rId1966" Type="http://schemas.openxmlformats.org/officeDocument/2006/relationships/hyperlink" Target="mailto:tnsimakova@minter.permkrai.ru" TargetMode="External"/><Relationship Id="rId1619" Type="http://schemas.openxmlformats.org/officeDocument/2006/relationships/hyperlink" Target="https://www.gorodmednogorsk.ru/fin/npo-fo1.html" TargetMode="External"/><Relationship Id="rId1826" Type="http://schemas.openxmlformats.org/officeDocument/2006/relationships/hyperlink" Target="https://adm-zaparozhskaya.ru/" TargetMode="External"/><Relationship Id="rId20" Type="http://schemas.openxmlformats.org/officeDocument/2006/relationships/hyperlink" Target="https://&#1074;&#1077;&#1089;&#1090;&#1080;35.&#1088;&#1092;/video/2022/03/24/itogi_realizacii_proekta_narodnyy_byudzhet_za_2021_god_podveli_v_vologde" TargetMode="External"/><Relationship Id="rId2088" Type="http://schemas.openxmlformats.org/officeDocument/2006/relationships/hyperlink" Target="https://gokucmpi.ru/upload/iblock/ae8/ppo26zlmpqny7apv0dx3j2ug8zqhohjs/Anketa_na-sayt-_1_.pdf" TargetMode="External"/><Relationship Id="rId267" Type="http://schemas.openxmlformats.org/officeDocument/2006/relationships/hyperlink" Target="https://vk.com/ibmfur" TargetMode="External"/><Relationship Id="rId474" Type="http://schemas.openxmlformats.org/officeDocument/2006/relationships/hyperlink" Target="mailto:kochetkova.e@bashkortostan.ru" TargetMode="External"/><Relationship Id="rId2155" Type="http://schemas.openxmlformats.org/officeDocument/2006/relationships/hyperlink" Target="https://belgorodskij-r31.gosweb.gosuslugi.ru/ofitsialno/dokumenty/dokumenty_1280.html" TargetMode="External"/><Relationship Id="rId127" Type="http://schemas.openxmlformats.org/officeDocument/2006/relationships/hyperlink" Target="mailto:armenshin.i@bashkortostan.ru" TargetMode="External"/><Relationship Id="rId681" Type="http://schemas.openxmlformats.org/officeDocument/2006/relationships/hyperlink" Target="http://&#1074;&#1086;&#1088;&#1082;&#1091;&#1090;&#1072;.&#1088;&#1092;/regulatory/?ELEMENT_ID=23895" TargetMode="External"/><Relationship Id="rId779" Type="http://schemas.openxmlformats.org/officeDocument/2006/relationships/hyperlink" Target="https://spasskd.ru/index.php/initsiativnoe-byudzhetirovanie" TargetMode="External"/><Relationship Id="rId986" Type="http://schemas.openxmlformats.org/officeDocument/2006/relationships/hyperlink" Target="mailto:asb.ekonomika@mail.ru" TargetMode="External"/><Relationship Id="rId334" Type="http://schemas.openxmlformats.org/officeDocument/2006/relationships/hyperlink" Target="https://disk.yandex.ru/i/VOTSPVSv47s_ug" TargetMode="External"/><Relationship Id="rId541" Type="http://schemas.openxmlformats.org/officeDocument/2006/relationships/hyperlink" Target="mailto:rtfin5@bryanskoblfin.ru" TargetMode="External"/><Relationship Id="rId639" Type="http://schemas.openxmlformats.org/officeDocument/2006/relationships/hyperlink" Target="https://www.kaluga-gov.ru/obshchestvo/initsiativnye-proekty/pravovaya-baza/2743/" TargetMode="External"/><Relationship Id="rId1171" Type="http://schemas.openxmlformats.org/officeDocument/2006/relationships/hyperlink" Target="http://www.admkonda.ru/munitcipal-nye-programmy-na-2019-2022-gody.html" TargetMode="External"/><Relationship Id="rId1269" Type="http://schemas.openxmlformats.org/officeDocument/2006/relationships/hyperlink" Target="https://vektor-tv.ru/upload/iblock/edf/edf43b0aa455055a1a5eb455ec3d1e53.png" TargetMode="External"/><Relationship Id="rId1476" Type="http://schemas.openxmlformats.org/officeDocument/2006/relationships/hyperlink" Target="https://adamfin.ru/shb-2022" TargetMode="External"/><Relationship Id="rId2015" Type="http://schemas.openxmlformats.org/officeDocument/2006/relationships/hyperlink" Target="https://lenobl.ru/ru/dokumenty/opublikovanie-pravovyh-aktov/oficialno-opublikovanie-npa-s-10-iyunya-2013-goda/oficialnoe-opublikovanie-pravovyh-aktov-leningradskoj-oblasti-s-10-iyu/" TargetMode="External"/><Relationship Id="rId401" Type="http://schemas.openxmlformats.org/officeDocument/2006/relationships/hyperlink" Target="mailto:rakitina@ryazagro.ru" TargetMode="External"/><Relationship Id="rId846" Type="http://schemas.openxmlformats.org/officeDocument/2006/relationships/hyperlink" Target="https://sovadmsamara.ru/tvoj_konstruktor_dvora/" TargetMode="External"/><Relationship Id="rId1031" Type="http://schemas.openxmlformats.org/officeDocument/2006/relationships/hyperlink" Target="https://georgievsk.ru/mestnye-initsiativy/budjetirovanie/nashokrug.jpg" TargetMode="External"/><Relationship Id="rId1129" Type="http://schemas.openxmlformats.org/officeDocument/2006/relationships/hyperlink" Target="http://admsurgut.ru/files/materials/files/files1/%D0%A1%D1%82%D1%80%D0%B0%D1%82%D0%B5%D0%B3%D0%B8%D1%8F_%D0%B3%D0%BE%D1%80%D0%BE%D0%B4%D0%B0_%D0%B4%D0%BE_2030__%D1%81_%D0%B8%D0%B7%D0%BC_09.11.2021.docx" TargetMode="External"/><Relationship Id="rId1683" Type="http://schemas.openxmlformats.org/officeDocument/2006/relationships/hyperlink" Target="http://www.adm.nov.ru/docroot/upload/6155e32d-64ff-4e2f-baa0-61a6b3b18ea2.pdf" TargetMode="External"/><Relationship Id="rId1890" Type="http://schemas.openxmlformats.org/officeDocument/2006/relationships/hyperlink" Target="http://www.admnovomysh.ru/images/resheniya/2021/resh_18.2_ot_19.01.21.doc" TargetMode="External"/><Relationship Id="rId1988" Type="http://schemas.openxmlformats.org/officeDocument/2006/relationships/hyperlink" Target="https://mari-el.gov.ru/ministries/minselhoz/pages/nd-npa-krst/" TargetMode="External"/><Relationship Id="rId706" Type="http://schemas.openxmlformats.org/officeDocument/2006/relationships/hyperlink" Target="https://disk.yandex.ru/i/yLKKaasAeGiPEg,https:/ustvymskij.ru/index.php/upravlenie-po-organizatsionnoj-rabote/postanovleniya/postanovleniya-2020" TargetMode="External"/><Relationship Id="rId913" Type="http://schemas.openxmlformats.org/officeDocument/2006/relationships/hyperlink" Target="mailto:adm-kr2013@yandex.ru" TargetMode="External"/><Relationship Id="rId1336" Type="http://schemas.openxmlformats.org/officeDocument/2006/relationships/hyperlink" Target="http://maina-poselenie.ru/" TargetMode="External"/><Relationship Id="rId1543" Type="http://schemas.openxmlformats.org/officeDocument/2006/relationships/hyperlink" Target="https://grach-rf.orb.ru/activity/14679/" TargetMode="External"/><Relationship Id="rId1750" Type="http://schemas.openxmlformats.org/officeDocument/2006/relationships/hyperlink" Target="mailto:jankoi-gfu@yandex.ru" TargetMode="External"/><Relationship Id="rId42" Type="http://schemas.openxmlformats.org/officeDocument/2006/relationships/hyperlink" Target="https://chechenstat.gks.ru/folder/38713" TargetMode="External"/><Relationship Id="rId1403" Type="http://schemas.openxmlformats.org/officeDocument/2006/relationships/hyperlink" Target="http://admrogovskaya.ru/" TargetMode="External"/><Relationship Id="rId1610" Type="http://schemas.openxmlformats.org/officeDocument/2006/relationships/hyperlink" Target="https://orenburg.ru/documents/active/73077/" TargetMode="External"/><Relationship Id="rId1848" Type="http://schemas.openxmlformats.org/officeDocument/2006/relationships/hyperlink" Target="https://severskoe.sevadm.ru/about/initsiativnye-proekty/?ELEMENT_ID=29184" TargetMode="External"/><Relationship Id="rId191" Type="http://schemas.openxmlformats.org/officeDocument/2006/relationships/hyperlink" Target="https://vlgr-ranepa.ru/konkurs/vlg-local-init/" TargetMode="External"/><Relationship Id="rId1708" Type="http://schemas.openxmlformats.org/officeDocument/2006/relationships/hyperlink" Target="https://borcity.ru/authority/mp_akt.php" TargetMode="External"/><Relationship Id="rId1915" Type="http://schemas.openxmlformats.org/officeDocument/2006/relationships/hyperlink" Target="https://ovmf2.consultant.ru/cgi/online.cgi?from=164323-0&amp;req=doc&amp;rnd=NKHBWg&amp;base=RLAW148&amp;n=195651" TargetMode="External"/><Relationship Id="rId289" Type="http://schemas.openxmlformats.org/officeDocument/2006/relationships/hyperlink" Target="consultantplus://offline/ref=279DF6A4FEF0383180BD99F6DED617130BC2E8B3556FB4AF2A4ED5AFA9CAD23631232986A9EC863C61A5540E86DA2734AF4A9416D1338C3BB4BA23F6M9x4K" TargetMode="External"/><Relationship Id="rId496" Type="http://schemas.openxmlformats.org/officeDocument/2006/relationships/hyperlink" Target="mailto:essemenova@yandex.ru" TargetMode="External"/><Relationship Id="rId149" Type="http://schemas.openxmlformats.org/officeDocument/2006/relationships/hyperlink" Target="https://pos.gosuslugi.ru/lkp" TargetMode="External"/><Relationship Id="rId356" Type="http://schemas.openxmlformats.org/officeDocument/2006/relationships/hyperlink" Target="https://www.gov.spb.ru/law/?d&amp;nd=822403529&amp;nh=0" TargetMode="External"/><Relationship Id="rId563" Type="http://schemas.openxmlformats.org/officeDocument/2006/relationships/hyperlink" Target="https://volokonovskij-r31.gosweb.gosuslugi.ru/ofitsialno/dokumenty/dokumenty-all_3885.html" TargetMode="External"/><Relationship Id="rId770" Type="http://schemas.openxmlformats.org/officeDocument/2006/relationships/hyperlink" Target="https://25.rosstat.gov.ru/storage/mediabank/&#1063;&#1080;&#1089;&#1083;&#1077;&#1085;&#1085;&#1086;&#1089;&#1090;&#1100;%20&#1043;&#1054;,%20&#1052;&#1054;%20&#1080;%20&#1052;&#1056;%20&#1085;&#1072;%20&#1085;&#1072;&#1095;&#1072;&#1083;&#1086;%20&#1075;&#1086;&#1076;&#1072;.xlsx" TargetMode="External"/><Relationship Id="rId1193" Type="http://schemas.openxmlformats.org/officeDocument/2006/relationships/hyperlink" Target="https://www.salekhard.org/normativno-pravovye-akty/postanovleniya-administratsii/18333" TargetMode="External"/><Relationship Id="rId2037" Type="http://schemas.openxmlformats.org/officeDocument/2006/relationships/hyperlink" Target="https://gov-office.orb.ru/upload/uf/c28/Vovlechenie-zhiteley-MO-v-protsess-vybora-i-realizatsii-initsiativnykh-proektov.pdf" TargetMode="External"/><Relationship Id="rId216" Type="http://schemas.openxmlformats.org/officeDocument/2006/relationships/hyperlink" Target="mailto:s.pozhueva@gov39.ru" TargetMode="External"/><Relationship Id="rId423" Type="http://schemas.openxmlformats.org/officeDocument/2006/relationships/hyperlink" Target="https://depjkke.admhmao.ru/gosudarstvennaya-programma/gosudarstvennaya-programma-khanty-mansiyskogo-avtonomnogo-okruga-yugry-zhilishchno-kommunalnyy-kompl/" TargetMode="External"/><Relationship Id="rId868" Type="http://schemas.openxmlformats.org/officeDocument/2006/relationships/hyperlink" Target="https://samarastat.gks.ru/population" TargetMode="External"/><Relationship Id="rId1053" Type="http://schemas.openxmlformats.org/officeDocument/2006/relationships/hyperlink" Target="http://krasnogvardeiskoe.info/ru" TargetMode="External"/><Relationship Id="rId1260" Type="http://schemas.openxmlformats.org/officeDocument/2006/relationships/hyperlink" Target="https://&#1078;&#1080;&#1074;&#1105;&#1084;&#1085;&#1072;&#1089;&#1077;&#1074;&#1077;&#1088;&#1077;.&#1088;&#1092;/" TargetMode="External"/><Relationship Id="rId1498" Type="http://schemas.openxmlformats.org/officeDocument/2006/relationships/hyperlink" Target="https://rosstat.gov.ru/storage/mediabank/Chisl_nasel_RF_MO_01-01-2022.xlsx" TargetMode="External"/><Relationship Id="rId2104" Type="http://schemas.openxmlformats.org/officeDocument/2006/relationships/hyperlink" Target="https://gokucmpi.ru/upload/iblock/a03/qlnw3ih5yzrzhnub3b0p431n5fkdlhet/Ustav-GOKU-TSMPI-_posl.red..pdf" TargetMode="External"/><Relationship Id="rId630" Type="http://schemas.openxmlformats.org/officeDocument/2006/relationships/hyperlink" Target="https://admermolino.ru/?page_id=7964" TargetMode="External"/><Relationship Id="rId728" Type="http://schemas.openxmlformats.org/officeDocument/2006/relationships/hyperlink" Target="https://&#1087;&#1096;&#1077;&#1093;&#1089;&#1082;&#1086;&#1077;.&#1088;&#1092;/novosti/39549/" TargetMode="External"/><Relationship Id="rId935" Type="http://schemas.openxmlformats.org/officeDocument/2006/relationships/hyperlink" Target="https://samarastat.gks.ru/" TargetMode="External"/><Relationship Id="rId1358" Type="http://schemas.openxmlformats.org/officeDocument/2006/relationships/hyperlink" Target="http://www.terenga.ru/node/12731" TargetMode="External"/><Relationship Id="rId1565" Type="http://schemas.openxmlformats.org/officeDocument/2006/relationships/hyperlink" Target="mailto:velav@mail.orb.ru" TargetMode="External"/><Relationship Id="rId1772" Type="http://schemas.openxmlformats.org/officeDocument/2006/relationships/hyperlink" Target="https://vk.com/officialadmse" TargetMode="External"/><Relationship Id="rId64" Type="http://schemas.openxmlformats.org/officeDocument/2006/relationships/hyperlink" Target="https://docs.cntd.ru/document/570773121" TargetMode="External"/><Relationship Id="rId1120" Type="http://schemas.openxmlformats.org/officeDocument/2006/relationships/hyperlink" Target="http://budget.uray.ru/iniciativnoe-bjudzhetirovanie-v-rf/" TargetMode="External"/><Relationship Id="rId1218" Type="http://schemas.openxmlformats.org/officeDocument/2006/relationships/hyperlink" Target="https://tumstat.gks.ru/storage/mediabank/&#1063;&#1080;&#1089;&#1083;&#1077;&#1085;&#1086;&#1089;&#1090;&#1100;%20&#1085;&#1072;&#1089;&#1077;&#1083;&#1077;&#1085;&#1080;&#1103;%20&#1071;&#1053;&#1040;&#1054;%20&#1085;&#1072;%20&#1085;&#1072;&#1095;&#1072;&#1083;&#1086;%202017-2023%20&#1075;&#1086;&#1076;&#1072;.xlsx" TargetMode="External"/><Relationship Id="rId1425" Type="http://schemas.openxmlformats.org/officeDocument/2006/relationships/hyperlink" Target="https://rosstat.gov.ru/compendium/document/13282" TargetMode="External"/><Relationship Id="rId1632" Type="http://schemas.openxmlformats.org/officeDocument/2006/relationships/hyperlink" Target="mailto:velav@mail.orb.ru" TargetMode="External"/><Relationship Id="rId1937" Type="http://schemas.openxmlformats.org/officeDocument/2006/relationships/hyperlink" Target="https://55.rosstat.gov.ru/storage/mediabank/chisl-2022.htm" TargetMode="External"/><Relationship Id="rId280" Type="http://schemas.openxmlformats.org/officeDocument/2006/relationships/hyperlink" Target="https://admtyumen.ru/ogv_ru/finance/apk/more.htm?id=11962253@cmsArticle" TargetMode="External"/><Relationship Id="rId140" Type="http://schemas.openxmlformats.org/officeDocument/2006/relationships/hyperlink" Target="http://docs.cntd.ru/document/553216517" TargetMode="External"/><Relationship Id="rId378" Type="http://schemas.openxmlformats.org/officeDocument/2006/relationships/hyperlink" Target="https://rosstat.gov.ru/storage/mediabank/chisl_RF_01-01-2022_VPN-2020.xls" TargetMode="External"/><Relationship Id="rId585" Type="http://schemas.openxmlformats.org/officeDocument/2006/relationships/hyperlink" Target="mailto:svod2@beldepfin.ru" TargetMode="External"/><Relationship Id="rId792" Type="http://schemas.openxmlformats.org/officeDocument/2006/relationships/hyperlink" Target="https://25.rosstat.gov.ru/" TargetMode="External"/><Relationship Id="rId2059" Type="http://schemas.openxmlformats.org/officeDocument/2006/relationships/hyperlink" Target="https://www.novreg.ru/tenders/folder/" TargetMode="External"/><Relationship Id="rId6" Type="http://schemas.openxmlformats.org/officeDocument/2006/relationships/hyperlink" Target="https://depfin.tomsk.gov.ru/uploads/ckfinder/285/userfiles/images/%D0%B8%D0%B7%D0%BE%D0%B1%D1%80%D0%B0%D0%B6%D0%B5%D0%BD%D0%B8%D0%B5(1).png" TargetMode="External"/><Relationship Id="rId238" Type="http://schemas.openxmlformats.org/officeDocument/2006/relationships/hyperlink" Target="https://minfin.admoblkaluga.ru/page/programma-podderzhki-mestnykh-initsiativ/" TargetMode="External"/><Relationship Id="rId445" Type="http://schemas.openxmlformats.org/officeDocument/2006/relationships/hyperlink" Target="https://minfin.alregn.ru/bud/z2022/" TargetMode="External"/><Relationship Id="rId652" Type="http://schemas.openxmlformats.org/officeDocument/2006/relationships/hyperlink" Target="https://www.admkirov.ru/upload/iblock/876/kss500_20220322_15251210.pdf" TargetMode="External"/><Relationship Id="rId1075" Type="http://schemas.openxmlformats.org/officeDocument/2006/relationships/hyperlink" Target="https://www.novoselickoe.ru/category/okrug/ekonomika/strategicheskoe-planirovanie/strategiya-sotsialno-ekonomicheskogo-razvitiya" TargetMode="External"/><Relationship Id="rId1282" Type="http://schemas.openxmlformats.org/officeDocument/2006/relationships/hyperlink" Target="https://www.puradm.ru/one-doc/12513" TargetMode="External"/><Relationship Id="rId2126" Type="http://schemas.openxmlformats.org/officeDocument/2006/relationships/hyperlink" Target="mailto:bud_komfin@novreg.ru" TargetMode="External"/><Relationship Id="rId305" Type="http://schemas.openxmlformats.org/officeDocument/2006/relationships/hyperlink" Target="http://publication.pravo.gov.ru/Document/View/6800202001040003" TargetMode="External"/><Relationship Id="rId512" Type="http://schemas.openxmlformats.org/officeDocument/2006/relationships/hyperlink" Target="mailto:kochetkova.e@bashkortostan.ru" TargetMode="External"/><Relationship Id="rId957" Type="http://schemas.openxmlformats.org/officeDocument/2006/relationships/hyperlink" Target="https://samarastat.gks.ru/population" TargetMode="External"/><Relationship Id="rId1142" Type="http://schemas.openxmlformats.org/officeDocument/2006/relationships/hyperlink" Target="https://www.n-vartovsk.ru/ibudget/" TargetMode="External"/><Relationship Id="rId1587" Type="http://schemas.openxmlformats.org/officeDocument/2006/relationships/hyperlink" Target="https://adamfin.ru/assets/files/1oldfile/Postanovlenie_13.03.2021_175-p-Narodnyy-byudzhet.PDF" TargetMode="External"/><Relationship Id="rId1794" Type="http://schemas.openxmlformats.org/officeDocument/2006/relationships/hyperlink" Target="http://starscherb.ru/2021/Munic_program/339_ot_24.12.2021.doc" TargetMode="External"/><Relationship Id="rId86" Type="http://schemas.openxmlformats.org/officeDocument/2006/relationships/hyperlink" Target="https://login.consultant.ru/link/?req=doc&amp;base=RLAW265&amp;n=102109&amp;dst=1000000003" TargetMode="External"/><Relationship Id="rId817" Type="http://schemas.openxmlformats.org/officeDocument/2006/relationships/hyperlink" Target="mailto:TitovDY@samadm.ru" TargetMode="External"/><Relationship Id="rId1002" Type="http://schemas.openxmlformats.org/officeDocument/2006/relationships/hyperlink" Target="https://admrevda.ru/ekonomika/5247-initsiativnoe-byudzhetirovanie.html" TargetMode="External"/><Relationship Id="rId1447" Type="http://schemas.openxmlformats.org/officeDocument/2006/relationships/hyperlink" Target="mailto:velav@mail.orb.ru" TargetMode="External"/><Relationship Id="rId1654" Type="http://schemas.openxmlformats.org/officeDocument/2006/relationships/hyperlink" Target="mailto:pimenovaiv@minfin.omskportal.ru" TargetMode="External"/><Relationship Id="rId1861" Type="http://schemas.openxmlformats.org/officeDocument/2006/relationships/hyperlink" Target="mailto:bsp2009@mail.ru" TargetMode="External"/><Relationship Id="rId1307" Type="http://schemas.openxmlformats.org/officeDocument/2006/relationships/hyperlink" Target="mailto:kuzmina.mv@ulminfin.ru" TargetMode="External"/><Relationship Id="rId1514" Type="http://schemas.openxmlformats.org/officeDocument/2006/relationships/hyperlink" Target="mailto:onl-or@mail.ru" TargetMode="External"/><Relationship Id="rId1721" Type="http://schemas.openxmlformats.org/officeDocument/2006/relationships/hyperlink" Target="mailto:paramonova_iv@fin.kreml.nnov.ru" TargetMode="External"/><Relationship Id="rId1959" Type="http://schemas.openxmlformats.org/officeDocument/2006/relationships/hyperlink" Target="mailto:oof@adm.orel.ru" TargetMode="External"/><Relationship Id="rId13" Type="http://schemas.openxmlformats.org/officeDocument/2006/relationships/hyperlink" Target="https://38.rosstat.gov.ru/storage/mediabank/post_nasel_obl_2023(1).html" TargetMode="External"/><Relationship Id="rId1819" Type="http://schemas.openxmlformats.org/officeDocument/2006/relationships/hyperlink" Target="mailto:nawi1@yandex.ru" TargetMode="External"/><Relationship Id="rId162" Type="http://schemas.openxmlformats.org/officeDocument/2006/relationships/hyperlink" Target="https://disk.yandex.ru/d/OwcSZ80vkCYzZw" TargetMode="External"/><Relationship Id="rId467" Type="http://schemas.openxmlformats.org/officeDocument/2006/relationships/hyperlink" Target="mailto:ivaha.vv@nocrb.ru" TargetMode="External"/><Relationship Id="rId1097" Type="http://schemas.openxmlformats.org/officeDocument/2006/relationships/hyperlink" Target="mailto:trv@g58.tambov.gov.ru" TargetMode="External"/><Relationship Id="rId2050" Type="http://schemas.openxmlformats.org/officeDocument/2006/relationships/hyperlink" Target="https://53.gorodsreda.ru/result-voting" TargetMode="External"/><Relationship Id="rId2148" Type="http://schemas.openxmlformats.org/officeDocument/2006/relationships/hyperlink" Target="https://kursk.ru/region/economy/page-192659/" TargetMode="External"/><Relationship Id="rId674" Type="http://schemas.openxmlformats.org/officeDocument/2006/relationships/hyperlink" Target="https://kojgorodok.ru/finansyi/narodnyie-initsiativyi/npa/" TargetMode="External"/><Relationship Id="rId881" Type="http://schemas.openxmlformats.org/officeDocument/2006/relationships/hyperlink" Target="mailto:erzowka@yandex.ru" TargetMode="External"/><Relationship Id="rId979" Type="http://schemas.openxmlformats.org/officeDocument/2006/relationships/hyperlink" Target="https://samarastat.gks.ru/population" TargetMode="External"/><Relationship Id="rId327" Type="http://schemas.openxmlformats.org/officeDocument/2006/relationships/hyperlink" Target="mailto:n.mamaeva@66egov.ru" TargetMode="External"/><Relationship Id="rId534" Type="http://schemas.openxmlformats.org/officeDocument/2006/relationships/hyperlink" Target="https://mcx.avo.ru/blagoustrojstvo-sel-skih-territorij" TargetMode="External"/><Relationship Id="rId741" Type="http://schemas.openxmlformats.org/officeDocument/2006/relationships/hyperlink" Target="https://23.rosstat.gov.ru/storage/mediabank/Ocenka22.htm" TargetMode="External"/><Relationship Id="rId839" Type="http://schemas.openxmlformats.org/officeDocument/2006/relationships/hyperlink" Target="https://promadm.ru/allfiles/202302/Reshenie_ot-1675753937-JpsfO.docx" TargetMode="External"/><Relationship Id="rId1164" Type="http://schemas.openxmlformats.org/officeDocument/2006/relationships/hyperlink" Target="mailto:adm-mortka@maii.ru" TargetMode="External"/><Relationship Id="rId1371" Type="http://schemas.openxmlformats.org/officeDocument/2006/relationships/hyperlink" Target="https://unarokovo.ru/" TargetMode="External"/><Relationship Id="rId1469" Type="http://schemas.openxmlformats.org/officeDocument/2006/relationships/hyperlink" Target="https://orenstat.gks.ru/storage/document/document_statistic_collection/2022-06/12/&#1052;&#1091;&#1085;&#1080;&#1094;&#1080;&#1087;&#1072;&#1083;&#1100;&#1085;&#1099;&#1077;%20&#1086;&#1073;&#1088;&#1072;&#1079;&#1086;&#1074;&#1072;&#1085;&#1080;&#1103;%20&#1085;&#1072;%201%20&#1103;&#1085;&#1074;&#1072;&#1088;&#1103;%202022%20&#1075;&#1086;&#1076;&#1072;.pdf" TargetMode="External"/><Relationship Id="rId2008" Type="http://schemas.openxmlformats.org/officeDocument/2006/relationships/hyperlink" Target="http://publication.pravo.gov.ru/Document/View/5200202112300001" TargetMode="External"/><Relationship Id="rId601" Type="http://schemas.openxmlformats.org/officeDocument/2006/relationships/hyperlink" Target="mailto:bud@vladfin.ru" TargetMode="External"/><Relationship Id="rId1024" Type="http://schemas.openxmlformats.org/officeDocument/2006/relationships/hyperlink" Target="https://www.georgievsk.ru/mestnye-initsiativy/budjetirovanie/1386_26-04-2022.doc" TargetMode="External"/><Relationship Id="rId1231" Type="http://schemas.openxmlformats.org/officeDocument/2006/relationships/hyperlink" Target="https://tumstat.gks.ru/ofstat_ynao" TargetMode="External"/><Relationship Id="rId1676" Type="http://schemas.openxmlformats.org/officeDocument/2006/relationships/hyperlink" Target="mailto:bud_komfin@novreg.ru" TargetMode="External"/><Relationship Id="rId1883" Type="http://schemas.openxmlformats.org/officeDocument/2006/relationships/hyperlink" Target="https://internet.garant.ru/" TargetMode="External"/><Relationship Id="rId906" Type="http://schemas.openxmlformats.org/officeDocument/2006/relationships/hyperlink" Target="https://www.kinel-cherkassy.ru/index.php/initsiativnye-proekty" TargetMode="External"/><Relationship Id="rId1329" Type="http://schemas.openxmlformats.org/officeDocument/2006/relationships/hyperlink" Target="http://karsunmo.ru/" TargetMode="External"/><Relationship Id="rId1536" Type="http://schemas.openxmlformats.org/officeDocument/2006/relationships/hyperlink" Target="https://krasnogvardfo.ru/assets/files/106-post-%E2%84%96-85-p-ot-27.02.2020-finotdel-byudzhetnyij-prognoz-do-2025.docx" TargetMode="External"/><Relationship Id="rId1743" Type="http://schemas.openxmlformats.org/officeDocument/2006/relationships/hyperlink" Target="mailto:perovskiy-sov@mail.ru" TargetMode="External"/><Relationship Id="rId1950" Type="http://schemas.openxmlformats.org/officeDocument/2006/relationships/hyperlink" Target="http://orel-region.ru/index.php?head=17&amp;part=19&amp;docid=10476" TargetMode="External"/><Relationship Id="rId35" Type="http://schemas.openxmlformats.org/officeDocument/2006/relationships/hyperlink" Target="http://ivo.garant.ru/proxy/share?data=q4Og0aLnpN5Pvp_qlYqxjK_xqrzXt9W_qeqZArDksdj_97HLova1x5DWsdG8lFKko_yS8tuowbnMtcfyh_Gp47Xikv2K_L_hlQzwn7TasvW85r_8j9G0nuur5IkQ5bbjguS0rQ==" TargetMode="External"/><Relationship Id="rId1603" Type="http://schemas.openxmlformats.org/officeDocument/2006/relationships/hyperlink" Target="http://sorochinsk56.ru/assets/files/2020-Postanovlenia/349-17.03.2020.pdf" TargetMode="External"/><Relationship Id="rId1810" Type="http://schemas.openxmlformats.org/officeDocument/2006/relationships/hyperlink" Target="http://&#1072;&#1076;&#1084;-&#1090;&#1072;&#1084;&#1072;&#1085;&#1100;.&#1088;&#1092;/index.php?option=com_attachments&amp;task=download&amp;id=2446" TargetMode="External"/><Relationship Id="rId184" Type="http://schemas.openxmlformats.org/officeDocument/2006/relationships/hyperlink" Target="https://www.socialkirov.ru/social/root/ppmi/Info.htm" TargetMode="External"/><Relationship Id="rId391" Type="http://schemas.openxmlformats.org/officeDocument/2006/relationships/hyperlink" Target="mailto:zaytsevds@saratov.gov.ru" TargetMode="External"/><Relationship Id="rId1908" Type="http://schemas.openxmlformats.org/officeDocument/2006/relationships/hyperlink" Target="mailto:volman_da@kurganobl.ru" TargetMode="External"/><Relationship Id="rId2072" Type="http://schemas.openxmlformats.org/officeDocument/2006/relationships/hyperlink" Target="https://vk.com/club172332438?w=wall-172332438_409%2Fall" TargetMode="External"/><Relationship Id="rId251" Type="http://schemas.openxmlformats.org/officeDocument/2006/relationships/hyperlink" Target="https://docs.cntd.ru/document/463707762" TargetMode="External"/><Relationship Id="rId489" Type="http://schemas.openxmlformats.org/officeDocument/2006/relationships/hyperlink" Target="https://www.arhcity.ru/?page=2371/1" TargetMode="External"/><Relationship Id="rId696" Type="http://schemas.openxmlformats.org/officeDocument/2006/relationships/hyperlink" Target="http://www.&#1089;&#1099;&#1089;&#1086;&#1083;&#1072;-&#1072;&#1076;&#1084;.&#1088;&#1092;/archive/grant22.pdf" TargetMode="External"/><Relationship Id="rId349" Type="http://schemas.openxmlformats.org/officeDocument/2006/relationships/hyperlink" Target="https://login.consultant.ru/link/?req=doc&amp;base=RLAW210&amp;n=116092&amp;dst=100004" TargetMode="External"/><Relationship Id="rId556" Type="http://schemas.openxmlformats.org/officeDocument/2006/relationships/hyperlink" Target="https://volokonovskij-r31.gosweb.gosuslugi.ru/deyatelnost/napravleniya-deyatelnosti/strategicheskoe-planirovanie/munitsipalnye-programmy/dokumenty-10_3817.html" TargetMode="External"/><Relationship Id="rId763" Type="http://schemas.openxmlformats.org/officeDocument/2006/relationships/hyperlink" Target="https://www.dyadkovskaya.ru/munitsipalnye-pravovye-akty/ustav-poseleniya/4763-ustav-dyadkovskogo-selskogo-poseleniya-korenovskogo-rajona-2017-god" TargetMode="External"/><Relationship Id="rId1186" Type="http://schemas.openxmlformats.org/officeDocument/2006/relationships/hyperlink" Target="http://nvraion.ru/ekonomika-i-finansy/social-economic-district/munitsipalnye-programmy/programm-rayona-na-2014-2020/" TargetMode="External"/><Relationship Id="rId1393" Type="http://schemas.openxmlformats.org/officeDocument/2006/relationships/hyperlink" Target="https://www.temryuk.ru/administratsiya/ukaz-prezidenta-607/" TargetMode="External"/><Relationship Id="rId111" Type="http://schemas.openxmlformats.org/officeDocument/2006/relationships/hyperlink" Target="https://pskovstat.gks.ru/storage/mediabank/NAS220418_2.htm" TargetMode="External"/><Relationship Id="rId209" Type="http://schemas.openxmlformats.org/officeDocument/2006/relationships/hyperlink" Target="https://belg.gks.ru/population" TargetMode="External"/><Relationship Id="rId416" Type="http://schemas.openxmlformats.org/officeDocument/2006/relationships/hyperlink" Target="https://minfin.tatarstan.ru/byudzhet-2023.htm?pub_id=3492276" TargetMode="External"/><Relationship Id="rId970" Type="http://schemas.openxmlformats.org/officeDocument/2006/relationships/hyperlink" Target="mailto:malamalish@yandex.ru" TargetMode="External"/><Relationship Id="rId1046" Type="http://schemas.openxmlformats.org/officeDocument/2006/relationships/hyperlink" Target="https://rosstat.gov.ru/storage/mediabank/Chisl_nasel_RF_MO_01-01-2022.xlsx" TargetMode="External"/><Relationship Id="rId1253" Type="http://schemas.openxmlformats.org/officeDocument/2006/relationships/hyperlink" Target="https://nadym.yanao.ru/about/projects/all/480" TargetMode="External"/><Relationship Id="rId1698" Type="http://schemas.openxmlformats.org/officeDocument/2006/relationships/hyperlink" Target="mailto:ati@semenov.nnov.ru" TargetMode="External"/><Relationship Id="rId623" Type="http://schemas.openxmlformats.org/officeDocument/2006/relationships/hyperlink" Target="mailto:admdet@mail.ru" TargetMode="External"/><Relationship Id="rId830" Type="http://schemas.openxmlformats.org/officeDocument/2006/relationships/hyperlink" Target="mailto:EmeljanovaTN@samadm.ru" TargetMode="External"/><Relationship Id="rId928" Type="http://schemas.openxmlformats.org/officeDocument/2006/relationships/hyperlink" Target="http://krotovka.kinel-cherkassy.ru/index.php" TargetMode="External"/><Relationship Id="rId1460" Type="http://schemas.openxmlformats.org/officeDocument/2006/relationships/hyperlink" Target="https://&#1092;&#1080;&#1085;&#1086;&#1090;&#1076;&#1077;&#1083;-&#1103;&#1089;&#1085;&#1099;&#1081;.&#1088;&#1092;/npa1" TargetMode="External"/><Relationship Id="rId1558" Type="http://schemas.openxmlformats.org/officeDocument/2006/relationships/hyperlink" Target="mailto:velav@mail.orb.ru" TargetMode="External"/><Relationship Id="rId1765" Type="http://schemas.openxmlformats.org/officeDocument/2006/relationships/hyperlink" Target="mailto:k312@krasfin.ru" TargetMode="External"/><Relationship Id="rId57" Type="http://schemas.openxmlformats.org/officeDocument/2006/relationships/hyperlink" Target="mailto:k.yahiyaev@e-dag.ru" TargetMode="External"/><Relationship Id="rId1113" Type="http://schemas.openxmlformats.org/officeDocument/2006/relationships/hyperlink" Target="https://budget.uray.ru/municipalnye-pravovye-akty-2/" TargetMode="External"/><Relationship Id="rId1320" Type="http://schemas.openxmlformats.org/officeDocument/2006/relationships/hyperlink" Target="https://73.rosstat.gov.ru/folder/40275" TargetMode="External"/><Relationship Id="rId1418" Type="http://schemas.openxmlformats.org/officeDocument/2006/relationships/hyperlink" Target="https://vk.com/sbor.budget?z=photo-51946917_456239578%2Falbum-51946917_0%2Frev" TargetMode="External"/><Relationship Id="rId1972" Type="http://schemas.openxmlformats.org/officeDocument/2006/relationships/hyperlink" Target="https://budget.rk.ifinmon.ru/krym-kak-my-hotim/o-proekte" TargetMode="External"/><Relationship Id="rId1625" Type="http://schemas.openxmlformats.org/officeDocument/2006/relationships/hyperlink" Target="https://buzuluk.orb.ru/documents/active/119556/" TargetMode="External"/><Relationship Id="rId1832" Type="http://schemas.openxmlformats.org/officeDocument/2006/relationships/hyperlink" Target="https://adm-zaparozhskaya.ru/" TargetMode="External"/><Relationship Id="rId2094" Type="http://schemas.openxmlformats.org/officeDocument/2006/relationships/hyperlink" Target="mailto:ppmi-53@mail.ru" TargetMode="External"/><Relationship Id="rId273" Type="http://schemas.openxmlformats.org/officeDocument/2006/relationships/hyperlink" Target="https://udmstat.gks.ru/folder/51924" TargetMode="External"/><Relationship Id="rId480" Type="http://schemas.openxmlformats.org/officeDocument/2006/relationships/hyperlink" Target="https://vk.com/narodnyi_biudjet71" TargetMode="External"/><Relationship Id="rId133" Type="http://schemas.openxmlformats.org/officeDocument/2006/relationships/hyperlink" Target="https://bashstat.gks.ru/storage/mediabank/CHislennost-naseleniya-po-municipalnym-rajonam-i-gorodskim-okrugam-Respubliki-%20Bashkortostan-na-1-yanvarya-2022-g-s-uchetom-VPN-2020.pdf" TargetMode="External"/><Relationship Id="rId340" Type="http://schemas.openxmlformats.org/officeDocument/2006/relationships/hyperlink" Target="https://pib.sakhminfin.ru/show/mb" TargetMode="External"/><Relationship Id="rId578" Type="http://schemas.openxmlformats.org/officeDocument/2006/relationships/hyperlink" Target="https://yakovgo.gosuslugi.ru/netcat_files/282/2650/Rasporyazhenie_449_r_ot_25.05.2022_g..pdf" TargetMode="External"/><Relationship Id="rId785" Type="http://schemas.openxmlformats.org/officeDocument/2006/relationships/hyperlink" Target="https://dalmdr.ru/node/3678" TargetMode="External"/><Relationship Id="rId992" Type="http://schemas.openxmlformats.org/officeDocument/2006/relationships/hyperlink" Target="https://gks.ru/dbscripts/munst/munst65/DbInet.cgi" TargetMode="External"/><Relationship Id="rId2021" Type="http://schemas.openxmlformats.org/officeDocument/2006/relationships/hyperlink" Target="https://msu.lenobl.ru/programmy-i-plany/celevye-programmy/" TargetMode="External"/><Relationship Id="rId200" Type="http://schemas.openxmlformats.org/officeDocument/2006/relationships/hyperlink" Target="https://&#1088;&#1077;&#1096;&#1072;&#1077;&#1084;&#1074;&#1084;&#1077;&#1089;&#1090;&#1077;31.&#1088;&#1092;/" TargetMode="External"/><Relationship Id="rId438" Type="http://schemas.openxmlformats.org/officeDocument/2006/relationships/hyperlink" Target="https://tvoybudget.spb.ru/press" TargetMode="External"/><Relationship Id="rId645" Type="http://schemas.openxmlformats.org/officeDocument/2006/relationships/hyperlink" Target="https://www.afanasyevo.ru/ekonomika/initsiativnye-proekty/item/23022-protokol-1-2022-zasedaniya-komissii-po-provedeniyu-konkursnogo-otbora-initsiativnykh-proektov" TargetMode="External"/><Relationship Id="rId852" Type="http://schemas.openxmlformats.org/officeDocument/2006/relationships/hyperlink" Target="https://mikushkino.ru/documents/decision/detail.php?id=1347075" TargetMode="External"/><Relationship Id="rId1068" Type="http://schemas.openxmlformats.org/officeDocument/2006/relationships/hyperlink" Target="http://newalexandrovsk.ru/finansy-i-byudzhet/reshenie-o-byudzhete/reshenie-soveta-57521/" TargetMode="External"/><Relationship Id="rId1275" Type="http://schemas.openxmlformats.org/officeDocument/2006/relationships/hyperlink" Target="https://www.mo-yamal.ru/portal/uyutnyi_yamal/1808" TargetMode="External"/><Relationship Id="rId1482" Type="http://schemas.openxmlformats.org/officeDocument/2006/relationships/hyperlink" Target="https://admkutushi.webnode.ru/obyavleniya/" TargetMode="External"/><Relationship Id="rId2119" Type="http://schemas.openxmlformats.org/officeDocument/2006/relationships/hyperlink" Target="https://novgorodstat.gks.ru/storage/mediabank/&#1063;&#1080;&#1089;&#1083;&#1077;&#1085;&#1085;&#1086;&#1089;&#1090;&#1100;%20&#1085;&#1072;&#1089;&#1077;&#1083;&#1077;&#1085;&#1080;&#1103;%20&#1085;&#1072;%201.01.2022%20&#1075;&#1086;&#1076;&#1072;.pdf" TargetMode="External"/><Relationship Id="rId505" Type="http://schemas.openxmlformats.org/officeDocument/2006/relationships/hyperlink" Target="mailto:kochetkova.e@bashkortostan.ru" TargetMode="External"/><Relationship Id="rId712" Type="http://schemas.openxmlformats.org/officeDocument/2006/relationships/hyperlink" Target="mailto:adm_udora_econom@mail.ru" TargetMode="External"/><Relationship Id="rId1135" Type="http://schemas.openxmlformats.org/officeDocument/2006/relationships/hyperlink" Target="https://admsurgut.ru/rubric/24927/Ispolzovanie-brendbuka-pri-provedenii-municipalnogo-konkursa-iniciativnyh-proektov" TargetMode="External"/><Relationship Id="rId1342" Type="http://schemas.openxmlformats.org/officeDocument/2006/relationships/hyperlink" Target="https://adm-melekess.gosuslugi.ru/deyatelnost/proekty-i-programmy/munitsipalnye-programmy/munitsipalnye-programmy-2020-2022/" TargetMode="External"/><Relationship Id="rId1787" Type="http://schemas.openxmlformats.org/officeDocument/2006/relationships/hyperlink" Target="mailto:grigorevskoesp@sevadm.ru" TargetMode="External"/><Relationship Id="rId1994" Type="http://schemas.openxmlformats.org/officeDocument/2006/relationships/hyperlink" Target="https://gg12.ru/v-joshkar-ole-nazvany-territorii-lidery-v-golosovanii-po-blagoustrojstvu/" TargetMode="External"/><Relationship Id="rId79" Type="http://schemas.openxmlformats.org/officeDocument/2006/relationships/hyperlink" Target="https://apk.kostroma.gov.ru/otraslevaya-informatsiya/otraslevaya-informatsiya/kompleksnoe-razvitie-selskikh-territoriy.php" TargetMode="External"/><Relationship Id="rId1202" Type="http://schemas.openxmlformats.org/officeDocument/2006/relationships/hyperlink" Target="https://sever-press.ru/news/ekonomika/ujutnyj-jamal-salehardcy-uvideli-prezentaciju-luchshih-idej-po-blagoustrojstvu-goroda/" TargetMode="External"/><Relationship Id="rId1647" Type="http://schemas.openxmlformats.org/officeDocument/2006/relationships/hyperlink" Target="mailto:pimenovaiv@minfin.omskportal.ru" TargetMode="External"/><Relationship Id="rId1854" Type="http://schemas.openxmlformats.org/officeDocument/2006/relationships/hyperlink" Target="https://admnvrsk.ru/gorozhanam/initsiativnoe-byudzhetirovanie/" TargetMode="External"/><Relationship Id="rId1507" Type="http://schemas.openxmlformats.org/officeDocument/2006/relationships/hyperlink" Target="mailto:onl-or@mail.ru" TargetMode="External"/><Relationship Id="rId1714" Type="http://schemas.openxmlformats.org/officeDocument/2006/relationships/hyperlink" Target="mailto:paramonova_iv@fin.kreml.nnov.ru" TargetMode="External"/><Relationship Id="rId295" Type="http://schemas.openxmlformats.org/officeDocument/2006/relationships/hyperlink" Target="https://docs.cntd.ru/document/444997742" TargetMode="External"/><Relationship Id="rId1921" Type="http://schemas.openxmlformats.org/officeDocument/2006/relationships/hyperlink" Target="mailto:ShanaevaAO@mosreg.ru" TargetMode="External"/><Relationship Id="rId155" Type="http://schemas.openxmlformats.org/officeDocument/2006/relationships/hyperlink" Target="mailto:zinyakova@yarregion.ru" TargetMode="External"/><Relationship Id="rId362" Type="http://schemas.openxmlformats.org/officeDocument/2006/relationships/hyperlink" Target="https://school.tvoybudget.spb.ru/" TargetMode="External"/><Relationship Id="rId1297" Type="http://schemas.openxmlformats.org/officeDocument/2006/relationships/hyperlink" Target="http://bsizgan.ulregion.ru/econom/bjudzhet_rajona/narod-budzhet.html" TargetMode="External"/><Relationship Id="rId2043" Type="http://schemas.openxmlformats.org/officeDocument/2006/relationships/hyperlink" Target="https://arhangelskstat.gks.ru/population111" TargetMode="External"/><Relationship Id="rId222" Type="http://schemas.openxmlformats.org/officeDocument/2006/relationships/hyperlink" Target="mailto:e.zykina@gov39.ru" TargetMode="External"/><Relationship Id="rId667" Type="http://schemas.openxmlformats.org/officeDocument/2006/relationships/hyperlink" Target="http://www.adminta.ru/city/ekonomika/strategicheskoe-upravlenie/strategiya-sotsialno-ekonomicheskogo-razvitiya.php" TargetMode="External"/><Relationship Id="rId874" Type="http://schemas.openxmlformats.org/officeDocument/2006/relationships/hyperlink" Target="http://aleksandrovka.kinel-cherkassy.ru/?p=6117" TargetMode="External"/><Relationship Id="rId2110" Type="http://schemas.openxmlformats.org/officeDocument/2006/relationships/hyperlink" Target="https://vk.com/public197984081?w=wall-197984081_224" TargetMode="External"/><Relationship Id="rId527" Type="http://schemas.openxmlformats.org/officeDocument/2006/relationships/hyperlink" Target="mailto:avb@volgafin.ru" TargetMode="External"/><Relationship Id="rId734" Type="http://schemas.openxmlformats.org/officeDocument/2006/relationships/hyperlink" Target="mailto:fu25.166@bk.ru" TargetMode="External"/><Relationship Id="rId941" Type="http://schemas.openxmlformats.org/officeDocument/2006/relationships/hyperlink" Target="http://novyekluchi.kinel-cherkassy.ru/wp-content/uploads/2021/08/&#1056;&#1077;&#1096;&#1077;&#1085;&#1080;&#1077;-&#1087;&#1086;-&#1080;&#1085;&#1094;&#1080;&#1080;&#1088;&#1086;&#1074;&#1072;&#1085;&#1080;&#1102;-10-1&#1053;&#1086;&#1074;&#1099;&#1077;-&#1050;&#1083;&#1102;&#1095;&#1080;.doc" TargetMode="External"/><Relationship Id="rId1157" Type="http://schemas.openxmlformats.org/officeDocument/2006/relationships/hyperlink" Target="http://lugovoikonda.ru/tinybrowser/files/2021/rasporygeniy/protokol.docx" TargetMode="External"/><Relationship Id="rId1364" Type="http://schemas.openxmlformats.org/officeDocument/2006/relationships/hyperlink" Target="mailto:finupr.adm.vesh@mail.ru" TargetMode="External"/><Relationship Id="rId1571" Type="http://schemas.openxmlformats.org/officeDocument/2006/relationships/hyperlink" Target="mailto:velav@mail.orb.ru" TargetMode="External"/><Relationship Id="rId70" Type="http://schemas.openxmlformats.org/officeDocument/2006/relationships/hyperlink" Target="http://docs.cntd.ru/document/550244134" TargetMode="External"/><Relationship Id="rId801" Type="http://schemas.openxmlformats.org/officeDocument/2006/relationships/hyperlink" Target="https://otradny.org/upload/iblock/7bc/7bc175f2c67dda090fca1003efa1e173.rar" TargetMode="External"/><Relationship Id="rId1017" Type="http://schemas.openxmlformats.org/officeDocument/2006/relationships/hyperlink" Target="http://abgosk.ru/finansy/initsiativnoe-byudzhetirovanie/initsiativnoe-byudzhetirovanie.php" TargetMode="External"/><Relationship Id="rId1224" Type="http://schemas.openxmlformats.org/officeDocument/2006/relationships/hyperlink" Target="https://rosstat.gov.ru/storage/mediabank/Chisl_nasel_RF_MO_01-01-2022.xlsx" TargetMode="External"/><Relationship Id="rId1431" Type="http://schemas.openxmlformats.org/officeDocument/2006/relationships/hyperlink" Target="https://adm-brz.ru/grazhdanam/initsiativy/initsiativnye-proekty/" TargetMode="External"/><Relationship Id="rId1669" Type="http://schemas.openxmlformats.org/officeDocument/2006/relationships/hyperlink" Target="https://novgorodstat.gks.ru/storage/mediabank/&#1063;&#1080;&#1089;&#1083;&#1077;&#1085;&#1085;&#1086;&#1089;&#1090;&#1100;%20&#1085;&#1072;&#1089;&#1077;&#1083;&#1077;&#1085;&#1080;&#1103;%20&#1085;&#1072;%201.01.2022%20&#1075;&#1086;&#1076;&#1072;.pdf" TargetMode="External"/><Relationship Id="rId1876" Type="http://schemas.openxmlformats.org/officeDocument/2006/relationships/hyperlink" Target="mailto:novoalpos@mail.ru" TargetMode="External"/><Relationship Id="rId1529" Type="http://schemas.openxmlformats.org/officeDocument/2006/relationships/hyperlink" Target="https://gks.ru/dbscripts/munst/munst53/DBInet.cgi" TargetMode="External"/><Relationship Id="rId1736" Type="http://schemas.openxmlformats.org/officeDocument/2006/relationships/hyperlink" Target="https://dzhankoy.rk.gov.ru/uploads/txteditor/dzhankoy/attachments/d4/1d/8c/d98f00b204e9800998ecf8427e/phpWoZ2Od_&#1055;&#1088;&#1086;&#1090;&#1086;&#1082;&#1086;&#1083;%20&#8470;1%20&#1089;&#1086;&#1073;&#1088;&#1072;&#1085;&#1080;&#1103;%20&#1080;&#1085;&#1080;&#1094;&#1080;&#1072;&#1090;&#1080;&#1074;&#1085;&#1086;&#1081;%20&#1075;&#1088;&#1091;&#1087;&#1087;&#1099;.pdf" TargetMode="External"/><Relationship Id="rId1943"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28" Type="http://schemas.openxmlformats.org/officeDocument/2006/relationships/hyperlink" Target="mailto:tos_dvp@sev.gov.ru" TargetMode="External"/><Relationship Id="rId1803" Type="http://schemas.openxmlformats.org/officeDocument/2006/relationships/hyperlink" Target="mailto:zheleznoe_sp@mail.ru" TargetMode="External"/><Relationship Id="rId177" Type="http://schemas.openxmlformats.org/officeDocument/2006/relationships/hyperlink" Target="https://nac.gov.karelia.ru/about/3841/150390/" TargetMode="External"/><Relationship Id="rId384" Type="http://schemas.openxmlformats.org/officeDocument/2006/relationships/hyperlink" Target="https://gorodsreda.ru/" TargetMode="External"/><Relationship Id="rId591" Type="http://schemas.openxmlformats.org/officeDocument/2006/relationships/hyperlink" Target="https://admsud.ru/npa-i-mps/normativnye-dokumenty/rasporyazheniya-glavy/24336-rasporyazhenie-administracii-ot-10102022-441-r.html" TargetMode="External"/><Relationship Id="rId2065" Type="http://schemas.openxmlformats.org/officeDocument/2006/relationships/hyperlink" Target="https://gokucmpi.ru/" TargetMode="External"/><Relationship Id="rId244" Type="http://schemas.openxmlformats.org/officeDocument/2006/relationships/hyperlink" Target="https://za-gorodsreda.ru/" TargetMode="External"/><Relationship Id="rId689" Type="http://schemas.openxmlformats.org/officeDocument/2006/relationships/hyperlink" Target="mailto:e.v.novikova@priluzie.ru" TargetMode="External"/><Relationship Id="rId896" Type="http://schemas.openxmlformats.org/officeDocument/2006/relationships/hyperlink" Target="http://kabanovka.kinel-cherkassy.ru/?p=7952" TargetMode="External"/><Relationship Id="rId1081" Type="http://schemas.openxmlformats.org/officeDocument/2006/relationships/hyperlink" Target="mailto:dor-munhoz@petrgosk.ru" TargetMode="External"/><Relationship Id="rId451" Type="http://schemas.openxmlformats.org/officeDocument/2006/relationships/hyperlink" Target="https://&#1079;&#1072;&#1073;&#1072;&#1081;&#1082;&#1072;&#1083;&#1100;&#1077;.&#1084;&#1086;&#1103;&#1088;&#1086;&#1089;&#1089;&#1080;&#1103;.&#1088;&#1092;/" TargetMode="External"/><Relationship Id="rId549" Type="http://schemas.openxmlformats.org/officeDocument/2006/relationships/hyperlink" Target="mailto:svod2@beldepfin.ru" TargetMode="External"/><Relationship Id="rId756" Type="http://schemas.openxmlformats.org/officeDocument/2006/relationships/hyperlink" Target="mailto:foburakovsk@mail.ru" TargetMode="External"/><Relationship Id="rId1179" Type="http://schemas.openxmlformats.org/officeDocument/2006/relationships/hyperlink" Target="mailto:adm_shugur@mail.ru" TargetMode="External"/><Relationship Id="rId1386" Type="http://schemas.openxmlformats.org/officeDocument/2006/relationships/hyperlink" Target="https://privoladm.ru/initsiativnoe-byudzhetirovanie" TargetMode="External"/><Relationship Id="rId1593" Type="http://schemas.openxmlformats.org/officeDocument/2006/relationships/hyperlink" Target="https://&#1092;&#1080;&#1085;&#1086;&#1090;&#1076;&#1077;&#1083;-&#1103;&#1089;&#1085;&#1099;&#1081;.&#1088;&#1092;/npa-po-proektu-shkolnyij-byudzhe" TargetMode="External"/><Relationship Id="rId2132" Type="http://schemas.openxmlformats.org/officeDocument/2006/relationships/hyperlink" Target="https://docs.cntd.ru/document/553230534" TargetMode="External"/><Relationship Id="rId104" Type="http://schemas.openxmlformats.org/officeDocument/2006/relationships/hyperlink" Target="https://base.garant.ru/22755289/" TargetMode="External"/><Relationship Id="rId311" Type="http://schemas.openxmlformats.org/officeDocument/2006/relationships/hyperlink" Target="https://gkh.tmbreg.ru/form/Dostup_Sreda/Dostup_sreda_ogl.htm" TargetMode="External"/><Relationship Id="rId409" Type="http://schemas.openxmlformats.org/officeDocument/2006/relationships/hyperlink" Target="mailto:Diachenko_DK@rostov-obladm.ru" TargetMode="External"/><Relationship Id="rId963" Type="http://schemas.openxmlformats.org/officeDocument/2006/relationships/hyperlink" Target="https://samarastat.gks.ru/population" TargetMode="External"/><Relationship Id="rId1039" Type="http://schemas.openxmlformats.org/officeDocument/2006/relationships/hyperlink" Target="http://www.ipatovo.org/userfiles/image/initiatives_projects.jpeg" TargetMode="External"/><Relationship Id="rId1246" Type="http://schemas.openxmlformats.org/officeDocument/2006/relationships/hyperlink" Target="https://disk.yandex.ru/d/CmMsm_ql0UsX5Q" TargetMode="External"/><Relationship Id="rId1898" Type="http://schemas.openxmlformats.org/officeDocument/2006/relationships/hyperlink" Target="mailto:ivanovsk@list.ru" TargetMode="External"/><Relationship Id="rId92" Type="http://schemas.openxmlformats.org/officeDocument/2006/relationships/hyperlink" Target="mailto:story@adm44.ru" TargetMode="External"/><Relationship Id="rId616" Type="http://schemas.openxmlformats.org/officeDocument/2006/relationships/hyperlink" Target="mailto:e.zykina@gov39.ru" TargetMode="External"/><Relationship Id="rId823" Type="http://schemas.openxmlformats.org/officeDocument/2006/relationships/hyperlink" Target="mailto:TitovDY@samadm.ru" TargetMode="External"/><Relationship Id="rId1453" Type="http://schemas.openxmlformats.org/officeDocument/2006/relationships/hyperlink" Target="mailto:velav@mail.orb.ru" TargetMode="External"/><Relationship Id="rId1660" Type="http://schemas.openxmlformats.org/officeDocument/2006/relationships/hyperlink" Target="mailto:velav@mail.orb.ru" TargetMode="External"/><Relationship Id="rId1758" Type="http://schemas.openxmlformats.org/officeDocument/2006/relationships/hyperlink" Target="mailto:dalfinupr@yandex.ru" TargetMode="External"/><Relationship Id="rId1106" Type="http://schemas.openxmlformats.org/officeDocument/2006/relationships/hyperlink" Target="https://habstat.gks.ru/folder/25028" TargetMode="External"/><Relationship Id="rId1313" Type="http://schemas.openxmlformats.org/officeDocument/2006/relationships/hyperlink" Target="mailto:kuzmina.mv@ulminfin.ru" TargetMode="External"/><Relationship Id="rId1520" Type="http://schemas.openxmlformats.org/officeDocument/2006/relationships/hyperlink" Target="http://fin-or.ru/ckfinder/userfiles/files/&#1055;&#1086;&#1089;&#1090;&#1072;&#1085;&#1086;&#1074;&#1083;&#1077;&#1085;&#1080;&#1077;%201932-&#1087;.pdf" TargetMode="External"/><Relationship Id="rId1965" Type="http://schemas.openxmlformats.org/officeDocument/2006/relationships/hyperlink" Target="https://vmeste.permkrai.ru/program/category/6/" TargetMode="External"/><Relationship Id="rId1618" Type="http://schemas.openxmlformats.org/officeDocument/2006/relationships/hyperlink" Target="https://www.gorodmednogorsk.ru/fin/budgot.html" TargetMode="External"/><Relationship Id="rId1825" Type="http://schemas.openxmlformats.org/officeDocument/2006/relationships/hyperlink" Target="https://admkrasnostrelskaya.ru/index.php?id=219&amp;page=invbud" TargetMode="External"/><Relationship Id="rId199" Type="http://schemas.openxmlformats.org/officeDocument/2006/relationships/hyperlink" Target="http://beldepfin.ru/dokumenty/vse-dokumenty/zakon-belgorodskoj-oblasti-ot-16-dekabrya-2021-god/" TargetMode="External"/><Relationship Id="rId2087" Type="http://schemas.openxmlformats.org/officeDocument/2006/relationships/hyperlink" Target="https://vk.com/wall-160413159?offset=440&amp;q=%D0%9D%D0%B0%D1%88%20%D0%B2%D1%8B%D0%B1%D0%BE%D1%80&amp;w=wall-160413159_7946" TargetMode="External"/><Relationship Id="rId266" Type="http://schemas.openxmlformats.org/officeDocument/2006/relationships/hyperlink" Target="https://ib.mfur.ru/" TargetMode="External"/><Relationship Id="rId473" Type="http://schemas.openxmlformats.org/officeDocument/2006/relationships/hyperlink" Target="mailto:ivaha.vv@nocrb.ru" TargetMode="External"/><Relationship Id="rId680" Type="http://schemas.openxmlformats.org/officeDocument/2006/relationships/hyperlink" Target="mailto:fo@vuktyl.rkomi.ru" TargetMode="External"/><Relationship Id="rId2154" Type="http://schemas.openxmlformats.org/officeDocument/2006/relationships/hyperlink" Target="mailto:polekarp31@mail.ru" TargetMode="External"/><Relationship Id="rId126" Type="http://schemas.openxmlformats.org/officeDocument/2006/relationships/hyperlink" Target="https://cloud.mail.ru/public/4d5m/2pz11yaGj" TargetMode="External"/><Relationship Id="rId333" Type="http://schemas.openxmlformats.org/officeDocument/2006/relationships/hyperlink" Target="https://disk.yandex.ru/d/ge4JTVRrPkhqvQ" TargetMode="External"/><Relationship Id="rId540" Type="http://schemas.openxmlformats.org/officeDocument/2006/relationships/hyperlink" Target="https://clck.ru/Ueacz" TargetMode="External"/><Relationship Id="rId778" Type="http://schemas.openxmlformats.org/officeDocument/2006/relationships/hyperlink" Target="https://spasskd.ru/images/files/2023/ago/04/reshenie_dumy_ot_29012021__2-npa_ob_utverzhdenii_poryadka_realizacii_proektov_iniciativnogo_byudzhetirovaniya.docx" TargetMode="External"/><Relationship Id="rId985" Type="http://schemas.openxmlformats.org/officeDocument/2006/relationships/hyperlink" Target="https://rosstat.gov.ru/folder/12781" TargetMode="External"/><Relationship Id="rId1170" Type="http://schemas.openxmlformats.org/officeDocument/2006/relationships/hyperlink" Target="mailto:admkuma@yandex.ru" TargetMode="External"/><Relationship Id="rId2014" Type="http://schemas.openxmlformats.org/officeDocument/2006/relationships/hyperlink" Target="https://msu.lenobl.ru/programmy-i-plany/celevye-programmy/" TargetMode="External"/><Relationship Id="rId638" Type="http://schemas.openxmlformats.org/officeDocument/2006/relationships/hyperlink" Target="https://www.kaluga-gov.ru/obshchestvo/initsiativnye-proekty/pravovaya-baza/2743/" TargetMode="External"/><Relationship Id="rId845" Type="http://schemas.openxmlformats.org/officeDocument/2006/relationships/hyperlink" Target="https://samarastat.gks.ru/population" TargetMode="External"/><Relationship Id="rId1030" Type="http://schemas.openxmlformats.org/officeDocument/2006/relationships/hyperlink" Target="mailto:fin@georgievsk.stavregion.ru" TargetMode="External"/><Relationship Id="rId1268" Type="http://schemas.openxmlformats.org/officeDocument/2006/relationships/hyperlink" Target="http://&#1087;&#1088;&#1080;&#1091;&#1088;&#1072;&#1083;&#1100;&#1089;&#1082;&#1080;&#1081;&#1088;&#1072;&#1081;&#1086;&#1085;.&#1088;&#1092;/economy/initsiativnoe-byudzhetirovanie/" TargetMode="External"/><Relationship Id="rId1475" Type="http://schemas.openxmlformats.org/officeDocument/2006/relationships/hyperlink" Target="https://adamfin.ru/narodnyij-byudzhet" TargetMode="External"/><Relationship Id="rId1682" Type="http://schemas.openxmlformats.org/officeDocument/2006/relationships/hyperlink" Target="http://komobrkrr.edusite.ru/p26aa1detales203.html" TargetMode="External"/><Relationship Id="rId400" Type="http://schemas.openxmlformats.org/officeDocument/2006/relationships/hyperlink" Target="http://www.ryazagro.ru./" TargetMode="External"/><Relationship Id="rId705" Type="http://schemas.openxmlformats.org/officeDocument/2006/relationships/hyperlink" Target="https://ustvymskij.ru/index.php/upravlenie-ekonomiki/strategii-otchety" TargetMode="External"/><Relationship Id="rId1128" Type="http://schemas.openxmlformats.org/officeDocument/2006/relationships/hyperlink" Target="https://admmegion.ru/city/economika/socpass/index.php?ELEMENT_ID=365309" TargetMode="External"/><Relationship Id="rId1335" Type="http://schemas.openxmlformats.org/officeDocument/2006/relationships/hyperlink" Target="mailto:karsunzakaz1@rambler.ru" TargetMode="External"/><Relationship Id="rId1542" Type="http://schemas.openxmlformats.org/officeDocument/2006/relationships/hyperlink" Target="http://fin-otdel.ru/byudzhet-i-otchetnost/&#1041;&#1102;&#1076;&#1078;&#1077;&#1090;&#1085;&#1099;&#1077;%20&#1086;&#1073;&#1079;&#1086;&#1088;&#1099;/&#1048;&#1090;&#1086;&#1075;&#1080;%20&#1048;&#1041;%202022.pdf" TargetMode="External"/><Relationship Id="rId1987" Type="http://schemas.openxmlformats.org/officeDocument/2006/relationships/hyperlink" Target="https://mari-el.gov.ru/ministries/minfin/pages/zakon-56z-v-redaktii-27z/?lang=ru" TargetMode="External"/><Relationship Id="rId912" Type="http://schemas.openxmlformats.org/officeDocument/2006/relationships/hyperlink" Target="http://gorka.kinel-cherkassy.ru/?page_id=4645" TargetMode="External"/><Relationship Id="rId1847" Type="http://schemas.openxmlformats.org/officeDocument/2006/relationships/hyperlink" Target="https://severskoe.sevadm.ru/about/initsiativnye-proekty/" TargetMode="External"/><Relationship Id="rId41" Type="http://schemas.openxmlformats.org/officeDocument/2006/relationships/hyperlink" Target="http://www.a-martan.ru/index.php?option=com_content&amp;view=article&amp;id=2543:izveshchenie-o-provedenii-konkursnogo-otbora-initsiativnykh-proektov&amp;catid=143&amp;Itemid=713" TargetMode="External"/><Relationship Id="rId1402" Type="http://schemas.openxmlformats.org/officeDocument/2006/relationships/hyperlink" Target="mailto:fumotim@mail.ru" TargetMode="External"/><Relationship Id="rId1707" Type="http://schemas.openxmlformats.org/officeDocument/2006/relationships/hyperlink" Target="https://borcity.ru/okrug/okrug_info.php" TargetMode="External"/><Relationship Id="rId190" Type="http://schemas.openxmlformats.org/officeDocument/2006/relationships/hyperlink" Target="https://budget4me-34.ru/" TargetMode="External"/><Relationship Id="rId288" Type="http://schemas.openxmlformats.org/officeDocument/2006/relationships/hyperlink" Target="https://72.rosstat.gov.ru/storage/mediabank/&#1063;&#1080;&#1089;&#1083;&#1077;&#1085;&#1085;&#1086;&#1089;&#1090;&#1100;%20&#1085;&#1072;&#1089;&#1077;&#1083;&#1077;&#1085;&#1080;&#1103;%20&#1079;&#1072;%202017-2022%20&#1075;&#1086;&#1076;&#1099;_&#1070;&#1043;_2.xlsx" TargetMode="External"/><Relationship Id="rId1914" Type="http://schemas.openxmlformats.org/officeDocument/2006/relationships/hyperlink" Target="https://omsk.gks.ru/storage/mediabank/chisl-2022.htm" TargetMode="External"/><Relationship Id="rId495" Type="http://schemas.openxmlformats.org/officeDocument/2006/relationships/hyperlink" Target="https://vk.com/btv29" TargetMode="External"/><Relationship Id="rId148" Type="http://schemas.openxmlformats.org/officeDocument/2006/relationships/hyperlink" Target="https://chelstat.gks.ru/population" TargetMode="External"/><Relationship Id="rId355" Type="http://schemas.openxmlformats.org/officeDocument/2006/relationships/hyperlink" Target="https://disk.yandex.ru/d/ctvkZFCzLGaQ_g" TargetMode="External"/><Relationship Id="rId562" Type="http://schemas.openxmlformats.org/officeDocument/2006/relationships/hyperlink" Target="https://volokonovskij-r31.gosweb.gosuslugi.ru/deyatelnost/napravleniya-deyatelnosti/strategicheskoe-planirovanie/munitsipalnye-programmy/dokumenty-10_3817.html" TargetMode="External"/><Relationship Id="rId1192" Type="http://schemas.openxmlformats.org/officeDocument/2006/relationships/hyperlink" Target="http://nvraion.ru/ekonomika-i-finansy/initsiativnoe-byudzhetirovanie/" TargetMode="External"/><Relationship Id="rId2036" Type="http://schemas.openxmlformats.org/officeDocument/2006/relationships/hyperlink" Target="http://budget.orb.ru/images/gritsenko/prik2023.doc" TargetMode="External"/><Relationship Id="rId215" Type="http://schemas.openxmlformats.org/officeDocument/2006/relationships/hyperlink" Target="http://publication.pravo.gov.ru/Document/View/3900202107010021" TargetMode="External"/><Relationship Id="rId422" Type="http://schemas.openxmlformats.org/officeDocument/2006/relationships/hyperlink" Target="mailto:ionina.ev@dvinaland.ru" TargetMode="External"/><Relationship Id="rId867" Type="http://schemas.openxmlformats.org/officeDocument/2006/relationships/hyperlink" Target="https://www.kinel-cherkassy.ru/index.php/dokumenty/ofitsialnoe-opublikovanie/40258-postanovlenie-administratsii-kinel-cherkasskogo-rajona-ot-21-03-2023-260" TargetMode="External"/><Relationship Id="rId1052" Type="http://schemas.openxmlformats.org/officeDocument/2006/relationships/hyperlink" Target="mailto:ko4ub@mail.ru" TargetMode="External"/><Relationship Id="rId1497" Type="http://schemas.openxmlformats.org/officeDocument/2006/relationships/hyperlink" Target="http://fintotsk.ru/hearing/11" TargetMode="External"/><Relationship Id="rId2103" Type="http://schemas.openxmlformats.org/officeDocument/2006/relationships/hyperlink" Target="https://novgorodstat.gks.ru/storage/mediabank/%D0%A7%D0%B8%D1%81%D0%BB%D0%B5%D0%BD%D0%BD%D0%BE%D1%81%D1%82%D1%8C%20%D0%BE%D0%B1%D0%BB%D0%B0%D1%81%D1%82%D1%8C%202022.pdf" TargetMode="External"/><Relationship Id="rId727" Type="http://schemas.openxmlformats.org/officeDocument/2006/relationships/hyperlink" Target="https://&#1087;&#1096;&#1077;&#1093;&#1089;&#1082;&#1086;&#1077;.&#1088;&#1092;/dokumenty/programmy/39112/?sphrase_id=28428" TargetMode="External"/><Relationship Id="rId934" Type="http://schemas.openxmlformats.org/officeDocument/2006/relationships/hyperlink" Target="http://mukhanovo.kinel-cherkassy.ru/?page_id=930" TargetMode="External"/><Relationship Id="rId1357" Type="http://schemas.openxmlformats.org/officeDocument/2006/relationships/hyperlink" Target="https://terenga.gosuslugi.ru/deyatelnost/napravleniya-deyatelnosti/finansy-i-byudzhet/otkrytyy-byudzhet/narodnyy-byudzhet/2022-god/" TargetMode="External"/><Relationship Id="rId1564" Type="http://schemas.openxmlformats.org/officeDocument/2006/relationships/hyperlink" Target="https://bugraifo.orb.ru/upload/uf/641/Postanovlenie_815_p_ot_07.12.2021g_o_realizatsii_proekta_Kulturnyy_byudzhet.pdf" TargetMode="External"/><Relationship Id="rId1771" Type="http://schemas.openxmlformats.org/officeDocument/2006/relationships/hyperlink" Target="mailto:adm_gpse@admse.ru" TargetMode="External"/><Relationship Id="rId63" Type="http://schemas.openxmlformats.org/officeDocument/2006/relationships/hyperlink" Target="https://disk.yandex.ru/client/disk/%D0%91%D1%83%D0%BA%D0%BB%D0%B5%D1%82%20%22%D0%9C%D0%B5%D1%81%D1%82%D0%BD%D1%8B%D0%B5%20%D0%B8%D0%BD%D0%B8%D1%86%D0%B8%D0%B0%D1%82%D0%B8%D0%B2%D1%8B%22" TargetMode="External"/><Relationship Id="rId1217" Type="http://schemas.openxmlformats.org/officeDocument/2006/relationships/hyperlink" Target="https://www.newurengoy.ru/doc/16234-ob-utverzhdenii-strategii-socialno-ekonomicheskogo-razvitiya-municipalnogo-obrazovaniya-gorod-novyy-urengoy-do-2030-goda.html" TargetMode="External"/><Relationship Id="rId1424" Type="http://schemas.openxmlformats.org/officeDocument/2006/relationships/hyperlink" Target="https://sbor.ru/finance/bd/otkrbud/plan" TargetMode="External"/><Relationship Id="rId1631" Type="http://schemas.openxmlformats.org/officeDocument/2006/relationships/hyperlink" Target="http://&#1073;&#1091;&#1079;&#1091;&#1083;&#1091;&#1082;-&#1087;&#1088;&#1072;&#1074;&#1086;.&#1088;&#1092;/sites/default/files/legal-acts/27.02.2020_no_242-p.docx" TargetMode="External"/><Relationship Id="rId1869" Type="http://schemas.openxmlformats.org/officeDocument/2006/relationships/hyperlink" Target="https://&#1082;&#1086;&#1085;&#1089;&#1090;&#1072;&#1085;&#1090;&#1080;&#1085;&#1086;&#1074;&#1089;&#1082;&#1086;&#1077;-&#1089;&#1087;.&#1088;&#1092;/documents/1530.html" TargetMode="External"/><Relationship Id="rId1729" Type="http://schemas.openxmlformats.org/officeDocument/2006/relationships/hyperlink" Target="http://omsukchan-adm.ru/" TargetMode="External"/><Relationship Id="rId1936" Type="http://schemas.openxmlformats.org/officeDocument/2006/relationships/hyperlink" Target="https://omsk.gks.ru/storage/mediabank/chisl-2022.htm" TargetMode="External"/><Relationship Id="rId377" Type="http://schemas.openxmlformats.org/officeDocument/2006/relationships/hyperlink" Target="https://minfin.saratov.gov.ru/index.php?option=com_acrfilestorage&amp;task=download&amp;on=2060" TargetMode="External"/><Relationship Id="rId584" Type="http://schemas.openxmlformats.org/officeDocument/2006/relationships/hyperlink" Target="https://yakovgo.gosuslugi.ru/netcat_files/282/2650/Postanovlenie_191_ot_19.04.2022_g..pdf" TargetMode="External"/><Relationship Id="rId2058" Type="http://schemas.openxmlformats.org/officeDocument/2006/relationships/hyperlink" Target="https://docs.cntd.ru/document/553386375" TargetMode="External"/><Relationship Id="rId5" Type="http://schemas.openxmlformats.org/officeDocument/2006/relationships/hyperlink" Target="mailto:kyk@findep.org" TargetMode="External"/><Relationship Id="rId237" Type="http://schemas.openxmlformats.org/officeDocument/2006/relationships/hyperlink" Target="https://minfin.admoblkaluga.ru/page/programma-podderzhki-mestnykh-initsiativ/" TargetMode="External"/><Relationship Id="rId791" Type="http://schemas.openxmlformats.org/officeDocument/2006/relationships/hyperlink" Target="https://adm-ussuriisk.ru/ob_okruge/kompleksnoe_razvitie_selskikh_territoriy_ussuriyskogo_gorodskogo_okruga_na_2020_2024_gody/" TargetMode="External"/><Relationship Id="rId889" Type="http://schemas.openxmlformats.org/officeDocument/2006/relationships/hyperlink" Target="https://samarastat.gks.ru/population" TargetMode="External"/><Relationship Id="rId1074" Type="http://schemas.openxmlformats.org/officeDocument/2006/relationships/hyperlink" Target="mailto:fu_09@mail.ru" TargetMode="External"/><Relationship Id="rId444" Type="http://schemas.openxmlformats.org/officeDocument/2006/relationships/hyperlink" Target="https://&#1103;&#1089;&#1095;&#1080;&#1090;&#1072;&#1102;.&#1088;&#1092;/news/?/2022/12/30/17_vebinar_po_teme_kak_oformit_zayavku_na_konkurs_ya_schitayu." TargetMode="External"/><Relationship Id="rId651" Type="http://schemas.openxmlformats.org/officeDocument/2006/relationships/hyperlink" Target="mailto:romanova_o@depfin.kirov.ru" TargetMode="External"/><Relationship Id="rId749" Type="http://schemas.openxmlformats.org/officeDocument/2006/relationships/hyperlink" Target="http://www.platnirovskaja.ru/" TargetMode="External"/><Relationship Id="rId1281" Type="http://schemas.openxmlformats.org/officeDocument/2006/relationships/hyperlink" Target="https://tasu.ru/ekonomika-i-finansy/initsiativnoe-byudzhetirovanie/normativno-pravovye-akty/normativno-pravovye-akty-2021-goda/" TargetMode="External"/><Relationship Id="rId1379" Type="http://schemas.openxmlformats.org/officeDocument/2006/relationships/hyperlink" Target="https://zav-18.gosuslugi.ru/netcat_files/144/1077/207.pdf" TargetMode="External"/><Relationship Id="rId1586" Type="http://schemas.openxmlformats.org/officeDocument/2006/relationships/hyperlink" Target="https://www.gks.ru/scripts/db_inet2/passport/pass.aspx?base=munst53&amp;r=53604000" TargetMode="External"/><Relationship Id="rId2125" Type="http://schemas.openxmlformats.org/officeDocument/2006/relationships/hyperlink" Target="https://gokucmpi.ru/upload/iblock/ae8/ppo26zlmpqny7apv0dx3j2ug8zqhohjs/Anketa_na-sayt-_1_.pdf" TargetMode="External"/><Relationship Id="rId304" Type="http://schemas.openxmlformats.org/officeDocument/2006/relationships/hyperlink" Target="mailto:rnn@agro.tambov.gov.ru" TargetMode="External"/><Relationship Id="rId511" Type="http://schemas.openxmlformats.org/officeDocument/2006/relationships/hyperlink" Target="https://miyaki.bashkortostan.ru/activity/12234/?ysclid=lggfjq9720124205462" TargetMode="External"/><Relationship Id="rId609" Type="http://schemas.openxmlformats.org/officeDocument/2006/relationships/hyperlink" Target="https://cherinfo-doc.ru/documents/postanovlenie-merii-goroda-cherepovca-ot-18.06.2019-2883-o-proekte-narodnyj-byudzhet-tos," TargetMode="External"/><Relationship Id="rId956" Type="http://schemas.openxmlformats.org/officeDocument/2006/relationships/hyperlink" Target="http://adm-timashevo.ru/images/resheniya/2021/resh_9-1_ot_27.07.21-1.doc" TargetMode="External"/><Relationship Id="rId1141" Type="http://schemas.openxmlformats.org/officeDocument/2006/relationships/hyperlink" Target="https://www.nakanune.ru/news/2022/09/14/22674835/" TargetMode="External"/><Relationship Id="rId1239" Type="http://schemas.openxmlformats.org/officeDocument/2006/relationships/hyperlink" Target="https://www.gubadm.ru/activity/14305/" TargetMode="External"/><Relationship Id="rId1793" Type="http://schemas.openxmlformats.org/officeDocument/2006/relationships/hyperlink" Target="https://rosstat.gov.ru/compendium/document/13282" TargetMode="External"/><Relationship Id="rId85" Type="http://schemas.openxmlformats.org/officeDocument/2006/relationships/hyperlink" Target="http://trans.adm44.ru/sfera/deytelnost/obshinic/" TargetMode="External"/><Relationship Id="rId816" Type="http://schemas.openxmlformats.org/officeDocument/2006/relationships/hyperlink" Target="https://pohgor.ru/sociosfera/prestige-pricing/image-projects_56.html" TargetMode="External"/><Relationship Id="rId1001" Type="http://schemas.openxmlformats.org/officeDocument/2006/relationships/hyperlink" Target="https://admrevda.ru/ekonomika/5247-initsiativnoe-byudzhetirovanie.html" TargetMode="External"/><Relationship Id="rId1446" Type="http://schemas.openxmlformats.org/officeDocument/2006/relationships/hyperlink" Target="http://www.gks.ru/scripts/db_inet2/passport/munr.aspx?base=munst53" TargetMode="External"/><Relationship Id="rId1653" Type="http://schemas.openxmlformats.org/officeDocument/2006/relationships/hyperlink" Target="https://55.rosstat.gov.ru/population" TargetMode="External"/><Relationship Id="rId1860" Type="http://schemas.openxmlformats.org/officeDocument/2006/relationships/hyperlink" Target="https://www.labinsk-city.ru/ru/doc/organizatsionno-pravovye-voprosy/?sphrase_id=2905" TargetMode="External"/><Relationship Id="rId1306" Type="http://schemas.openxmlformats.org/officeDocument/2006/relationships/hyperlink" Target="https://73.rosstat.gov.ru/folder/40275" TargetMode="External"/><Relationship Id="rId1513" Type="http://schemas.openxmlformats.org/officeDocument/2006/relationships/hyperlink" Target="mailto:velav@mail.orb.ru" TargetMode="External"/><Relationship Id="rId1720" Type="http://schemas.openxmlformats.org/officeDocument/2006/relationships/hyperlink" Target="http://bg-adm.ru./?id=8074" TargetMode="External"/><Relationship Id="rId1958" Type="http://schemas.openxmlformats.org/officeDocument/2006/relationships/hyperlink" Target="mailto:mmv@adm.orel.ru" TargetMode="External"/><Relationship Id="rId12" Type="http://schemas.openxmlformats.org/officeDocument/2006/relationships/hyperlink" Target="https://ppmi.yakutia.click/" TargetMode="External"/><Relationship Id="rId1818" Type="http://schemas.openxmlformats.org/officeDocument/2006/relationships/hyperlink" Target="mailto:nawi1@yandex.ru" TargetMode="External"/><Relationship Id="rId161" Type="http://schemas.openxmlformats.org/officeDocument/2006/relationships/hyperlink" Target="https://disk.yandex.ru/client/disk/&#1052;&#1086;&#1085;&#1080;&#1090;&#1086;&#1088;&#1080;&#1085;&#1075;%20&#1048;&#1041;-2022_&#1056;&#1077;&#1089;&#1087;&#1091;&#1073;&#1083;&#1080;&#1082;&#1072;%20&#1050;&#1086;&#1084;&#1080;_&#1053;&#1072;&#1088;&#1086;&#1076;&#1085;&#1099;&#1081;%20&#1073;&#1102;&#1076;&#1078;&#1077;&#1090;/&#1048;&#1085;&#1092;&#1086;&#1088;&#1084;&#1072;&#1094;&#1080;&#1086;&#1085;&#1085;&#1086;&#1077;%20&#1089;&#1086;&#1087;&#1088;&#1086;&#1074;&#1086;&#1078;&#1076;&#1077;&#1085;&#1080;&#1077;/&#1051;&#1086;&#1075;&#1086;&#1090;&#1080;&#1087;%20&#1053;&#1041;" TargetMode="External"/><Relationship Id="rId399" Type="http://schemas.openxmlformats.org/officeDocument/2006/relationships/hyperlink" Target="consultantplus://offline/ref=24A1553E6DE4C29E30FEA25263B15CD09B0908C88962D2E914EE6706EA5FCB82F7A59D602150B3A907n8ECO" TargetMode="External"/><Relationship Id="rId259" Type="http://schemas.openxmlformats.org/officeDocument/2006/relationships/hyperlink" Target="mailto:ppmi@ulminfin.ru" TargetMode="External"/><Relationship Id="rId466" Type="http://schemas.openxmlformats.org/officeDocument/2006/relationships/hyperlink" Target="https://bashstat.gks.ru/storage/mediabank/CHislennost-naseleniya-po-municipalnym-rajonam-i-gorodskim-okrugam-Respubliki-%20Bashkortostan-na-1-yanvarya-2022-g-s-uchetom-VPN-2020.pdf" TargetMode="External"/><Relationship Id="rId673" Type="http://schemas.openxmlformats.org/officeDocument/2006/relationships/hyperlink" Target="https://kortkeros-r11.gosweb.gosuslugi.ru/netcat_files/userfiles/Razvitie_rayona/1756.zip" TargetMode="External"/><Relationship Id="rId880" Type="http://schemas.openxmlformats.org/officeDocument/2006/relationships/hyperlink" Target="http://berezniki.ucoz.ru/index/0-2" TargetMode="External"/><Relationship Id="rId1096" Type="http://schemas.openxmlformats.org/officeDocument/2006/relationships/hyperlink" Target="https://g58.tmbreg.ru/socialno-ekonomicheskoe-razvitie-goroda/strategija-goroda-uvarovo.html" TargetMode="External"/><Relationship Id="rId2147" Type="http://schemas.openxmlformats.org/officeDocument/2006/relationships/hyperlink" Target="https://kursk.ru/region/economy/page-185717/" TargetMode="External"/><Relationship Id="rId119" Type="http://schemas.openxmlformats.org/officeDocument/2006/relationships/hyperlink" Target="mailto:namihaylova@obladmin.pskov.ru" TargetMode="External"/><Relationship Id="rId326" Type="http://schemas.openxmlformats.org/officeDocument/2006/relationships/hyperlink" Target="http://www.pravo.gov66.ru/31596/" TargetMode="External"/><Relationship Id="rId533" Type="http://schemas.openxmlformats.org/officeDocument/2006/relationships/hyperlink" Target="mailto:reformir@mcx.gov33.ru" TargetMode="External"/><Relationship Id="rId978" Type="http://schemas.openxmlformats.org/officeDocument/2006/relationships/hyperlink" Target="https://kraskluchi.ru/documents/order/" TargetMode="External"/><Relationship Id="rId1163" Type="http://schemas.openxmlformats.org/officeDocument/2006/relationships/hyperlink" Target="http://www.gks.ru/free_doc/new_site/bd_munst/munst.htm" TargetMode="External"/><Relationship Id="rId1370" Type="http://schemas.openxmlformats.org/officeDocument/2006/relationships/hyperlink" Target="https://npavlovka.ru/ekonomika-i-finansy/initsiativnoe-byudzhetirovanie/" TargetMode="External"/><Relationship Id="rId2007" Type="http://schemas.openxmlformats.org/officeDocument/2006/relationships/hyperlink" Target="http://publication.pravo.gov.ru/Document/View/5200202012300004" TargetMode="External"/><Relationship Id="rId740" Type="http://schemas.openxmlformats.org/officeDocument/2006/relationships/hyperlink" Target="mailto:markeeva@admkor.ru" TargetMode="External"/><Relationship Id="rId838" Type="http://schemas.openxmlformats.org/officeDocument/2006/relationships/hyperlink" Target="https://www.kuibsamara.ru/iniciativnoe_byudzhetirovanie/" TargetMode="External"/><Relationship Id="rId1023" Type="http://schemas.openxmlformats.org/officeDocument/2006/relationships/hyperlink" Target="https://rosstat.gov.ru/storage/mediabank/chisl_&#1052;&#1054;_Site_01-01-2022.xlsx" TargetMode="External"/><Relationship Id="rId1468" Type="http://schemas.openxmlformats.org/officeDocument/2006/relationships/hyperlink" Target="https://gy.orb.ru/upload/uf/c88/Postanovlenie-1000_pA_2019.doc;" TargetMode="External"/><Relationship Id="rId1675" Type="http://schemas.openxmlformats.org/officeDocument/2006/relationships/hyperlink" Target="https://adm-krestcy.ru/documents/6103.html" TargetMode="External"/><Relationship Id="rId1882" Type="http://schemas.openxmlformats.org/officeDocument/2006/relationships/hyperlink" Target="https://krd.ru/administratsiya/administratsii-krasnodara/departament-po-svyazyam-s-obschestvennostyu-vzaimodeystviyu/ip/" TargetMode="External"/><Relationship Id="rId600" Type="http://schemas.openxmlformats.org/officeDocument/2006/relationships/hyperlink" Target="mailto:fu@adm-vyaz.ru" TargetMode="External"/><Relationship Id="rId1230" Type="http://schemas.openxmlformats.org/officeDocument/2006/relationships/hyperlink" Target="https://muravlenko.yanao.ru/activity/27372/?filter%5Bdocuments%5D%5Bsection%5D=15" TargetMode="External"/><Relationship Id="rId1328" Type="http://schemas.openxmlformats.org/officeDocument/2006/relationships/hyperlink" Target="mailto:kuzmina.mv@ulminfin.ru" TargetMode="External"/><Relationship Id="rId1535" Type="http://schemas.openxmlformats.org/officeDocument/2006/relationships/hyperlink" Target="https://krasnogvardfo.ru/assets/files/%D0%9D%D0%B0%D1%80%D0%BE%D0%B4%D0%BD%D1%8B%D0%B9%20%D0%B1%D1%8E%D0%B4%D0%B6%D0%B5%D1%82/1-itogi-narodnyij-byudzhet-2022.rar" TargetMode="External"/><Relationship Id="rId905" Type="http://schemas.openxmlformats.org/officeDocument/2006/relationships/hyperlink" Target="https://kinel-cherkassy.ru/attachments/article/39069/%D0%9F%D0%BE%D1%81%D1%82%D0%B0%D0%BD%D0%BE%D0%B2%D0%BB%D0%B5%D0%BD%D0%B8%D0%B5%20%D0%BE%D1%82%2002.12.2022%20%E2%84%96%201288.docx" TargetMode="External"/><Relationship Id="rId1742" Type="http://schemas.openxmlformats.org/officeDocument/2006/relationships/hyperlink" Target="https://dzhankoy.rk.gov.ru/uploads/txteditor/dzhankoy/attachments/d4/1d/8c/d98f00b204e9800998ecf8427e/phpgZYxU7_189.pdf" TargetMode="External"/><Relationship Id="rId34" Type="http://schemas.openxmlformats.org/officeDocument/2006/relationships/hyperlink" Target="http://ivo.garant.ru/proxy/share?data=q4Og0aLnpN5Pvp_qlYqxjK_xqrzXt9W_qeqZArDksdj_97HLova1x5DWsdG8lFKko_yS8tuowbnMtcfyh_Gp47Xikv2K_L_hlQzwn7TasvW85r_8j9G0nuur5IkQ5LfjgeWwrQ==" TargetMode="External"/><Relationship Id="rId1602" Type="http://schemas.openxmlformats.org/officeDocument/2006/relationships/hyperlink" Target="http://sorochinsk56.ru/assets/files/2022-Postanovlenie/12/1870-P.pdf" TargetMode="External"/><Relationship Id="rId183" Type="http://schemas.openxmlformats.org/officeDocument/2006/relationships/hyperlink" Target="https://vk.com/ppmi43" TargetMode="External"/><Relationship Id="rId390" Type="http://schemas.openxmlformats.org/officeDocument/2006/relationships/hyperlink" Target="mailto:GolushkovAS@Saratov.gov.ru" TargetMode="External"/><Relationship Id="rId1907" Type="http://schemas.openxmlformats.org/officeDocument/2006/relationships/hyperlink" Target="mailto:vahtomin_vv@kurganobl.ru" TargetMode="External"/><Relationship Id="rId2071" Type="http://schemas.openxmlformats.org/officeDocument/2006/relationships/hyperlink" Target="https://gokucmpi.ru/upload/iblock/ae8/ppo26zlmpqny7apv0dx3j2ug8zqhohjs/Anketa_na-sayt-_1_.pdf" TargetMode="External"/><Relationship Id="rId250" Type="http://schemas.openxmlformats.org/officeDocument/2006/relationships/hyperlink" Target="http://energy.ulregion.ru/" TargetMode="External"/><Relationship Id="rId488" Type="http://schemas.openxmlformats.org/officeDocument/2006/relationships/hyperlink" Target="https://www.arhcity.ru/?page=2371/1" TargetMode="External"/><Relationship Id="rId695" Type="http://schemas.openxmlformats.org/officeDocument/2006/relationships/hyperlink" Target="http://www.&#1089;&#1099;&#1089;&#1086;&#1083;&#1072;-&#1072;&#1076;&#1084;.&#1088;&#1092;/archive/grant22.pdf" TargetMode="External"/><Relationship Id="rId110" Type="http://schemas.openxmlformats.org/officeDocument/2006/relationships/hyperlink" Target="https://pskov.ru/vlast/ispolnitelnaya/administratsiya-oblasti/apparat/upravlenie-po-mestnomu-samoupr/initsiativnye-proekty" TargetMode="External"/><Relationship Id="rId348" Type="http://schemas.openxmlformats.org/officeDocument/2006/relationships/hyperlink" Target="https://pib.sakhminfin.ru/show/ppi" TargetMode="External"/><Relationship Id="rId555" Type="http://schemas.openxmlformats.org/officeDocument/2006/relationships/hyperlink" Target="https://volokonovskij-r31.gosweb.gosuslugi.ru/" TargetMode="External"/><Relationship Id="rId762" Type="http://schemas.openxmlformats.org/officeDocument/2006/relationships/hyperlink" Target="https://&#1102;&#1078;&#1085;&#1077;&#1085;&#1089;&#1082;&#1086;&#1077;-&#1089;&#1087;.&#1088;&#1092;/" TargetMode="External"/><Relationship Id="rId1185" Type="http://schemas.openxmlformats.org/officeDocument/2006/relationships/hyperlink" Target="mailto:AntonovaDS@admugansk.ru" TargetMode="External"/><Relationship Id="rId1392" Type="http://schemas.openxmlformats.org/officeDocument/2006/relationships/hyperlink" Target="mailto:besleneevskaja@mail.ru" TargetMode="External"/><Relationship Id="rId2029" Type="http://schemas.openxmlformats.org/officeDocument/2006/relationships/hyperlink" Target="http://zakon.krskstate.ru/0/doc/34007" TargetMode="External"/><Relationship Id="rId208" Type="http://schemas.openxmlformats.org/officeDocument/2006/relationships/hyperlink" Target="mailto:svod2@beldepfin.ru" TargetMode="External"/><Relationship Id="rId415" Type="http://schemas.openxmlformats.org/officeDocument/2006/relationships/hyperlink" Target="http://docs.cntd.ru/document/463306303" TargetMode="External"/><Relationship Id="rId622" Type="http://schemas.openxmlformats.org/officeDocument/2006/relationships/hyperlink" Target="https://admdetchino.ru/2021/11/9690/" TargetMode="External"/><Relationship Id="rId1045" Type="http://schemas.openxmlformats.org/officeDocument/2006/relationships/hyperlink" Target="mailto:finupravlenie@kislovods-kurort.org" TargetMode="External"/><Relationship Id="rId1252" Type="http://schemas.openxmlformats.org/officeDocument/2006/relationships/hyperlink" Target="https://nadym.yanao.ru/documents/active/131380" TargetMode="External"/><Relationship Id="rId1697" Type="http://schemas.openxmlformats.org/officeDocument/2006/relationships/hyperlink" Target="https://docs.semenov.nnov.ru/open/?nd=495918298&amp;searchType=phrase&amp;query=834" TargetMode="External"/><Relationship Id="rId927" Type="http://schemas.openxmlformats.org/officeDocument/2006/relationships/hyperlink" Target="mailto:administraziy75@mail.ru" TargetMode="External"/><Relationship Id="rId1112" Type="http://schemas.openxmlformats.org/officeDocument/2006/relationships/hyperlink" Target="https://habstat.gks.ru/storage/mediabank/&#1063;&#1080;&#1089;&#1083;&#1077;&#1085;&#1085;&#1086;&#1089;&#1090;&#1100;%20&#1085;&#1072;&#1089;&#1077;&#1083;&#1077;&#1085;&#1080;&#1103;%20&#1061;&#1072;&#1073;&#1072;&#1088;&#1086;&#1074;&#1089;&#1082;&#1086;&#1075;&#1086;%20&#1082;&#1088;&#1072;&#1103;%20&#1087;&#1086;%20&#1084;&#1091;&#1085;&#1080;&#1094;&#1080;&#1087;&#1072;&#1083;&#1100;&#1085;&#1099;&#1084;%20&#1086;&#1073;&#1088;&#1072;&#1079;&#1086;&#1074;&#1072;&#1085;&#1080;&#1103;&#1084;%20&#1085;&#1072;%201%20&#1103;&#1085;&#1074;&#1072;&#1088;&#1103;%202022%20&#1075;&#1086;&#1076;&#1072;.pdf" TargetMode="External"/><Relationship Id="rId1557" Type="http://schemas.openxmlformats.org/officeDocument/2006/relationships/hyperlink" Target="http://pp-bz.ru/legal-acts/1078" TargetMode="External"/><Relationship Id="rId1764" Type="http://schemas.openxmlformats.org/officeDocument/2006/relationships/hyperlink" Target="http://suhobuzimo.ru/sites/default/files/docs/byudzhet_dlya_grazhdan_2023.pdf" TargetMode="External"/><Relationship Id="rId1971" Type="http://schemas.openxmlformats.org/officeDocument/2006/relationships/hyperlink" Target="https://minter.permkrai.ru/dokumenty/268012/" TargetMode="External"/><Relationship Id="rId56" Type="http://schemas.openxmlformats.org/officeDocument/2006/relationships/hyperlink" Target="mailto:nborschevskaja@govvrn.ru" TargetMode="External"/><Relationship Id="rId1417" Type="http://schemas.openxmlformats.org/officeDocument/2006/relationships/hyperlink" Target="mailto:kfsbor@sbor.ru" TargetMode="External"/><Relationship Id="rId1624" Type="http://schemas.openxmlformats.org/officeDocument/2006/relationships/hyperlink" Target="http://&#1073;&#1091;&#1079;&#1091;&#1083;&#1091;&#1082;-&#1087;&#1088;&#1072;&#1074;&#1086;.&#1088;&#1092;/node/4713" TargetMode="External"/><Relationship Id="rId1831" Type="http://schemas.openxmlformats.org/officeDocument/2006/relationships/hyperlink" Target="https://adm-zaparozhskaya.ru/" TargetMode="External"/><Relationship Id="rId1929" Type="http://schemas.openxmlformats.org/officeDocument/2006/relationships/hyperlink" Target="https://pib.primorsky.ru/Menu/Presentation/5?ItemId=5" TargetMode="External"/><Relationship Id="rId2093" Type="http://schemas.openxmlformats.org/officeDocument/2006/relationships/hyperlink" Target="https://gokucmpi.ru/" TargetMode="External"/><Relationship Id="rId272" Type="http://schemas.openxmlformats.org/officeDocument/2006/relationships/hyperlink" Target="http://www.udmurt.ru/regulatory/index.php?typeid=31183294&amp;regnum=196&amp;sdate=21.05.2019&amp;edate=&amp;sdatepub=&amp;edatepub=&amp;q=&amp;doccnt=" TargetMode="External"/><Relationship Id="rId577" Type="http://schemas.openxmlformats.org/officeDocument/2006/relationships/hyperlink" Target="https://yakov-go.ru/media/site_platform_media/2021/7/5/postanovlenie--121-ot-05032021-g.pdf" TargetMode="External"/><Relationship Id="rId2160" Type="http://schemas.openxmlformats.org/officeDocument/2006/relationships/comments" Target="../comments3.xml"/><Relationship Id="rId132" Type="http://schemas.openxmlformats.org/officeDocument/2006/relationships/hyperlink" Target="mailto:kochetkova.e@bashkortostan.ru" TargetMode="External"/><Relationship Id="rId784" Type="http://schemas.openxmlformats.org/officeDocument/2006/relationships/hyperlink" Target="https://dalmdr.ru/node/4936" TargetMode="External"/><Relationship Id="rId991" Type="http://schemas.openxmlformats.org/officeDocument/2006/relationships/hyperlink" Target="mailto:horobrih@efbu.ru" TargetMode="External"/><Relationship Id="rId1067" Type="http://schemas.openxmlformats.org/officeDocument/2006/relationships/hyperlink" Target="http://newalexandrovsk.ru/initsiativnoe-byudzhetirovanie/info/" TargetMode="External"/><Relationship Id="rId2020" Type="http://schemas.openxmlformats.org/officeDocument/2006/relationships/hyperlink" Target="https://petrostat.gks.ru/folder/29437" TargetMode="External"/><Relationship Id="rId437" Type="http://schemas.openxmlformats.org/officeDocument/2006/relationships/hyperlink" Target="https://vk.com/tvbspb" TargetMode="External"/><Relationship Id="rId644" Type="http://schemas.openxmlformats.org/officeDocument/2006/relationships/hyperlink" Target="mailto:rfo02@mail.ru" TargetMode="External"/><Relationship Id="rId851" Type="http://schemas.openxmlformats.org/officeDocument/2006/relationships/hyperlink" Target="mailto:admbm@mail.ru" TargetMode="External"/><Relationship Id="rId1274" Type="http://schemas.openxmlformats.org/officeDocument/2006/relationships/hyperlink" Target="https://www.gks.ru/scripts/db_inet2/passport/pass.aspx?base=munst71&amp;r=71948000" TargetMode="External"/><Relationship Id="rId1481" Type="http://schemas.openxmlformats.org/officeDocument/2006/relationships/hyperlink" Target="https://vk.com/id759436775" TargetMode="External"/><Relationship Id="rId1579" Type="http://schemas.openxmlformats.org/officeDocument/2006/relationships/hyperlink" Target="mailto:velav@mail.orb.ru" TargetMode="External"/><Relationship Id="rId2118" Type="http://schemas.openxmlformats.org/officeDocument/2006/relationships/hyperlink" Target="mailto:bud_komfin@novreg.ru" TargetMode="External"/><Relationship Id="rId504" Type="http://schemas.openxmlformats.org/officeDocument/2006/relationships/hyperlink" Target="https://karaidel.bashkortostan.ru/presscenter/news/357766/" TargetMode="External"/><Relationship Id="rId711" Type="http://schemas.openxmlformats.org/officeDocument/2006/relationships/hyperlink" Target="https://usinsk.gosuslugi.ru/deyatelnost/napravleniya-deyatelnosti/initsiativnoe-byudzhetirovanie/narodnaya-initsiativa/pravovoe-regulirovanie-i-obraztsy-dokumentov/dokumenty-omsu_1294.html" TargetMode="External"/><Relationship Id="rId949" Type="http://schemas.openxmlformats.org/officeDocument/2006/relationships/hyperlink" Target="mailto:ssadgorod@yndex.ru" TargetMode="External"/><Relationship Id="rId1134" Type="http://schemas.openxmlformats.org/officeDocument/2006/relationships/hyperlink" Target="https://vk.com/public211812330" TargetMode="External"/><Relationship Id="rId1341" Type="http://schemas.openxmlformats.org/officeDocument/2006/relationships/hyperlink" Target="https://adm-melekess.gosuslugi.ru/deyatelnost/napravleniya-deyatelnosti/finansovaya-deyatelnost/narodnyy-byudzhet/2022-god/" TargetMode="External"/><Relationship Id="rId1786" Type="http://schemas.openxmlformats.org/officeDocument/2006/relationships/hyperlink" Target="mailto:grigorevskoesp@sevadm.ru" TargetMode="External"/><Relationship Id="rId1993" Type="http://schemas.openxmlformats.org/officeDocument/2006/relationships/hyperlink" Target="https://vk.com/public175242912?z=photo-175242912_457239837%2Falbum-175242912_00%2Frev" TargetMode="External"/><Relationship Id="rId78" Type="http://schemas.openxmlformats.org/officeDocument/2006/relationships/hyperlink" Target="https://mokoshehablsp.ru/administratsiya/initsiativnoe-byudzhetirovanie/2023" TargetMode="External"/><Relationship Id="rId809" Type="http://schemas.openxmlformats.org/officeDocument/2006/relationships/hyperlink" Target="http://www.pohgor.ru/documents/municipal-programm/predpisanija_38.html" TargetMode="External"/><Relationship Id="rId1201" Type="http://schemas.openxmlformats.org/officeDocument/2006/relationships/hyperlink" Target="https://df.salekhard.org/upload/medialibrary/db2/&#1091;&#1102;&#1090;&#1085;&#1099;&#1081;%20&#1103;&#1084;&#1072;&#1083;.png" TargetMode="External"/><Relationship Id="rId1439" Type="http://schemas.openxmlformats.org/officeDocument/2006/relationships/hyperlink" Target="https://www.penza-gorod.ru/line_of_activity/econom/economy/city-development-strategy/" TargetMode="External"/><Relationship Id="rId1646" Type="http://schemas.openxmlformats.org/officeDocument/2006/relationships/hyperlink" Target="http://ivnmssk.tevr.omskportal.ru/omsu/tevr-3-52-255-1/poseleniya/ivanovo-myisskoe/etc/inibudget" TargetMode="External"/><Relationship Id="rId1853" Type="http://schemas.openxmlformats.org/officeDocument/2006/relationships/hyperlink" Target="mailto:642651@mail.ru" TargetMode="External"/><Relationship Id="rId1506" Type="http://schemas.openxmlformats.org/officeDocument/2006/relationships/hyperlink" Target="mailto:velav@mail.orb.ru" TargetMode="External"/><Relationship Id="rId1713" Type="http://schemas.openxmlformats.org/officeDocument/2006/relationships/hyperlink" Target="https://borcity.ru/authority/acts/postadm/" TargetMode="External"/><Relationship Id="rId1920" Type="http://schemas.openxmlformats.org/officeDocument/2006/relationships/hyperlink" Target="mailto:OrlovaOK@mosreg.ru" TargetMode="External"/><Relationship Id="rId294" Type="http://schemas.openxmlformats.org/officeDocument/2006/relationships/hyperlink" Target="https://68.rosstat.gov.ru/storage/mediabank/chis23-22s.pdf" TargetMode="External"/><Relationship Id="rId154" Type="http://schemas.openxmlformats.org/officeDocument/2006/relationships/hyperlink" Target="https://wampi.ru/image/RvQUm1a" TargetMode="External"/><Relationship Id="rId361" Type="http://schemas.openxmlformats.org/officeDocument/2006/relationships/hyperlink" Target="https://school.tvoybudget.spb.ru/" TargetMode="External"/><Relationship Id="rId599" Type="http://schemas.openxmlformats.org/officeDocument/2006/relationships/hyperlink" Target="https://33mayak.ru/2022/04/21/58568" TargetMode="External"/><Relationship Id="rId2042" Type="http://schemas.openxmlformats.org/officeDocument/2006/relationships/hyperlink" Target="https://smi.adm-nao.ru/iniciativnoe-byudzhetirovanie/" TargetMode="External"/><Relationship Id="rId459" Type="http://schemas.openxmlformats.org/officeDocument/2006/relationships/hyperlink" Target="mailto:kgs-zab@mail.ru" TargetMode="External"/><Relationship Id="rId666" Type="http://schemas.openxmlformats.org/officeDocument/2006/relationships/hyperlink" Target="http://adminta.ru/upload/iblock/fcb/055ldf0yzk3jaw1vd5y33g7a4y4tapo8.pdf" TargetMode="External"/><Relationship Id="rId873" Type="http://schemas.openxmlformats.org/officeDocument/2006/relationships/hyperlink" Target="http://aleksandrovka.kinel-cherkassy.ru/wp-content/uploads/2022/12/&#1055;&#1086;&#1089;&#1090;&#1072;&#1085;&#1086;&#1074;&#1083;&#1077;&#1085;&#1080;&#1077;-&#8470;96-&#1086;&#1090;-02.12.22-&#1080;&#1079;&#1084;-&#1074;-&#1087;&#1088;.&#1041;&#1083;&#1072;&#1075;&#1086;&#1091;&#1089;&#1090;&#1088;&#1086;&#1081;&#1089;&#1090;&#1074;&#1086;-&#1040;&#1083;&#1077;&#1082;&#1089;&#1072;&#1085;&#1076;&#1088;&#1086;&#1074;&#1082;&#1072;-22.11.doc" TargetMode="External"/><Relationship Id="rId1089" Type="http://schemas.openxmlformats.org/officeDocument/2006/relationships/hyperlink" Target="https://pyatigorsk.org/filesarhiv/docs?FilesarhivSearch%5Binner_id%5D=4199&amp;FilesarhivSearch%5Btitle%5D=&amp;FilesarhivSearch%5Btypeid%5D=&amp;FilesarhivSearch%5Bcatid%5D=&amp;FilesarhivSearch%5Bcreated%5D=" TargetMode="External"/><Relationship Id="rId1296" Type="http://schemas.openxmlformats.org/officeDocument/2006/relationships/hyperlink" Target="https://www.gks.ru/scripts/db_inet2/passport/table.aspx?opt=736021512022" TargetMode="External"/><Relationship Id="rId221" Type="http://schemas.openxmlformats.org/officeDocument/2006/relationships/hyperlink" Target="mailto:n.krotova@gov39.ru" TargetMode="External"/><Relationship Id="rId319" Type="http://schemas.openxmlformats.org/officeDocument/2006/relationships/hyperlink" Target="http://energy.midural.ru/gosudarstvennaya-programma/" TargetMode="External"/><Relationship Id="rId526" Type="http://schemas.openxmlformats.org/officeDocument/2006/relationships/hyperlink" Target="mailto:avb@volgafin.ru" TargetMode="External"/><Relationship Id="rId1156" Type="http://schemas.openxmlformats.org/officeDocument/2006/relationships/hyperlink" Target="http://lugovoikonda.ru/tinybrowser/files/2023/raznoe/_-283-komissiya-po-proektam-ib-1.doc" TargetMode="External"/><Relationship Id="rId1363" Type="http://schemas.openxmlformats.org/officeDocument/2006/relationships/hyperlink" Target="https://veshkajma-r73.gosweb.gosuslugi.ru/deyatelnost/napravleniya-deyatelnosti/finansy/budgetgr/" TargetMode="External"/><Relationship Id="rId733" Type="http://schemas.openxmlformats.org/officeDocument/2006/relationships/hyperlink" Target="mailto:fu25.165@mail.ru" TargetMode="External"/><Relationship Id="rId940" Type="http://schemas.openxmlformats.org/officeDocument/2006/relationships/hyperlink" Target="http://novyekluchi.kinel-cherkassy.ru/" TargetMode="External"/><Relationship Id="rId1016" Type="http://schemas.openxmlformats.org/officeDocument/2006/relationships/hyperlink" Target="mailto:fublar@mfsk.ru" TargetMode="External"/><Relationship Id="rId1570" Type="http://schemas.openxmlformats.org/officeDocument/2006/relationships/hyperlink" Target="https://bugraifo.orb.ru/upload/uf/4a1/Reshenie.pdf" TargetMode="External"/><Relationship Id="rId1668" Type="http://schemas.openxmlformats.org/officeDocument/2006/relationships/hyperlink" Target="https://vk.com/wall-188987338_4254" TargetMode="External"/><Relationship Id="rId1875" Type="http://schemas.openxmlformats.org/officeDocument/2006/relationships/hyperlink" Target="https://&#1072;&#1076;&#1084;-&#1088;&#1086;&#1076;&#1085;&#1080;&#1082;&#1086;&#1074;&#1089;&#1082;&#1072;&#1103;.&#1088;&#1092;/documents/1930.html" TargetMode="External"/><Relationship Id="rId800" Type="http://schemas.openxmlformats.org/officeDocument/2006/relationships/hyperlink" Target="https://otradny.org/upload/iblock/5cl/5cl55b50763d0a813b9fc482744cc5fe.rar" TargetMode="External"/><Relationship Id="rId1223" Type="http://schemas.openxmlformats.org/officeDocument/2006/relationships/hyperlink" Target="http://gorod-noyabrsk89.yanao.ru/duma/solutions" TargetMode="External"/><Relationship Id="rId1430" Type="http://schemas.openxmlformats.org/officeDocument/2006/relationships/hyperlink" Target="https://vk.com/brz_official" TargetMode="External"/><Relationship Id="rId1528" Type="http://schemas.openxmlformats.org/officeDocument/2006/relationships/hyperlink" Target="https://finotdnovoorsk.ru/assets/files/2023/protokol-ot-26.04.2022.pdf" TargetMode="External"/><Relationship Id="rId1735" Type="http://schemas.openxmlformats.org/officeDocument/2006/relationships/hyperlink" Target="https://dzhankoy.rk.gov.ru/uploads/txteditor/dzhankoy/attachments/d4/1d/8c/d98f00b204e9800998ecf8427e/php14Wq7R_&#1083;&#1086;&#1075;&#1086;%20&#1048;&#1041;.jpg" TargetMode="External"/><Relationship Id="rId1942" Type="http://schemas.openxmlformats.org/officeDocument/2006/relationships/hyperlink" Target="mailto:pimenovaiv@minfin.omskportal.ru" TargetMode="External"/><Relationship Id="rId27" Type="http://schemas.openxmlformats.org/officeDocument/2006/relationships/hyperlink" Target="https://dvp.sev.gov.ru/konkurs-samyy-druzhnyy-dvor/" TargetMode="External"/><Relationship Id="rId1802" Type="http://schemas.openxmlformats.org/officeDocument/2006/relationships/hyperlink" Target="http://zheleznoe-sp.ru/publ/normativnye_pravovye_akty/postanovlenie_administracii_zheleznogo_selskogo_poselenija_ot_30_12_2020_g_153/1-1-0-799" TargetMode="External"/><Relationship Id="rId176" Type="http://schemas.openxmlformats.org/officeDocument/2006/relationships/hyperlink" Target="https://nac.gov.karelia.ru/about/3833/" TargetMode="External"/><Relationship Id="rId383" Type="http://schemas.openxmlformats.org/officeDocument/2006/relationships/hyperlink" Target="mailto:NejfeldMV@saratov.gov.ru" TargetMode="External"/><Relationship Id="rId590" Type="http://schemas.openxmlformats.org/officeDocument/2006/relationships/hyperlink" Target="mailto:bud@vladfin.ru" TargetMode="External"/><Relationship Id="rId2064" Type="http://schemas.openxmlformats.org/officeDocument/2006/relationships/hyperlink" Target="https://gokucmpi.ru/" TargetMode="External"/><Relationship Id="rId243" Type="http://schemas.openxmlformats.org/officeDocument/2006/relationships/hyperlink" Target="https://ovmf2.consultant.ru/cgi/online.cgi?req=doc&amp;ts=x8KembT20K2eeo8C&amp;cacheid=A4696BD7C534F986DF289622DACEC64D&amp;mode=splus&amp;rnd=daif0w&amp;base=RLAW076&amp;n=68897&amp;dst=100008" TargetMode="External"/><Relationship Id="rId450" Type="http://schemas.openxmlformats.org/officeDocument/2006/relationships/hyperlink" Target="https://&#1079;&#1072;&#1073;&#1072;&#1081;&#1082;&#1072;&#1083;&#1100;&#1077;.&#1084;&#1086;&#1103;&#1088;&#1086;&#1089;&#1089;&#1080;&#1103;.&#1088;&#1092;/public/application/cards" TargetMode="External"/><Relationship Id="rId688" Type="http://schemas.openxmlformats.org/officeDocument/2006/relationships/hyperlink" Target="mailto:gfo-vorkuta@mail.ru" TargetMode="External"/><Relationship Id="rId895" Type="http://schemas.openxmlformats.org/officeDocument/2006/relationships/hyperlink" Target="http://kabanovka.kinel-cherkassy.ru/?p=7952" TargetMode="External"/><Relationship Id="rId1080" Type="http://schemas.openxmlformats.org/officeDocument/2006/relationships/hyperlink" Target="mailto:finupr@petrgosk.ru" TargetMode="External"/><Relationship Id="rId2131" Type="http://schemas.openxmlformats.org/officeDocument/2006/relationships/hyperlink" Target="https://docs.cntd.ru/document/450360732" TargetMode="External"/><Relationship Id="rId103" Type="http://schemas.openxmlformats.org/officeDocument/2006/relationships/hyperlink" Target="http://agro.cap.ru/action/activity/" TargetMode="External"/><Relationship Id="rId310" Type="http://schemas.openxmlformats.org/officeDocument/2006/relationships/hyperlink" Target="mailto:xea@gkh.tambov.gov.ru" TargetMode="External"/><Relationship Id="rId548" Type="http://schemas.openxmlformats.org/officeDocument/2006/relationships/hyperlink" Target="mailto:lemzyakova_yua@ve.belregion.ru" TargetMode="External"/><Relationship Id="rId755" Type="http://schemas.openxmlformats.org/officeDocument/2006/relationships/hyperlink" Target="mailto:samylki-olga@yandex.ru" TargetMode="External"/><Relationship Id="rId962" Type="http://schemas.openxmlformats.org/officeDocument/2006/relationships/hyperlink" Target="http://chernovka.kinel-cherkassy.ru/wp-content/uploads/2021/07/&#1056;&#1077;&#1096;&#1077;&#1085;&#1080;&#1077;&#8470;-26-1-&#1086;&#1090;-23.07.2021.doc" TargetMode="External"/><Relationship Id="rId1178" Type="http://schemas.openxmlformats.org/officeDocument/2006/relationships/hyperlink" Target="mailto:reshetnikovasa86@mail.ru" TargetMode="External"/><Relationship Id="rId1385" Type="http://schemas.openxmlformats.org/officeDocument/2006/relationships/hyperlink" Target="https://privoladm.ru/initsiativnoe-byudzhetirovanie" TargetMode="External"/><Relationship Id="rId1592" Type="http://schemas.openxmlformats.org/officeDocument/2006/relationships/hyperlink" Target="https://&#1092;&#1080;&#1085;&#1086;&#1090;&#1076;&#1077;&#1083;-&#1103;&#1089;&#1085;&#1099;&#1081;.&#1088;&#1092;/2022god" TargetMode="External"/><Relationship Id="rId91" Type="http://schemas.openxmlformats.org/officeDocument/2006/relationships/hyperlink" Target="mailto:makarov.sa@adm44.ru" TargetMode="External"/><Relationship Id="rId408" Type="http://schemas.openxmlformats.org/officeDocument/2006/relationships/hyperlink" Target="https://www.donland.ru/activity/2623/" TargetMode="External"/><Relationship Id="rId615" Type="http://schemas.openxmlformats.org/officeDocument/2006/relationships/hyperlink" Target="mailto:Coi.gvard@mail.ru" TargetMode="External"/><Relationship Id="rId822" Type="http://schemas.openxmlformats.org/officeDocument/2006/relationships/hyperlink" Target="https://samarastat.gks.ru/population" TargetMode="External"/><Relationship Id="rId1038" Type="http://schemas.openxmlformats.org/officeDocument/2006/relationships/hyperlink" Target="http://www.ipatovo.org/page.php?id=31864" TargetMode="External"/><Relationship Id="rId1245" Type="http://schemas.openxmlformats.org/officeDocument/2006/relationships/hyperlink" Target="https://vk.com/gubadm" TargetMode="External"/><Relationship Id="rId1452" Type="http://schemas.openxmlformats.org/officeDocument/2006/relationships/hyperlink" Target="https://www.aleksandrovka56.ru/munitsipalitet/?ELEMENT_ID=4542" TargetMode="External"/><Relationship Id="rId1897" Type="http://schemas.openxmlformats.org/officeDocument/2006/relationships/hyperlink" Target="http://&#1072;&#1076;&#1084;-&#1080;&#1074;&#1072;&#1085;&#1086;&#1074;&#1089;&#1082;&#1072;&#1103;.&#1088;&#1092;/munitcipal-nye-programmy-ivanovskogo-sel-skogo-poseleniya-krasnoarmeyskogo-rayona-na-2021-2026-gody.html" TargetMode="External"/><Relationship Id="rId1105" Type="http://schemas.openxmlformats.org/officeDocument/2006/relationships/hyperlink" Target="http://www.tyumen-city.ru/ekonomika/finansi/iniciativnoe-budjetirovanie/" TargetMode="External"/><Relationship Id="rId1312" Type="http://schemas.openxmlformats.org/officeDocument/2006/relationships/hyperlink" Target="https://mo-veshkaima.ru/view_news.php?id=23210" TargetMode="External"/><Relationship Id="rId1757" Type="http://schemas.openxmlformats.org/officeDocument/2006/relationships/hyperlink" Target="https://kurganobl.ru/sites/default/files/imceFiles/user-03/PPKO_ot_28.12.2019_no458.pdf" TargetMode="External"/><Relationship Id="rId1964" Type="http://schemas.openxmlformats.org/officeDocument/2006/relationships/hyperlink" Target="https://veved.ru/perm/perm-news/152842-v-prikame-na-kraevoj-konkurs-postupilo-pochti-300-proektov-iniciativnogo-bjudzhetirovanija.html" TargetMode="External"/><Relationship Id="rId49" Type="http://schemas.openxmlformats.org/officeDocument/2006/relationships/hyperlink" Target="https://smovrn.ru/;" TargetMode="External"/><Relationship Id="rId1617" Type="http://schemas.openxmlformats.org/officeDocument/2006/relationships/hyperlink" Target="https://&#1076;&#1086;&#1082;&#1091;&#1084;&#1077;&#1085;&#1090;.&#1075;&#1086;&#1088;&#1086;&#1076;&#1084;&#1077;&#1076;&#1085;&#1086;&#1075;&#1086;&#1088;&#1089;&#1082;.&#1088;&#1092;/index.php/mpostanovleniya-administratsii-goroda-2022/item/2983-postanovlenie-1516-pa-ot-22-12-2022" TargetMode="External"/><Relationship Id="rId1824" Type="http://schemas.openxmlformats.org/officeDocument/2006/relationships/hyperlink" Target="https://admkrasnostrelskaya.ru/index.php?id=29&amp;page=celprog" TargetMode="External"/><Relationship Id="rId198" Type="http://schemas.openxmlformats.org/officeDocument/2006/relationships/hyperlink" Target="https://ahtuba-adm.ru/index.php?mode=view_spisok&amp;own_menu_id=297226" TargetMode="External"/><Relationship Id="rId2086" Type="http://schemas.openxmlformats.org/officeDocument/2006/relationships/hyperlink" Target="https://novgorodstat.gks.ru/storage/mediabank/%D0%A7%D0%B8%D1%81%D0%BB%D0%B5%D0%BD%D0%BD%D0%BE%D1%81%D1%82%D1%8C%20%D0%BD%D0%B0%D1%81%D0%B5%D0%BB%D0%B5%D0%BD%D0%B8%D1%8F%20%D0%BD%D0%B0%201.01.2022%20%D0%B3%D0%BE%D0%B4%D0%B0.pdf" TargetMode="External"/><Relationship Id="rId265" Type="http://schemas.openxmlformats.org/officeDocument/2006/relationships/hyperlink" Target="https://www.udmurt.ru/regulatory/index.php?typeid=31183294&amp;regnum=689&amp;sdate=21.12.2021&amp;edate=&amp;sdatepub=&amp;edatepub=&amp;q=&amp;doccnt=" TargetMode="External"/><Relationship Id="rId472" Type="http://schemas.openxmlformats.org/officeDocument/2006/relationships/hyperlink" Target="https://bashstat.gks.ru/storage/mediabank/CHislennost-naseleniya-po-municipalnym-rajonam-i-gorodskim-okrugam-Respubliki-%20Bashkortostan-na-1-yanvarya-2022-g-s-uchetom-VPN-2020.pdf" TargetMode="External"/><Relationship Id="rId2153" Type="http://schemas.openxmlformats.org/officeDocument/2006/relationships/hyperlink" Target="https://31.rosstat.gov.ru/naselenie" TargetMode="External"/><Relationship Id="rId125" Type="http://schemas.openxmlformats.org/officeDocument/2006/relationships/hyperlink" Target="mailto:lukmanova.av@bashkortostan.ru" TargetMode="External"/><Relationship Id="rId332" Type="http://schemas.openxmlformats.org/officeDocument/2006/relationships/hyperlink" Target="https://disk.yandex.ru/d/8ZRt7RWr6nTDgQ" TargetMode="External"/><Relationship Id="rId777" Type="http://schemas.openxmlformats.org/officeDocument/2006/relationships/hyperlink" Target="https://primstat.gks.ru/storage/mediabank/NXRqUAEK/&#1063;&#1080;&#1089;&#1083;&#1077;&#1085;&#1085;&#1086;&#1089;&#1090;&#1100;%20&#1043;&#1054;%20&#1080;%20&#1052;&#1056;%20&#1085;&#1072;%20&#1085;&#1072;&#1095;&#1072;&#1083;&#1086;%20&#1075;&#1086;&#1076;&#1072;_2021.xlsx" TargetMode="External"/><Relationship Id="rId984" Type="http://schemas.openxmlformats.org/officeDocument/2006/relationships/hyperlink" Target="https://asbestadm.ru/economy/munitsipalnyie-programmyi/obrazovanie/2022/" TargetMode="External"/><Relationship Id="rId2013" Type="http://schemas.openxmlformats.org/officeDocument/2006/relationships/hyperlink" Target="https://msu.lenobl.ru/ru/news/proektnyj-centr-iniciativnogo-byudzhetirovaniya" TargetMode="External"/><Relationship Id="rId637" Type="http://schemas.openxmlformats.org/officeDocument/2006/relationships/hyperlink" Target="https://www.kaluga-gov.ru/uprava/munitsipalnye-programmy/perechen-programm/grazhdanskaya-initsiativa/" TargetMode="External"/><Relationship Id="rId844" Type="http://schemas.openxmlformats.org/officeDocument/2006/relationships/hyperlink" Target="http://sovadmsamara.ru/tvoj_konstruktor_dvora/" TargetMode="External"/><Relationship Id="rId1267" Type="http://schemas.openxmlformats.org/officeDocument/2006/relationships/hyperlink" Target="https://vk.com/vpriuralye?w=wall-173311244_3836" TargetMode="External"/><Relationship Id="rId1474" Type="http://schemas.openxmlformats.org/officeDocument/2006/relationships/hyperlink" Target="https://vk.com/@-211208773-praktiki-iniciativnogo-budzhetirovaniya-opyt-adamovskogo-rai" TargetMode="External"/><Relationship Id="rId1681" Type="http://schemas.openxmlformats.org/officeDocument/2006/relationships/hyperlink" Target="http://komobrkrr.edusite.ru/magicpage.html?page=32018" TargetMode="External"/><Relationship Id="rId704" Type="http://schemas.openxmlformats.org/officeDocument/2006/relationships/hyperlink" Target="mailto:Lodygina_irina@mail.ru" TargetMode="External"/><Relationship Id="rId911" Type="http://schemas.openxmlformats.org/officeDocument/2006/relationships/hyperlink" Target="http://gorka.kinel-cherkassy.ru/?p=3809" TargetMode="External"/><Relationship Id="rId1127" Type="http://schemas.openxmlformats.org/officeDocument/2006/relationships/hyperlink" Target="https://depfin.admmegion.ru/initiative_budget/" TargetMode="External"/><Relationship Id="rId1334" Type="http://schemas.openxmlformats.org/officeDocument/2006/relationships/hyperlink" Target="http://karsunmo.ru/postanovleniya/" TargetMode="External"/><Relationship Id="rId1541" Type="http://schemas.openxmlformats.org/officeDocument/2006/relationships/hyperlink" Target="mailto:fin-otdel@esoo.ru" TargetMode="External"/><Relationship Id="rId1779" Type="http://schemas.openxmlformats.org/officeDocument/2006/relationships/hyperlink" Target="http://www.admkrsk.ru/citytoday/municipal/initiative_projects/Pages/spisok_projects.aspx" TargetMode="External"/><Relationship Id="rId1986" Type="http://schemas.openxmlformats.org/officeDocument/2006/relationships/hyperlink" Target="mailto:mf-pts@minfin.mari.ru" TargetMode="External"/><Relationship Id="rId40" Type="http://schemas.openxmlformats.org/officeDocument/2006/relationships/hyperlink" Target="https://www.minfinchr.ru/" TargetMode="External"/><Relationship Id="rId1401" Type="http://schemas.openxmlformats.org/officeDocument/2006/relationships/hyperlink" Target="http://adm-nezaymanovskaya.ru/index.php/administratsiya/postanovleniya-administratsii" TargetMode="External"/><Relationship Id="rId1639" Type="http://schemas.openxmlformats.org/officeDocument/2006/relationships/hyperlink" Target="http://&#1073;&#1091;&#1079;&#1091;&#1083;&#1091;&#1082;-&#1087;&#1088;&#1072;&#1074;&#1086;.&#1088;&#1092;/node/5771;" TargetMode="External"/><Relationship Id="rId1846" Type="http://schemas.openxmlformats.org/officeDocument/2006/relationships/hyperlink" Target="mailto:afipskij@sevadm.ru" TargetMode="External"/><Relationship Id="rId1706" Type="http://schemas.openxmlformats.org/officeDocument/2006/relationships/hyperlink" Target="mailto:paramonova_iv@fin.kreml.nnov.ru" TargetMode="External"/><Relationship Id="rId1913" Type="http://schemas.openxmlformats.org/officeDocument/2006/relationships/hyperlink" Target="mailto:pimenovaiv@minfin.omskportal.ru" TargetMode="External"/><Relationship Id="rId287" Type="http://schemas.openxmlformats.org/officeDocument/2006/relationships/hyperlink" Target="https://72.rosstat.gov.ru/storage/mediabank/&#1063;&#1080;&#1089;&#1083;&#1077;&#1085;&#1085;&#1086;&#1089;&#1090;&#1100;%20&#1085;&#1072;&#1089;&#1077;&#1083;&#1077;&#1085;&#1080;&#1103;%20&#1079;&#1072;%202017-2022%20&#1075;&#1086;&#1076;&#1099;_&#1070;&#1043;_2.xlsx" TargetMode="External"/><Relationship Id="rId494" Type="http://schemas.openxmlformats.org/officeDocument/2006/relationships/hyperlink" Target="mailto:ionina.ev@dvinaland.ru" TargetMode="External"/><Relationship Id="rId147" Type="http://schemas.openxmlformats.org/officeDocument/2006/relationships/hyperlink" Target="http://publication.pravo.gov.ru/Document/View/7400202201130002" TargetMode="External"/><Relationship Id="rId354" Type="http://schemas.openxmlformats.org/officeDocument/2006/relationships/hyperlink" Target="http://sakhminfin.ru/" TargetMode="External"/><Relationship Id="rId799" Type="http://schemas.openxmlformats.org/officeDocument/2006/relationships/hyperlink" Target="mailto:feu-budjet11@mail.ru" TargetMode="External"/><Relationship Id="rId1191" Type="http://schemas.openxmlformats.org/officeDocument/2006/relationships/hyperlink" Target="mailto:BakharevaEV@NVraion.ru" TargetMode="External"/><Relationship Id="rId2035" Type="http://schemas.openxmlformats.org/officeDocument/2006/relationships/hyperlink" Target="http://budget.orb.ru/new/init-budg" TargetMode="External"/><Relationship Id="rId561" Type="http://schemas.openxmlformats.org/officeDocument/2006/relationships/hyperlink" Target="https://volokonovskij-r31.gosweb.gosuslugi.ru/" TargetMode="External"/><Relationship Id="rId659" Type="http://schemas.openxmlformats.org/officeDocument/2006/relationships/hyperlink" Target="https://docs.cntd.ru/document/578008025" TargetMode="External"/><Relationship Id="rId866" Type="http://schemas.openxmlformats.org/officeDocument/2006/relationships/hyperlink" Target="mailto:semja@List.ru" TargetMode="External"/><Relationship Id="rId1289" Type="http://schemas.openxmlformats.org/officeDocument/2006/relationships/hyperlink" Target="https://vk.com/uyt_yamal" TargetMode="External"/><Relationship Id="rId1496" Type="http://schemas.openxmlformats.org/officeDocument/2006/relationships/hyperlink" Target="https://vk.com/fintotsk?w=wall-163040897_111" TargetMode="External"/><Relationship Id="rId214" Type="http://schemas.openxmlformats.org/officeDocument/2006/relationships/hyperlink" Target="http://publication.pravo.gov.ru/Document/View/3900201912270018?rangeSize=50" TargetMode="External"/><Relationship Id="rId421" Type="http://schemas.openxmlformats.org/officeDocument/2006/relationships/hyperlink" Target="https://vk.com/club82210903" TargetMode="External"/><Relationship Id="rId519" Type="http://schemas.openxmlformats.org/officeDocument/2006/relationships/hyperlink" Target="http://admmeleuz.ru/index.php?option=com_content&amp;view=category&amp;id=905&amp;Itemid=356" TargetMode="External"/><Relationship Id="rId1051" Type="http://schemas.openxmlformats.org/officeDocument/2006/relationships/hyperlink" Target="https://www.&#1082;&#1086;&#1095;&#1091;&#1073;&#1077;&#1077;&#1074;&#1089;&#1082;&#1080;&#1081;-&#1088;&#1072;&#1081;&#1086;&#1085;.&#1088;&#1092;/izveshcenie-o-vnesenii-initciativnykh-proektov-2022.html" TargetMode="External"/><Relationship Id="rId1149" Type="http://schemas.openxmlformats.org/officeDocument/2006/relationships/hyperlink" Target="mailto:finans@kondadm.ru" TargetMode="External"/><Relationship Id="rId1356" Type="http://schemas.openxmlformats.org/officeDocument/2006/relationships/hyperlink" Target="https://terenga.gosuslugi.ru/deyatelnost/napravleniya-deyatelnosti/finansy-i-byudzhet/otkrytyy-byudzhet/narodnyy-byudzhet/2022-god/dokumenty_861.html" TargetMode="External"/><Relationship Id="rId2102" Type="http://schemas.openxmlformats.org/officeDocument/2006/relationships/hyperlink" Target="https://vk.com/ppmi53)," TargetMode="External"/><Relationship Id="rId726" Type="http://schemas.openxmlformats.org/officeDocument/2006/relationships/hyperlink" Target="mailto:fo.psh@mail.ru" TargetMode="External"/><Relationship Id="rId933" Type="http://schemas.openxmlformats.org/officeDocument/2006/relationships/hyperlink" Target="http://mukhanovo.kinel-cherkassy.ru/?page_id=203" TargetMode="External"/><Relationship Id="rId1009" Type="http://schemas.openxmlformats.org/officeDocument/2006/relationships/hyperlink" Target="https://aamrsk.ru/deyatelnost/initsiativnoe-byudzhetirovanie/initsiativnye-proekty/dokumenty.php" TargetMode="External"/><Relationship Id="rId1563" Type="http://schemas.openxmlformats.org/officeDocument/2006/relationships/hyperlink" Target="https://www.gks.ru/scripts/db_inet2/passport/table.aspx?opt=536114312022" TargetMode="External"/><Relationship Id="rId1770" Type="http://schemas.openxmlformats.org/officeDocument/2006/relationships/hyperlink" Target="mailto:rf34@krasfin.ru" TargetMode="External"/><Relationship Id="rId1868" Type="http://schemas.openxmlformats.org/officeDocument/2006/relationships/hyperlink" Target="https://&#1082;&#1086;&#1085;&#1089;&#1090;&#1072;&#1085;&#1090;&#1080;&#1085;&#1086;&#1074;&#1089;&#1082;&#1086;&#1077;-&#1089;&#1087;.&#1088;&#1092;/initciativnyy-proekt-2022-god.html" TargetMode="External"/><Relationship Id="rId62" Type="http://schemas.openxmlformats.org/officeDocument/2006/relationships/hyperlink" Target="http://minec-rd.e-dag.ru/mestnye-initsiativy" TargetMode="External"/><Relationship Id="rId1216" Type="http://schemas.openxmlformats.org/officeDocument/2006/relationships/hyperlink" Target="https://www.newurengoy.ru/doc/12900-ob-utverzhdenii-municipalnoy-programmy-municipalnogo-obrazovaniya-gorod-novyy-urengoy-blagoustroystvo-i-razvitie-transportnogo-kompleksa-na-territorii-municipalnogo-obrazovaniya-gorod-novyy-urengoy.html,%20https:/www.n" TargetMode="External"/><Relationship Id="rId1423" Type="http://schemas.openxmlformats.org/officeDocument/2006/relationships/hyperlink" Target="https://ag.sbor.ru/poll/69" TargetMode="External"/><Relationship Id="rId1630" Type="http://schemas.openxmlformats.org/officeDocument/2006/relationships/hyperlink" Target="http://&#1073;&#1091;&#1079;&#1091;&#1083;&#1091;&#1082;-&#1087;&#1088;&#1072;&#1074;&#1086;.&#1088;&#1092;/node/5934" TargetMode="External"/><Relationship Id="rId1728" Type="http://schemas.openxmlformats.org/officeDocument/2006/relationships/hyperlink" Target="https://omsukchan-adm.ru/inova_block_documentset/document/330471/" TargetMode="External"/><Relationship Id="rId1935" Type="http://schemas.openxmlformats.org/officeDocument/2006/relationships/hyperlink" Target="mailto:sboyko@minselkhoz.omskportal.ru" TargetMode="External"/><Relationship Id="rId169" Type="http://schemas.openxmlformats.org/officeDocument/2006/relationships/hyperlink" Target="http://publication.pravo.gov.ru/Document/View/1000202202250006" TargetMode="External"/><Relationship Id="rId376" Type="http://schemas.openxmlformats.org/officeDocument/2006/relationships/hyperlink" Target="https://minfin.saratov.gov.ru/index.php?option=com_acrfilestorage&amp;task=download&amp;on=2060" TargetMode="External"/><Relationship Id="rId583" Type="http://schemas.openxmlformats.org/officeDocument/2006/relationships/hyperlink" Target="https://yakovgo.gosuslugi.ru/glavnoe/territorialnye-obschestvennye-samoupravleniya-tos/" TargetMode="External"/><Relationship Id="rId790" Type="http://schemas.openxmlformats.org/officeDocument/2006/relationships/hyperlink" Target="mailto:Fin561@bk.ru" TargetMode="External"/><Relationship Id="rId2057" Type="http://schemas.openxmlformats.org/officeDocument/2006/relationships/hyperlink" Target="http://docs.cntd.ru/document/553230534" TargetMode="External"/><Relationship Id="rId4" Type="http://schemas.openxmlformats.org/officeDocument/2006/relationships/hyperlink" Target="https://depfin.tomsk.gov.ru/konkursnyj-otbor" TargetMode="External"/><Relationship Id="rId236" Type="http://schemas.openxmlformats.org/officeDocument/2006/relationships/hyperlink" Target="https://40.rosstat.gov.ru/storage/mediabank/&#1063;&#1080;&#1089;&#1083;&#1077;&#1085;&#1085;&#1086;&#1089;&#1090;&#1100;%20&#1087;&#1086;&#1089;&#1090;&#1086;&#1103;&#1085;&#1085;&#1086;&#1075;&#1086;%20&#1085;&#1072;&#1089;&#1077;&#1083;&#1077;&#1085;&#1080;&#1103;%20&#1050;&#1072;&#1083;&#1091;&#1078;&#1089;&#1082;&#1086;&#1081;%20&#1086;&#1073;&#1083;&#1072;&#1089;&#1090;&#1080;%20&#1087;&#1086;%20&#1084;&#1091;&#1085;&#1080;&#1094;&#1080;&#1087;&#1072;&#1083;&#1100;&#1085;&#1099;&#1084;%20&#1086;&#1073;&#1088;&#1072;&#1079;&#1086;&#1074;&#1072;&#1085;&#1080;&#1103;&#1084;.pdf" TargetMode="External"/><Relationship Id="rId443" Type="http://schemas.openxmlformats.org/officeDocument/2006/relationships/hyperlink" Target="https://cloud.mail.ru/public/Js6U/v7HV8JY7N" TargetMode="External"/><Relationship Id="rId650" Type="http://schemas.openxmlformats.org/officeDocument/2006/relationships/hyperlink" Target="https://www.afanasyevo.ru/dokumenty/postanovleniya-i-rasporyazheniya-administratsii-rajona/item/21922-postanovleniya-administratsii-afanasevskogo-rajona-za-2022-god" TargetMode="External"/><Relationship Id="rId888" Type="http://schemas.openxmlformats.org/officeDocument/2006/relationships/hyperlink" Target="http://kabanovka.kinel-cherkassy.ru/?p=9558" TargetMode="External"/><Relationship Id="rId1073" Type="http://schemas.openxmlformats.org/officeDocument/2006/relationships/hyperlink" Target="http://newalexandrovsk.ru/initsiativnoe-byudzhetirovanie/info/" TargetMode="External"/><Relationship Id="rId1280" Type="http://schemas.openxmlformats.org/officeDocument/2006/relationships/hyperlink" Target="https://tumstat.gks.ru/ofs_demp_ynao" TargetMode="External"/><Relationship Id="rId2124" Type="http://schemas.openxmlformats.org/officeDocument/2006/relationships/hyperlink" Target="https://vk.com/ppmi53)," TargetMode="External"/><Relationship Id="rId303" Type="http://schemas.openxmlformats.org/officeDocument/2006/relationships/hyperlink" Target="https://agro.tmbreg.ru/inv.html" TargetMode="External"/><Relationship Id="rId748" Type="http://schemas.openxmlformats.org/officeDocument/2006/relationships/hyperlink" Target="http://www.platnirovskaja.ru/f_docs/rokvl21i4hdc/postanovlenie-administratsii-platnirovskogo-selskogo-poseleniya-korenovskogo-rayona-ot-24112022-g--258-ob-utverjdenii-vedomstvennoy-tselevoy-programmyi-realizatsiya-initsiativnyih-proektov-v-platnirovskom-selskom-poselenii-korenovskogo-rayona-na-2022.html" TargetMode="External"/><Relationship Id="rId955" Type="http://schemas.openxmlformats.org/officeDocument/2006/relationships/hyperlink" Target="mailto:Patel77@mail.ru" TargetMode="External"/><Relationship Id="rId1140" Type="http://schemas.openxmlformats.org/officeDocument/2006/relationships/hyperlink" Target="https://www.n-vartovsk.ru/ibudget/" TargetMode="External"/><Relationship Id="rId1378" Type="http://schemas.openxmlformats.org/officeDocument/2006/relationships/hyperlink" Target="https://malibrykino.ru/category/docs/postanov/" TargetMode="External"/><Relationship Id="rId1585" Type="http://schemas.openxmlformats.org/officeDocument/2006/relationships/hyperlink" Target="https://adamfin.ru/assets/files/1oldfile/Protokol-no-2-ot-15.06.2022.rar" TargetMode="External"/><Relationship Id="rId1792" Type="http://schemas.openxmlformats.org/officeDocument/2006/relationships/hyperlink" Target="http://starscherb.ru/" TargetMode="External"/><Relationship Id="rId84" Type="http://schemas.openxmlformats.org/officeDocument/2006/relationships/hyperlink" Target="https://login.consultant.ru/link/?req=doc&amp;base=RLAW265&amp;n=80122&amp;dst=100002" TargetMode="External"/><Relationship Id="rId510" Type="http://schemas.openxmlformats.org/officeDocument/2006/relationships/hyperlink" Target="https://02.rosstat.gov.ru/storage/mediabank/CHislennost-naseleniya-po-municipalnym-rajonam-i-gorodskim-okrugam-Respubliki-%20Bashkortostan-na-1-yanvarya-2022-g-s-uchetom-VPN-2020.pdf" TargetMode="External"/><Relationship Id="rId608" Type="http://schemas.openxmlformats.org/officeDocument/2006/relationships/hyperlink" Target="https://cherinfo-doc.ru/documents/reshenie-cherepoveckoj-gorodskoj-dumy-ot-29.01.2021-7-ob-utverzhdenii-polozheniya-ob-iniciativnyh-proektah-na-territorii-goroda-cherepovca" TargetMode="External"/><Relationship Id="rId815" Type="http://schemas.openxmlformats.org/officeDocument/2006/relationships/hyperlink" Target="https://pohgor.ru/sociosfera/prestige-pricing/image-projects_56.html" TargetMode="External"/><Relationship Id="rId1238" Type="http://schemas.openxmlformats.org/officeDocument/2006/relationships/hyperlink" Target="https://www.gubadm.ru/activity/14305/" TargetMode="External"/><Relationship Id="rId1445" Type="http://schemas.openxmlformats.org/officeDocument/2006/relationships/hyperlink" Target="https://tl.orb.ru/vote/207/result/expired/" TargetMode="External"/><Relationship Id="rId1652" Type="http://schemas.openxmlformats.org/officeDocument/2006/relationships/hyperlink" Target="mailto:rfo07@minfin.omskportal.ru" TargetMode="External"/><Relationship Id="rId1000" Type="http://schemas.openxmlformats.org/officeDocument/2006/relationships/hyperlink" Target="https://krur.midural.ru/article/show/id/10381" TargetMode="External"/><Relationship Id="rId1305" Type="http://schemas.openxmlformats.org/officeDocument/2006/relationships/hyperlink" Target="http://www.&#1073;&#1077;&#1082;&#1077;&#1090;&#1086;&#1074;&#1089;&#1082;&#1086;&#1077;.&#1088;&#1092;/load/administracija/normativnye_pravovye_akty/postanovlenie_ot_17_12_2022_66/9-1-0-864" TargetMode="External"/><Relationship Id="rId1957" Type="http://schemas.openxmlformats.org/officeDocument/2006/relationships/hyperlink" Target="http://publication.pravo.gov.ru/Document/View/5700201710030002" TargetMode="External"/><Relationship Id="rId1512" Type="http://schemas.openxmlformats.org/officeDocument/2006/relationships/hyperlink" Target="http://fin-or.ru/content/shkolnyy-byudzhet" TargetMode="External"/><Relationship Id="rId1817" Type="http://schemas.openxmlformats.org/officeDocument/2006/relationships/hyperlink" Target="http://admsennaya.krd.eis1.ru/perechen_program_2022" TargetMode="External"/><Relationship Id="rId11" Type="http://schemas.openxmlformats.org/officeDocument/2006/relationships/hyperlink" Target="https://ppmi.yakutia.click/Home" TargetMode="External"/><Relationship Id="rId398" Type="http://schemas.openxmlformats.org/officeDocument/2006/relationships/hyperlink" Target="https://disk.yandex.ru/i/MLUxWJ1kyoU48g" TargetMode="External"/><Relationship Id="rId2079" Type="http://schemas.openxmlformats.org/officeDocument/2006/relationships/hyperlink" Target="mailto:bud_komfin@novreg.ru" TargetMode="External"/><Relationship Id="rId160" Type="http://schemas.openxmlformats.org/officeDocument/2006/relationships/hyperlink" Target="https://adm.rkomi.ru/" TargetMode="External"/><Relationship Id="rId258" Type="http://schemas.openxmlformats.org/officeDocument/2006/relationships/hyperlink" Target="https://mail.yandex.ru/?uid=1130000046507752" TargetMode="External"/><Relationship Id="rId465" Type="http://schemas.openxmlformats.org/officeDocument/2006/relationships/hyperlink" Target="https://minfin.bashkortostan.ru/documents/active/212260/?ysclid=lg52nxons3712736691" TargetMode="External"/><Relationship Id="rId672" Type="http://schemas.openxmlformats.org/officeDocument/2006/relationships/hyperlink" Target="mailto:92551@mail.ru" TargetMode="External"/><Relationship Id="rId1095" Type="http://schemas.openxmlformats.org/officeDocument/2006/relationships/hyperlink" Target="mailto:fu15@fin.tambov.gov.ru" TargetMode="External"/><Relationship Id="rId2146" Type="http://schemas.openxmlformats.org/officeDocument/2006/relationships/hyperlink" Target="mailto:hondzinskaya.kvp@rkursk.ru" TargetMode="External"/><Relationship Id="rId118" Type="http://schemas.openxmlformats.org/officeDocument/2006/relationships/hyperlink" Target="https://pskov.ru/vlast/ispolnitelnaya/administratsiya/apparat/samoupr" TargetMode="External"/><Relationship Id="rId325" Type="http://schemas.openxmlformats.org/officeDocument/2006/relationships/hyperlink" Target="https://energy.midural.ru/gosudarstvennaya-programma/" TargetMode="External"/><Relationship Id="rId532" Type="http://schemas.openxmlformats.org/officeDocument/2006/relationships/hyperlink" Target="https://mcx.avo.ru/blagoustrojstvo-sel-skih-territorij" TargetMode="External"/><Relationship Id="rId977" Type="http://schemas.openxmlformats.org/officeDocument/2006/relationships/hyperlink" Target="https://www.gks.ru/scripts/db_inet2/passport/table.aspx?opt=366244802022" TargetMode="External"/><Relationship Id="rId1162" Type="http://schemas.openxmlformats.org/officeDocument/2006/relationships/hyperlink" Target="https://vk.com/public188912037" TargetMode="External"/><Relationship Id="rId2006" Type="http://schemas.openxmlformats.org/officeDocument/2006/relationships/hyperlink" Target="http://publication.pravo.gov.ru/Document/View/5200201712270003" TargetMode="External"/><Relationship Id="rId837" Type="http://schemas.openxmlformats.org/officeDocument/2006/relationships/hyperlink" Target="mailto:lukianovpv@samadm.ru" TargetMode="External"/><Relationship Id="rId1022" Type="http://schemas.openxmlformats.org/officeDocument/2006/relationships/hyperlink" Target="mailto:fin@georgievsk.stavregion.ru" TargetMode="External"/><Relationship Id="rId1467" Type="http://schemas.openxmlformats.org/officeDocument/2006/relationships/hyperlink" Target="https://gy.orb.ru/upload/uf/2cd/strategy_2012.doc" TargetMode="External"/><Relationship Id="rId1674" Type="http://schemas.openxmlformats.org/officeDocument/2006/relationships/hyperlink" Target="https://komobrlub.edusite.ru/p94aa1.html" TargetMode="External"/><Relationship Id="rId1881" Type="http://schemas.openxmlformats.org/officeDocument/2006/relationships/hyperlink" Target="mailto:n.dubchak@krd.ru" TargetMode="External"/><Relationship Id="rId904" Type="http://schemas.openxmlformats.org/officeDocument/2006/relationships/hyperlink" Target="https://admkinel-cherkassy.ru/2021/08/18/%d1%80%d0%b5%d1%88%d0%b5%d0%bd%d0%b8%d0%b5-%e2%84%96-19-3-%d0%be%d1%82-12-08-2021-%d0%be%d0%b1-%d1%83%d1%82%d0%b2%d0%b5%d1%80%d0%b6%d0%b4%d0%b5%d0%bd%d0%b8%d0%b8-%d0%bf%d0%be%d0%bb%d0%be%d0%b6/" TargetMode="External"/><Relationship Id="rId1327" Type="http://schemas.openxmlformats.org/officeDocument/2006/relationships/hyperlink" Target="mailto:finupr.adm.vesh@mail.ru" TargetMode="External"/><Relationship Id="rId1534" Type="http://schemas.openxmlformats.org/officeDocument/2006/relationships/hyperlink" Target="https://krasnogvardfo.ru/narodnyij-byudzhet" TargetMode="External"/><Relationship Id="rId1741" Type="http://schemas.openxmlformats.org/officeDocument/2006/relationships/hyperlink" Target="https://dzhankoy.rk.gov.ru/document/show/4055" TargetMode="External"/><Relationship Id="rId1979" Type="http://schemas.openxmlformats.org/officeDocument/2006/relationships/hyperlink" Target="https://budget.rk.ifinmon.ru/krym-kak-my-hotim/dokumenty" TargetMode="External"/><Relationship Id="rId33" Type="http://schemas.openxmlformats.org/officeDocument/2006/relationships/hyperlink" Target="https://30.rosstat.gov.ru/folder/35673" TargetMode="External"/><Relationship Id="rId1601" Type="http://schemas.openxmlformats.org/officeDocument/2006/relationships/hyperlink" Target="http://sorochinsk56.ru/index.php?id=519" TargetMode="External"/><Relationship Id="rId1839" Type="http://schemas.openxmlformats.org/officeDocument/2006/relationships/hyperlink" Target="https://gs-sochi.ru/wp-content/uploads/2021/06/r2021_059.pdf" TargetMode="External"/><Relationship Id="rId182" Type="http://schemas.openxmlformats.org/officeDocument/2006/relationships/hyperlink" Target="https://www.minfin.kirov.ru/upload/medialibrary/documents/1kv_2022/%D0%BD%D0%B0%D1%80%D0%BE%D0%B4%D0%BD%D1%8B%D0%B9%D0%B1%D1%8E%D0%B4%D0%B6%D0%B5%D1%82.png" TargetMode="External"/><Relationship Id="rId1906" Type="http://schemas.openxmlformats.org/officeDocument/2006/relationships/hyperlink" Target="http://publication.pravo.gov.ru/Document/View/4800201904040004?index=0&amp;rangeSize=1" TargetMode="External"/><Relationship Id="rId487" Type="http://schemas.openxmlformats.org/officeDocument/2006/relationships/hyperlink" Target="https://disk.yandex.ru/d/Swo1Oar0ZAXXhQ" TargetMode="External"/><Relationship Id="rId694" Type="http://schemas.openxmlformats.org/officeDocument/2006/relationships/hyperlink" Target="mailto:zakaz@sysola.rkomi.ru" TargetMode="External"/><Relationship Id="rId2070" Type="http://schemas.openxmlformats.org/officeDocument/2006/relationships/hyperlink" Target="https://docs.cntd.ru/document/553386375" TargetMode="External"/><Relationship Id="rId347" Type="http://schemas.openxmlformats.org/officeDocument/2006/relationships/hyperlink" Target="https://disk.yandex.ru/d/HJSWEZqo5gRLhQ" TargetMode="External"/><Relationship Id="rId999" Type="http://schemas.openxmlformats.org/officeDocument/2006/relationships/hyperlink" Target="https://krur.midural.ru/article/show/id/10381" TargetMode="External"/><Relationship Id="rId1184" Type="http://schemas.openxmlformats.org/officeDocument/2006/relationships/hyperlink" Target="http://www.admugansk.ru/read/52979" TargetMode="External"/><Relationship Id="rId2028" Type="http://schemas.openxmlformats.org/officeDocument/2006/relationships/hyperlink" Target="https://24.rosstat.gov.ru/news/document/158376?ysclid=lgunszgqrp590652391" TargetMode="External"/><Relationship Id="rId554" Type="http://schemas.openxmlformats.org/officeDocument/2006/relationships/hyperlink" Target="https://belg.gks.ru/" TargetMode="External"/><Relationship Id="rId761" Type="http://schemas.openxmlformats.org/officeDocument/2006/relationships/hyperlink" Target="https://vk.com/public217341028?w=wall-217341028_16" TargetMode="External"/><Relationship Id="rId859" Type="http://schemas.openxmlformats.org/officeDocument/2006/relationships/hyperlink" Target="mailto:admspisakly@yandex.ru" TargetMode="External"/><Relationship Id="rId1391" Type="http://schemas.openxmlformats.org/officeDocument/2006/relationships/hyperlink" Target="http://www.besleneevskaja.ru/" TargetMode="External"/><Relationship Id="rId1489" Type="http://schemas.openxmlformats.org/officeDocument/2006/relationships/hyperlink" Target="https://tu.orb.ru/documents/other/132806/" TargetMode="External"/><Relationship Id="rId1696" Type="http://schemas.openxmlformats.org/officeDocument/2006/relationships/hyperlink" Target="https://www.gks.ru/scripts/db_inet2/passport/table.aspx?opt=227370002022" TargetMode="External"/><Relationship Id="rId207" Type="http://schemas.openxmlformats.org/officeDocument/2006/relationships/hyperlink" Target="https://belg.gks.ru/population" TargetMode="External"/><Relationship Id="rId414" Type="http://schemas.openxmlformats.org/officeDocument/2006/relationships/hyperlink" Target="https://16.rosstat.gov.ru/naselenie" TargetMode="External"/><Relationship Id="rId621" Type="http://schemas.openxmlformats.org/officeDocument/2006/relationships/hyperlink" Target="https://vk.com/wall659391180_113" TargetMode="External"/><Relationship Id="rId1044" Type="http://schemas.openxmlformats.org/officeDocument/2006/relationships/hyperlink" Target="http://kir-portal.ru/duma/doc/345_23.03.2021.doc" TargetMode="External"/><Relationship Id="rId1251" Type="http://schemas.openxmlformats.org/officeDocument/2006/relationships/hyperlink" Target="https://tumstat.gks.ru/storage/mediabank/&#1063;&#1080;&#1089;&#1083;&#1077;&#1085;&#1086;&#1089;&#1090;&#1100;%20&#1085;&#1072;&#1089;&#1077;&#1083;&#1077;&#1085;&#1080;&#1103;%20&#1071;&#1053;&#1040;&#1054;%20&#1085;&#1072;%20&#1085;&#1072;&#1095;&#1072;&#1083;&#1086;%202017-2023%20&#1075;&#1086;&#1076;&#1072;.xlsx" TargetMode="External"/><Relationship Id="rId1349" Type="http://schemas.openxmlformats.org/officeDocument/2006/relationships/hyperlink" Target="http://www.stemasskoe.ru/load/normativno_pravovye_akty/utverzhdennye/postanovlenie_administracii_mo_stemasskoe_selskoe_poselenie_ot_01_11_2018_45/37-1-0-170" TargetMode="External"/><Relationship Id="rId719" Type="http://schemas.openxmlformats.org/officeDocument/2006/relationships/hyperlink" Target="https://adm-yaroslavskogo.ru/&#1087;&#1088;&#1086;&#1077;&#1082;&#1090;&#1099;-&#1084;&#1077;&#1089;&#1090;&#1085;&#1099;&#1093;-&#1080;&#1085;&#1080;&#1094;&#1080;&#1072;&#1090;&#1080;&#1074;" TargetMode="External"/><Relationship Id="rId926" Type="http://schemas.openxmlformats.org/officeDocument/2006/relationships/hyperlink" Target="http://krotovka.kinel-cherkassy.ru/images/files/Reshenie_19-2_ot_23.08.2021.pdf" TargetMode="External"/><Relationship Id="rId1111" Type="http://schemas.openxmlformats.org/officeDocument/2006/relationships/hyperlink" Target="https://khv27.ru/administration/structural-units/upravlenie-po-svyazyam-s-obshchestvennostyu-i-smi/dokumenty/" TargetMode="External"/><Relationship Id="rId1556" Type="http://schemas.openxmlformats.org/officeDocument/2006/relationships/hyperlink" Target="http://pp-bz.ru/legal-acts/2425" TargetMode="External"/><Relationship Id="rId1763" Type="http://schemas.openxmlformats.org/officeDocument/2006/relationships/hyperlink" Target="mailto:Lapo@fin.admkrsk.ru" TargetMode="External"/><Relationship Id="rId1970" Type="http://schemas.openxmlformats.org/officeDocument/2006/relationships/hyperlink" Target="https://minter.permkrai.ru/dokumenty/106609/" TargetMode="External"/><Relationship Id="rId55" Type="http://schemas.openxmlformats.org/officeDocument/2006/relationships/hyperlink" Target="https://pravo.govvrn.ru/?q=node/15372" TargetMode="External"/><Relationship Id="rId1209" Type="http://schemas.openxmlformats.org/officeDocument/2006/relationships/hyperlink" Target="https://lbt.yanao.ru/activity/730" TargetMode="External"/><Relationship Id="rId1416" Type="http://schemas.openxmlformats.org/officeDocument/2006/relationships/hyperlink" Target="mailto:kfsbor@sbor.ru" TargetMode="External"/><Relationship Id="rId1623" Type="http://schemas.openxmlformats.org/officeDocument/2006/relationships/hyperlink" Target="https://buzuluk.orb.ru/activity/20976/" TargetMode="External"/><Relationship Id="rId1830" Type="http://schemas.openxmlformats.org/officeDocument/2006/relationships/hyperlink" Target="mailto:zaporoz_adm@mail.ru" TargetMode="External"/><Relationship Id="rId1928" Type="http://schemas.openxmlformats.org/officeDocument/2006/relationships/hyperlink" Target="https://pib.primorsky.ru/Menu/Presentation/14?ItemId=14" TargetMode="External"/><Relationship Id="rId2092" Type="http://schemas.openxmlformats.org/officeDocument/2006/relationships/hyperlink" Target="https://vk.com/ppmi53)," TargetMode="External"/><Relationship Id="rId271" Type="http://schemas.openxmlformats.org/officeDocument/2006/relationships/hyperlink" Target="http://www.udmurt.ru/regulatory/index.php?typeid=All&amp;regnum=79&amp;sdate=06.03.2019&amp;edate=&amp;sdatepub=&amp;edatepub=&amp;q=&amp;doccnt=&amp;page=2&amp;doccnt=" TargetMode="External"/><Relationship Id="rId131" Type="http://schemas.openxmlformats.org/officeDocument/2006/relationships/hyperlink" Target="mailto:salakhutdinova.ar@bashkortostan.ru" TargetMode="External"/><Relationship Id="rId369" Type="http://schemas.openxmlformats.org/officeDocument/2006/relationships/hyperlink" Target="https://spbddtl.ru/page-417.html" TargetMode="External"/><Relationship Id="rId576" Type="http://schemas.openxmlformats.org/officeDocument/2006/relationships/hyperlink" Target="https://yakovgo.gosuslugi.ru/ofitsialno/dokumenty/dokumenty-all-2494_1860.html" TargetMode="External"/><Relationship Id="rId783" Type="http://schemas.openxmlformats.org/officeDocument/2006/relationships/hyperlink" Target="mailto:agofin520@yandex.ru" TargetMode="External"/><Relationship Id="rId990" Type="http://schemas.openxmlformats.org/officeDocument/2006/relationships/hyperlink" Target="http://&#1080;&#1085;&#1080;&#1094;&#1080;&#1072;&#1090;&#1080;&#1074;&#1072;.&#1077;&#1082;&#1072;&#1090;&#1077;&#1088;&#1080;&#1085;&#1073;&#1091;&#1088;&#1075;.&#1088;&#1092;/" TargetMode="External"/><Relationship Id="rId229" Type="http://schemas.openxmlformats.org/officeDocument/2006/relationships/hyperlink" Target="mailto:init@fin22.ru" TargetMode="External"/><Relationship Id="rId436" Type="http://schemas.openxmlformats.org/officeDocument/2006/relationships/hyperlink" Target="https://78.rosstat.gov.ru/storage/mediabank/&#1063;&#1080;&#1089;&#1083;.&#1057;&#1055;&#1073;%20&#1085;&#1072;%2001.01.2022%20.pdf" TargetMode="External"/><Relationship Id="rId643" Type="http://schemas.openxmlformats.org/officeDocument/2006/relationships/hyperlink" Target="https://40.rosstat.gov.ru/storage/mediabank/&#1063;&#1080;&#1089;&#1083;&#1077;&#1085;&#1085;&#1086;&#1089;&#1090;&#1100;%20&#1087;&#1086;&#1089;&#1090;&#1086;&#1103;&#1085;&#1085;&#1086;&#1075;&#1086;%20&#1085;&#1072;&#1089;&#1077;&#1083;&#1077;&#1085;&#1080;&#1103;%20&#1050;&#1072;&#1083;&#1091;&#1078;&#1089;&#1082;&#1086;&#1081;%20&#1086;&#1073;&#1083;&#1072;&#1089;&#1090;&#1080;%20&#1087;&#1086;%20&#1084;&#1091;&#1085;&#1080;&#1094;&#1080;&#1087;&#1072;&#1083;&#1100;&#1085;&#1099;&#1084;%20&#1086;&#1073;&#1088;&#1072;&#1079;&#1086;&#1074;&#1072;&#1085;&#1080;&#1103;&#1084;.pdf" TargetMode="External"/><Relationship Id="rId1066" Type="http://schemas.openxmlformats.org/officeDocument/2006/relationships/hyperlink" Target="http://newalexandrovsk.ru/initsiativnoe-byudzhetirovanie/info/" TargetMode="External"/><Relationship Id="rId1273" Type="http://schemas.openxmlformats.org/officeDocument/2006/relationships/hyperlink" Target="https://yam.yanao.ru/documents/active/256110/" TargetMode="External"/><Relationship Id="rId1480" Type="http://schemas.openxmlformats.org/officeDocument/2006/relationships/hyperlink" Target="mailto:kurfin@mail.ru" TargetMode="External"/><Relationship Id="rId2117" Type="http://schemas.openxmlformats.org/officeDocument/2006/relationships/hyperlink" Target="https://apk.novreg.ru/documents/552.html" TargetMode="External"/><Relationship Id="rId850" Type="http://schemas.openxmlformats.org/officeDocument/2006/relationships/hyperlink" Target="mailto:strazhec.ns@tgl.ru" TargetMode="External"/><Relationship Id="rId948" Type="http://schemas.openxmlformats.org/officeDocument/2006/relationships/hyperlink" Target="https://podgornoe.kinel-cherkassy.ru/" TargetMode="External"/><Relationship Id="rId1133" Type="http://schemas.openxmlformats.org/officeDocument/2006/relationships/hyperlink" Target="https://admsurgut.ru/rubric/24175/Iniciativnye-proekty" TargetMode="External"/><Relationship Id="rId1578" Type="http://schemas.openxmlformats.org/officeDocument/2006/relationships/hyperlink" Target="mailto:velav@mail.orb.ru" TargetMode="External"/><Relationship Id="rId1785" Type="http://schemas.openxmlformats.org/officeDocument/2006/relationships/hyperlink" Target="https://divnogorsk.gosuslugi.ru/ofitsialno/dokumenty/arhiv-dokumentov/arhiv-resheniy-gorodskogo-soveta/resheniya-gorodskogo-soveta-2021-god/postanovleniya-2021_604.html" TargetMode="External"/><Relationship Id="rId1992" Type="http://schemas.openxmlformats.org/officeDocument/2006/relationships/hyperlink" Target="mailto:mf-pts@minfin.mari.ru" TargetMode="External"/><Relationship Id="rId77" Type="http://schemas.openxmlformats.org/officeDocument/2006/relationships/hyperlink" Target="https://internet.garant.ru/" TargetMode="External"/><Relationship Id="rId503" Type="http://schemas.openxmlformats.org/officeDocument/2006/relationships/hyperlink" Target="https://karaidel.bashkortostan.ru/documents/active/417423/" TargetMode="External"/><Relationship Id="rId710" Type="http://schemas.openxmlformats.org/officeDocument/2006/relationships/hyperlink" Target="mailto:o.n.vityuk@usinsk.rkomi.ru" TargetMode="External"/><Relationship Id="rId808" Type="http://schemas.openxmlformats.org/officeDocument/2006/relationships/hyperlink" Target="http://pohgor.samgd.ru/acts/decisions/77554/" TargetMode="External"/><Relationship Id="rId1340" Type="http://schemas.openxmlformats.org/officeDocument/2006/relationships/hyperlink" Target="https://majnskij-r73.gosweb.gosuslugi.ru/deyatelnost/napravleniya-deyatelnosti/finansovoe-upravlenie/initsiativnoe-byudzhetirovanie/narodnyy-byudzhet/2022-god/" TargetMode="External"/><Relationship Id="rId1438" Type="http://schemas.openxmlformats.org/officeDocument/2006/relationships/hyperlink" Target="https://pnz.gks.ru/demography" TargetMode="External"/><Relationship Id="rId1645" Type="http://schemas.openxmlformats.org/officeDocument/2006/relationships/hyperlink" Target="mailto:rfo24@minfin.omskportal.ru" TargetMode="External"/><Relationship Id="rId1200" Type="http://schemas.openxmlformats.org/officeDocument/2006/relationships/hyperlink" Target="https://vk.com/uyt_yamal,%20https:/df.salekhard.org/%20%20(&#1056;&#1040;&#1047;&#1044;&#1045;&#1051;%20%22&#1041;&#1048;&#1043;%22)" TargetMode="External"/><Relationship Id="rId1852" Type="http://schemas.openxmlformats.org/officeDocument/2006/relationships/hyperlink" Target="https://disk.yandex.ru/d/0znO5iLzr_dUIA" TargetMode="External"/><Relationship Id="rId1505" Type="http://schemas.openxmlformats.org/officeDocument/2006/relationships/hyperlink" Target="mailto:velav@mail.orb.ru" TargetMode="External"/><Relationship Id="rId1712" Type="http://schemas.openxmlformats.org/officeDocument/2006/relationships/hyperlink" Target="https://borcity.ru/authority/mp_akt.php" TargetMode="External"/><Relationship Id="rId293" Type="http://schemas.openxmlformats.org/officeDocument/2006/relationships/hyperlink" Target="https://www.tambov.gov.ru/news/view/proekt-narodnaya-iniciativa-novye-usloviya-novye-idei.html" TargetMode="External"/><Relationship Id="rId153" Type="http://schemas.openxmlformats.org/officeDocument/2006/relationships/hyperlink" Target="https://vk.com/reshaemvmeste76" TargetMode="External"/><Relationship Id="rId360" Type="http://schemas.openxmlformats.org/officeDocument/2006/relationships/hyperlink" Target="https://zakupki.gov.ru/epz/contract/contractCard/document-info.html?reestrNumber=2783000243022000010&amp;contractInfoId=75520769" TargetMode="External"/><Relationship Id="rId598" Type="http://schemas.openxmlformats.org/officeDocument/2006/relationships/hyperlink" Target="https://vk.com/video-186108534_456239992?list=c00328f21a03e76cd2" TargetMode="External"/><Relationship Id="rId2041" Type="http://schemas.openxmlformats.org/officeDocument/2006/relationships/hyperlink" Target="https://smi.adm-nao.ru/iniciativnoe-byudzhetirovanie/informaciya-o-pobeditelyah-konkursov/" TargetMode="External"/><Relationship Id="rId220" Type="http://schemas.openxmlformats.org/officeDocument/2006/relationships/hyperlink" Target="https://kaliningrad.gks.ru/infogr_kdstat/document/159879" TargetMode="External"/><Relationship Id="rId458" Type="http://schemas.openxmlformats.org/officeDocument/2006/relationships/hyperlink" Target="https://75.gorodsreda.ru/" TargetMode="External"/><Relationship Id="rId665" Type="http://schemas.openxmlformats.org/officeDocument/2006/relationships/hyperlink" Target="mailto:amrizhmazam@mail.ru" TargetMode="External"/><Relationship Id="rId872" Type="http://schemas.openxmlformats.org/officeDocument/2006/relationships/hyperlink" Target="http://aleksandrovka.kinel-cherkassy.ru/?p=6117" TargetMode="External"/><Relationship Id="rId1088" Type="http://schemas.openxmlformats.org/officeDocument/2006/relationships/hyperlink" Target="mailto:territory@updtpmo.ru" TargetMode="External"/><Relationship Id="rId1295" Type="http://schemas.openxmlformats.org/officeDocument/2006/relationships/hyperlink" Target="https://bsizgan.gosuslugi.ru/ofitsialno/dokumenty/rsd-bgp/rsd-bgp-2021/dokumenty_1254.html" TargetMode="External"/><Relationship Id="rId2139" Type="http://schemas.openxmlformats.org/officeDocument/2006/relationships/hyperlink" Target="mailto:tashireva@gov-murman.ru" TargetMode="External"/><Relationship Id="rId318" Type="http://schemas.openxmlformats.org/officeDocument/2006/relationships/hyperlink" Target="https://vk.com/economy_so" TargetMode="External"/><Relationship Id="rId525" Type="http://schemas.openxmlformats.org/officeDocument/2006/relationships/hyperlink" Target="http://publication.pravo.gov.ru/Document/View/3401202208170002" TargetMode="External"/><Relationship Id="rId732" Type="http://schemas.openxmlformats.org/officeDocument/2006/relationships/hyperlink" Target="https://privoladm.ru/initsiativnoe-byudzhetirovanie" TargetMode="External"/><Relationship Id="rId1155" Type="http://schemas.openxmlformats.org/officeDocument/2006/relationships/hyperlink" Target="http://lugovoikonda.ru/initciativnyy-proekt-skver-100-letiya.html" TargetMode="External"/><Relationship Id="rId1362" Type="http://schemas.openxmlformats.org/officeDocument/2006/relationships/hyperlink" Target="https://73.rosstat.gov.ru/folder/40275" TargetMode="External"/><Relationship Id="rId99" Type="http://schemas.openxmlformats.org/officeDocument/2006/relationships/hyperlink" Target="https://docs.cntd.ru/document/570709755" TargetMode="External"/><Relationship Id="rId1015" Type="http://schemas.openxmlformats.org/officeDocument/2006/relationships/hyperlink" Target="http://abgosk.ru/finansy/initsiativnoe-byudzhetirovanie/normativno-pravovaya-baza/normativno-pravovaya-baza.php" TargetMode="External"/><Relationship Id="rId1222" Type="http://schemas.openxmlformats.org/officeDocument/2006/relationships/hyperlink" Target="https://gorod-noyabrsk89.testportal.yanao.ru/documents/active/225346/" TargetMode="External"/><Relationship Id="rId1667" Type="http://schemas.openxmlformats.org/officeDocument/2006/relationships/hyperlink" Target="https://komobrlub.edusite.ru/images/p94_ob-yavlenie-tshb-_1_.jpg" TargetMode="External"/><Relationship Id="rId1874" Type="http://schemas.openxmlformats.org/officeDocument/2006/relationships/hyperlink" Target="https://&#1072;&#1076;&#1084;-&#1088;&#1086;&#1076;&#1085;&#1080;&#1082;&#1086;&#1074;&#1089;&#1082;&#1072;&#1103;.&#1088;&#1092;/documents/2576.html" TargetMode="External"/><Relationship Id="rId1527" Type="http://schemas.openxmlformats.org/officeDocument/2006/relationships/hyperlink" Target="https://finotdnovoorsk.ru/kadrovoe-obespechenie" TargetMode="External"/><Relationship Id="rId1734" Type="http://schemas.openxmlformats.org/officeDocument/2006/relationships/hyperlink" Target="https://82.rosstat.gov.ru/storage/mediabank/&#1057;&#1088;&#1077;&#1076;&#1085;&#1077;&#1075;&#1086;&#1076;&#1086;&#1074;&#1072;&#1103;%20&#1085;&#1072;%20&#1089;&#1072;&#1081;&#1090;%202022(2).pd" TargetMode="External"/><Relationship Id="rId1941" Type="http://schemas.openxmlformats.org/officeDocument/2006/relationships/hyperlink" Target="https://ovmf2.consultant.ru/cgi/online.cgi?req=doc&amp;cacheid=6986BF37D741E4A1968C35FE1D137A2C&amp;SORTTYPE=0&amp;BASENODE=23700-61&amp;ts=duLtebTJuH2fnC9M&amp;base=RLAW148&amp;n=190119&amp;rnd=cGgdgg" TargetMode="External"/><Relationship Id="rId26" Type="http://schemas.openxmlformats.org/officeDocument/2006/relationships/hyperlink" Target="mailto:gorbunov@fin.amurobl.ru" TargetMode="External"/><Relationship Id="rId175" Type="http://schemas.openxmlformats.org/officeDocument/2006/relationships/hyperlink" Target="http://publication.pravo.gov.ru/Document/View/1000202202250006" TargetMode="External"/><Relationship Id="rId1801" Type="http://schemas.openxmlformats.org/officeDocument/2006/relationships/hyperlink" Target="mailto:sp_tenginka@mail.ru" TargetMode="External"/><Relationship Id="rId382" Type="http://schemas.openxmlformats.org/officeDocument/2006/relationships/hyperlink" Target="mailto:zaytsevds@saratov.gov.ru" TargetMode="External"/><Relationship Id="rId687" Type="http://schemas.openxmlformats.org/officeDocument/2006/relationships/hyperlink" Target="https://vk.com/gorodvorkuta" TargetMode="External"/><Relationship Id="rId2063" Type="http://schemas.openxmlformats.org/officeDocument/2006/relationships/hyperlink" Target="https://vk.com/ppmi53)," TargetMode="External"/><Relationship Id="rId242" Type="http://schemas.openxmlformats.org/officeDocument/2006/relationships/hyperlink" Target="https://cloud.mail.ru/public/rYUK/o5nFb21TV" TargetMode="External"/><Relationship Id="rId894" Type="http://schemas.openxmlformats.org/officeDocument/2006/relationships/hyperlink" Target="https://samarastat.gks.ru/population" TargetMode="External"/><Relationship Id="rId1177" Type="http://schemas.openxmlformats.org/officeDocument/2006/relationships/hyperlink" Target="http://shugur.ru/narodnyy-byudzhet.html" TargetMode="External"/><Relationship Id="rId2130" Type="http://schemas.openxmlformats.org/officeDocument/2006/relationships/hyperlink" Target="https://novgorodstat.gks.ru/storage/mediabank/%D0%A7%D0%B8%D1%81%D0%BB%D0%B5%D0%BD%D0%BD%D0%BE%D1%81%D1%82%D1%8C%20%D0%BE%D0%B1%D0%BB%D0%B0%D1%81%D1%82%D1%8C%202022.pdf" TargetMode="External"/><Relationship Id="rId102" Type="http://schemas.openxmlformats.org/officeDocument/2006/relationships/hyperlink" Target="mailto:budget_mbo@gfu.ivanovo.ru" TargetMode="External"/><Relationship Id="rId547" Type="http://schemas.openxmlformats.org/officeDocument/2006/relationships/hyperlink" Target="https://ok.ru/profile/574795459450" TargetMode="External"/><Relationship Id="rId754" Type="http://schemas.openxmlformats.org/officeDocument/2006/relationships/hyperlink" Target="https://23.rosstat.gov.ru/storage/mediabank/Ocenka22.htm" TargetMode="External"/><Relationship Id="rId961" Type="http://schemas.openxmlformats.org/officeDocument/2006/relationships/hyperlink" Target="http://chernovka.kinel-cherkassy.ru/wp-content/uploads/2021/07/&#1056;&#1077;&#1096;&#1077;&#1085;&#1080;&#1077;&#8470;-26-1-&#1086;&#1090;-23.07.2021.doc" TargetMode="External"/><Relationship Id="rId1384" Type="http://schemas.openxmlformats.org/officeDocument/2006/relationships/hyperlink" Target="mailto:adm-chsp@mail.ru" TargetMode="External"/><Relationship Id="rId1591" Type="http://schemas.openxmlformats.org/officeDocument/2006/relationships/hyperlink" Target="mailto:kna@ys.orb.ru" TargetMode="External"/><Relationship Id="rId1689" Type="http://schemas.openxmlformats.org/officeDocument/2006/relationships/hyperlink" Target="mailto:polia.alt2020@yandex.ru" TargetMode="External"/><Relationship Id="rId90" Type="http://schemas.openxmlformats.org/officeDocument/2006/relationships/hyperlink" Target="https://ipr.kostroma.gov.ru/realizatsiya-proektov-razvitiya-osnovannykh-na-obshchestvennykh-initsiativakh/konkursnyy-otbor.php" TargetMode="External"/><Relationship Id="rId407" Type="http://schemas.openxmlformats.org/officeDocument/2006/relationships/hyperlink" Target="http://vmeste161.ru/" TargetMode="External"/><Relationship Id="rId614" Type="http://schemas.openxmlformats.org/officeDocument/2006/relationships/hyperlink" Target="https://gvardeysk.gov39.ru/files/dokumentu/normativnue-pravovue-aktu/2021-reshenia-soveta/52_18_02_2021_sd.docx" TargetMode="External"/><Relationship Id="rId821" Type="http://schemas.openxmlformats.org/officeDocument/2006/relationships/hyperlink" Target="https://www.samadm.ru/docs/official-publication/31618/" TargetMode="External"/><Relationship Id="rId1037" Type="http://schemas.openxmlformats.org/officeDocument/2006/relationships/hyperlink" Target="http://izobadmin.ru/taxonomy/term/345" TargetMode="External"/><Relationship Id="rId1244" Type="http://schemas.openxmlformats.org/officeDocument/2006/relationships/hyperlink" Target="https://www.gubadm.ru/activity/14305/" TargetMode="External"/><Relationship Id="rId1451" Type="http://schemas.openxmlformats.org/officeDocument/2006/relationships/hyperlink" Target="https://www.aleksandrovka56.ru/munitsipalitet/?ELEMENT_ID=4542" TargetMode="External"/><Relationship Id="rId1896" Type="http://schemas.openxmlformats.org/officeDocument/2006/relationships/hyperlink" Target="http://&#1072;&#1076;&#1084;-&#1080;&#1074;&#1072;&#1085;&#1086;&#1074;&#1089;&#1082;&#1072;&#1103;.&#1088;&#1092;/documents/1523%7Bpage-3%7D.html" TargetMode="External"/><Relationship Id="rId919" Type="http://schemas.openxmlformats.org/officeDocument/2006/relationships/hyperlink" Target="http://krotovka.kinel-cherkassy.ru/index.php" TargetMode="External"/><Relationship Id="rId1104" Type="http://schemas.openxmlformats.org/officeDocument/2006/relationships/hyperlink" Target="https://www.tyumen-city.ru/vlast/administration/struktura-administracii-goroda-tumeni/departaments/departament/napravleniya/municipalynieprogrammi/" TargetMode="External"/><Relationship Id="rId1311" Type="http://schemas.openxmlformats.org/officeDocument/2006/relationships/hyperlink" Target="https://veshkajma-r73.gosweb.gosuslugi.ru/deyatelnost/napravleniya-deyatelnosti/finansy/budgetgr/" TargetMode="External"/><Relationship Id="rId1549" Type="http://schemas.openxmlformats.org/officeDocument/2006/relationships/hyperlink" Target="mailto:bns@bz-orb.ru" TargetMode="External"/><Relationship Id="rId1756" Type="http://schemas.openxmlformats.org/officeDocument/2006/relationships/hyperlink" Target="https://dzhankoy.rk.gov.ru/uploads/txteditor/dzhankoy/attachments/d4/1d/8c/d98f00b204e9800998ecf8427e/phpgZYxU7_189.pdf" TargetMode="External"/><Relationship Id="rId1963" Type="http://schemas.openxmlformats.org/officeDocument/2006/relationships/hyperlink" Target="https://minter.permkrai.ru/deyatelnost/podderzhka-mestnykh-initsiativ/initsiativnoe-byudzhetirovanie/initsiativnoe-byudzhetirovanie" TargetMode="External"/><Relationship Id="rId48" Type="http://schemas.openxmlformats.org/officeDocument/2006/relationships/hyperlink" Target="https://pravo.govvrn.ru/?q=node/4481" TargetMode="External"/><Relationship Id="rId1409" Type="http://schemas.openxmlformats.org/officeDocument/2006/relationships/hyperlink" Target="mailto:org_timregion@mail.ru" TargetMode="External"/><Relationship Id="rId1616" Type="http://schemas.openxmlformats.org/officeDocument/2006/relationships/hyperlink" Target="https://www.gorodmednogorsk.ru/economic/adm-oe-info.html" TargetMode="External"/><Relationship Id="rId1823" Type="http://schemas.openxmlformats.org/officeDocument/2006/relationships/hyperlink" Target="https://admkrasnostrelskaya.ru/index.php?id=219&amp;page=invbud" TargetMode="External"/><Relationship Id="rId197" Type="http://schemas.openxmlformats.org/officeDocument/2006/relationships/hyperlink" Target="http://pravo-astrobl.ru/documents/document-0002202112310011/" TargetMode="External"/><Relationship Id="rId2085" Type="http://schemas.openxmlformats.org/officeDocument/2006/relationships/hyperlink" Target="https://docs.cntd.ru/document/553386375" TargetMode="External"/><Relationship Id="rId264" Type="http://schemas.openxmlformats.org/officeDocument/2006/relationships/hyperlink" Target="https://udmstat.gks.ru/folder/51924" TargetMode="External"/><Relationship Id="rId471" Type="http://schemas.openxmlformats.org/officeDocument/2006/relationships/hyperlink" Target="https://minfin.bashkortostan.ru/documents/active/212260/?ysclid=lg52nxons3712736691" TargetMode="External"/><Relationship Id="rId2152" Type="http://schemas.openxmlformats.org/officeDocument/2006/relationships/hyperlink" Target="https://www.avito.ru/kaliningrad/predlozheniya_uslug/raschistka_uchastka._vyravnivanie_756927939" TargetMode="External"/><Relationship Id="rId124" Type="http://schemas.openxmlformats.org/officeDocument/2006/relationships/hyperlink" Target="http://&#1088;&#1077;&#1072;&#1083;&#1100;&#1085;&#1099;&#1077;-&#1076;&#1077;&#1083;&#1072;.&#1088;&#1092;/" TargetMode="External"/><Relationship Id="rId569" Type="http://schemas.openxmlformats.org/officeDocument/2006/relationships/hyperlink" Target="https://gubtrk.ru/news/administracziya/10760-241220" TargetMode="External"/><Relationship Id="rId776" Type="http://schemas.openxmlformats.org/officeDocument/2006/relationships/hyperlink" Target="https://sd-pravo.ru/npa/files/npa/7008.docx" TargetMode="External"/><Relationship Id="rId983" Type="http://schemas.openxmlformats.org/officeDocument/2006/relationships/hyperlink" Target="https://asbestadm.ru/economy/initsiativnoe-byudzhetirovanie/normativno-pravovyie-dokumentyi/" TargetMode="External"/><Relationship Id="rId1199" Type="http://schemas.openxmlformats.org/officeDocument/2006/relationships/hyperlink" Target="https://df.salekhard.org/byudzhetnaya-initsiativa-grazhdan/2021.php" TargetMode="External"/><Relationship Id="rId331" Type="http://schemas.openxmlformats.org/officeDocument/2006/relationships/hyperlink" Target="https://disk.yandex.ru/i/N6JLRwJUO7ZOBw" TargetMode="External"/><Relationship Id="rId429" Type="http://schemas.openxmlformats.org/officeDocument/2006/relationships/hyperlink" Target="https://isib.myopenugra.ru/" TargetMode="External"/><Relationship Id="rId636" Type="http://schemas.openxmlformats.org/officeDocument/2006/relationships/hyperlink" Target="https://www.kaluga-gov.ru/obshchestvo/initsiativnye-proekty/pravovaya-baza/2740/" TargetMode="External"/><Relationship Id="rId1059" Type="http://schemas.openxmlformats.org/officeDocument/2006/relationships/hyperlink" Target="mailto:finnev@nevsk.stavregion.ru" TargetMode="External"/><Relationship Id="rId1266" Type="http://schemas.openxmlformats.org/officeDocument/2006/relationships/hyperlink" Target="https://vk.com/vpriuralye?w=wall-173311244_3726%20%20https://vk.com/vpriuralye?w=wall-173311244_3760%20%20%20%20%20%20%20%20%20%20%20%20%20%20%20https://vk.com/public205570005?w=wall-205570005_106%20%20%20%20%20%20%20%20%20%20https://vk.com/iapriuralye?w=" TargetMode="External"/><Relationship Id="rId1473" Type="http://schemas.openxmlformats.org/officeDocument/2006/relationships/hyperlink" Target="https://vk.com/club211208773?z=photo-211208773_457239022%2Falbum-211208773_00%2Frev" TargetMode="External"/><Relationship Id="rId2012" Type="http://schemas.openxmlformats.org/officeDocument/2006/relationships/hyperlink" Target="https://msu.lenobl.ru/ru/programmy-i-plany/iniciativnye-komissii-v-administrativnyh-centrah/2020-god/" TargetMode="External"/><Relationship Id="rId843" Type="http://schemas.openxmlformats.org/officeDocument/2006/relationships/hyperlink" Target="https://sgpress.ru/pdf_archive;http:/sovadmsamara.ru" TargetMode="External"/><Relationship Id="rId1126" Type="http://schemas.openxmlformats.org/officeDocument/2006/relationships/hyperlink" Target="https://admmegion.ru/gov/laws/index.php?ELEMENT_ID=369346" TargetMode="External"/><Relationship Id="rId1680" Type="http://schemas.openxmlformats.org/officeDocument/2006/relationships/hyperlink" Target="http://komobrkrr.edusite.ru/p26aa1detales203.html" TargetMode="External"/><Relationship Id="rId1778" Type="http://schemas.openxmlformats.org/officeDocument/2006/relationships/hyperlink" Target="https://krasstat.gks.ru/folder/27812" TargetMode="External"/><Relationship Id="rId1985" Type="http://schemas.openxmlformats.org/officeDocument/2006/relationships/hyperlink" Target="mailto:mf-pts@minfin.mari.ru" TargetMode="External"/><Relationship Id="rId703" Type="http://schemas.openxmlformats.org/officeDocument/2006/relationships/hyperlink" Target="http://&#1091;&#1089;&#1090;&#1100;-&#1082;&#1091;&#1083;&#1086;&#1084;.&#1088;&#1092;/city/narodnye-initsiativy/" TargetMode="External"/><Relationship Id="rId910" Type="http://schemas.openxmlformats.org/officeDocument/2006/relationships/hyperlink" Target="http://gorka.kinel-cherkassy.ru/?p=4625" TargetMode="External"/><Relationship Id="rId1333" Type="http://schemas.openxmlformats.org/officeDocument/2006/relationships/hyperlink" Target="http://karsunmo.ru/sdresch/" TargetMode="External"/><Relationship Id="rId1540" Type="http://schemas.openxmlformats.org/officeDocument/2006/relationships/hyperlink" Target="mailto:velav@mail.orb.ru" TargetMode="External"/><Relationship Id="rId1638" Type="http://schemas.openxmlformats.org/officeDocument/2006/relationships/hyperlink" Target="https://buzuluk.orb.ru/documents/active/119556/" TargetMode="External"/><Relationship Id="rId1400" Type="http://schemas.openxmlformats.org/officeDocument/2006/relationships/hyperlink" Target="mailto:org_timregion@mail.ru" TargetMode="External"/><Relationship Id="rId1845" Type="http://schemas.openxmlformats.org/officeDocument/2006/relationships/hyperlink" Target="mailto:lvovskoe@yandex.ru" TargetMode="External"/><Relationship Id="rId1705" Type="http://schemas.openxmlformats.org/officeDocument/2006/relationships/hyperlink" Target="https://borcity.ru/authority/mp_akt.php" TargetMode="External"/><Relationship Id="rId1912" Type="http://schemas.openxmlformats.org/officeDocument/2006/relationships/hyperlink" Target="mailto:Oromanova@mezhk.omskportal.ru" TargetMode="External"/><Relationship Id="rId286" Type="http://schemas.openxmlformats.org/officeDocument/2006/relationships/hyperlink" Target="mailto:ShillerMV@72to.ru" TargetMode="External"/><Relationship Id="rId493" Type="http://schemas.openxmlformats.org/officeDocument/2006/relationships/hyperlink" Target="https://www.arhcity.ru/?page=2373/6" TargetMode="External"/><Relationship Id="rId146" Type="http://schemas.openxmlformats.org/officeDocument/2006/relationships/hyperlink" Target="http://publication.pravo.gov.ru/Document/View/7400202012230002" TargetMode="External"/><Relationship Id="rId353" Type="http://schemas.openxmlformats.org/officeDocument/2006/relationships/hyperlink" Target="https://pib.sakhminfin.ru/show/ppi" TargetMode="External"/><Relationship Id="rId560" Type="http://schemas.openxmlformats.org/officeDocument/2006/relationships/hyperlink" Target="https://belg.gks.ru/" TargetMode="External"/><Relationship Id="rId798" Type="http://schemas.openxmlformats.org/officeDocument/2006/relationships/hyperlink" Target="mailto:finans@adm-ussuriisk.ru" TargetMode="External"/><Relationship Id="rId1190" Type="http://schemas.openxmlformats.org/officeDocument/2006/relationships/hyperlink" Target="mailto:NesterenkoYA@NVraion.ru" TargetMode="External"/><Relationship Id="rId2034" Type="http://schemas.openxmlformats.org/officeDocument/2006/relationships/hyperlink" Target="mailto:tssh@mail.orb.ru" TargetMode="External"/><Relationship Id="rId213" Type="http://schemas.openxmlformats.org/officeDocument/2006/relationships/hyperlink" Target="mailto:svod2@beldepfin.ru" TargetMode="External"/><Relationship Id="rId420" Type="http://schemas.openxmlformats.org/officeDocument/2006/relationships/hyperlink" Target="mailto:kotov.aa@dvinaland.ru" TargetMode="External"/><Relationship Id="rId658" Type="http://schemas.openxmlformats.org/officeDocument/2006/relationships/hyperlink" Target="https://&#1082;&#1080;&#1088;&#1086;&#1074;.&#1088;&#1092;/upload/iblock/30e/20ggmc5n97w4a5dtgpa10du9dhpaonlv/kss500_20220606_15341904.pdf" TargetMode="External"/><Relationship Id="rId865" Type="http://schemas.openxmlformats.org/officeDocument/2006/relationships/hyperlink" Target="http://kcherk.samgd.ru/acts/decisions/79325/" TargetMode="External"/><Relationship Id="rId1050" Type="http://schemas.openxmlformats.org/officeDocument/2006/relationships/hyperlink" Target="https://www.&#1082;&#1086;&#1095;&#1091;&#1073;&#1077;&#1077;&#1074;&#1089;&#1082;&#1080;&#1081;-&#1088;&#1072;&#1081;&#1086;&#1085;.&#1088;&#1092;/rezul-taty-realizatcii-initciativnykh-proektov.html" TargetMode="External"/><Relationship Id="rId1288" Type="http://schemas.openxmlformats.org/officeDocument/2006/relationships/hyperlink" Target="https://www.survio.com/survey/w/M8F3O7Q8R2F8P2I9T" TargetMode="External"/><Relationship Id="rId1495" Type="http://schemas.openxmlformats.org/officeDocument/2006/relationships/hyperlink" Target="https://sun9-9.userapi.com/impg/dzXnoRHDmP8elgq3frPkEiWZkI7scWVV5IicWQ/_3pj8kjAHWw.jpg?size=927x631&amp;quality=95&amp;sign=ca1913112ee4399d625970e617235a88&amp;c_uniq_tag=OU88g3Ov147kk_MMyX4Y7JjmZs2BA2MJ4l4NqLOjJJU&amp;type=album" TargetMode="External"/><Relationship Id="rId2101" Type="http://schemas.openxmlformats.org/officeDocument/2006/relationships/hyperlink" Target="https://docs.cntd.ru/document/553386375" TargetMode="External"/><Relationship Id="rId518" Type="http://schemas.openxmlformats.org/officeDocument/2006/relationships/hyperlink" Target="http://admmeleuz.ru/index.php?option=com_content&amp;view=article&amp;id=13194:rasporyazhenie-ot-06-06-2022g-260-ob-utverzhdenii-o-konkurse-munitsipalnogo-proekta-initsiativnogo-byudzhetirovaniya-nashe-selo&amp;catid=905&amp;Itemid=356" TargetMode="External"/><Relationship Id="rId725" Type="http://schemas.openxmlformats.org/officeDocument/2006/relationships/hyperlink" Target="mailto:fo.ugn@mail.ru" TargetMode="External"/><Relationship Id="rId932" Type="http://schemas.openxmlformats.org/officeDocument/2006/relationships/hyperlink" Target="http://mukhanovo.kinel-cherkassy.ru/?page_id=930" TargetMode="External"/><Relationship Id="rId1148" Type="http://schemas.openxmlformats.org/officeDocument/2006/relationships/hyperlink" Target="http://www.admkonda.ru/2022-nb.html" TargetMode="External"/><Relationship Id="rId1355" Type="http://schemas.openxmlformats.org/officeDocument/2006/relationships/hyperlink" Target="https://terenga.gosuslugi.ru/deyatelnost/napravleniya-deyatelnosti/finansy-i-byudzhet/otkrytyy-byudzhet/narodnyy-byudzhet/2022-god/dokumenty_859.html" TargetMode="External"/><Relationship Id="rId1562" Type="http://schemas.openxmlformats.org/officeDocument/2006/relationships/hyperlink" Target="https://bugraifo.orb.ru/upload/uf/91c/Protokol.pdf" TargetMode="External"/><Relationship Id="rId1008" Type="http://schemas.openxmlformats.org/officeDocument/2006/relationships/hyperlink" Target="https://aamrsk.ru/deyatelnost/initsiativnoe-byudzhetirovanie/initsiativnye-proekty/dokumenty.php" TargetMode="External"/><Relationship Id="rId1215" Type="http://schemas.openxmlformats.org/officeDocument/2006/relationships/hyperlink" Target="https://nur.yanao.ru/documents/active/107772/,%20https:/www.newurengoy.ru/uploads/files/2020-03/1584596719_104-ot-18-03-2020.pdf" TargetMode="External"/><Relationship Id="rId1422" Type="http://schemas.openxmlformats.org/officeDocument/2006/relationships/hyperlink" Target="https://vk.com/album-51946917_283084658" TargetMode="External"/><Relationship Id="rId1867" Type="http://schemas.openxmlformats.org/officeDocument/2006/relationships/hyperlink" Target="https://&#1082;&#1086;&#1085;&#1089;&#1090;&#1072;&#1085;&#1090;&#1080;&#1085;&#1086;&#1074;&#1089;&#1082;&#1086;&#1077;-&#1089;&#1087;.&#1088;&#1092;/documents/1896.html" TargetMode="External"/><Relationship Id="rId61" Type="http://schemas.openxmlformats.org/officeDocument/2006/relationships/hyperlink" Target="mailto:Magomedov.Islam@mail.ru" TargetMode="External"/><Relationship Id="rId1727" Type="http://schemas.openxmlformats.org/officeDocument/2006/relationships/hyperlink" Target="https://&#1072;&#1076;&#1084;&#1076;&#1079;&#1077;&#1088;&#1078;&#1080;&#1085;&#1089;&#1082;.&#1088;&#1092;/ekonomika-i-imushchestvo/ekonomika/normativno-pravovye-dokumenty/initsiativnoe-byudzhetirovanie/" TargetMode="External"/><Relationship Id="rId1934" Type="http://schemas.openxmlformats.org/officeDocument/2006/relationships/hyperlink" Target="mailto:pimenovaiv@minfin.omskportal.ru" TargetMode="External"/><Relationship Id="rId19" Type="http://schemas.openxmlformats.org/officeDocument/2006/relationships/hyperlink" Target="https://okuvshinnikov.ru/prog/programma_gubernatora_narodnyj_byudzhet/" TargetMode="External"/><Relationship Id="rId168" Type="http://schemas.openxmlformats.org/officeDocument/2006/relationships/hyperlink" Target="http://karelia-zs.ru/zakonodatelstvo_rk/prav_akty/915-zrk/" TargetMode="External"/><Relationship Id="rId375" Type="http://schemas.openxmlformats.org/officeDocument/2006/relationships/hyperlink" Target="https://minfin.saratov.gov.ru/index.php?option=com_acrfilestorage&amp;task=download&amp;on=2065" TargetMode="External"/><Relationship Id="rId582" Type="http://schemas.openxmlformats.org/officeDocument/2006/relationships/hyperlink" Target="https://vk.com/yakovlevez?w=wall-202831546_401&amp;ysclid=lggl3asamn715497386" TargetMode="External"/><Relationship Id="rId2056" Type="http://schemas.openxmlformats.org/officeDocument/2006/relationships/hyperlink" Target="https://docs.cntd.ru/document/450360732" TargetMode="External"/><Relationship Id="rId3" Type="http://schemas.openxmlformats.org/officeDocument/2006/relationships/hyperlink" Target="https://depfin.tomsk.gov.ru/pravovoe-regulirovanie" TargetMode="External"/><Relationship Id="rId235" Type="http://schemas.openxmlformats.org/officeDocument/2006/relationships/hyperlink" Target="mailto:G.Bolaeva@depfin.chukotka-gov.ru" TargetMode="External"/><Relationship Id="rId442" Type="http://schemas.openxmlformats.org/officeDocument/2006/relationships/hyperlink" Target="http://publication.pravo.gov.ru/Document/View/2200201912180004" TargetMode="External"/><Relationship Id="rId887" Type="http://schemas.openxmlformats.org/officeDocument/2006/relationships/hyperlink" Target="mailto:adm.kabanovka@yandex.ru" TargetMode="External"/><Relationship Id="rId1072" Type="http://schemas.openxmlformats.org/officeDocument/2006/relationships/hyperlink" Target="https://stavstat.gks.ru/folder/28386" TargetMode="External"/><Relationship Id="rId2123" Type="http://schemas.openxmlformats.org/officeDocument/2006/relationships/hyperlink" Target="https://gokucmpi.ru/upload/iblock/a03/qlnw3ih5yzrzhnub3b0p431n5fkdlhet/Ustav-GOKU-TSMPI-_posl.red..pdf" TargetMode="External"/><Relationship Id="rId302" Type="http://schemas.openxmlformats.org/officeDocument/2006/relationships/hyperlink" Target="https://68.rosstat.gov.ru/storage/mediabank/chis23-22s.pdf" TargetMode="External"/><Relationship Id="rId747" Type="http://schemas.openxmlformats.org/officeDocument/2006/relationships/hyperlink" Target="http://www.platnirovskaja.ru/f_docs/qm1w2j12tvzw/reshenie-soveta-platnirovskogo-selskogo-poseleniya-korenovskogo-rayona-ot-24122020-101-ob-utverjdenii-polojeniya-o-poryadke-realizatsii-initsiativnyih-proektov-v-platnirovskom-selskom-poselenii-korenovskogo-rayona.html" TargetMode="External"/><Relationship Id="rId954" Type="http://schemas.openxmlformats.org/officeDocument/2006/relationships/hyperlink" Target="http://sadgorod.kinel-cherkassy.ru/wp-content/uploads/2021/07/&#1056;&#1077;&#1096;&#1077;&#1085;&#1080;&#1077;-7-1-&#1086;&#1090;-12.07.2021-&#1054;&#1073;-&#1091;&#1090;&#1074;&#1077;&#1088;&#1078;&#1076;&#1077;&#1085;&#1080;&#1103;-&#1087;&#1086;&#1083;&#1086;&#1078;&#1077;&#1085;&#1080;&#1103;-&#1086;-&#1080;&#1085;&#1080;&#1094;&#1080;&#1080;&#1088;&#1086;&#1074;&#1072;&#1085;&#1080;&#1080;-&#1080;-&#1088;&#1077;&#1072;&#1083;&#1080;&#1079;&#1072;&#1094;&#1080;&#1080;-&#1080;&#1085;&#1080;&#1094;&#1080;&#1072;&#1090;&#1080;&#1074;&#1085;&#1099;&#1093;-&#1087;&#1088;&#1086;&#1077;&#1082;&#1090;&#1086;&#1074;-&#1085;&#1072;-&#1090;&#1077;&#1088;&#1088;&#1080;&#1090;&#1086;&#1088;&#1080;&#1080;-&#1089;&#1077;&#1083;&#1100;&#1089;&#1082;&#1086;&#1075;&#1086;-&#1087;&#1086;&#1089;&#1077;&#1083;&#1077;&#1085;&#1080;&#1103;.docx" TargetMode="External"/><Relationship Id="rId1377" Type="http://schemas.openxmlformats.org/officeDocument/2006/relationships/hyperlink" Target="http://hmrn.ru/raion/ekonomika/ser/passport_socio_economic_situation/index.php" TargetMode="External"/><Relationship Id="rId1584" Type="http://schemas.openxmlformats.org/officeDocument/2006/relationships/hyperlink" Target="http://finadam@mail.orb.ru" TargetMode="External"/><Relationship Id="rId1791" Type="http://schemas.openxmlformats.org/officeDocument/2006/relationships/hyperlink" Target="http://starscherb.ru/2022/Iniciati_proekt/ustanovka_v_parke_kultury_i_otdykha_malykh_arkhite.docx" TargetMode="External"/><Relationship Id="rId83" Type="http://schemas.openxmlformats.org/officeDocument/2006/relationships/hyperlink" Target="mailto:dolg@depfin.kostroma.gov.ru" TargetMode="External"/><Relationship Id="rId607" Type="http://schemas.openxmlformats.org/officeDocument/2006/relationships/hyperlink" Target="https://cherinfo.ru/nb" TargetMode="External"/><Relationship Id="rId814" Type="http://schemas.openxmlformats.org/officeDocument/2006/relationships/hyperlink" Target="https://pohgor.ru/sociosfera/prestige-pricing/image-projects_56.html" TargetMode="External"/><Relationship Id="rId1237" Type="http://schemas.openxmlformats.org/officeDocument/2006/relationships/hyperlink" Target="mailto:NSZabolotskih@muravlenko.yanao." TargetMode="External"/><Relationship Id="rId1444" Type="http://schemas.openxmlformats.org/officeDocument/2006/relationships/hyperlink" Target="https://tl.orb.ru/activity/14412/" TargetMode="External"/><Relationship Id="rId1651" Type="http://schemas.openxmlformats.org/officeDocument/2006/relationships/hyperlink" Target="https://kormil.omskportal.ru/magnoliaPublic/dam/jcr:f896145f-27af-412e-a323-75204d18e65b/&#1057;&#1090;&#1088;&#1072;&#1090;&#1077;&#1075;&#1080;&#1103;.rar" TargetMode="External"/><Relationship Id="rId1889" Type="http://schemas.openxmlformats.org/officeDocument/2006/relationships/hyperlink" Target="http://www.admnovomysh.ru/images/resheniya/2021/resh_18.2_ot_19.01.21.doc" TargetMode="External"/><Relationship Id="rId1304" Type="http://schemas.openxmlformats.org/officeDocument/2006/relationships/hyperlink" Target="https://veshkajma-r73.gosweb.gosuslugi.ru/deyatelnost/napravleniya-deyatelnosti/finansy/budgetgr/" TargetMode="External"/><Relationship Id="rId1511" Type="http://schemas.openxmlformats.org/officeDocument/2006/relationships/hyperlink" Target="http://fin-or.ru/content/dokumenty-6" TargetMode="External"/><Relationship Id="rId1749" Type="http://schemas.openxmlformats.org/officeDocument/2006/relationships/hyperlink" Target="https://82.rosstat.gov.ru/storage/mediabank/&#1057;&#1088;&#1077;&#1076;&#1085;&#1077;&#1075;&#1086;&#1076;&#1086;&#1074;&#1072;&#1103;%20&#1085;&#1072;%20&#1089;&#1072;&#1081;&#1090;%202022(2).pd" TargetMode="External"/><Relationship Id="rId1956"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1609" Type="http://schemas.openxmlformats.org/officeDocument/2006/relationships/hyperlink" Target="https://orenburg.ru/documents/other/63573/" TargetMode="External"/><Relationship Id="rId1816" Type="http://schemas.openxmlformats.org/officeDocument/2006/relationships/hyperlink" Target="mailto:fintaman@yandex.ru" TargetMode="External"/><Relationship Id="rId10" Type="http://schemas.openxmlformats.org/officeDocument/2006/relationships/hyperlink" Target="https://ppmi.yakutia.click/" TargetMode="External"/><Relationship Id="rId397" Type="http://schemas.openxmlformats.org/officeDocument/2006/relationships/hyperlink" Target="https://disk.yandex.ru/i/HThgczPor6hX_g" TargetMode="External"/><Relationship Id="rId2078" Type="http://schemas.openxmlformats.org/officeDocument/2006/relationships/hyperlink" Target="mailto:ppmi-53@mail.ru" TargetMode="External"/><Relationship Id="rId257" Type="http://schemas.openxmlformats.org/officeDocument/2006/relationships/hyperlink" Target="https://disk.yandex.ru/d/bZbeBWBWm2hOGw" TargetMode="External"/><Relationship Id="rId464" Type="http://schemas.openxmlformats.org/officeDocument/2006/relationships/hyperlink" Target="mailto:ref@fin.e-zab.ru" TargetMode="External"/><Relationship Id="rId1094" Type="http://schemas.openxmlformats.org/officeDocument/2006/relationships/hyperlink" Target="https://stavstat.gks.ru/folder/28386" TargetMode="External"/><Relationship Id="rId2145" Type="http://schemas.openxmlformats.org/officeDocument/2006/relationships/hyperlink" Target="mailto:rudenko.ib@rkursk.ru" TargetMode="External"/><Relationship Id="rId117" Type="http://schemas.openxmlformats.org/officeDocument/2006/relationships/hyperlink" Target="https://pskovstat.gks.ru/storage/mediabank/NAS220418_2.htm" TargetMode="External"/><Relationship Id="rId671" Type="http://schemas.openxmlformats.org/officeDocument/2006/relationships/hyperlink" Target="mailto:econom@inta.rkomi.ru" TargetMode="External"/><Relationship Id="rId769" Type="http://schemas.openxmlformats.org/officeDocument/2006/relationships/hyperlink" Target="http://artemduma.ru/?page_id=2861" TargetMode="External"/><Relationship Id="rId976" Type="http://schemas.openxmlformats.org/officeDocument/2006/relationships/hyperlink" Target="mailto:rfu6374@samtel.ru" TargetMode="External"/><Relationship Id="rId1399" Type="http://schemas.openxmlformats.org/officeDocument/2006/relationships/hyperlink" Target="mailto:velav@mail.orb.ru" TargetMode="External"/><Relationship Id="rId324" Type="http://schemas.openxmlformats.org/officeDocument/2006/relationships/hyperlink" Target="https://energy.midural.ru/gosudarstvennaya-programma/" TargetMode="External"/><Relationship Id="rId531" Type="http://schemas.openxmlformats.org/officeDocument/2006/relationships/hyperlink" Target="https://dtf.avo.ru/podderzka-iniciativ-naselenia" TargetMode="External"/><Relationship Id="rId629" Type="http://schemas.openxmlformats.org/officeDocument/2006/relationships/hyperlink" Target="https://40.rosstat.gov.ru/storage/mediabank/&#1090;&#1072;&#1073;&#1083;+5(1).pdf" TargetMode="External"/><Relationship Id="rId1161" Type="http://schemas.openxmlformats.org/officeDocument/2006/relationships/hyperlink" Target="https://vk.com/public188912037" TargetMode="External"/><Relationship Id="rId1259" Type="http://schemas.openxmlformats.org/officeDocument/2006/relationships/hyperlink" Target="https://&#1078;&#1080;&#1074;&#1105;&#1084;&#1085;&#1072;&#1089;&#1077;&#1074;&#1077;&#1088;&#1077;.&#1088;&#1092;/cozyYamal/about" TargetMode="External"/><Relationship Id="rId1466" Type="http://schemas.openxmlformats.org/officeDocument/2006/relationships/hyperlink" Target="https://gy.orb.ru/vote/187/result/expired/;%20%20%20&#1089;&#1084;%20&#1055;&#1088;&#1086;&#1090;&#1086;&#1082;&#1086;&#1083;%20&#8470;2%20&#1086;&#1090;%2029.08.2022%20(&#1088;&#1077;&#1079;&#1091;&#1083;&#1100;&#1090;&#1072;&#1090;%20&#1087;&#1086;%20&#1075;&#1086;&#1083;&#1086;&#1089;&#1086;&#1074;&#1072;&#1085;&#1080;&#1102;%20&#1054;&#1088;&#1089;&#1082;&#1080;&#1081;%20&#1082;&#1086;&#1083;&#1083;&#1077;&#1076;&#1078;%20&#1085;&#1077;%20&#1103;&#1074;&#1083;&#1103;&#1077;&#1090;&#1089;&#1103;%20&#1084;&#1091;&#1085;&#1080;&#1094;&#1080;&#1087;&#1072;&#1083;&#1100;&#1085;&#1086;&#1081;%20&#1089;&#1086;&#1073;&#1089;&#1090;&#1074;&#1077;&#1085;&#1085;&#1086;&#1089;&#1100;&#1102;%20&#1084;&#1091;&#1085;&#1080;&#1094;&#1080;&#1087;&#1072;&#1083;&#1100;&#1085;&#1086;&#1075;&#1086;%20&#1086;&#1073;&#1088;&#1072;&#1079;&#1086;&#1074;&#1072;&#1085;&#1080;&#1103;%20&#1043;&#1072;&#1081;&#1089;&#1082;&#1080;&#1081;%20&#1075;&#1086;&#1088;&#1086;&#1076;&#1089;&#1082;&#1086;&#1092;&#1081;%20&#1086;&#1082;&#1088;&#1091;&#1075;,%20&#1089;&#1085;&#1080;&#1084;&#1072;&#1077;&#1090;&#1089;&#1103;%20&#1089;%20&#1091;&#1095;&#1072;&#1089;&#1090;&#1080;&#1103;%20&#1074;%20&#1082;&#1086;&#1085;&#1082;&#1091;&#1088;&#1089;&#1077;)" TargetMode="External"/><Relationship Id="rId2005" Type="http://schemas.openxmlformats.org/officeDocument/2006/relationships/hyperlink" Target="https://nizhstat.gks.ru/" TargetMode="External"/><Relationship Id="rId836" Type="http://schemas.openxmlformats.org/officeDocument/2006/relationships/hyperlink" Target="http://kuibishevskiy.gordumasamara.ru/wp-content/uploads/2021/02/%D0%A0%D0%B5%D1%88%D0%B5%D0%BD%D0%B8%D0%B5-%D0%BE%D1%82-16.02.2021-%E2%84%9635.pdf" TargetMode="External"/><Relationship Id="rId1021" Type="http://schemas.openxmlformats.org/officeDocument/2006/relationships/hyperlink" Target="http://www.georgievsk.ru/duma/reshen/469-24.doc" TargetMode="External"/><Relationship Id="rId1119" Type="http://schemas.openxmlformats.org/officeDocument/2006/relationships/hyperlink" Target="https://disk.yandex.ru/d/xyVA5QUgcXwf9g" TargetMode="External"/><Relationship Id="rId1673" Type="http://schemas.openxmlformats.org/officeDocument/2006/relationships/hyperlink" Target="https://komobrlub.edusite.ru/p4aa1.html" TargetMode="External"/><Relationship Id="rId1880" Type="http://schemas.openxmlformats.org/officeDocument/2006/relationships/hyperlink" Target="mailto:a.smaglyuk@krd.ru" TargetMode="External"/><Relationship Id="rId1978" Type="http://schemas.openxmlformats.org/officeDocument/2006/relationships/hyperlink" Target="https://minfin.rk.gov.ru/" TargetMode="External"/><Relationship Id="rId903" Type="http://schemas.openxmlformats.org/officeDocument/2006/relationships/hyperlink" Target="mailto:poselenie63@mail.ru" TargetMode="External"/><Relationship Id="rId1326" Type="http://schemas.openxmlformats.org/officeDocument/2006/relationships/hyperlink" Target="https://73.rosstat.gov.ru/folder/40275" TargetMode="External"/><Relationship Id="rId1533" Type="http://schemas.openxmlformats.org/officeDocument/2006/relationships/hyperlink" Target="mailto:krasnogvard_fo@mail.ru" TargetMode="External"/><Relationship Id="rId1740" Type="http://schemas.openxmlformats.org/officeDocument/2006/relationships/hyperlink" Target="https://dzhankoy.rk.gov.ru/uploads/txteditor/dzhankoy/attachments/d4/1d/8c/d98f00b204e9800998ecf8427e/phpa8l5UJ_&#1055;&#1088;&#1090;&#1086;&#1082;&#1086;&#1083;%20&#8470;%201%20&#1086;&#1090;%2029.04.2022%20&#1075;.%20&#1079;&#1072;&#1089;&#1077;&#1076;&#1072;&#1085;&#1080;&#1103;%20&#1082;&#1086;&#1084;&#1080;&#1089;&#1089;&#1080;&#1080;%20&#1087;&#1086;%20&#1088;&#1072;&#1089;&#1089;&#1084;&#1086;&#1090;&#1088;&#1077;&#1085;&#1080;&#1102;%20&#1087;&#1088;&#1086;&#1077;&#1082;&#1090;&#1072;.pdf" TargetMode="External"/><Relationship Id="rId32" Type="http://schemas.openxmlformats.org/officeDocument/2006/relationships/hyperlink" Target="http://minfin.kalmregion.ru/deyatelnost/initsiativnoe-byudzhetirovanie/" TargetMode="External"/><Relationship Id="rId1600" Type="http://schemas.openxmlformats.org/officeDocument/2006/relationships/hyperlink" Target="http://www.gfo-sorochinsk.ru/tshb" TargetMode="External"/><Relationship Id="rId1838" Type="http://schemas.openxmlformats.org/officeDocument/2006/relationships/hyperlink" Target="https://sochi.ru/gorodskaya-vlast/normativno-pravovyye-akty/?filter_npa%5Bcontent%5D=&amp;filter_npa%5Bnumber%5D=&amp;filter_npa%5Btype%5D=&amp;filter_npa%5Bdate_from%5D=&amp;filter_npa%5Bdate_to%5D=" TargetMode="External"/><Relationship Id="rId181" Type="http://schemas.openxmlformats.org/officeDocument/2006/relationships/hyperlink" Target="mailto:romanova_o@depfin.kirov.ru" TargetMode="External"/><Relationship Id="rId1905" Type="http://schemas.openxmlformats.org/officeDocument/2006/relationships/hyperlink" Target="mailto:KuzovkinaEA@admlr.lipetsk.ru" TargetMode="External"/><Relationship Id="rId279" Type="http://schemas.openxmlformats.org/officeDocument/2006/relationships/hyperlink" Target="https://72.rosstat.gov.ru/ofs_demp_ug" TargetMode="External"/><Relationship Id="rId486" Type="http://schemas.openxmlformats.org/officeDocument/2006/relationships/hyperlink" Target="https://habstat.gks.ru/folder/25028" TargetMode="External"/><Relationship Id="rId693" Type="http://schemas.openxmlformats.org/officeDocument/2006/relationships/hyperlink" Target="http://www.&#1089;&#1099;&#1089;&#1086;&#1083;&#1072;-&#1072;&#1076;&#1084;.&#1088;&#1092;/area/12-1674_19.pdf,%20ww.&#1089;&#1099;&#1089;&#1086;&#1083;&#1072;-&#1072;&#1076;&#1084;.&#1088;&#1092;/area/12_1697_r.pdf," TargetMode="External"/><Relationship Id="rId139" Type="http://schemas.openxmlformats.org/officeDocument/2006/relationships/hyperlink" Target="https://npa.bashkortostan.ru/16583/" TargetMode="External"/><Relationship Id="rId346" Type="http://schemas.openxmlformats.org/officeDocument/2006/relationships/hyperlink" Target="http://sakhminfin.ru/" TargetMode="External"/><Relationship Id="rId553" Type="http://schemas.openxmlformats.org/officeDocument/2006/relationships/hyperlink" Target="mailto:svod2@beldepfin.ru" TargetMode="External"/><Relationship Id="rId760" Type="http://schemas.openxmlformats.org/officeDocument/2006/relationships/hyperlink" Target="https://www.adm-kavkaz.ru/sobranie-deputatov/reshenie-sobranij/resheniya-2020/3741-reshenie-4-ot-08-02-2019-goda-o-peredache-kavkazskomu-selskomu-poseleniyu-kavkazskogo-rajona-proektnoj-dokumentatsii-ob-ekta-gazifikatsii;" TargetMode="External"/><Relationship Id="rId998" Type="http://schemas.openxmlformats.org/officeDocument/2006/relationships/hyperlink" Target="mailto:ekonomkrur@mail.ru" TargetMode="External"/><Relationship Id="rId1183" Type="http://schemas.openxmlformats.org/officeDocument/2006/relationships/hyperlink" Target="http://www.gks.ru/free_doc/new_site/bd_munst/munst.htm" TargetMode="External"/><Relationship Id="rId1390" Type="http://schemas.openxmlformats.org/officeDocument/2006/relationships/hyperlink" Target="https://23.rosstat.gov.ru/storage/mediabank/Ocenka22.htm" TargetMode="External"/><Relationship Id="rId2027" Type="http://schemas.openxmlformats.org/officeDocument/2006/relationships/hyperlink" Target="http://ppmi24.ru/" TargetMode="External"/><Relationship Id="rId206" Type="http://schemas.openxmlformats.org/officeDocument/2006/relationships/hyperlink" Target="https://belregion.ru/upload/iblock/7e6/139-&#1087;&#1087;.pdf" TargetMode="External"/><Relationship Id="rId413" Type="http://schemas.openxmlformats.org/officeDocument/2006/relationships/hyperlink" Target="mailto:ombo@minfin.alania.gov.ru" TargetMode="External"/><Relationship Id="rId858" Type="http://schemas.openxmlformats.org/officeDocument/2006/relationships/hyperlink" Target="https://isakli.ru/documents/priobretenie-i-ustanovka-derevyannoy-gorki-teremok/40-a-ot-25-12-2020-po-po-ib/" TargetMode="External"/><Relationship Id="rId1043" Type="http://schemas.openxmlformats.org/officeDocument/2006/relationships/hyperlink" Target="http://ipatovo.org/userfiles/file/2021/fevral/resheniya/reshenie_16_poryadka_vyd_rassm__inic_proektov.doc" TargetMode="External"/><Relationship Id="rId1488" Type="http://schemas.openxmlformats.org/officeDocument/2006/relationships/hyperlink" Target="https://tu.orb.ru/activity/20630/" TargetMode="External"/><Relationship Id="rId1695" Type="http://schemas.openxmlformats.org/officeDocument/2006/relationships/hyperlink" Target="https://semenov.52gov.ru/search/?q=%D0%B8%D0%BD%D0%B8%D1%86%D0%B8%D0%B0%D1%82%D0%B8%D0%B2%D0%BD%D0%BE%D0%B5+%D0%B1%D1%8E%D0%B4%D0%B6%D0%B5%D1%82%D0%B8%D1%80%D0%BE%D0%B2%D0%B0%D0%BD%D0%B8%D0%B5" TargetMode="External"/><Relationship Id="rId620" Type="http://schemas.openxmlformats.org/officeDocument/2006/relationships/hyperlink" Target="https://40.rosstat.gov.ru/storage/mediabank/&#1090;&#1072;&#1073;&#1083;+5(1).pdf" TargetMode="External"/><Relationship Id="rId718" Type="http://schemas.openxmlformats.org/officeDocument/2006/relationships/hyperlink" Target="https://adm-yaroslavskogo.ru/&#1087;&#1088;&#1086;&#1077;&#1082;&#1090;&#1099;-&#1084;&#1077;&#1089;&#1090;&#1085;&#1099;&#1093;-&#1080;&#1085;&#1080;&#1094;&#1080;&#1072;&#1090;&#1080;&#1074;" TargetMode="External"/><Relationship Id="rId925" Type="http://schemas.openxmlformats.org/officeDocument/2006/relationships/hyperlink" Target="http://krotovka.kinel-cherkassy.ru/index.php" TargetMode="External"/><Relationship Id="rId1250" Type="http://schemas.openxmlformats.org/officeDocument/2006/relationships/hyperlink" Target="https://nadym.yanao.ru/documents/active/131380/" TargetMode="External"/><Relationship Id="rId1348" Type="http://schemas.openxmlformats.org/officeDocument/2006/relationships/hyperlink" Target="https://veshkajma-r73.gosweb.gosuslugi.ru/deyatelnost/napravleniya-deyatelnosti/finansy/budgetgr/" TargetMode="External"/><Relationship Id="rId1555" Type="http://schemas.openxmlformats.org/officeDocument/2006/relationships/hyperlink" Target="http://pp-bz.ru/legal-acts/1078" TargetMode="External"/><Relationship Id="rId1762" Type="http://schemas.openxmlformats.org/officeDocument/2006/relationships/hyperlink" Target="http://finupr.dalmatovo.su/images/finupr/reshenie_dumi_112_2021.zip" TargetMode="External"/><Relationship Id="rId1110" Type="http://schemas.openxmlformats.org/officeDocument/2006/relationships/hyperlink" Target="https://khv27.ru/projects/territorialnoe-obshchestvennoe-samoupravlenie/konkursy/" TargetMode="External"/><Relationship Id="rId1208" Type="http://schemas.openxmlformats.org/officeDocument/2006/relationships/hyperlink" Target="https://lbt.yanao.ru/documents/other/134187" TargetMode="External"/><Relationship Id="rId1415" Type="http://schemas.openxmlformats.org/officeDocument/2006/relationships/hyperlink" Target="mailto:mczks.otd@yandex.ru" TargetMode="External"/><Relationship Id="rId54" Type="http://schemas.openxmlformats.org/officeDocument/2006/relationships/hyperlink" Target="https://pravo.govvrn.ru/?q=node/16285" TargetMode="External"/><Relationship Id="rId1622" Type="http://schemas.openxmlformats.org/officeDocument/2006/relationships/hyperlink" Target="https://buzuluk.orb.ru/activity/20976/" TargetMode="External"/><Relationship Id="rId1927" Type="http://schemas.openxmlformats.org/officeDocument/2006/relationships/hyperlink" Target="mailto:Prytkova_MA@primorsky.ru" TargetMode="External"/><Relationship Id="rId2091" Type="http://schemas.openxmlformats.org/officeDocument/2006/relationships/hyperlink" Target="https://gokucmpi.ru/" TargetMode="External"/><Relationship Id="rId270" Type="http://schemas.openxmlformats.org/officeDocument/2006/relationships/hyperlink" Target="https://www.udmurt.ru/documents/download.php?id=79249830" TargetMode="External"/><Relationship Id="rId130" Type="http://schemas.openxmlformats.org/officeDocument/2006/relationships/hyperlink" Target="https://bashstat.gks.ru/folder/25491" TargetMode="External"/><Relationship Id="rId368" Type="http://schemas.openxmlformats.org/officeDocument/2006/relationships/hyperlink" Target="https://78.rosstat.gov.ru/folder/27595" TargetMode="External"/><Relationship Id="rId575" Type="http://schemas.openxmlformats.org/officeDocument/2006/relationships/hyperlink" Target="https://rovenkiadm.gosuslugi.ru/deyatelnost/proekty-i-programmy-rovenskogo-rayona/razvitie-obschestvennogo-samoupravleniya/" TargetMode="External"/><Relationship Id="rId782" Type="http://schemas.openxmlformats.org/officeDocument/2006/relationships/hyperlink" Target="mailto:agofin520@yandex.ru" TargetMode="External"/><Relationship Id="rId2049" Type="http://schemas.openxmlformats.org/officeDocument/2006/relationships/hyperlink" Target="https://53.gorodsreda.ru/result-voting" TargetMode="External"/><Relationship Id="rId228" Type="http://schemas.openxmlformats.org/officeDocument/2006/relationships/hyperlink" Target="https://docs.cntd.ru/document/444790925" TargetMode="External"/><Relationship Id="rId435" Type="http://schemas.openxmlformats.org/officeDocument/2006/relationships/hyperlink" Target="mailto:ubp-gov@tverfin.ru" TargetMode="External"/><Relationship Id="rId642" Type="http://schemas.openxmlformats.org/officeDocument/2006/relationships/hyperlink" Target="mailto:prokhorova_es@kaluga-gov.ru" TargetMode="External"/><Relationship Id="rId1065" Type="http://schemas.openxmlformats.org/officeDocument/2006/relationships/hyperlink" Target="mailto:neftekumsk_fu@mail.ru" TargetMode="External"/><Relationship Id="rId1272" Type="http://schemas.openxmlformats.org/officeDocument/2006/relationships/hyperlink" Target="https://yam.yanao.ru/documents/active/227755" TargetMode="External"/><Relationship Id="rId2116" Type="http://schemas.openxmlformats.org/officeDocument/2006/relationships/hyperlink" Target="https://novgorodstat.gks.ru/storage/mediabank/&#1063;&#1080;&#1089;&#1083;&#1077;&#1085;&#1085;&#1086;&#1089;&#1090;&#1100;%20&#1085;&#1072;&#1089;&#1077;&#1083;&#1077;&#1085;&#1080;&#1103;%20&#1085;&#1072;%201.01.2022%20&#1075;&#1086;&#1076;&#1072;.pdf" TargetMode="External"/><Relationship Id="rId502" Type="http://schemas.openxmlformats.org/officeDocument/2006/relationships/hyperlink" Target="https://www.arhcity.ru/" TargetMode="External"/><Relationship Id="rId947" Type="http://schemas.openxmlformats.org/officeDocument/2006/relationships/hyperlink" Target="mailto:adm.podgorny.2010@mail.ru" TargetMode="External"/><Relationship Id="rId1132" Type="http://schemas.openxmlformats.org/officeDocument/2006/relationships/hyperlink" Target="https://isib.myopenugra.ru/compete/regional/view/?id=557368" TargetMode="External"/><Relationship Id="rId1577" Type="http://schemas.openxmlformats.org/officeDocument/2006/relationships/hyperlink" Target="https://asfin56.ru/assets/files/documents/2021/1/postanovlenie.doc" TargetMode="External"/><Relationship Id="rId1784" Type="http://schemas.openxmlformats.org/officeDocument/2006/relationships/hyperlink" Target="https://divnogorsk.gosuslugi.ru/ofitsialno/dokumenty/arhiv-dokumentov/arhiv-resheniy-gorodskogo-soveta/resheniya-gorodskogo-soveta-2021-god/postanovleniya-2021_604.html" TargetMode="External"/><Relationship Id="rId1991" Type="http://schemas.openxmlformats.org/officeDocument/2006/relationships/hyperlink" Target="https://mari-el.gov.ru/ministries/minselhoz/pages/nd-npa-krst/" TargetMode="External"/><Relationship Id="rId76" Type="http://schemas.openxmlformats.org/officeDocument/2006/relationships/hyperlink" Target="https://minfin01-maykop.ru/Show/Category/7?ItemId=55" TargetMode="External"/><Relationship Id="rId807" Type="http://schemas.openxmlformats.org/officeDocument/2006/relationships/hyperlink" Target="https://otradny.org/administracziya/ekonjmika1/strategiya" TargetMode="External"/><Relationship Id="rId1437" Type="http://schemas.openxmlformats.org/officeDocument/2006/relationships/hyperlink" Target="https://www.penza-gorod.ru/line_of_activity/public_self_government/konkurs-sotsialno-znachimykh-proektov-napravlennykh-na-razvitie-territorialnogo-obshchestvennogo-sam/2022-god/" TargetMode="External"/><Relationship Id="rId1644" Type="http://schemas.openxmlformats.org/officeDocument/2006/relationships/hyperlink" Target="https://ok.ru/profile/531681201290/statuses/153441776734346" TargetMode="External"/><Relationship Id="rId1851" Type="http://schemas.openxmlformats.org/officeDocument/2006/relationships/hyperlink" Target="https://disk.yandex.ru/d/MmHCxAIzB7KhFA" TargetMode="External"/><Relationship Id="rId1504" Type="http://schemas.openxmlformats.org/officeDocument/2006/relationships/hyperlink" Target="mailto:l_frolova@pm.orb.ru" TargetMode="External"/><Relationship Id="rId1711" Type="http://schemas.openxmlformats.org/officeDocument/2006/relationships/hyperlink" Target="https://borcity.ru/okrug/okrug_info.php" TargetMode="External"/><Relationship Id="rId1949" Type="http://schemas.openxmlformats.org/officeDocument/2006/relationships/hyperlink" Target="https://57.gorodsreda.ru/" TargetMode="External"/><Relationship Id="rId292" Type="http://schemas.openxmlformats.org/officeDocument/2006/relationships/hyperlink" Target="https://www.tambov.gov.ru/departament-vnutrennej-politiki/urt/narodnaya-iniciativa.html" TargetMode="External"/><Relationship Id="rId1809" Type="http://schemas.openxmlformats.org/officeDocument/2006/relationships/hyperlink" Target="http://&#1072;&#1076;&#1084;-&#1090;&#1072;&#1084;&#1072;&#1085;&#1100;.&#1088;&#1092;/index.php/administratsiya-2/glava-tamanskogo-selskogo-poseleniya-20/glava-tamanskogo-selskogo-poseleniya-25" TargetMode="External"/><Relationship Id="rId597" Type="http://schemas.openxmlformats.org/officeDocument/2006/relationships/hyperlink" Target="https://rosstat.gov.ru/compendium/document/13282" TargetMode="External"/><Relationship Id="rId152" Type="http://schemas.openxmlformats.org/officeDocument/2006/relationships/hyperlink" Target="https://docs.cntd.ru/document/446168877" TargetMode="External"/><Relationship Id="rId457" Type="http://schemas.openxmlformats.org/officeDocument/2006/relationships/hyperlink" Target="http://publication.pravo.gov.ru/Document/View/7500202005280001" TargetMode="External"/><Relationship Id="rId1087" Type="http://schemas.openxmlformats.org/officeDocument/2006/relationships/hyperlink" Target="http://updtpmo.ru/" TargetMode="External"/><Relationship Id="rId1294" Type="http://schemas.openxmlformats.org/officeDocument/2006/relationships/hyperlink" Target="https://bsizgan.gosuslugi.ru/ofitsialno/dokumenty/pa-mo/postanovleniya-administratsii-mo-2017-god/dokumenty_774.html" TargetMode="External"/><Relationship Id="rId2040" Type="http://schemas.openxmlformats.org/officeDocument/2006/relationships/hyperlink" Target="mailto:staleev@adm-nao.ru" TargetMode="External"/><Relationship Id="rId2138" Type="http://schemas.openxmlformats.org/officeDocument/2006/relationships/hyperlink" Target="https://mfnso.nso.ru/page/4446" TargetMode="External"/><Relationship Id="rId664" Type="http://schemas.openxmlformats.org/officeDocument/2006/relationships/hyperlink" Target="https://www.gks.ru/dbscripts/munst/munst87/DBInet.cgi" TargetMode="External"/><Relationship Id="rId871" Type="http://schemas.openxmlformats.org/officeDocument/2006/relationships/hyperlink" Target="https://samarastat.gks.ru/population" TargetMode="External"/><Relationship Id="rId969" Type="http://schemas.openxmlformats.org/officeDocument/2006/relationships/hyperlink" Target="https://mmal-11.samgd.ru/acts/decisions/76333/" TargetMode="External"/><Relationship Id="rId1599" Type="http://schemas.openxmlformats.org/officeDocument/2006/relationships/hyperlink" Target="http://www.gfo-sorochinsk.ru/tshb" TargetMode="External"/><Relationship Id="rId317" Type="http://schemas.openxmlformats.org/officeDocument/2006/relationships/hyperlink" Target="http://economy.midural.ru/content/iniciativnoe-byudzhetirovanie" TargetMode="External"/><Relationship Id="rId524" Type="http://schemas.openxmlformats.org/officeDocument/2006/relationships/hyperlink" Target="https://volgafin.volgograd.ru/current-activity/cooperation/news/424780/" TargetMode="External"/><Relationship Id="rId731" Type="http://schemas.openxmlformats.org/officeDocument/2006/relationships/hyperlink" Target="https://privoladm.ru/initsiativnoe-byudzhetirovanie" TargetMode="External"/><Relationship Id="rId1154" Type="http://schemas.openxmlformats.org/officeDocument/2006/relationships/hyperlink" Target="https://www.gks.ru/scripts/db_inet2/passport/table.aspx?opt=718161572022" TargetMode="External"/><Relationship Id="rId1361" Type="http://schemas.openxmlformats.org/officeDocument/2006/relationships/hyperlink" Target="https://chufarovskoe-r73.gosweb.gosuslugi.ru/ofitsialno/struktura-munitsipalnogo-obrazovaniya/predstavitelnyy-organ/dokumenty_1409.html" TargetMode="External"/><Relationship Id="rId1459" Type="http://schemas.openxmlformats.org/officeDocument/2006/relationships/hyperlink" Target="https://&#1092;&#1080;&#1085;&#1086;&#1090;&#1076;&#1077;&#1083;-&#1103;&#1089;&#1085;&#1099;&#1081;.&#1088;&#1092;/proekt-narodnyij-byudzhet" TargetMode="External"/><Relationship Id="rId98" Type="http://schemas.openxmlformats.org/officeDocument/2006/relationships/hyperlink" Target="https://docs.cntd.ru/document/570709755" TargetMode="External"/><Relationship Id="rId829" Type="http://schemas.openxmlformats.org/officeDocument/2006/relationships/hyperlink" Target="mailto:AkritovaVT@samadm.ru" TargetMode="External"/><Relationship Id="rId1014" Type="http://schemas.openxmlformats.org/officeDocument/2006/relationships/hyperlink" Target="http://abgosk.ru/finansy/initsiativnoe-byudzhetirovanie/normativno-pravovaya-baza/normativno-pravovaya-baza.php" TargetMode="External"/><Relationship Id="rId1221" Type="http://schemas.openxmlformats.org/officeDocument/2006/relationships/hyperlink" Target="mailto:kulikova.em@nur.yanao.ru" TargetMode="External"/><Relationship Id="rId1666" Type="http://schemas.openxmlformats.org/officeDocument/2006/relationships/hyperlink" Target="mailto:komobr@okuladm.ru" TargetMode="External"/><Relationship Id="rId1873" Type="http://schemas.openxmlformats.org/officeDocument/2006/relationships/hyperlink" Target="https://&#1072;&#1076;&#1084;-&#1088;&#1086;&#1076;&#1085;&#1080;&#1082;&#1086;&#1074;&#1089;&#1082;&#1072;&#1103;.&#1088;&#1092;/documents/1930.html" TargetMode="External"/><Relationship Id="rId1319" Type="http://schemas.openxmlformats.org/officeDocument/2006/relationships/hyperlink" Target="mailto:inza.finotdel@mail.ru" TargetMode="External"/><Relationship Id="rId1526" Type="http://schemas.openxmlformats.org/officeDocument/2006/relationships/hyperlink" Target="https://ok.ru/group/55033267880141" TargetMode="External"/><Relationship Id="rId1733" Type="http://schemas.openxmlformats.org/officeDocument/2006/relationships/hyperlink" Target="https://omsukchan-adm.ru/inova_block_documentset/document/330471/" TargetMode="External"/><Relationship Id="rId1940" Type="http://schemas.openxmlformats.org/officeDocument/2006/relationships/hyperlink" Target="https://vk.com/kipomsk" TargetMode="External"/><Relationship Id="rId25" Type="http://schemas.openxmlformats.org/officeDocument/2006/relationships/hyperlink" Target="mailto:gorbunov@fin.amurobl.ru" TargetMode="External"/><Relationship Id="rId1800" Type="http://schemas.openxmlformats.org/officeDocument/2006/relationships/hyperlink" Target="http://admekaterinovka.ru/initsiativnye-proekty/" TargetMode="External"/><Relationship Id="rId174" Type="http://schemas.openxmlformats.org/officeDocument/2006/relationships/hyperlink" Target="http://karelia-zs.ru/zakonodatelstvo_rk/prav_akty/915-zrk/" TargetMode="External"/><Relationship Id="rId381" Type="http://schemas.openxmlformats.org/officeDocument/2006/relationships/hyperlink" Target="mailto:zaytsevds@saratov.gov.ru" TargetMode="External"/><Relationship Id="rId2062" Type="http://schemas.openxmlformats.org/officeDocument/2006/relationships/hyperlink" Target="https://gokucmpi.ru/upload/iblock/ae8/ppo26zlmpqny7apv0dx3j2ug8zqhohjs/Anketa_na-sayt-_1_.pdf" TargetMode="External"/><Relationship Id="rId241" Type="http://schemas.openxmlformats.org/officeDocument/2006/relationships/hyperlink" Target="consultantplus://offline/ref=7E8DF06FB34ED0D56D25FD96D796136D21072C52525CAC283BF632326867B056A97B5FE7CF0F85299311837F8AD1A7B21940155605531A64023ABA78hBG0J" TargetMode="External"/><Relationship Id="rId479" Type="http://schemas.openxmlformats.org/officeDocument/2006/relationships/hyperlink" Target="https://or71.ru/primi_uchastie/narodniy_budjet_new/" TargetMode="External"/><Relationship Id="rId686" Type="http://schemas.openxmlformats.org/officeDocument/2006/relationships/hyperlink" Target="http://&#1074;&#1086;&#1088;&#1082;&#1091;&#1090;&#1072;.&#1088;&#1092;/regulatory/initsiativnoe-byudzhetirovanie/" TargetMode="External"/><Relationship Id="rId893" Type="http://schemas.openxmlformats.org/officeDocument/2006/relationships/hyperlink" Target="http://kabanovka.kinel-cherkassy.ru/?p=9558" TargetMode="External"/><Relationship Id="rId339" Type="http://schemas.openxmlformats.org/officeDocument/2006/relationships/hyperlink" Target="https://disk.yandex.ru/d/55vFS7oACnI9WQ" TargetMode="External"/><Relationship Id="rId546" Type="http://schemas.openxmlformats.org/officeDocument/2006/relationships/hyperlink" Target="https://vejdelevskij-r31.gosweb.gosuslugi.ru/" TargetMode="External"/><Relationship Id="rId753" Type="http://schemas.openxmlformats.org/officeDocument/2006/relationships/hyperlink" Target="https://proletarskoe.ru/images/phocagallery/2021/post-2021-N-175.doc" TargetMode="External"/><Relationship Id="rId1176" Type="http://schemas.openxmlformats.org/officeDocument/2006/relationships/hyperlink" Target="http://www.shugur.ru/documents/1868.html" TargetMode="External"/><Relationship Id="rId1383" Type="http://schemas.openxmlformats.org/officeDocument/2006/relationships/hyperlink" Target="mailto:adm-chsp@mail.ru" TargetMode="External"/><Relationship Id="rId101" Type="http://schemas.openxmlformats.org/officeDocument/2006/relationships/hyperlink" Target="mailto:lushkina@ivdvp.ru" TargetMode="External"/><Relationship Id="rId406" Type="http://schemas.openxmlformats.org/officeDocument/2006/relationships/hyperlink" Target="https://www.donland.ru/result-report/1483/" TargetMode="External"/><Relationship Id="rId960" Type="http://schemas.openxmlformats.org/officeDocument/2006/relationships/hyperlink" Target="http://chernovka.kinel-cherkassy.ru/wp-content/uploads/2023/03/30-23-&#1041;&#1083;&#1072;&#1075;&#1086;&#1091;&#1089;&#1090;&#1088;&#1086;&#1081;&#1089;&#1090;&#1074;&#1086;-&#1063;&#1077;&#1088;&#1085;&#1086;&#1074;&#1082;&#1072;.doc" TargetMode="External"/><Relationship Id="rId1036" Type="http://schemas.openxmlformats.org/officeDocument/2006/relationships/hyperlink" Target="http://izobadmin.ru/taxonomy/term/345" TargetMode="External"/><Relationship Id="rId1243" Type="http://schemas.openxmlformats.org/officeDocument/2006/relationships/hyperlink" Target="https://tumstat.gks.ru/ofstat_ynao" TargetMode="External"/><Relationship Id="rId1590" Type="http://schemas.openxmlformats.org/officeDocument/2006/relationships/hyperlink" Target="mailto:velav@mail.orb.ru" TargetMode="External"/><Relationship Id="rId1688" Type="http://schemas.openxmlformats.org/officeDocument/2006/relationships/hyperlink" Target="mailto:bud_komfin@novreg.ru" TargetMode="External"/><Relationship Id="rId1895" Type="http://schemas.openxmlformats.org/officeDocument/2006/relationships/hyperlink" Target="http://&#1072;&#1076;&#1084;-&#1080;&#1074;&#1072;&#1085;&#1086;&#1074;&#1089;&#1082;&#1072;&#1103;.&#1088;&#1092;/documents/1615.html" TargetMode="External"/><Relationship Id="rId613" Type="http://schemas.openxmlformats.org/officeDocument/2006/relationships/hyperlink" Target="mailto:e.zykina@gov39.ru" TargetMode="External"/><Relationship Id="rId820" Type="http://schemas.openxmlformats.org/officeDocument/2006/relationships/hyperlink" Target="http://kirovskiy.gordumasamara.ru/ustav-kirovskogo-vnutrigorodskogo-rajona/?doing_wp_cron=1649222951.5339250564575195312500" TargetMode="External"/><Relationship Id="rId918" Type="http://schemas.openxmlformats.org/officeDocument/2006/relationships/hyperlink" Target="http://krotovka.kinel-cherkassy.ru/images/files/blagoustroystvo_Krotovka.doc" TargetMode="External"/><Relationship Id="rId1450" Type="http://schemas.openxmlformats.org/officeDocument/2006/relationships/hyperlink" Target="mailto:velav@mail.orb.ru" TargetMode="External"/><Relationship Id="rId1548" Type="http://schemas.openxmlformats.org/officeDocument/2006/relationships/hyperlink" Target="mailto:velav@mail.orb.ru" TargetMode="External"/><Relationship Id="rId1755" Type="http://schemas.openxmlformats.org/officeDocument/2006/relationships/hyperlink" Target="https://dzhankoy.rk.gov.ru/document/show/4055" TargetMode="External"/><Relationship Id="rId1103" Type="http://schemas.openxmlformats.org/officeDocument/2006/relationships/hyperlink" Target="mailto:PryahinAA@tyumen-city.ru" TargetMode="External"/><Relationship Id="rId1310" Type="http://schemas.openxmlformats.org/officeDocument/2006/relationships/hyperlink" Target="https://uln.gks.ru/search?q=&#1095;&#1080;&#1089;&#1083;&#1077;&#1085;&#1085;&#1086;&#1089;&#1090;&#1100;+&#1042;&#1077;&#1096;&#1082;&#1072;&#1081;&#1084;&#1089;&#1082;&#1086;&#1075;&#1086;+&#1088;&#1072;&#1081;&#1086;&#1085;&#1072;" TargetMode="External"/><Relationship Id="rId1408" Type="http://schemas.openxmlformats.org/officeDocument/2006/relationships/hyperlink" Target="http://admrogovskaya.ru/" TargetMode="External"/><Relationship Id="rId1962" Type="http://schemas.openxmlformats.org/officeDocument/2006/relationships/hyperlink" Target="https://minter.permkrai.ru/deyatelnost/podderzhka-mestnykh-initsiativ/initsiativnoe-byudzhetirovanie/initsiativnoe-byudzhetirovanie" TargetMode="External"/><Relationship Id="rId47" Type="http://schemas.openxmlformats.org/officeDocument/2006/relationships/hyperlink" Target="https://pravo.govvrn.ru/?q=node/4592" TargetMode="External"/><Relationship Id="rId1615" Type="http://schemas.openxmlformats.org/officeDocument/2006/relationships/hyperlink" Target="http://school-test1.ucoz.com/index/arkhiv_quot_shkolnyj_bjudzhet_2022_quot/0-363;" TargetMode="External"/><Relationship Id="rId1822" Type="http://schemas.openxmlformats.org/officeDocument/2006/relationships/hyperlink" Target="mailto:admi-krasnostrelskay@yandex.ru" TargetMode="External"/><Relationship Id="rId196" Type="http://schemas.openxmlformats.org/officeDocument/2006/relationships/hyperlink" Target="http://pravo-astrobl.ru/documents/document-0002202112310011/" TargetMode="External"/><Relationship Id="rId2084" Type="http://schemas.openxmlformats.org/officeDocument/2006/relationships/hyperlink" Target="http://docs.cntd.ru/document/553230534" TargetMode="External"/><Relationship Id="rId263" Type="http://schemas.openxmlformats.org/officeDocument/2006/relationships/hyperlink" Target="mailto:golovkova_ma@mf.udmr.ru" TargetMode="External"/><Relationship Id="rId470" Type="http://schemas.openxmlformats.org/officeDocument/2006/relationships/hyperlink" Target="mailto:armenshin.i@bashkortostan.ru" TargetMode="External"/><Relationship Id="rId2151" Type="http://schemas.openxmlformats.org/officeDocument/2006/relationships/hyperlink" Target="http://dvubratskoe-sp.ru/load/iniciativnoe_bjudzhetirovanie/62" TargetMode="External"/><Relationship Id="rId123" Type="http://schemas.openxmlformats.org/officeDocument/2006/relationships/hyperlink" Target="https://bashstat.gks.ru/storage/mediabank/CHislennost-naseleniya-po-municipalnym-rajonam-i-gorodskim-okrugam-Respubliki-%20Bashkortostan-na-1-yanvarya-2022-g-s-uchetom-VPN-2020.pdf" TargetMode="External"/><Relationship Id="rId330" Type="http://schemas.openxmlformats.org/officeDocument/2006/relationships/hyperlink" Target="https://disk.yandex.ru/d/yXkDdxbdpS9O0w" TargetMode="External"/><Relationship Id="rId568" Type="http://schemas.openxmlformats.org/officeDocument/2006/relationships/hyperlink" Target="https://gubkinadm.gosuslugi.ru/netcat_files/41/297/Pasport_GGO_na_01.01.2023.pdf" TargetMode="External"/><Relationship Id="rId775" Type="http://schemas.openxmlformats.org/officeDocument/2006/relationships/hyperlink" Target="https://spasskd.ru/images/files/2021/raznoe/0617/reshenie_dumy_2-npa_o_poryadke_realizacii_proektov_iniciativnogo_byudzhetirovaniya.docx" TargetMode="External"/><Relationship Id="rId982" Type="http://schemas.openxmlformats.org/officeDocument/2006/relationships/hyperlink" Target="mailto:admin_amo@mail.ru" TargetMode="External"/><Relationship Id="rId1198" Type="http://schemas.openxmlformats.org/officeDocument/2006/relationships/hyperlink" Target="https://www.yamal.kp.ru/online/news/4306062/" TargetMode="External"/><Relationship Id="rId2011" Type="http://schemas.openxmlformats.org/officeDocument/2006/relationships/hyperlink" Target="http://region-stat.plo.lan/People/Forms/ByType.aspx" TargetMode="External"/><Relationship Id="rId428" Type="http://schemas.openxmlformats.org/officeDocument/2006/relationships/hyperlink" Target="file:///var/folders/_b/rxv_4dvx5s7bhhpl1mcf4xgw0000gn/T/SaskebaevaAE/AppData/Local/Temp/Rar$DIa0.222/&#1055;&#1086;&#1089;&#1090;&#1072;&#1085;&#1086;&#1074;&#1083;&#1077;&#1085;&#1080;&#1077;%20&#1055;&#1088;&#1072;&#1074;&#1080;&#1090;&#1077;&#1083;&#1100;&#1089;&#1090;&#1074;&#1072;%20&#1061;&#1052;&#1040;&#1054;-&#1070;&#1075;&#1088;&#1099;%20&#1086;&#1090;%2005.10.2018%20&#1075;%20N%20355%20%20&#1075;&#1086;&#1089;&#1087;&#1088;&#1086;&#1075;&#1088;&#1072;&#1084;&#1084;&#1072;%20&#1056;&#1072;&#1079;&#1074;&#1080;&#1090;&#1080;&#1077;%20&#1075;&#1088;&#1072;&#1078;&#1076;&#1072;&#1085;&#1089;&#1082;&#1086;&#1075;&#1086;%20&#1086;&#1073;&#1097;&#1077;&#1089;&#1090;&#1074;&#1072;.docx" TargetMode="External"/><Relationship Id="rId635" Type="http://schemas.openxmlformats.org/officeDocument/2006/relationships/hyperlink" Target="https://www.kaluga-gov.ru/obshchestvo/initsiativnye-proekty/pravovaya-baza/8427/" TargetMode="External"/><Relationship Id="rId842" Type="http://schemas.openxmlformats.org/officeDocument/2006/relationships/hyperlink" Target="mailto:promtos63@mail.ru" TargetMode="External"/><Relationship Id="rId1058" Type="http://schemas.openxmlformats.org/officeDocument/2006/relationships/hyperlink" Target="https://stavstat.gks.ru/folder/28386" TargetMode="External"/><Relationship Id="rId1265" Type="http://schemas.openxmlformats.org/officeDocument/2006/relationships/hyperlink" Target="https://rosstat.gov.ru/vpn_popul" TargetMode="External"/><Relationship Id="rId1472" Type="http://schemas.openxmlformats.org/officeDocument/2006/relationships/hyperlink" Target="https://vk.com/club211208773?z=photo-211208773_457239048%2Falbum-211208773_00%2Frev" TargetMode="External"/><Relationship Id="rId2109" Type="http://schemas.openxmlformats.org/officeDocument/2006/relationships/hyperlink" Target="https://vk.com/public197984081?w=wall-197984081_133" TargetMode="External"/><Relationship Id="rId702" Type="http://schemas.openxmlformats.org/officeDocument/2006/relationships/hyperlink" Target="https://www.gks.ru/scripts/db_inet2/passport/table.aspx?opt=876480002022" TargetMode="External"/><Relationship Id="rId1125" Type="http://schemas.openxmlformats.org/officeDocument/2006/relationships/hyperlink" Target="https://www.dumamegion.ru/laws/resheniya/detail.php?ID=7846" TargetMode="External"/><Relationship Id="rId1332" Type="http://schemas.openxmlformats.org/officeDocument/2006/relationships/hyperlink" Target="http://karsunmo.ru/postanovleniya/" TargetMode="External"/><Relationship Id="rId1777" Type="http://schemas.openxmlformats.org/officeDocument/2006/relationships/hyperlink" Target="mailto:Pilyugaeva@fin.admkrsk.ru" TargetMode="External"/><Relationship Id="rId1984" Type="http://schemas.openxmlformats.org/officeDocument/2006/relationships/hyperlink" Target="mailto:invest@gov.mari.ru" TargetMode="External"/><Relationship Id="rId69" Type="http://schemas.openxmlformats.org/officeDocument/2006/relationships/hyperlink" Target="http://docs.cntd.ru/document/550244134" TargetMode="External"/><Relationship Id="rId1637" Type="http://schemas.openxmlformats.org/officeDocument/2006/relationships/hyperlink" Target="https://buzuluk.orb.ru/documents/active/89748/" TargetMode="External"/><Relationship Id="rId1844" Type="http://schemas.openxmlformats.org/officeDocument/2006/relationships/hyperlink" Target="mailto:titovaep@sochiadm.ru" TargetMode="External"/><Relationship Id="rId1704" Type="http://schemas.openxmlformats.org/officeDocument/2006/relationships/hyperlink" Target="https://borcity.ru/okrug/okrug_info.php" TargetMode="External"/><Relationship Id="rId285" Type="http://schemas.openxmlformats.org/officeDocument/2006/relationships/hyperlink" Target="https://t-l.ru/340424.html" TargetMode="External"/><Relationship Id="rId1911" Type="http://schemas.openxmlformats.org/officeDocument/2006/relationships/hyperlink" Target="mailto:goncharova_nv@kurganobl.ru" TargetMode="External"/><Relationship Id="rId492" Type="http://schemas.openxmlformats.org/officeDocument/2006/relationships/hyperlink" Target="https://www.arhcity.ru/?page=2373/6" TargetMode="External"/><Relationship Id="rId797" Type="http://schemas.openxmlformats.org/officeDocument/2006/relationships/hyperlink" Target="mailto:finans@adm-ussuriisk.ru" TargetMode="External"/><Relationship Id="rId145" Type="http://schemas.openxmlformats.org/officeDocument/2006/relationships/hyperlink" Target="http://publication.pravo.gov.ru/Document/View/7400202112240014" TargetMode="External"/><Relationship Id="rId352" Type="http://schemas.openxmlformats.org/officeDocument/2006/relationships/hyperlink" Target="https://pib.sakhminfin.ru/projects?MembersCategoryId=0/" TargetMode="External"/><Relationship Id="rId1287" Type="http://schemas.openxmlformats.org/officeDocument/2006/relationships/hyperlink" Target="https://rosstat.gov.ru/compendium/document/13282" TargetMode="External"/><Relationship Id="rId2033" Type="http://schemas.openxmlformats.org/officeDocument/2006/relationships/hyperlink" Target="mailto:velav@mail.orb.ru" TargetMode="External"/><Relationship Id="rId212" Type="http://schemas.openxmlformats.org/officeDocument/2006/relationships/hyperlink" Target="mailto:gaybel_aa@belregion.ru" TargetMode="External"/><Relationship Id="rId657" Type="http://schemas.openxmlformats.org/officeDocument/2006/relationships/hyperlink" Target="mailto:romanova_o@depfin.kirov.ru" TargetMode="External"/><Relationship Id="rId864" Type="http://schemas.openxmlformats.org/officeDocument/2006/relationships/hyperlink" Target="mailto:mburdk59@mail.ru" TargetMode="External"/><Relationship Id="rId1494" Type="http://schemas.openxmlformats.org/officeDocument/2006/relationships/hyperlink" Target="mailto:vai@to.orb.ru" TargetMode="External"/><Relationship Id="rId1799" Type="http://schemas.openxmlformats.org/officeDocument/2006/relationships/hyperlink" Target="mailto:sp07ek@mail/" TargetMode="External"/><Relationship Id="rId2100" Type="http://schemas.openxmlformats.org/officeDocument/2006/relationships/hyperlink" Target="http://docs.cntd.ru/document/553230534" TargetMode="External"/><Relationship Id="rId517" Type="http://schemas.openxmlformats.org/officeDocument/2006/relationships/hyperlink" Target="https://02.rosstat.gov.ru/storage/mediabank/CHislennost-naseleniya-po-municipalnym-rajonam-i-gorodskim-okrugam-Respubliki-%20Bashkortostan-na-1-yanvarya-2022-g-s-uchetom-VPN-2020.pdf" TargetMode="External"/><Relationship Id="rId724" Type="http://schemas.openxmlformats.org/officeDocument/2006/relationships/hyperlink" Target="mailto:adm.ugn@mail.ru" TargetMode="External"/><Relationship Id="rId931" Type="http://schemas.openxmlformats.org/officeDocument/2006/relationships/hyperlink" Target="http://krotovka.kinel-cherkassy.ru/images/files/Reshenie_19-2_ot_23.08.2021.pdf" TargetMode="External"/><Relationship Id="rId1147" Type="http://schemas.openxmlformats.org/officeDocument/2006/relationships/hyperlink" Target="https://www.gks.ru/scripts/db_inet2/passport/table.aspx?opt=718161512022" TargetMode="External"/><Relationship Id="rId1354" Type="http://schemas.openxmlformats.org/officeDocument/2006/relationships/hyperlink" Target="https://uln.gks.ru/storage/mediabank/73-nas-22.xlsx" TargetMode="External"/><Relationship Id="rId1561" Type="http://schemas.openxmlformats.org/officeDocument/2006/relationships/hyperlink" Target="https://bugraifo.orb.ru/activity/26293/" TargetMode="External"/><Relationship Id="rId60" Type="http://schemas.openxmlformats.org/officeDocument/2006/relationships/hyperlink" Target="mailto:DzhateB@mail.ru" TargetMode="External"/><Relationship Id="rId1007" Type="http://schemas.openxmlformats.org/officeDocument/2006/relationships/hyperlink" Target="https://stavstat.gks.ru/folder/28386" TargetMode="External"/><Relationship Id="rId1214" Type="http://schemas.openxmlformats.org/officeDocument/2006/relationships/hyperlink" Target="https://www.newurengoy.ru/doc/19695-ob-utverzhdenii-polozheniya-o-realizacii-proekta-shkolnogo-iniciativnogo-partisipatornogo-byudzhetirovaniya-klass.html" TargetMode="External"/><Relationship Id="rId1421" Type="http://schemas.openxmlformats.org/officeDocument/2006/relationships/hyperlink" Target="https://sbor.ru/economy/soceconrazv/inform" TargetMode="External"/><Relationship Id="rId1659" Type="http://schemas.openxmlformats.org/officeDocument/2006/relationships/hyperlink" Target="mailto:pimenovaiv@minfin.omskportal.ru" TargetMode="External"/><Relationship Id="rId1866" Type="http://schemas.openxmlformats.org/officeDocument/2006/relationships/hyperlink" Target="mailto:orgotdel.kurganinsk@mail.ru" TargetMode="External"/><Relationship Id="rId1519" Type="http://schemas.openxmlformats.org/officeDocument/2006/relationships/hyperlink" Target="http://fin-or.ru/ckfinder/userfiles/files/%D0%BF%D0%BE%D1%81%D1%82%D0%B0%D0%BD%D0%BE%D0%B2%D0%BB%D0%B5%D0%BD%D0%B8%D0%B5%201694%20%D0%BF%20%D0%BE%D1%82%2003_09_2021.pdf" TargetMode="External"/><Relationship Id="rId1726" Type="http://schemas.openxmlformats.org/officeDocument/2006/relationships/hyperlink" Target="https://www.gks.ru/scripts/db_inet2/passport/table.aspx?opt=227210002022" TargetMode="External"/><Relationship Id="rId1933" Type="http://schemas.openxmlformats.org/officeDocument/2006/relationships/hyperlink" Target="https://ovmf2.consultant.ru/cgi/online.cgi?req=doc&amp;cacheid=91FAF2830B494CFC4A20C2EA93B506AB&amp;SORTTYPE=0&amp;BASENODE=23700-48&amp;ts=4tWHwbTachWvjHzX1&amp;base=RLAW148&amp;n=196885&amp;rnd=Tn7HyA" TargetMode="External"/><Relationship Id="rId18" Type="http://schemas.openxmlformats.org/officeDocument/2006/relationships/hyperlink" Target="https://okuvshinnikov.ru/prog/programma_gubernatora_narodnyj_byudzhet/" TargetMode="External"/><Relationship Id="rId167" Type="http://schemas.openxmlformats.org/officeDocument/2006/relationships/hyperlink" Target="mailto:bagdasarian@nac.gov10.ru" TargetMode="External"/><Relationship Id="rId374" Type="http://schemas.openxmlformats.org/officeDocument/2006/relationships/hyperlink" Target="mailto:ldtu@mail.ru" TargetMode="External"/><Relationship Id="rId581" Type="http://schemas.openxmlformats.org/officeDocument/2006/relationships/hyperlink" Target="https://vk.com/yakovlevez?w=wall-202831546_401&amp;ysclid=lggl3asamn715497386" TargetMode="External"/><Relationship Id="rId2055" Type="http://schemas.openxmlformats.org/officeDocument/2006/relationships/hyperlink" Target="https://novgorodstat.gks.ru/storage/mediabank/%D0%A7%D0%B8%D1%81%D0%BB%D0%B5%D0%BD%D0%BD%D0%BE%D1%81%D1%82%D1%8C%20%D0%BE%D0%B1%D0%BB%D0%B0%D1%81%D1%82%D1%8C%202022.pdf" TargetMode="External"/><Relationship Id="rId234" Type="http://schemas.openxmlformats.org/officeDocument/2006/relationships/hyperlink" Target="https://&#1095;&#1091;&#1082;&#1086;&#1090;&#1082;&#1072;.&#1088;&#1092;/depfin/about/struktura-i-sostav/upravlenie-finansov/napravleniya-raboty/mezhbyudzhetnye-otnosheniya/initsiativnoe-byudzhetirovanie.php" TargetMode="External"/><Relationship Id="rId679" Type="http://schemas.openxmlformats.org/officeDocument/2006/relationships/hyperlink" Target="mailto:org.otdel.vuktyl@mail" TargetMode="External"/><Relationship Id="rId886" Type="http://schemas.openxmlformats.org/officeDocument/2006/relationships/hyperlink" Target="http://erzovka.kinel-cherkassy.ru/?p=8935" TargetMode="External"/><Relationship Id="rId2" Type="http://schemas.openxmlformats.org/officeDocument/2006/relationships/hyperlink" Target="mailto:zrelova_ea@admin-smolensk.ru" TargetMode="External"/><Relationship Id="rId441" Type="http://schemas.openxmlformats.org/officeDocument/2006/relationships/hyperlink" Target="https://&#1103;&#1089;&#1095;&#1080;&#1090;&#1072;&#1102;.&#1088;&#1092;/" TargetMode="External"/><Relationship Id="rId539" Type="http://schemas.openxmlformats.org/officeDocument/2006/relationships/hyperlink" Target="https://jkx.avo.ru/formirovanie-komfortnoj-gorodskoj-sredy" TargetMode="External"/><Relationship Id="rId746" Type="http://schemas.openxmlformats.org/officeDocument/2006/relationships/hyperlink" Target="https://www.novoberezanskoe.ru/images/doc/2020-12-28/872020resh.doc" TargetMode="External"/><Relationship Id="rId1071" Type="http://schemas.openxmlformats.org/officeDocument/2006/relationships/hyperlink" Target="mailto:fiupravlenie@yandex.ru" TargetMode="External"/><Relationship Id="rId1169" Type="http://schemas.openxmlformats.org/officeDocument/2006/relationships/hyperlink" Target="mailto:admkuma@yandex.ru" TargetMode="External"/><Relationship Id="rId1376" Type="http://schemas.openxmlformats.org/officeDocument/2006/relationships/hyperlink" Target="http://hmrn.ru/raion/ekonomika/ser/socio_economic_programm/programms/perechen-munitsipalnykh-programm-na-2022-2024-gody-vstupaet-v-silu-s-01-01-2022-goda-.php?clear_cache=Y" TargetMode="External"/><Relationship Id="rId1583" Type="http://schemas.openxmlformats.org/officeDocument/2006/relationships/hyperlink" Target="mailto:velav@mail.orb.ru" TargetMode="External"/><Relationship Id="rId2122" Type="http://schemas.openxmlformats.org/officeDocument/2006/relationships/hyperlink" Target="https://dd.gokucmpi.ru/otchet/?t=2022&amp;f=zakup" TargetMode="External"/><Relationship Id="rId301" Type="http://schemas.openxmlformats.org/officeDocument/2006/relationships/hyperlink" Target="http://publication.pravo.gov.ru/Document/View/6800201709010001?rangeSize=20" TargetMode="External"/><Relationship Id="rId953" Type="http://schemas.openxmlformats.org/officeDocument/2006/relationships/hyperlink" Target="http://sadgorod.kinel-cherkassy.ru/" TargetMode="External"/><Relationship Id="rId1029" Type="http://schemas.openxmlformats.org/officeDocument/2006/relationships/hyperlink" Target="https://www.georgievsk.ru/mestnye-initsiativy/budjetirovanie/1895_22_06_2021.doc" TargetMode="External"/><Relationship Id="rId1236" Type="http://schemas.openxmlformats.org/officeDocument/2006/relationships/hyperlink" Target="https://vk.com/wall-189302525?q=&#1073;&#1102;&#1076;&#1078;&#1077;&#1090;&#1080;&#1088;&#1086;&#1074;&#1072;&#1085;&#1080;&#1077;" TargetMode="External"/><Relationship Id="rId1790" Type="http://schemas.openxmlformats.org/officeDocument/2006/relationships/hyperlink" Target="mailto:7102@bk.ru" TargetMode="External"/><Relationship Id="rId1888" Type="http://schemas.openxmlformats.org/officeDocument/2006/relationships/hyperlink" Target="http://www.admnovomysh.ru/images/resheniya/2021/resh_18.2_ot_19.01.21.doc" TargetMode="External"/><Relationship Id="rId82" Type="http://schemas.openxmlformats.org/officeDocument/2006/relationships/hyperlink" Target="mailto:dtdh@adm44.ru" TargetMode="External"/><Relationship Id="rId606" Type="http://schemas.openxmlformats.org/officeDocument/2006/relationships/hyperlink" Target="https://vk.com/tos_cher" TargetMode="External"/><Relationship Id="rId813" Type="http://schemas.openxmlformats.org/officeDocument/2006/relationships/hyperlink" Target="https://www.gks.ru/scripts/db_inet2/passport/table.aspx?opt=367270002021" TargetMode="External"/><Relationship Id="rId1443" Type="http://schemas.openxmlformats.org/officeDocument/2006/relationships/hyperlink" Target="https://tl.orb.ru/activity/10699/" TargetMode="External"/><Relationship Id="rId1650" Type="http://schemas.openxmlformats.org/officeDocument/2006/relationships/hyperlink" Target="https://kormil.omskportal.ru/omsu/kormil-3-52-223-1/etc/CelevProgrammy" TargetMode="External"/><Relationship Id="rId1748" Type="http://schemas.openxmlformats.org/officeDocument/2006/relationships/hyperlink" Target="https://perovskoe.rk.gov.ru/ru/document/show/2092" TargetMode="External"/><Relationship Id="rId1303" Type="http://schemas.openxmlformats.org/officeDocument/2006/relationships/hyperlink" Target="http://barysh.org/regulatory/Post2015/490.pdf" TargetMode="External"/><Relationship Id="rId1510" Type="http://schemas.openxmlformats.org/officeDocument/2006/relationships/hyperlink" Target="https://orenstat.gks.ru/folder/26298" TargetMode="External"/><Relationship Id="rId1955" Type="http://schemas.openxmlformats.org/officeDocument/2006/relationships/hyperlink" Target="http://&#1086;&#1088;&#1105;&#1083;.&#1088;&#1092;/&#1085;&#1072;&#1088;&#1086;&#1076;&#1085;&#1099;&#1081;-&#1073;&#1102;&#1076;&#1078;&#1077;&#1090;" TargetMode="External"/><Relationship Id="rId1608" Type="http://schemas.openxmlformats.org/officeDocument/2006/relationships/hyperlink" Target="https://orenburg.ru/activity/15194/" TargetMode="External"/><Relationship Id="rId1815" Type="http://schemas.openxmlformats.org/officeDocument/2006/relationships/hyperlink" Target="mailto:zkh.admtsp@yandex.ru" TargetMode="External"/><Relationship Id="rId189" Type="http://schemas.openxmlformats.org/officeDocument/2006/relationships/hyperlink" Target="http://publication.pravo.gov.ru/Document/View/3401202203240002" TargetMode="External"/><Relationship Id="rId396" Type="http://schemas.openxmlformats.org/officeDocument/2006/relationships/hyperlink" Target="https://minfin-rzn.ru/participation" TargetMode="External"/><Relationship Id="rId2077" Type="http://schemas.openxmlformats.org/officeDocument/2006/relationships/hyperlink" Target="https://gokucmpi.ru/" TargetMode="External"/><Relationship Id="rId256" Type="http://schemas.openxmlformats.org/officeDocument/2006/relationships/hyperlink" Target="https://73.rosstat.gov.ru/folder/40275" TargetMode="External"/><Relationship Id="rId463" Type="http://schemas.openxmlformats.org/officeDocument/2006/relationships/hyperlink" Target="https://mcx.75.ru/gospodderzhka/finansovaya-podderzhka/kompleksnoe-razvitie-sel-skih-territoriy/blagoustroystvo-sel-skih-territoriy" TargetMode="External"/><Relationship Id="rId670" Type="http://schemas.openxmlformats.org/officeDocument/2006/relationships/hyperlink" Target="https://11.rosstat.gov.ru/vpn2020" TargetMode="External"/><Relationship Id="rId1093" Type="http://schemas.openxmlformats.org/officeDocument/2006/relationships/hyperlink" Target="mailto:fintrunov@yandex.ru" TargetMode="External"/><Relationship Id="rId2144" Type="http://schemas.openxmlformats.org/officeDocument/2006/relationships/hyperlink" Target="https://docs.cntd.ru/document/444712158" TargetMode="External"/><Relationship Id="rId116" Type="http://schemas.openxmlformats.org/officeDocument/2006/relationships/hyperlink" Target="https://pskov.ru/vlast/ispolnitelnaya/administratsiya-oblasti/apparat/upravlenie-po-mestnomu-samoupr/initsiativnye-proekty" TargetMode="External"/><Relationship Id="rId323" Type="http://schemas.openxmlformats.org/officeDocument/2006/relationships/hyperlink" Target="https://gorodsreda.ru/documents/metodiki-i-rekomendatsi" TargetMode="External"/><Relationship Id="rId530" Type="http://schemas.openxmlformats.org/officeDocument/2006/relationships/hyperlink" Target="https://dtf.avo.ru/podderzka-iniciativ-naselenia" TargetMode="External"/><Relationship Id="rId768" Type="http://schemas.openxmlformats.org/officeDocument/2006/relationships/hyperlink" Target="http://www.artemokrug.ru/otdely_i_upravleniya/detail.php?ID=1887&amp;sphrase_id=41705" TargetMode="External"/><Relationship Id="rId975" Type="http://schemas.openxmlformats.org/officeDocument/2006/relationships/hyperlink" Target="mailto:beloothernoe-2011@mail.ru" TargetMode="External"/><Relationship Id="rId1160" Type="http://schemas.openxmlformats.org/officeDocument/2006/relationships/hyperlink" Target="http://admkonda.ru/initciativnye-proekty-2022-god-mortka-byudzhet.html" TargetMode="External"/><Relationship Id="rId1398" Type="http://schemas.openxmlformats.org/officeDocument/2006/relationships/hyperlink" Target="mailto:org_adm_kalina@mail.ru" TargetMode="External"/><Relationship Id="rId2004" Type="http://schemas.openxmlformats.org/officeDocument/2006/relationships/hyperlink" Target="mailto:mag@mvp.kreml.nnov.ru" TargetMode="External"/><Relationship Id="rId628" Type="http://schemas.openxmlformats.org/officeDocument/2006/relationships/hyperlink" Target="mailto:foborovsk@adm.kaluga.ru" TargetMode="External"/><Relationship Id="rId835" Type="http://schemas.openxmlformats.org/officeDocument/2006/relationships/hyperlink" Target="http://kuibishevskiy.gordumasamara.ru/wp-content/uploads/2021/02/%D0%A0%D0%B5%D1%88%D0%B5%D0%BD%D0%B8%D0%B5-%D0%BE%D1%82-16.02.2021-%E2%84%9635.pdf" TargetMode="External"/><Relationship Id="rId1258" Type="http://schemas.openxmlformats.org/officeDocument/2006/relationships/hyperlink" Target="https://admmuji.yanao.ru/documents/active/253497" TargetMode="External"/><Relationship Id="rId1465" Type="http://schemas.openxmlformats.org/officeDocument/2006/relationships/hyperlink" Target="mailto:gy_fin@mail.orb.ru" TargetMode="External"/><Relationship Id="rId1672" Type="http://schemas.openxmlformats.org/officeDocument/2006/relationships/hyperlink" Target="https://komobrlub.edusite.ru/p94aa1.html" TargetMode="External"/><Relationship Id="rId1020" Type="http://schemas.openxmlformats.org/officeDocument/2006/relationships/hyperlink" Target="https://rosstat.gov.ru/compendium/document/13282" TargetMode="External"/><Relationship Id="rId1118" Type="http://schemas.openxmlformats.org/officeDocument/2006/relationships/hyperlink" Target="https://disk.yandex.ru/i/fM7X8foiRA52Vg" TargetMode="External"/><Relationship Id="rId1325" Type="http://schemas.openxmlformats.org/officeDocument/2006/relationships/hyperlink" Target="http://www.&#1082;&#1072;&#1088;&#1075;&#1080;&#1085;&#1089;&#1082;&#1086;&#1077;.&#1088;&#1092;/load/dokumenty_administracii/postanovlenija_2021_g/postanovlenie_64_ot_08_11_2021g/63-1-0-1065" TargetMode="External"/><Relationship Id="rId1532" Type="http://schemas.openxmlformats.org/officeDocument/2006/relationships/hyperlink" Target="mailto:velav@mail.orb.ru" TargetMode="External"/><Relationship Id="rId1977" Type="http://schemas.openxmlformats.org/officeDocument/2006/relationships/hyperlink" Target="https://budget.rk.ifinmon.ru/krym-kak-my-hotim" TargetMode="External"/><Relationship Id="rId902" Type="http://schemas.openxmlformats.org/officeDocument/2006/relationships/hyperlink" Target="mailto:kdz58@mail.ru" TargetMode="External"/><Relationship Id="rId1837" Type="http://schemas.openxmlformats.org/officeDocument/2006/relationships/hyperlink" Target="mailto:fin217@yandex.ru" TargetMode="External"/><Relationship Id="rId31" Type="http://schemas.openxmlformats.org/officeDocument/2006/relationships/hyperlink" Target="mailto:mbo@minfinrk.ru" TargetMode="External"/><Relationship Id="rId2099" Type="http://schemas.openxmlformats.org/officeDocument/2006/relationships/hyperlink" Target="https://docs.cntd.ru/document/450360732" TargetMode="External"/><Relationship Id="rId180" Type="http://schemas.openxmlformats.org/officeDocument/2006/relationships/hyperlink" Target="http://www.kirovreg.ru/publ/AkOUP.nsf/de017b98ac867075c32571440061b25c/a477b32730cd333b43258256004958f1?OpenDocument" TargetMode="External"/><Relationship Id="rId278" Type="http://schemas.openxmlformats.org/officeDocument/2006/relationships/hyperlink" Target="https://admtyumen.ru/ogv_ru/finance/more_program.htm?id=1190@egTargetGrant" TargetMode="External"/><Relationship Id="rId1904" Type="http://schemas.openxmlformats.org/officeDocument/2006/relationships/hyperlink" Target="mailto:sergievka@list.ru" TargetMode="External"/><Relationship Id="rId485" Type="http://schemas.openxmlformats.org/officeDocument/2006/relationships/hyperlink" Target="http://publication.pravo.gov.ru/Document/View/2700201903260005?index=0&amp;rangeSize=1" TargetMode="External"/><Relationship Id="rId692" Type="http://schemas.openxmlformats.org/officeDocument/2006/relationships/hyperlink" Target="mailto:byudjet@pechora.rkomi.ru" TargetMode="External"/><Relationship Id="rId138" Type="http://schemas.openxmlformats.org/officeDocument/2006/relationships/hyperlink" Target="mailto:ivaha.vv@nocrb.ru" TargetMode="External"/><Relationship Id="rId345" Type="http://schemas.openxmlformats.org/officeDocument/2006/relationships/hyperlink" Target="https://sakhminfin.ru/index.php/oministerstve/meropriyatiya/ofmerop/3931-v-sakhalinskoj-oblasti-startuet-novyj-tsikl-molodezhnogo-byudzheta" TargetMode="External"/><Relationship Id="rId552" Type="http://schemas.openxmlformats.org/officeDocument/2006/relationships/hyperlink" Target="mailto:podotdel.gkh-volokonovka@yandex.ru" TargetMode="External"/><Relationship Id="rId997" Type="http://schemas.openxmlformats.org/officeDocument/2006/relationships/hyperlink" Target="https://krur.midural.ru/article/show/id/10268" TargetMode="External"/><Relationship Id="rId1182" Type="http://schemas.openxmlformats.org/officeDocument/2006/relationships/hyperlink" Target="mailto:leushi@mail.ru" TargetMode="External"/><Relationship Id="rId2026" Type="http://schemas.openxmlformats.org/officeDocument/2006/relationships/hyperlink" Target="https://disk.yandex.ru/d/SsbVuUugi9mHGg" TargetMode="External"/><Relationship Id="rId205" Type="http://schemas.openxmlformats.org/officeDocument/2006/relationships/hyperlink" Target="https://belregion.ru/upload/iblock/31c/111-&#1087;&#1087;.pdf" TargetMode="External"/><Relationship Id="rId412" Type="http://schemas.openxmlformats.org/officeDocument/2006/relationships/hyperlink" Target="http://elhotovo.ru/index.php/dokumentatsiya/za-2020-god-5" TargetMode="External"/><Relationship Id="rId857" Type="http://schemas.openxmlformats.org/officeDocument/2006/relationships/hyperlink" Target="https://isakli.ru/documents/priobretenie-i-ustanovka-derevyannoy-gorki-teremok/" TargetMode="External"/><Relationship Id="rId1042" Type="http://schemas.openxmlformats.org/officeDocument/2006/relationships/hyperlink" Target="http://ipatovo.org/userfiles/file/2019/aprel/636_ob_utverzhdenii_pravil_malyh_sel.zip" TargetMode="External"/><Relationship Id="rId1487" Type="http://schemas.openxmlformats.org/officeDocument/2006/relationships/hyperlink" Target="https://ok.ru/group/55117096812709/topic/154245047101605" TargetMode="External"/><Relationship Id="rId1694" Type="http://schemas.openxmlformats.org/officeDocument/2006/relationships/hyperlink" Target="https://vk.com/stvsemenov?z=video-213848216_456239395%2Fe33fe47399e5ac0148%2Fpl_post_-213848216_816" TargetMode="External"/><Relationship Id="rId717" Type="http://schemas.openxmlformats.org/officeDocument/2006/relationships/hyperlink" Target="https://adm-yaroslavskogo.ru/&#1087;&#1088;&#1086;&#1077;&#1082;&#1090;&#1099;-&#1084;&#1077;&#1089;&#1090;&#1085;&#1099;&#1093;-&#1080;&#1085;&#1080;&#1094;&#1080;&#1072;&#1090;&#1080;&#1074;" TargetMode="External"/><Relationship Id="rId924" Type="http://schemas.openxmlformats.org/officeDocument/2006/relationships/hyperlink" Target="http://krotovka.kinel-cherkassy.ru/images/files/blagoustroystvo_Krotovka.doc" TargetMode="External"/><Relationship Id="rId1347" Type="http://schemas.openxmlformats.org/officeDocument/2006/relationships/hyperlink" Target="mailto:kuzmina.mv@ulminfin.ru" TargetMode="External"/><Relationship Id="rId1554" Type="http://schemas.openxmlformats.org/officeDocument/2006/relationships/hyperlink" Target="mailto:ktn@bz-orb.ru" TargetMode="External"/><Relationship Id="rId1761" Type="http://schemas.openxmlformats.org/officeDocument/2006/relationships/hyperlink" Target="https://dalmatovo.su/images/post30_16.01.20.pdf" TargetMode="External"/><Relationship Id="rId1999" Type="http://schemas.openxmlformats.org/officeDocument/2006/relationships/hyperlink" Target="https://infotables.ru/statistika/31-rossijskaya-federatsiya/198-chislennost-gorodskogo-i-selskogo-naseleniya-rossii-po-federalnym-okrugam-tablitsa" TargetMode="External"/><Relationship Id="rId53" Type="http://schemas.openxmlformats.org/officeDocument/2006/relationships/hyperlink" Target="mailto:l_presnaykova@govvrn.ru" TargetMode="External"/><Relationship Id="rId1207" Type="http://schemas.openxmlformats.org/officeDocument/2006/relationships/hyperlink" Target="https://lbt.yanao.ru/documents/active/8685/;" TargetMode="External"/><Relationship Id="rId1414" Type="http://schemas.openxmlformats.org/officeDocument/2006/relationships/hyperlink" Target="mailto:tenka_fino@rambler.ru" TargetMode="External"/><Relationship Id="rId1621" Type="http://schemas.openxmlformats.org/officeDocument/2006/relationships/hyperlink" Target="mailto:velav@mail.orb.ru" TargetMode="External"/><Relationship Id="rId1859" Type="http://schemas.openxmlformats.org/officeDocument/2006/relationships/hyperlink" Target="https://www.labinsk-city.ru/ru/doc/munitsipalnye-i-vedomstvennye-tselevye-programmy/?sphrase_id=2906" TargetMode="External"/><Relationship Id="rId1719" Type="http://schemas.openxmlformats.org/officeDocument/2006/relationships/hyperlink" Target="https://nizhstat.gks.ru/folder/33271" TargetMode="External"/><Relationship Id="rId1926" Type="http://schemas.openxmlformats.org/officeDocument/2006/relationships/hyperlink" Target="mailto:Prytkova_MA@primorsky.ru" TargetMode="External"/><Relationship Id="rId2090" Type="http://schemas.openxmlformats.org/officeDocument/2006/relationships/hyperlink" Target="https://vk.com/wall-160413159?offset=440&amp;q=%D0%9D%D0%B0%D1%88%20%D0%B2%D1%8B%D0%B1%D0%BE%D1%80&amp;w=wall-160413159_7860" TargetMode="External"/><Relationship Id="rId367" Type="http://schemas.openxmlformats.org/officeDocument/2006/relationships/hyperlink" Target="https://spbddtl.ru/files/polozhenie-o-konkurse-tvoj-shkolnyj-byudzhet.pdf" TargetMode="External"/><Relationship Id="rId574" Type="http://schemas.openxmlformats.org/officeDocument/2006/relationships/hyperlink" Target="https://rovenkiadm.gosuslugi.ru/deyatelnost/proekty-i-programmy-rovenskogo-rayona/razvitie-obschestvennogo-samoupravleniya/" TargetMode="External"/><Relationship Id="rId2048" Type="http://schemas.openxmlformats.org/officeDocument/2006/relationships/hyperlink" Target="mailto:jkh-tek@novreg.ru" TargetMode="External"/><Relationship Id="rId227" Type="http://schemas.openxmlformats.org/officeDocument/2006/relationships/hyperlink" Target="mailto:e.zykina@gov39.ru" TargetMode="External"/><Relationship Id="rId781" Type="http://schemas.openxmlformats.org/officeDocument/2006/relationships/hyperlink" Target="https://spasskd.ru/images/files/2022/ago/04/foto_mestnaya_iniciativa.jpg" TargetMode="External"/><Relationship Id="rId879" Type="http://schemas.openxmlformats.org/officeDocument/2006/relationships/hyperlink" Target="http://berezniki.ucoz.ru/index/reshenija_2021_god/0-164" TargetMode="External"/><Relationship Id="rId434" Type="http://schemas.openxmlformats.org/officeDocument/2006/relationships/hyperlink" Target="mailto:ubp-gov@tverfin.ru" TargetMode="External"/><Relationship Id="rId641" Type="http://schemas.openxmlformats.org/officeDocument/2006/relationships/hyperlink" Target="mailto:gaponov_aa@kaluga-gov.ru" TargetMode="External"/><Relationship Id="rId739" Type="http://schemas.openxmlformats.org/officeDocument/2006/relationships/hyperlink" Target="https://ru.wikipedia.org/wiki/&#1041;&#1091;&#1088;&#1072;&#1082;&#1086;&#1074;&#1089;&#1082;&#1080;&#1081;_(&#1050;&#1088;&#1072;&#1089;&#1085;&#1086;&#1076;&#1072;&#1088;&#1089;&#1082;&#1080;&#1081;_&#1082;&#1088;&#1072;&#1081;)" TargetMode="External"/><Relationship Id="rId1064" Type="http://schemas.openxmlformats.org/officeDocument/2006/relationships/hyperlink" Target="https://www.angosk.ru/index.php/ekonomika/strategiya-razvitiya/12343-o-vnesenii-izmenenij-v-strategiyu-sotsialno-ekonomicheskogo-razvitiya-ngo-sk-na-period-do-2035-goda-utverzhdennuyu-resheniem-dumy-ngo-sk-ot-12-dekabrya-2019-goda-406" TargetMode="External"/><Relationship Id="rId1271" Type="http://schemas.openxmlformats.org/officeDocument/2006/relationships/hyperlink" Target="https://yam.yanao.ru/documents/active/256113/" TargetMode="External"/><Relationship Id="rId1369" Type="http://schemas.openxmlformats.org/officeDocument/2006/relationships/hyperlink" Target="mailto:novo.posel@mail.ru" TargetMode="External"/><Relationship Id="rId1576" Type="http://schemas.openxmlformats.org/officeDocument/2006/relationships/hyperlink" Target="https://www.asfin56.ru/assets/files/2022/8.1/vnesenie-izmenenij-v-921-p-2022-.doc" TargetMode="External"/><Relationship Id="rId2115" Type="http://schemas.openxmlformats.org/officeDocument/2006/relationships/hyperlink" Target="mailto:investapk@novreg.ru" TargetMode="External"/><Relationship Id="rId501" Type="http://schemas.openxmlformats.org/officeDocument/2006/relationships/hyperlink" Target="https://www.arhcity.ru/?page=1906/1" TargetMode="External"/><Relationship Id="rId946" Type="http://schemas.openxmlformats.org/officeDocument/2006/relationships/hyperlink" Target="https://samarastat.gks.ru/population" TargetMode="External"/><Relationship Id="rId1131" Type="http://schemas.openxmlformats.org/officeDocument/2006/relationships/hyperlink" Target="https://rosstat.gov.ru/compendium/document/13282" TargetMode="External"/><Relationship Id="rId1229" Type="http://schemas.openxmlformats.org/officeDocument/2006/relationships/hyperlink" Target="http://old.muravlenko.com:15051/administraciya-goroda/normativno-pravovye-akty/postanovleniya-administracii-goroda/postanovleniya-administracii-za-2020-g/page/69" TargetMode="External"/><Relationship Id="rId1783" Type="http://schemas.openxmlformats.org/officeDocument/2006/relationships/hyperlink" Target="https://divnogorsk.gosuslugi.ru/" TargetMode="External"/><Relationship Id="rId1990" Type="http://schemas.openxmlformats.org/officeDocument/2006/relationships/hyperlink" Target="https://mari-el.gov.ru/ministries/minselhoz/pages/nd-npa-krst/" TargetMode="External"/><Relationship Id="rId75" Type="http://schemas.openxmlformats.org/officeDocument/2006/relationships/hyperlink" Target="https://t.me/minfin01" TargetMode="External"/><Relationship Id="rId806" Type="http://schemas.openxmlformats.org/officeDocument/2006/relationships/hyperlink" Target="https://otradny.org/upload/iblock/6e5/6e5df4460e11f37c28f56b712082eb20.rar" TargetMode="External"/><Relationship Id="rId1436" Type="http://schemas.openxmlformats.org/officeDocument/2006/relationships/hyperlink" Target="https://www.penzainform.ru/news/social/2022/06/07/na_podderzhku_initciativ_grazhdan_iz_byudzheta_penzi_videlyat_18_mln.html" TargetMode="External"/><Relationship Id="rId1643" Type="http://schemas.openxmlformats.org/officeDocument/2006/relationships/hyperlink" Target="https://55.rosstat.gov.ru/storage/mediabank/chisl_MO-2021.xlsx" TargetMode="External"/><Relationship Id="rId1850" Type="http://schemas.openxmlformats.org/officeDocument/2006/relationships/hyperlink" Target="https://&#1084;&#1086;&#1081;-&#1085;&#1086;&#1074;&#1086;&#1088;&#1086;&#1089;&#1089;&#1080;&#1081;&#1089;&#1082;.&#1088;&#1092;/programs" TargetMode="External"/><Relationship Id="rId1503" Type="http://schemas.openxmlformats.org/officeDocument/2006/relationships/hyperlink" Target="https://vk.com/wall418432023_262" TargetMode="External"/><Relationship Id="rId1710" Type="http://schemas.openxmlformats.org/officeDocument/2006/relationships/hyperlink" Target="mailto:paramonova_iv@fin.kreml.nnov.ru" TargetMode="External"/><Relationship Id="rId1948" Type="http://schemas.openxmlformats.org/officeDocument/2006/relationships/hyperlink" Target="https://orel-region.ru/%20%20%20%20%20%20%20%20%20%20%20%2057.gorodsreda.ru" TargetMode="External"/><Relationship Id="rId291" Type="http://schemas.openxmlformats.org/officeDocument/2006/relationships/hyperlink" Target="http://publication.pravo.gov.ru/Document/View/6800201709010001?rangeSize=20" TargetMode="External"/><Relationship Id="rId1808" Type="http://schemas.openxmlformats.org/officeDocument/2006/relationships/hyperlink" Target="mailto:adminleninsk@mail.ru" TargetMode="External"/><Relationship Id="rId151" Type="http://schemas.openxmlformats.org/officeDocument/2006/relationships/hyperlink" Target="https://docs.cntd.ru/document/446168877" TargetMode="External"/><Relationship Id="rId389" Type="http://schemas.openxmlformats.org/officeDocument/2006/relationships/hyperlink" Target="https://g-64.ru/docs/postanovleniya-pravitelstva/postanovlenie-pravitelstva-saratovskoy-oblasti-ot-23-dekabrya-2019-goda-908-p-/" TargetMode="External"/><Relationship Id="rId596" Type="http://schemas.openxmlformats.org/officeDocument/2006/relationships/hyperlink" Target="http://www.adm-vyaz.ru/tinybrowser/files/finupr/2022/Pol_IB_2022.zip" TargetMode="External"/><Relationship Id="rId249" Type="http://schemas.openxmlformats.org/officeDocument/2006/relationships/hyperlink" Target="https://minstroyrf.gov.ru/upload/iblock/7b3/Gorsreda_brandbook_new.pdf" TargetMode="External"/><Relationship Id="rId456" Type="http://schemas.openxmlformats.org/officeDocument/2006/relationships/hyperlink" Target="http://publication.pravo.gov.ru/Document/View/7500201904020007" TargetMode="External"/><Relationship Id="rId663" Type="http://schemas.openxmlformats.org/officeDocument/2006/relationships/hyperlink" Target="mailto:romanova_o@depfin.kirov.ru" TargetMode="External"/><Relationship Id="rId870" Type="http://schemas.openxmlformats.org/officeDocument/2006/relationships/hyperlink" Target="mailto:galinabondareva@list.ru" TargetMode="External"/><Relationship Id="rId1086" Type="http://schemas.openxmlformats.org/officeDocument/2006/relationships/hyperlink" Target="https://pmosk.ru/archives/category/programma-podderzhki-mestnyh-iniciativ-stavropolskogo-kraya/vydvizhenie-iniciativnyh-proektov/page/2" TargetMode="External"/><Relationship Id="rId1293" Type="http://schemas.openxmlformats.org/officeDocument/2006/relationships/hyperlink" Target="mailto:chek_v@mail.ru" TargetMode="External"/><Relationship Id="rId2137" Type="http://schemas.openxmlformats.org/officeDocument/2006/relationships/hyperlink" Target="mailto:fakhreeva_az@mfnso.ru" TargetMode="External"/><Relationship Id="rId109" Type="http://schemas.openxmlformats.org/officeDocument/2006/relationships/hyperlink" Target="https://pskov.ru/vlast/ispolnitelnaya/administratsiya-oblasti/apparat/upravlenie-po-mestnomu-samoupr/gosudarstvennye-programmy-i-po" TargetMode="External"/><Relationship Id="rId316" Type="http://schemas.openxmlformats.org/officeDocument/2006/relationships/hyperlink" Target="mailto:e.smetankina@egov66.ru" TargetMode="External"/><Relationship Id="rId523" Type="http://schemas.openxmlformats.org/officeDocument/2006/relationships/hyperlink" Target="mailto:Koktysheva.S@govrb.ru" TargetMode="External"/><Relationship Id="rId968" Type="http://schemas.openxmlformats.org/officeDocument/2006/relationships/hyperlink" Target="http://www.kinel.ru/tselevye-programmy-selskikh-poselenijj/malaja-malyshevka%20/" TargetMode="External"/><Relationship Id="rId1153" Type="http://schemas.openxmlformats.org/officeDocument/2006/relationships/hyperlink" Target="http://lugovoikonda.ru/tinybrowser/files/2021/rasporygeniy/protokol-sbora-podpisey.doc" TargetMode="External"/><Relationship Id="rId1598" Type="http://schemas.openxmlformats.org/officeDocument/2006/relationships/hyperlink" Target="http://sorochinsk56.ru/assets/files/2017-POSTANOVLENIYA/12/%D0%A0-2145--20.12.2017.pdf" TargetMode="External"/><Relationship Id="rId97" Type="http://schemas.openxmlformats.org/officeDocument/2006/relationships/hyperlink" Target="https://docs.cntd.ru/document/570709755" TargetMode="External"/><Relationship Id="rId730" Type="http://schemas.openxmlformats.org/officeDocument/2006/relationships/hyperlink" Target="https://privoladm.ru/initsiativnoe-byudzhetirovanie" TargetMode="External"/><Relationship Id="rId828" Type="http://schemas.openxmlformats.org/officeDocument/2006/relationships/hyperlink" Target="https://www.samadm.ru/docs/official-publication/31618/" TargetMode="External"/><Relationship Id="rId1013" Type="http://schemas.openxmlformats.org/officeDocument/2006/relationships/hyperlink" Target="http://abgosk.ru/finansy/initsiativnoe-byudzhetirovanie/initsiativnoe-byudzhetirovanie.php" TargetMode="External"/><Relationship Id="rId1360" Type="http://schemas.openxmlformats.org/officeDocument/2006/relationships/hyperlink" Target="http://www.chufarovogp.ru/load/postanovlenie_110_ot_16_08_2018g/1-1-0-1586" TargetMode="External"/><Relationship Id="rId1458" Type="http://schemas.openxmlformats.org/officeDocument/2006/relationships/hyperlink" Target="https://&#1092;&#1080;&#1085;&#1086;&#1090;&#1076;&#1077;&#1083;-&#1103;&#1089;&#1085;&#1099;&#1081;.&#1088;&#1092;/proekt-narodnyij-byudzhet" TargetMode="External"/><Relationship Id="rId1665" Type="http://schemas.openxmlformats.org/officeDocument/2006/relationships/hyperlink" Target="http://okuladm.ru/news/23297" TargetMode="External"/><Relationship Id="rId1872" Type="http://schemas.openxmlformats.org/officeDocument/2006/relationships/hyperlink" Target="mailto:admrodn@bk.ru" TargetMode="External"/><Relationship Id="rId1220" Type="http://schemas.openxmlformats.org/officeDocument/2006/relationships/hyperlink" Target="https://shurbiblio.yam.muzkult.ru/media/2019/08/02/1263863178/yamal.png" TargetMode="External"/><Relationship Id="rId1318" Type="http://schemas.openxmlformats.org/officeDocument/2006/relationships/hyperlink" Target="https://inza.ulregion.ru/62/74/1184/20536/20526/12114.html" TargetMode="External"/><Relationship Id="rId1525" Type="http://schemas.openxmlformats.org/officeDocument/2006/relationships/hyperlink" Target="https://finotdnovoorsk.ru/kadrovoe-obespechenie" TargetMode="External"/><Relationship Id="rId1732" Type="http://schemas.openxmlformats.org/officeDocument/2006/relationships/hyperlink" Target="https://omsukchan-adm.ru/inova_block_documentset/document/370896/" TargetMode="External"/><Relationship Id="rId24" Type="http://schemas.openxmlformats.org/officeDocument/2006/relationships/hyperlink" Target="https://fin.amurobl.ru/pages/deyatelnost/initsiativnoe-byudzhetirovanie/" TargetMode="External"/><Relationship Id="rId173" Type="http://schemas.openxmlformats.org/officeDocument/2006/relationships/hyperlink" Target="mailto:mbud@fin.gov10.ru" TargetMode="External"/><Relationship Id="rId380" Type="http://schemas.openxmlformats.org/officeDocument/2006/relationships/hyperlink" Target="https://minfin.saratov.gov.ru/images/article_images/20210201/20210201-informatsionnoe-soobshchenie-o-provedenii-konkursnogo-otbora-munitsipalnykh-obrazovanij-saratovskoj-oblasti.jpg" TargetMode="External"/><Relationship Id="rId2061" Type="http://schemas.openxmlformats.org/officeDocument/2006/relationships/hyperlink" Target="mailto:ppmi-53@mail.ru" TargetMode="External"/><Relationship Id="rId240" Type="http://schemas.openxmlformats.org/officeDocument/2006/relationships/hyperlink" Target="consultantplus://offline/ref=F283E8D1C67F470930049879A2B72C7C87A38FCFFFF09780B8F489896950B39D5296527EB13182EDBDFBB9C8DD0A336F89C42C543F2409CB9FC02BE5832EfFL3N" TargetMode="External"/><Relationship Id="rId478" Type="http://schemas.openxmlformats.org/officeDocument/2006/relationships/hyperlink" Target="https://or71.ru/primi_uchastie/narodniy_budjet_new/" TargetMode="External"/><Relationship Id="rId685" Type="http://schemas.openxmlformats.org/officeDocument/2006/relationships/hyperlink" Target="https://rosstat.gov.ru/compendium/document/13282" TargetMode="External"/><Relationship Id="rId892" Type="http://schemas.openxmlformats.org/officeDocument/2006/relationships/hyperlink" Target="mailto:adm.kabanovka@yandex.ru" TargetMode="External"/><Relationship Id="rId2159" Type="http://schemas.openxmlformats.org/officeDocument/2006/relationships/vmlDrawing" Target="../drawings/vmlDrawing3.vml"/><Relationship Id="rId100" Type="http://schemas.openxmlformats.org/officeDocument/2006/relationships/hyperlink" Target="https://37.rosstat.gov.ru/storage/mediabank/NAS22.pdf" TargetMode="External"/><Relationship Id="rId338" Type="http://schemas.openxmlformats.org/officeDocument/2006/relationships/hyperlink" Target="mailto:gpso63@yandex.ru," TargetMode="External"/><Relationship Id="rId545" Type="http://schemas.openxmlformats.org/officeDocument/2006/relationships/hyperlink" Target="https://vejdelevskij-r31.gosweb.gosuslugi.ru/deyatelnost/napravleniya-deyatelnosti/strategicheskoe-planirovanie/" TargetMode="External"/><Relationship Id="rId752" Type="http://schemas.openxmlformats.org/officeDocument/2006/relationships/hyperlink" Target="https://proletarskoe.ru/images/doc/resh-2020-N-95.docx" TargetMode="External"/><Relationship Id="rId1175" Type="http://schemas.openxmlformats.org/officeDocument/2006/relationships/hyperlink" Target="http://shugur.ru/blagoustroystvo-munitcipal-nogo-obrazovaniya-sel-skoe-poselenie-shugur-na-2020-2026-gody.html" TargetMode="External"/><Relationship Id="rId1382" Type="http://schemas.openxmlformats.org/officeDocument/2006/relationships/hyperlink" Target="https://www.chernigovskaya.ru/docs/otchet/&#1086;&#1090;&#1095;&#1077;&#1090;%202023%20&#1043;&#1054;&#1058;&#1054;&#1042;&#1067;&#1049;%201.docx" TargetMode="External"/><Relationship Id="rId2019" Type="http://schemas.openxmlformats.org/officeDocument/2006/relationships/hyperlink" Target="https://msu.lenobl.ru/ru/news/proektnyj-centr-iniciativnogo-byudzhetirovaniya" TargetMode="External"/><Relationship Id="rId405" Type="http://schemas.openxmlformats.org/officeDocument/2006/relationships/hyperlink" Target="https://61.rosstat.gov.ru/storage/mediabank/%D0%A7%D0%B8%D1%81%D0%BB%D0%B5%D0%BD%D0%BD%D0%BE%D1%81%D1%82%D1%8C%20%D0%BD%D0%B0%D1%81%D0%B5%D0%BB%D0%B5%D0%BD%D0%B8%D1%8F(15).pdf" TargetMode="External"/><Relationship Id="rId612" Type="http://schemas.openxmlformats.org/officeDocument/2006/relationships/hyperlink" Target="https://&#1089;&#1074;&#1077;&#1090;&#1083;&#1099;&#1081;.&#1088;&#1092;/postanovlenie-&#8470;-1179-ot-29-12-2022-g/" TargetMode="External"/><Relationship Id="rId1035" Type="http://schemas.openxmlformats.org/officeDocument/2006/relationships/hyperlink" Target="mailto:grfu@yandex.ru" TargetMode="External"/><Relationship Id="rId1242" Type="http://schemas.openxmlformats.org/officeDocument/2006/relationships/hyperlink" Target="https://tumstat.gks.ru/ofstat_ynao" TargetMode="External"/><Relationship Id="rId1687" Type="http://schemas.openxmlformats.org/officeDocument/2006/relationships/hyperlink" Target="https://www.gks.ru/scripts/db_inet2/passport/table.aspx?opt=496064132022" TargetMode="External"/><Relationship Id="rId1894" Type="http://schemas.openxmlformats.org/officeDocument/2006/relationships/hyperlink" Target="http://&#1072;&#1076;&#1084;-&#1080;&#1074;&#1072;&#1085;&#1086;&#1074;&#1089;&#1082;&#1072;&#1103;.&#1088;&#1092;/ivanovskoe-sel-skoe-poselenie-krasnoarmeyskogo-rayona-podalo-zayavku-dlya-uchastiya-v-kraevom-konkurse-po-otboru-proektov-mestnykh-initciativ-v-2022-godu.html" TargetMode="External"/><Relationship Id="rId917" Type="http://schemas.openxmlformats.org/officeDocument/2006/relationships/hyperlink" Target="http://krotovka.kinel-cherkassy.ru/images/files/Reshenie_19-2_ot_23.08.2021.pdf" TargetMode="External"/><Relationship Id="rId1102" Type="http://schemas.openxmlformats.org/officeDocument/2006/relationships/hyperlink" Target="http://www.tyumen-city.ru/ekonomika/finansi/iniciativnoe-budjetirovanie/" TargetMode="External"/><Relationship Id="rId1547" Type="http://schemas.openxmlformats.org/officeDocument/2006/relationships/hyperlink" Target="https://grach-rf.orb.ru/activity/17136/" TargetMode="External"/><Relationship Id="rId1754" Type="http://schemas.openxmlformats.org/officeDocument/2006/relationships/hyperlink" Target="https://dzhankoy.rk.gov.ru/uploads/txteditor/dzhankoy/attachments/d4/1d/8c/d98f00b204e9800998ecf8427e/php3qgsSu_&#1055;&#1088;&#1086;&#1090;&#1086;&#1082;&#1086;&#1083;%20&#8470;1%20&#1079;&#1072;&#1089;&#1077;&#1076;&#1072;&#1085;&#1080;&#1103;%20&#1082;&#1086;&#1085;&#1082;&#1091;&#1088;&#1089;&#1085;&#1086;&#1081;%20&#1082;&#1086;&#1084;&#1080;&#1089;&#1089;&#1080;&#1080;%20&#1087;&#1086;%20&#1088;&#1072;&#1089;&#1089;&#1084;&#1086;&#1090;&#1088;&#1077;&#1085;&#1080;&#1102;%20&#1080;&#1085;&#1080;&#1094;&#1080;&#1072;&#1090;&#1080;&#1074;&#1085;&#1086;&#1075;&#1086;%20&#1087;&#1088;&#1086;&#1077;&#1082;&#1090;&#1072;.pdf" TargetMode="External"/><Relationship Id="rId1961" Type="http://schemas.openxmlformats.org/officeDocument/2006/relationships/hyperlink" Target="https://orel-region.ru/index.php?head=17&amp;part=19&amp;formName=docsearch&amp;doc_type=0&amp;doc_organ=0&amp;fwords=&amp;number=705&amp;date1f=20-12-2019&amp;date2f=%E4%E4-%EC%EC-%E3%E3%E3%E3&amp;date3f=%E4%E4-%EC%EC-%E3%E3%E3%E3&amp;x=29&amp;y=9" TargetMode="External"/><Relationship Id="rId46" Type="http://schemas.openxmlformats.org/officeDocument/2006/relationships/hyperlink" Target="mailto:mn_anisimova@govvrn.ru" TargetMode="External"/><Relationship Id="rId1407" Type="http://schemas.openxmlformats.org/officeDocument/2006/relationships/hyperlink" Target="http://admrogovskaya.ru/" TargetMode="External"/><Relationship Id="rId1614" Type="http://schemas.openxmlformats.org/officeDocument/2006/relationships/hyperlink" Target="https://smarteka.com/practices/proekt-skol-nyj-budzet" TargetMode="External"/><Relationship Id="rId1821" Type="http://schemas.openxmlformats.org/officeDocument/2006/relationships/hyperlink" Target="mailto:admi-krasnostrelskay@yandex.ru" TargetMode="External"/><Relationship Id="rId195" Type="http://schemas.openxmlformats.org/officeDocument/2006/relationships/hyperlink" Target="https://30.rosstat.gov.ru/storage/mediabank/1.8.1.%20&#1054;&#1094;&#1077;&#1085;&#1082;&#1072;%20&#1095;&#1080;&#1089;&#1083;&#1077;&#1085;&#1085;&#1086;&#1089;&#1090;&#1080;%20&#1087;&#1086;&#1089;&#1090;&#1086;&#1103;&#1085;&#1085;&#1086;&#1075;&#1086;%20&#1085;&#1072;&#1089;&#1077;&#1083;&#1077;&#1085;&#1080;&#1103;.xls" TargetMode="External"/><Relationship Id="rId1919" Type="http://schemas.openxmlformats.org/officeDocument/2006/relationships/hyperlink" Target="https://ovmf2.consultant.ru/cgi/online.cgi?from=164323-0&amp;req=doc&amp;rnd=NKHBWg&amp;base=RLAW148&amp;n=195651" TargetMode="External"/><Relationship Id="rId2083" Type="http://schemas.openxmlformats.org/officeDocument/2006/relationships/hyperlink" Target="https://docs.cntd.ru/document/450360732" TargetMode="External"/><Relationship Id="rId262" Type="http://schemas.openxmlformats.org/officeDocument/2006/relationships/hyperlink" Target="http://www.udmurt.ru/regulatory/index.php?typeid=All&amp;regnum=79&amp;sdate=06.03.2019&amp;edate=&amp;sdatepub=&amp;edatepub=&amp;q=&amp;doccnt=&amp;page=2&amp;doccnt=" TargetMode="External"/><Relationship Id="rId567" Type="http://schemas.openxmlformats.org/officeDocument/2006/relationships/hyperlink" Target="https://gubkinadm.gosuslugi.ru/ofitsialno/dokumenty/strategicheskoe-planirovanie/" TargetMode="External"/><Relationship Id="rId1197" Type="http://schemas.openxmlformats.org/officeDocument/2006/relationships/hyperlink" Target="https://salekhard.yanao.ru/documents/active/100771" TargetMode="External"/><Relationship Id="rId2150" Type="http://schemas.openxmlformats.org/officeDocument/2006/relationships/hyperlink" Target="http://dvubratskoe-sp.ucoz.ru/Postanovlenie/2021/26_ob_utverzhdenii_polozhenija_po_primeneniju.pdf" TargetMode="External"/><Relationship Id="rId122" Type="http://schemas.openxmlformats.org/officeDocument/2006/relationships/hyperlink" Target="http://gsrb.ru/ru/nakazy-izbirateley/" TargetMode="External"/><Relationship Id="rId774" Type="http://schemas.openxmlformats.org/officeDocument/2006/relationships/hyperlink" Target="https://spasskd.ru/images/files/2022/ago/04/rasporyazhenie_196-ra_ot_18042022_o_provedenii_konkursnogo_otbora.pdf" TargetMode="External"/><Relationship Id="rId981" Type="http://schemas.openxmlformats.org/officeDocument/2006/relationships/hyperlink" Target="https://www.gks.ru/scripts/db_inet2/passport/table.aspx?opt=657710002022" TargetMode="External"/><Relationship Id="rId1057" Type="http://schemas.openxmlformats.org/officeDocument/2006/relationships/hyperlink" Target="https://nevadm.ru/economy/socialeconomy/serprogramm/" TargetMode="External"/><Relationship Id="rId2010" Type="http://schemas.openxmlformats.org/officeDocument/2006/relationships/hyperlink" Target="mailto:iv_kravchenko@lenreg.ru" TargetMode="External"/><Relationship Id="rId427" Type="http://schemas.openxmlformats.org/officeDocument/2006/relationships/hyperlink" Target="https://isib.myopenugra.ru/" TargetMode="External"/><Relationship Id="rId634" Type="http://schemas.openxmlformats.org/officeDocument/2006/relationships/hyperlink" Target="https://admermolino.ru/?page_id=18160" TargetMode="External"/><Relationship Id="rId841" Type="http://schemas.openxmlformats.org/officeDocument/2006/relationships/hyperlink" Target="https://www.samadm.ru/authority/industrial-inner-city/" TargetMode="External"/><Relationship Id="rId1264" Type="http://schemas.openxmlformats.org/officeDocument/2006/relationships/hyperlink" Target="mailto:chuprova_nk@shur.yanao.ru" TargetMode="External"/><Relationship Id="rId1471" Type="http://schemas.openxmlformats.org/officeDocument/2006/relationships/hyperlink" Target="mailto:velav@mail.orb.ru" TargetMode="External"/><Relationship Id="rId1569" Type="http://schemas.openxmlformats.org/officeDocument/2006/relationships/hyperlink" Target="https://www.gks.ru/scripts/db_inet2/passport/table.aspx?opt=536114132022;" TargetMode="External"/><Relationship Id="rId2108" Type="http://schemas.openxmlformats.org/officeDocument/2006/relationships/hyperlink" Target="https://gokucmpi.ru/" TargetMode="External"/><Relationship Id="rId701" Type="http://schemas.openxmlformats.org/officeDocument/2006/relationships/hyperlink" Target="https://&#1089;&#1099;&#1082;&#1090;&#1099;&#1074;&#1082;&#1072;&#1088;.&#1088;&#1092;/" TargetMode="External"/><Relationship Id="rId939" Type="http://schemas.openxmlformats.org/officeDocument/2006/relationships/hyperlink" Target="http://novyekluchi.kinel-cherkassy.ru/wp-content/uploads/2019/02/&#1087;&#1086;&#1089;&#1090;.&#1073;&#1083;&#1072;&#1075;&#1086;&#1091;&#1089;&#1090;&#1088;.-1.doc" TargetMode="External"/><Relationship Id="rId1124" Type="http://schemas.openxmlformats.org/officeDocument/2006/relationships/hyperlink" Target="https://www.dumamegion.ru/laws/resheniya/detail.php?ID=8681" TargetMode="External"/><Relationship Id="rId1331" Type="http://schemas.openxmlformats.org/officeDocument/2006/relationships/hyperlink" Target="http://karsunmo.ru/narbudget.html" TargetMode="External"/><Relationship Id="rId1776" Type="http://schemas.openxmlformats.org/officeDocument/2006/relationships/hyperlink" Target="http://www.admse.ru/upload/iblock/8b7/reshenie-_-14_3-ot-02.11.2020-ob-initsiativnykh-proektakh.doc" TargetMode="External"/><Relationship Id="rId1983" Type="http://schemas.openxmlformats.org/officeDocument/2006/relationships/hyperlink" Target="https://vk.com/terin12" TargetMode="External"/><Relationship Id="rId68" Type="http://schemas.openxmlformats.org/officeDocument/2006/relationships/hyperlink" Target="http://publication.pravo.gov.ru/Document/View/4200201908130001" TargetMode="External"/><Relationship Id="rId1429" Type="http://schemas.openxmlformats.org/officeDocument/2006/relationships/hyperlink" Target="http://www.admkud.ru/duma/r2021/21.pdf" TargetMode="External"/><Relationship Id="rId1636" Type="http://schemas.openxmlformats.org/officeDocument/2006/relationships/hyperlink" Target="https://pos.gosuslugi.ru/lkp/project-contests/820/02/" TargetMode="External"/><Relationship Id="rId1843" Type="http://schemas.openxmlformats.org/officeDocument/2006/relationships/hyperlink" Target="https://sochi.ru/gorodskaya-vlast/normativno-pravovyye-akty/?ELEMENT_ID=171037" TargetMode="External"/><Relationship Id="rId1703" Type="http://schemas.openxmlformats.org/officeDocument/2006/relationships/hyperlink" Target="mailto:paramonova_iv@fin.kreml.nnov.ru" TargetMode="External"/><Relationship Id="rId1910" Type="http://schemas.openxmlformats.org/officeDocument/2006/relationships/hyperlink" Target="http://publication.pravo.gov.ru/Document/View/4500202104090001?index=4&amp;rangeSize=1" TargetMode="External"/><Relationship Id="rId284" Type="http://schemas.openxmlformats.org/officeDocument/2006/relationships/hyperlink" Target="https://minstroy.49gov.ru/common/upload/25/editor/file/Gorsreda_brandbook_new.pdf" TargetMode="External"/><Relationship Id="rId491" Type="http://schemas.openxmlformats.org/officeDocument/2006/relationships/hyperlink" Target="mailto:essemenova@yandex.ru" TargetMode="External"/><Relationship Id="rId144"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589" Type="http://schemas.openxmlformats.org/officeDocument/2006/relationships/hyperlink" Target="https://admsud.ru/npa-i-mps/normativnye-dokumenty-snd/resheniya-snd-2021/18959-reshenie-soveta-narodnyh-deputatov-mo-sudogodskiy-rayon-ot-18052021-35-10.html" TargetMode="External"/><Relationship Id="rId796" Type="http://schemas.openxmlformats.org/officeDocument/2006/relationships/hyperlink" Target="https://adm-ussuriisk.ru/ob_okruge/otkrytyy_byudzhet/initsiativnoe_byudzhetirovanie/mestnye_initsiativy/" TargetMode="External"/><Relationship Id="rId351" Type="http://schemas.openxmlformats.org/officeDocument/2006/relationships/hyperlink" Target="https://sakhminfin.ru/index.php/oministerstve/meropriyatiya/ofmerop/3805-42-initsiativnykh-proekta-budut-realizovany-v-sakhalinskoj-oblasti-v-2022-godu" TargetMode="External"/><Relationship Id="rId449" Type="http://schemas.openxmlformats.org/officeDocument/2006/relationships/hyperlink" Target="https://&#1079;&#1072;&#1073;&#1072;&#1081;&#1082;&#1072;&#1083;&#1100;&#1077;.&#1084;&#1086;&#1103;&#1088;&#1086;&#1089;&#1089;&#1080;&#1103;.&#1088;&#1092;/public/application/cards" TargetMode="External"/><Relationship Id="rId656" Type="http://schemas.openxmlformats.org/officeDocument/2006/relationships/hyperlink" Target="https://admkirov.ru/" TargetMode="External"/><Relationship Id="rId863" Type="http://schemas.openxmlformats.org/officeDocument/2006/relationships/hyperlink" Target="https://samarastat.gks.ru/" TargetMode="External"/><Relationship Id="rId1079" Type="http://schemas.openxmlformats.org/officeDocument/2006/relationships/hyperlink" Target="http://petrgosk.ru/initsiativnye-proekty/materialy/index.php" TargetMode="External"/><Relationship Id="rId1286" Type="http://schemas.openxmlformats.org/officeDocument/2006/relationships/hyperlink" Target="https://selkup.yanao.ru/documents/active/106983/" TargetMode="External"/><Relationship Id="rId1493" Type="http://schemas.openxmlformats.org/officeDocument/2006/relationships/hyperlink" Target="mailto:velav@mail.orb.ru" TargetMode="External"/><Relationship Id="rId2032" Type="http://schemas.openxmlformats.org/officeDocument/2006/relationships/hyperlink" Target="http://zakon.krskstate.ru/0/doc/15433" TargetMode="External"/><Relationship Id="rId211" Type="http://schemas.openxmlformats.org/officeDocument/2006/relationships/hyperlink" Target="https://vk.com/omsu31" TargetMode="External"/><Relationship Id="rId309" Type="http://schemas.openxmlformats.org/officeDocument/2006/relationships/hyperlink" Target="http://publication.pravo.gov.ru/Document/View/6800202001040003" TargetMode="External"/><Relationship Id="rId516" Type="http://schemas.openxmlformats.org/officeDocument/2006/relationships/hyperlink" Target="mailto:kochetkova.e@bashkortostan.ru" TargetMode="External"/><Relationship Id="rId1146" Type="http://schemas.openxmlformats.org/officeDocument/2006/relationships/hyperlink" Target="http://admkonda.ru/kondinskoe-tcelevye-programmy.html" TargetMode="External"/><Relationship Id="rId1798" Type="http://schemas.openxmlformats.org/officeDocument/2006/relationships/hyperlink" Target="http://admekaterinovka.ru/category/normotvorcheskaya-deyatelnost/postanovleniya/2021/" TargetMode="External"/><Relationship Id="rId723" Type="http://schemas.openxmlformats.org/officeDocument/2006/relationships/hyperlink" Target="mailto:adm_pervomaisk@mail.ru" TargetMode="External"/><Relationship Id="rId930" Type="http://schemas.openxmlformats.org/officeDocument/2006/relationships/hyperlink" Target="http://krotovka.kinel-cherkassy.ru/images/files/blagoustroystvo_Krotovka.doc" TargetMode="External"/><Relationship Id="rId1006" Type="http://schemas.openxmlformats.org/officeDocument/2006/relationships/hyperlink" Target="http://www.andropovskiy.ru/images/Downloads/Iniciativ_proekt/Pravovaya_baza/2021/June/1.3/&#1088;&#1077;&#1096;&#1077;&#1085;&#1080;&#1077;%20&#1089;&#1086;&#1074;&#1077;&#1090;&#1072;%20&#1072;&#1084;&#1086;%20&#1089;&#1082;%20&#1086;&#1090;%2031%20&#1084;&#1072;&#1088;&#1090;&#1072;%202021%20&#1075;.%20&#8470;10-100-1.doc" TargetMode="External"/><Relationship Id="rId1353" Type="http://schemas.openxmlformats.org/officeDocument/2006/relationships/hyperlink" Target="https://terenga.gosuslugi.ru/deyatelnost/napravleniya-deyatelnosti/finansy-i-byudzhet/otkrytyy-byudzhet/narodnyy-byudzhet/2023-god/dokumenty_862.html" TargetMode="External"/><Relationship Id="rId1560" Type="http://schemas.openxmlformats.org/officeDocument/2006/relationships/hyperlink" Target="https://bugr.orb.ru/activity/30209/" TargetMode="External"/><Relationship Id="rId1658" Type="http://schemas.openxmlformats.org/officeDocument/2006/relationships/hyperlink" Target="https://disk.yandex.ru/i/rzhmmNjAlE-1Kg" TargetMode="External"/><Relationship Id="rId1865" Type="http://schemas.openxmlformats.org/officeDocument/2006/relationships/hyperlink" Target="http://&#1073;&#1077;&#1079;&#1074;&#1086;&#1076;&#1085;&#1086;&#1077;.&#1088;&#1092;/documents/999.html" TargetMode="External"/><Relationship Id="rId1213" Type="http://schemas.openxmlformats.org/officeDocument/2006/relationships/hyperlink" Target="mailto:BezgodovaEA@df.lbt.yanao.ru" TargetMode="External"/><Relationship Id="rId1420" Type="http://schemas.openxmlformats.org/officeDocument/2006/relationships/hyperlink" Target="https://vk.com/album-51946917_283084658" TargetMode="External"/><Relationship Id="rId1518" Type="http://schemas.openxmlformats.org/officeDocument/2006/relationships/hyperlink" Target="http://&#1087;&#1087;&#1086;&#1082;&#1088;&#1086;&#1074;&#1082;&#1072;.&#1088;&#1092;/?page_id=2910" TargetMode="External"/><Relationship Id="rId1725" Type="http://schemas.openxmlformats.org/officeDocument/2006/relationships/hyperlink" Target="mailto:veselova@fino.dzr.nnov.ru" TargetMode="External"/><Relationship Id="rId1932" Type="http://schemas.openxmlformats.org/officeDocument/2006/relationships/hyperlink" Target="https://pib.primorsky.ru/Menu/Presentation/14?ItemId=14" TargetMode="External"/><Relationship Id="rId17" Type="http://schemas.openxmlformats.org/officeDocument/2006/relationships/hyperlink" Target="https://vologdastat.gks.ru/" TargetMode="External"/><Relationship Id="rId166" Type="http://schemas.openxmlformats.org/officeDocument/2006/relationships/hyperlink" Target="mailto:mbud@fin.gov10.ru" TargetMode="External"/><Relationship Id="rId373" Type="http://schemas.openxmlformats.org/officeDocument/2006/relationships/hyperlink" Target="http://spbddtl.ru/page-595.html" TargetMode="External"/><Relationship Id="rId580" Type="http://schemas.openxmlformats.org/officeDocument/2006/relationships/hyperlink" Target="mailto:yakov@ya.belregion.ru" TargetMode="External"/><Relationship Id="rId2054" Type="http://schemas.openxmlformats.org/officeDocument/2006/relationships/hyperlink" Target="mailto:bud_komfin@novreg.ru" TargetMode="External"/><Relationship Id="rId1" Type="http://schemas.openxmlformats.org/officeDocument/2006/relationships/hyperlink" Target="mailto:samoupr@admin-smolensk.ru" TargetMode="External"/><Relationship Id="rId233" Type="http://schemas.openxmlformats.org/officeDocument/2006/relationships/hyperlink" Target="https://&#1095;&#1091;&#1082;&#1086;&#1090;&#1082;&#1072;.&#1088;&#1092;/depfin/about/struktura-i-sostav/upravlenie-finansov/napravleniya-raboty/mezhbyudzhetnye-otnosheniya/initsiativnoe-byudzhetirovanie.php" TargetMode="External"/><Relationship Id="rId440" Type="http://schemas.openxmlformats.org/officeDocument/2006/relationships/hyperlink" Target="https://tvoybudget.spb.ru/" TargetMode="External"/><Relationship Id="rId678" Type="http://schemas.openxmlformats.org/officeDocument/2006/relationships/hyperlink" Target="https://vk.com/govuktyl" TargetMode="External"/><Relationship Id="rId885" Type="http://schemas.openxmlformats.org/officeDocument/2006/relationships/hyperlink" Target="http://erzovka.kinel-cherkassy.ru/" TargetMode="External"/><Relationship Id="rId1070" Type="http://schemas.openxmlformats.org/officeDocument/2006/relationships/hyperlink" Target="http://newalexandrovsk.ru/initsiativnoe-byudzhetirovanie/info/" TargetMode="External"/><Relationship Id="rId2121" Type="http://schemas.openxmlformats.org/officeDocument/2006/relationships/hyperlink" Target="https://apk.novreg.ru/documents/552.html" TargetMode="External"/><Relationship Id="rId300" Type="http://schemas.openxmlformats.org/officeDocument/2006/relationships/hyperlink" Target="https://68.rosstat.gov.ru/storage/mediabank/chis23-22s.pdf" TargetMode="External"/><Relationship Id="rId538" Type="http://schemas.openxmlformats.org/officeDocument/2006/relationships/hyperlink" Target="mailto:mayorova@jkx.gov33.ru" TargetMode="External"/><Relationship Id="rId745" Type="http://schemas.openxmlformats.org/officeDocument/2006/relationships/hyperlink" Target="https://23.rosstat.gov.ru/storage/mediabank/Ocenka22.htm" TargetMode="External"/><Relationship Id="rId952" Type="http://schemas.openxmlformats.org/officeDocument/2006/relationships/hyperlink" Target="https://samarastat.gks.ru/population" TargetMode="External"/><Relationship Id="rId1168" Type="http://schemas.openxmlformats.org/officeDocument/2006/relationships/hyperlink" Target="http://admkuma.ru/narodnyy-byudzhet.html" TargetMode="External"/><Relationship Id="rId1375" Type="http://schemas.openxmlformats.org/officeDocument/2006/relationships/hyperlink" Target="https://unarokovo.ru/" TargetMode="External"/><Relationship Id="rId1582" Type="http://schemas.openxmlformats.org/officeDocument/2006/relationships/hyperlink" Target="https://adamfin.ru/assets/files/documents/Shkolnyi%20budjet/2022/poryadok-ot-05.10.2022-&#8470;847.pdf" TargetMode="External"/><Relationship Id="rId81" Type="http://schemas.openxmlformats.org/officeDocument/2006/relationships/hyperlink" Target="https://apkkostroma.ru/industry-info/krst/index.aspx" TargetMode="External"/><Relationship Id="rId605" Type="http://schemas.openxmlformats.org/officeDocument/2006/relationships/hyperlink" Target="https://cherepovec-r19.gosweb.gosuslugi.ru/" TargetMode="External"/><Relationship Id="rId812" Type="http://schemas.openxmlformats.org/officeDocument/2006/relationships/hyperlink" Target="http://www.pohgor.ru/economyka/strategiya-razvitiya-2030/npa/" TargetMode="External"/><Relationship Id="rId1028" Type="http://schemas.openxmlformats.org/officeDocument/2006/relationships/hyperlink" Target="https://rosstat.gov.ru/storage/mediabank/chisl_&#1052;&#1054;_Site_01-01-2022.xlsx" TargetMode="External"/><Relationship Id="rId1235" Type="http://schemas.openxmlformats.org/officeDocument/2006/relationships/hyperlink" Target="https://vk.com/wall-189302525?q=&#1073;&#1102;&#1076;&#1078;&#1077;&#1090;&#1080;&#1088;&#1086;&#1074;&#1072;&#1085;&#1080;&#1077;" TargetMode="External"/><Relationship Id="rId1442" Type="http://schemas.openxmlformats.org/officeDocument/2006/relationships/hyperlink" Target="mailto:taschla.tfin@yandex.ru" TargetMode="External"/><Relationship Id="rId1887" Type="http://schemas.openxmlformats.org/officeDocument/2006/relationships/hyperlink" Target="http://www.admnovomysh.ru/images/ZKX/2022/iniciativ_proekt.pdf" TargetMode="External"/><Relationship Id="rId1302" Type="http://schemas.openxmlformats.org/officeDocument/2006/relationships/hyperlink" Target="https://checklink.mail.ru/proxy?es=GMbaw9imyAQOqASLBUmANft%2Fyn5bMbD3h4pVHwZNZKM%3D&amp;egid=3AbA0OMwQIRGT16%2FrmW0B2UcMddvORcZIIku83EmBzo%3D&amp;url=https%3A%2F%2Fclick.mail.ru%2Fredir%3Fu%3Dhttps%253A%252F%252Fbarysh.gosuslugi.ru%252Fdeyatelnost%252Fmunitsipalnye-finansy%252Fnarodnyy-byudzhet%252F%26c%3Dswm%26r%3Dhttp%26o%3Dmail%26v%3D3%26s%3D8146e0fc97296664&amp;uidl=16807832161039341018&amp;from=&amp;to=&amp;email=budget-baryshsk%40mail.ru" TargetMode="External"/><Relationship Id="rId1747" Type="http://schemas.openxmlformats.org/officeDocument/2006/relationships/hyperlink" Target="https://perovskoe.rk.gov.ru/ru/document/show/2092" TargetMode="External"/><Relationship Id="rId1954" Type="http://schemas.openxmlformats.org/officeDocument/2006/relationships/hyperlink" Target="https://orel-region.ru/index.php?head=1&amp;unit=17469" TargetMode="External"/><Relationship Id="rId39" Type="http://schemas.openxmlformats.org/officeDocument/2006/relationships/hyperlink" Target="https://www.minfinchr.ru/deyatelnost/mezhbyudzhetnye-otnosheniya/iniciativnoe-byudzhetirovanie" TargetMode="External"/><Relationship Id="rId1607" Type="http://schemas.openxmlformats.org/officeDocument/2006/relationships/hyperlink" Target="https://orenburg.ru/documents/other/63559/" TargetMode="External"/><Relationship Id="rId1814" Type="http://schemas.openxmlformats.org/officeDocument/2006/relationships/hyperlink" Target="http://&#1072;&#1076;&#1084;-&#1090;&#1072;&#1084;&#1072;&#1085;&#1100;.&#1088;&#1092;/index.php/nasha-taman/initsiativnogo-byudzhetirovaniya/initsiativnogo-byudzhetirovaniya-4/initsiativnogo-byudzhetirovaniya-5" TargetMode="External"/><Relationship Id="rId188" Type="http://schemas.openxmlformats.org/officeDocument/2006/relationships/hyperlink" Target="mailto:avb@volgafin.ru" TargetMode="External"/><Relationship Id="rId395" Type="http://schemas.openxmlformats.org/officeDocument/2006/relationships/hyperlink" Target="mailto:rev-mp@adm1.ruazan.su" TargetMode="External"/><Relationship Id="rId2076" Type="http://schemas.openxmlformats.org/officeDocument/2006/relationships/hyperlink" Target="https://vk.com/ppmi53)," TargetMode="External"/><Relationship Id="rId255" Type="http://schemas.openxmlformats.org/officeDocument/2006/relationships/hyperlink" Target="https://disk.yandex.ru/d/OsdmtFYj0zQBTQ" TargetMode="External"/><Relationship Id="rId462" Type="http://schemas.openxmlformats.org/officeDocument/2006/relationships/hyperlink" Target="mailto:ref@fin.e-zab.ru" TargetMode="External"/><Relationship Id="rId1092" Type="http://schemas.openxmlformats.org/officeDocument/2006/relationships/hyperlink" Target="https://pyatigorsk.org/" TargetMode="External"/><Relationship Id="rId1397" Type="http://schemas.openxmlformats.org/officeDocument/2006/relationships/hyperlink" Target="https://www.temryuk.ru/nash-rayon/initsiativnoe-byudzhetirovanie/initsiativnye-proekty/2022-god/" TargetMode="External"/><Relationship Id="rId2143" Type="http://schemas.openxmlformats.org/officeDocument/2006/relationships/hyperlink" Target="https://27.rosstat.gov.ru/" TargetMode="External"/><Relationship Id="rId115" Type="http://schemas.openxmlformats.org/officeDocument/2006/relationships/hyperlink" Target="https://pskov.ru/vlast/ispolnitelnaya/administratsiya-oblasti/apparat/upravlenie-po-mestnomu-samoupr/gosudarstvennye-programmy-i-po" TargetMode="External"/><Relationship Id="rId322" Type="http://schemas.openxmlformats.org/officeDocument/2006/relationships/hyperlink" Target="http://energy.midural.ru/napravleniya-deyatelnosti/formirovanie-komfortnoj-gorodskoj-sredy/" TargetMode="External"/><Relationship Id="rId767" Type="http://schemas.openxmlformats.org/officeDocument/2006/relationships/hyperlink" Target="https://primorsky.ru/administratsiya/&#1055;&#1086;&#1089;&#1090;&#1072;&#1085;&#1086;&#1074;&#1083;&#1077;&#1085;&#1080;&#1077;%20&#1040;&#1055;&#1050;%20&#1086;&#1090;%2031.08.2017%20&#8470;%20356-&#1087;&#1072;.docx" TargetMode="External"/><Relationship Id="rId974" Type="http://schemas.openxmlformats.org/officeDocument/2006/relationships/hyperlink" Target="https://kadm63.ru/Selo/Chetyrovka/NPA_Sobr_Pred/R_SP_SP_Chetirovka_44_15-06-2021.pdf" TargetMode="External"/><Relationship Id="rId2003" Type="http://schemas.openxmlformats.org/officeDocument/2006/relationships/hyperlink" Target="http://publication.pravo.gov.ru/Document/View/5200202110110009?index=0&amp;rangeSize=1" TargetMode="External"/><Relationship Id="rId627" Type="http://schemas.openxmlformats.org/officeDocument/2006/relationships/hyperlink" Target="https://40.rosstat.gov.ru/storage/mediabank/&#1090;&#1072;&#1073;&#1083;+5(1).pdf" TargetMode="External"/><Relationship Id="rId834" Type="http://schemas.openxmlformats.org/officeDocument/2006/relationships/hyperlink" Target="mailto:EmeljanovaTN@samadm.ru" TargetMode="External"/><Relationship Id="rId1257" Type="http://schemas.openxmlformats.org/officeDocument/2006/relationships/hyperlink" Target="https://rosstat.gov.ru/compendium/document/13282" TargetMode="External"/><Relationship Id="rId1464" Type="http://schemas.openxmlformats.org/officeDocument/2006/relationships/hyperlink" Target="https://gy.orb.ru/presscenter/news/50364/" TargetMode="External"/><Relationship Id="rId1671" Type="http://schemas.openxmlformats.org/officeDocument/2006/relationships/hyperlink" Target="https://komobrlub.edusite.ru/p94aa1.html" TargetMode="External"/><Relationship Id="rId901" Type="http://schemas.openxmlformats.org/officeDocument/2006/relationships/hyperlink" Target="https://www.kinel-cherkassy.ru/index.php/initsiativnye-proekty" TargetMode="External"/><Relationship Id="rId1117" Type="http://schemas.openxmlformats.org/officeDocument/2006/relationships/hyperlink" Target="https://budget.uray.ru/iniciativnoe-bjudzhetirovanie-v-rf/opisanie-proektov-2022/;" TargetMode="External"/><Relationship Id="rId1324" Type="http://schemas.openxmlformats.org/officeDocument/2006/relationships/hyperlink" Target="https://veshkajma-r73.gosweb.gosuslugi.ru/deyatelnost/napravleniya-deyatelnosti/finansy/budgetgr/" TargetMode="External"/><Relationship Id="rId1531" Type="http://schemas.openxmlformats.org/officeDocument/2006/relationships/hyperlink" Target="https://finotdnovoorsk.ru/postanovlenie-o-narodnom-byudzhete" TargetMode="External"/><Relationship Id="rId1769" Type="http://schemas.openxmlformats.org/officeDocument/2006/relationships/hyperlink" Target="https://suhobuzimo.ru/docs/id1619.html" TargetMode="External"/><Relationship Id="rId1976" Type="http://schemas.openxmlformats.org/officeDocument/2006/relationships/hyperlink" Target="https://budget.rk.ifinmon.ru/krym-kak-my-hotim/o-proekte" TargetMode="External"/><Relationship Id="rId30" Type="http://schemas.openxmlformats.org/officeDocument/2006/relationships/hyperlink" Target="http://minfin.kalmregion.ru/deyatelnost/initsiativnoe-byudzhetirovanie/" TargetMode="External"/><Relationship Id="rId1629" Type="http://schemas.openxmlformats.org/officeDocument/2006/relationships/hyperlink" Target="https://buzuluk.orb.ru/documents/active/119556/" TargetMode="External"/><Relationship Id="rId1836" Type="http://schemas.openxmlformats.org/officeDocument/2006/relationships/hyperlink" Target="mailto:fin217@yandex.ru" TargetMode="External"/><Relationship Id="rId1903" Type="http://schemas.openxmlformats.org/officeDocument/2006/relationships/hyperlink" Target="mailto:sergievka@list.ru" TargetMode="External"/><Relationship Id="rId2098" Type="http://schemas.openxmlformats.org/officeDocument/2006/relationships/hyperlink" Target="https://docs.cntd.ru/document/553386375" TargetMode="External"/><Relationship Id="rId277" Type="http://schemas.openxmlformats.org/officeDocument/2006/relationships/hyperlink" Target="https://www.udmurt.ru/regulatory/?typeid=31183294&amp;regnum=94&amp;sdate=&amp;edate=&amp;sdatepub=&amp;edatepub=&amp;q=&amp;doccnt=" TargetMode="External"/><Relationship Id="rId484" Type="http://schemas.openxmlformats.org/officeDocument/2006/relationships/hyperlink" Target="mailto:ssanisimova@adm.khv.ru" TargetMode="External"/><Relationship Id="rId137" Type="http://schemas.openxmlformats.org/officeDocument/2006/relationships/hyperlink" Target="https://ppmi.bashkortostan.ru/document" TargetMode="External"/><Relationship Id="rId344" Type="http://schemas.openxmlformats.org/officeDocument/2006/relationships/hyperlink" Target="https://pib.sakhminfin.ru/projects?MembersCategoryId=1" TargetMode="External"/><Relationship Id="rId691" Type="http://schemas.openxmlformats.org/officeDocument/2006/relationships/hyperlink" Target="mailto:econom-mr@yandex.ru" TargetMode="External"/><Relationship Id="rId789" Type="http://schemas.openxmlformats.org/officeDocument/2006/relationships/hyperlink" Target="mailto:Fin561@bk.ru" TargetMode="External"/><Relationship Id="rId996" Type="http://schemas.openxmlformats.org/officeDocument/2006/relationships/hyperlink" Target="https://krur.midural.ru/article/show/id/10620" TargetMode="External"/><Relationship Id="rId2025" Type="http://schemas.openxmlformats.org/officeDocument/2006/relationships/hyperlink" Target="https://disk.yandex.ru/d/mo3LfhYOR04Vlw" TargetMode="External"/><Relationship Id="rId551" Type="http://schemas.openxmlformats.org/officeDocument/2006/relationships/hyperlink" Target="https://volokonovskij-r31.gosweb.gosuslugi.ru/" TargetMode="External"/><Relationship Id="rId649" Type="http://schemas.openxmlformats.org/officeDocument/2006/relationships/hyperlink" Target="https://www.afanasyevo.ru/dokumenty/resheniya-afanasevskoj-rajonnoj-dumy/item/19333-resheniya-afanasevskoj-rajonnoj-dumy-za-2021" TargetMode="External"/><Relationship Id="rId856" Type="http://schemas.openxmlformats.org/officeDocument/2006/relationships/hyperlink" Target="https://isakli.ru/documents/priobretenie-i-ustanovka-derevyannoy-gorki-teremok/164-27-12-2021-o-vnesen-izmenen-v-zhkkh/" TargetMode="External"/><Relationship Id="rId1181" Type="http://schemas.openxmlformats.org/officeDocument/2006/relationships/hyperlink" Target="mailto:leushi@mail.ru" TargetMode="External"/><Relationship Id="rId1279" Type="http://schemas.openxmlformats.org/officeDocument/2006/relationships/hyperlink" Target="https://tasu.ru/ekonomika-i-finansy/initsiativnoe-byudzhetirovanie/normativno-pravovye-akty/normativno-pravovye-akty-2021-goda/" TargetMode="External"/><Relationship Id="rId1486" Type="http://schemas.openxmlformats.org/officeDocument/2006/relationships/hyperlink" Target="mailto:vitalik8406@mail.ru" TargetMode="External"/><Relationship Id="rId204" Type="http://schemas.openxmlformats.org/officeDocument/2006/relationships/hyperlink" Target="mailto:ib_mgkh@mgkh.belregion.ru" TargetMode="External"/><Relationship Id="rId411" Type="http://schemas.openxmlformats.org/officeDocument/2006/relationships/hyperlink" Target="mailto:tomazov@minfin.donland.ru" TargetMode="External"/><Relationship Id="rId509" Type="http://schemas.openxmlformats.org/officeDocument/2006/relationships/hyperlink" Target="https://miyaki.bashkortostan.ru/documents/active/174961/%20," TargetMode="External"/><Relationship Id="rId1041" Type="http://schemas.openxmlformats.org/officeDocument/2006/relationships/hyperlink" Target="https://rosstat.gov.ru/storage/mediabank/chisl_&#1052;&#1054;_Site_01-01-2022.xlsx" TargetMode="External"/><Relationship Id="rId1139" Type="http://schemas.openxmlformats.org/officeDocument/2006/relationships/hyperlink" Target="https://www.n-vartovsk.ru/documents/dumaReshenie/" TargetMode="External"/><Relationship Id="rId1346" Type="http://schemas.openxmlformats.org/officeDocument/2006/relationships/hyperlink" Target="https://adm-melekess.gosuslugi.ru/deyatelnost/napravleniya-deyatelnosti/finansovaya-deyatelnost/byudzhet/2022-god/byudzhet-na-2022-god/" TargetMode="External"/><Relationship Id="rId1693" Type="http://schemas.openxmlformats.org/officeDocument/2006/relationships/hyperlink" Target="https://docs.semenov.nnov.ru/open/?nd=816838795&amp;searchType=phrase&amp;query=2911" TargetMode="External"/><Relationship Id="rId1998" Type="http://schemas.openxmlformats.org/officeDocument/2006/relationships/hyperlink" Target="https://infotables.ru/statistika/31-rossijskaya-federatsiya/198-chislennost-gorodskogo-i-selskogo-naseleniya-rossii-po-federalnym-okrugam-tablitsa" TargetMode="External"/><Relationship Id="rId716" Type="http://schemas.openxmlformats.org/officeDocument/2006/relationships/hyperlink" Target="mailto:mahoshevka@mail.ru" TargetMode="External"/><Relationship Id="rId923" Type="http://schemas.openxmlformats.org/officeDocument/2006/relationships/hyperlink" Target="http://krotovka.kinel-cherkassy.ru/images/files/Reshenie_19-2_ot_23.08.2021.pdf" TargetMode="External"/><Relationship Id="rId1553" Type="http://schemas.openxmlformats.org/officeDocument/2006/relationships/hyperlink" Target="mailto:velav@mail.orb.ru" TargetMode="External"/><Relationship Id="rId1760" Type="http://schemas.openxmlformats.org/officeDocument/2006/relationships/hyperlink" Target="https://dalmatovo.su/economika/strategiya-planirovaniya/strategiya/7871-o-strategii-sotsialno-ekonomicheskogo-razvitiya-dalmatovskogo-rajona-do-2030-goda.html" TargetMode="External"/><Relationship Id="rId1858" Type="http://schemas.openxmlformats.org/officeDocument/2006/relationships/hyperlink" Target="mailto:fin@labinsk-city.ru" TargetMode="External"/><Relationship Id="rId52" Type="http://schemas.openxmlformats.org/officeDocument/2006/relationships/hyperlink" Target="https://tos.govvrn.ru/" TargetMode="External"/><Relationship Id="rId1206" Type="http://schemas.openxmlformats.org/officeDocument/2006/relationships/hyperlink" Target="https://lbt.yanao.ru/about/structure/1549" TargetMode="External"/><Relationship Id="rId1413" Type="http://schemas.openxmlformats.org/officeDocument/2006/relationships/hyperlink" Target="http://publication.pravo.gov.ru/Document/View/4900202112300044" TargetMode="External"/><Relationship Id="rId1620" Type="http://schemas.openxmlformats.org/officeDocument/2006/relationships/hyperlink" Target="mailto:velav@mail.orb.ru" TargetMode="External"/><Relationship Id="rId1718" Type="http://schemas.openxmlformats.org/officeDocument/2006/relationships/hyperlink" Target="http://bg-adm.ru./?id=30562" TargetMode="External"/><Relationship Id="rId1925"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299" Type="http://schemas.openxmlformats.org/officeDocument/2006/relationships/hyperlink" Target="http://publication.pravo.gov.ru/Document/View/6800201709010001?rangeSize=20" TargetMode="External"/><Relationship Id="rId159" Type="http://schemas.openxmlformats.org/officeDocument/2006/relationships/hyperlink" Target="https://11.rosstat.gov.ru/official__statistics" TargetMode="External"/><Relationship Id="rId366" Type="http://schemas.openxmlformats.org/officeDocument/2006/relationships/hyperlink" Target="mailto:lukyanova@kfin.gov.spb.ru" TargetMode="External"/><Relationship Id="rId573" Type="http://schemas.openxmlformats.org/officeDocument/2006/relationships/hyperlink" Target="mailto:svod2@beldepfin.ru" TargetMode="External"/><Relationship Id="rId780" Type="http://schemas.openxmlformats.org/officeDocument/2006/relationships/hyperlink" Target="https://vk.com/wall-203950610_1948" TargetMode="External"/><Relationship Id="rId2047" Type="http://schemas.openxmlformats.org/officeDocument/2006/relationships/hyperlink" Target="https://vk.com/club191090021" TargetMode="External"/><Relationship Id="rId226" Type="http://schemas.openxmlformats.org/officeDocument/2006/relationships/hyperlink" Target="mailto:m.voitsekhovskaya@gov39.ru" TargetMode="External"/><Relationship Id="rId433" Type="http://schemas.openxmlformats.org/officeDocument/2006/relationships/hyperlink" Target="http://publication.pravo.gov.ru/Document/View/6900202204290004" TargetMode="External"/><Relationship Id="rId878" Type="http://schemas.openxmlformats.org/officeDocument/2006/relationships/hyperlink" Target="http://berezniki.ucoz.ru/index/municipalnye_programmy/0-41" TargetMode="External"/><Relationship Id="rId1063" Type="http://schemas.openxmlformats.org/officeDocument/2006/relationships/hyperlink" Target="https://www.angosk.ru/index.php/duma-ngo-sk/normotvorchestvo-2/resheniya-dumy-ngo-sk/2021/8065-reshenie-590-ob-utverzhdenii-polozheniya-ob-initsiativnom-byudzhetirovanii-v-neftekumskom-gorodskom-okruge-stavropolskogo-kraya" TargetMode="External"/><Relationship Id="rId1270" Type="http://schemas.openxmlformats.org/officeDocument/2006/relationships/hyperlink" Target="https://yam.yanao.ru/documents/active/256110/" TargetMode="External"/><Relationship Id="rId2114" Type="http://schemas.openxmlformats.org/officeDocument/2006/relationships/hyperlink" Target="mailto:bud_komfin@novreg.ru" TargetMode="External"/><Relationship Id="rId640" Type="http://schemas.openxmlformats.org/officeDocument/2006/relationships/hyperlink" Target="https://www.kaluga-gov.ru/obshchestvo/initsiativnye-proekty/pravovaya-baza/2740/" TargetMode="External"/><Relationship Id="rId738" Type="http://schemas.openxmlformats.org/officeDocument/2006/relationships/hyperlink" Target="https://disk.yandex.ru/i/pELIk2qfIWxV6w" TargetMode="External"/><Relationship Id="rId945" Type="http://schemas.openxmlformats.org/officeDocument/2006/relationships/hyperlink" Target="https://podgornoe.kinel-cherkassy.ru/wp-content/uploads/2021/07/&#1056;&#1077;&#1096;-10-1-&#1088;&#1077;&#1096;&#1077;&#1085;&#1080;&#1103;-&#1055;&#1086;&#1083;&#1086;&#1078;&#1077;&#1085;&#1080;&#1077;-&#1086;&#1073;-&#1080;&#1085;&#1080;&#1094;&#1080;&#1080;&#1088;&#1086;&#1074;&#1072;&#1085;&#1080;&#1080;.docx" TargetMode="External"/><Relationship Id="rId1368" Type="http://schemas.openxmlformats.org/officeDocument/2006/relationships/hyperlink" Target="mailto:novo.posel@mail.ru" TargetMode="External"/><Relationship Id="rId1575" Type="http://schemas.openxmlformats.org/officeDocument/2006/relationships/hyperlink" Target="https://asfin56.ru/assets/files/271221/9/reshenie-&#8470;-50-ob-utverzhdenii-poryadka-realizaczii-ip.docx" TargetMode="External"/><Relationship Id="rId1782" Type="http://schemas.openxmlformats.org/officeDocument/2006/relationships/hyperlink" Target="mailto:root@rf46.krasnoyarsk.su" TargetMode="External"/><Relationship Id="rId74" Type="http://schemas.openxmlformats.org/officeDocument/2006/relationships/hyperlink" Target="https://minfin01-maykop.ru/Show/Category/60?ItemId=237" TargetMode="External"/><Relationship Id="rId500" Type="http://schemas.openxmlformats.org/officeDocument/2006/relationships/hyperlink" Target="https://www.arhcity.ru/data/2946/agd%20reshenie%20598_30112022.pdf" TargetMode="External"/><Relationship Id="rId805" Type="http://schemas.openxmlformats.org/officeDocument/2006/relationships/hyperlink" Target="https://otradny.org/upload/iblock/1f3/1f3df8aa53ea75199261fa1fcc0289b8.docx" TargetMode="External"/><Relationship Id="rId1130" Type="http://schemas.openxmlformats.org/officeDocument/2006/relationships/hyperlink" Target="http://budget.admsurgut.ru/budget/319176050" TargetMode="External"/><Relationship Id="rId1228" Type="http://schemas.openxmlformats.org/officeDocument/2006/relationships/hyperlink" Target="mailto:AMGalkin@noyabrsk.yanao.ru" TargetMode="External"/><Relationship Id="rId1435" Type="http://schemas.openxmlformats.org/officeDocument/2006/relationships/hyperlink" Target="https://vk.com/wall-179945354?q=%D0%B8%D0%BD%D0%B8%D1%86%D0%B8%D0%B0%D1%82%D0%B8%D0%B2%D0%BD%D1%8B%D0%B5%20%D0%BF%D1%80%D0%BE%D0%B5%D0%BA%D1%82%D1%8B&amp;w=wall-179945354_10938" TargetMode="External"/><Relationship Id="rId1642" Type="http://schemas.openxmlformats.org/officeDocument/2006/relationships/hyperlink" Target="https://omskportal.ru/npa?id=/omsu/tevr-3-52-255-1/ivanovo-myisskoe/2022/04/12/010" TargetMode="External"/><Relationship Id="rId1947" Type="http://schemas.openxmlformats.org/officeDocument/2006/relationships/hyperlink" Target="https://invest-orel.ru/" TargetMode="External"/><Relationship Id="rId1502" Type="http://schemas.openxmlformats.org/officeDocument/2006/relationships/hyperlink" Target="http://&#1087;&#1077;&#1088;&#1074;&#1086;&#1084;&#1072;&#1081;&#1089;&#1082;&#1080;&#1081;-&#1088;&#1072;&#1081;&#1086;&#1085;.&#1088;&#1092;/shkol-nyy-byudzhet.html" TargetMode="External"/><Relationship Id="rId1807" Type="http://schemas.openxmlformats.org/officeDocument/2006/relationships/hyperlink" Target="http://leninskoesp.ru/pages/initsiativnoe-bjudzhetirovanie" TargetMode="External"/><Relationship Id="rId290" Type="http://schemas.openxmlformats.org/officeDocument/2006/relationships/hyperlink" Target="consultantplus://offline/ref=B082A54577C801051DBB1E59255008648595B982756A31581CA203532BF927376E135ECB3F42EA925BE136848C717128FD9A1885419488B42AC258ACi4fAN" TargetMode="External"/><Relationship Id="rId388" Type="http://schemas.openxmlformats.org/officeDocument/2006/relationships/hyperlink" Target="https://minfin.saratov.gov.ru/index.php?option=com_acrfilestorage&amp;task=download&amp;on=2297" TargetMode="External"/><Relationship Id="rId2069" Type="http://schemas.openxmlformats.org/officeDocument/2006/relationships/hyperlink" Target="http://docs.cntd.ru/document/553230534" TargetMode="External"/><Relationship Id="rId150" Type="http://schemas.openxmlformats.org/officeDocument/2006/relationships/hyperlink" Target="mailto:petrov.a.n@minfin74.ru" TargetMode="External"/><Relationship Id="rId595" Type="http://schemas.openxmlformats.org/officeDocument/2006/relationships/hyperlink" Target="http://www.adm-vyaz.ru/tinybrowser/files/administratciya/postanovleniya/2022/12_3/P_1593_22.doc" TargetMode="External"/><Relationship Id="rId248" Type="http://schemas.openxmlformats.org/officeDocument/2006/relationships/hyperlink" Target="https://minstroyrf.gov.ru/upload/iblock/7b3/Gorsreda_brandbook_new.pdf" TargetMode="External"/><Relationship Id="rId455" Type="http://schemas.openxmlformats.org/officeDocument/2006/relationships/hyperlink" Target="mailto:ref@fin.e-zab.ru" TargetMode="External"/><Relationship Id="rId662" Type="http://schemas.openxmlformats.org/officeDocument/2006/relationships/hyperlink" Target="https://admkirov.ru/" TargetMode="External"/><Relationship Id="rId1085" Type="http://schemas.openxmlformats.org/officeDocument/2006/relationships/hyperlink" Target="https://stavstat.gks.ru/folder/28386" TargetMode="External"/><Relationship Id="rId1292" Type="http://schemas.openxmlformats.org/officeDocument/2006/relationships/hyperlink" Target="https://bsizgan.ulregion.ru/document/npa/6759/9555.html" TargetMode="External"/><Relationship Id="rId2136" Type="http://schemas.openxmlformats.org/officeDocument/2006/relationships/hyperlink" Target="https://54.rosstat.gov.ru/storage/mediabank/p54_&#1063;&#1080;&#1089;&#1083;&#1077;&#1085;&#1085;&#1086;&#1089;&#1090;&#1100;%20&#1085;&#1072;&#1089;&#1077;&#1083;&#1077;&#1085;&#1080;&#1103;%20&#1087;&#1086;%20&#1084;&#1091;&#1085;&#1080;&#1094;&#1080;&#1087;&#1072;&#1083;&#1100;&#1085;&#1099;&#1084;%20&#1088;&#1072;&#1081;&#1086;&#1085;&#1072;&#1084;%20&#1080;%20&#1075;&#1086;&#1088;&#1086;&#1076;&#1089;&#1082;&#1080;&#1084;%20&#1086;&#1082;&#1088;&#1091;&#1075;&#1072;&#1084;%20&#1053;&#1086;&#1074;&#1086;&#1089;&#1080;&#1073;&#1080;&#1088;&#1089;&#1082;&#1086;&#1081;%20&#1086;&#1073;&#1083;&#1072;&#1089;&#1090;&#1080;%20&#1085;&#1072;%201%20&#1103;&#1085;&#1074;&#1072;&#1088;&#1103;%202022%20&#1075;.%20&#1080;%20&#1074;%20&#1089;&#1088;&#1077;&#1076;&#1085;&#1077;&#1084;%20&#1079;&#1072;%202021%20&#1075;..pdf" TargetMode="External"/><Relationship Id="rId108" Type="http://schemas.openxmlformats.org/officeDocument/2006/relationships/hyperlink" Target="http://minstroy.cap.ru/action/activity/zhilischno-kommunaljnoe-hozyajstvo/iniciativnoe-byudzhetirovanie" TargetMode="External"/><Relationship Id="rId315" Type="http://schemas.openxmlformats.org/officeDocument/2006/relationships/hyperlink" Target="http://economy.midural.ru/content/postanovlenie-pravitelstva-sverdlovskoy-oblasti-ot-31082017-no-639-ppo-vnesenii-izmeneniy-v" TargetMode="External"/><Relationship Id="rId522" Type="http://schemas.openxmlformats.org/officeDocument/2006/relationships/hyperlink" Target="mailto:meleuz_gfu@ufamts.ru" TargetMode="External"/><Relationship Id="rId967" Type="http://schemas.openxmlformats.org/officeDocument/2006/relationships/hyperlink" Target="https://mmal-11.samgd.ru/acts/decisions/76333/" TargetMode="External"/><Relationship Id="rId1152" Type="http://schemas.openxmlformats.org/officeDocument/2006/relationships/hyperlink" Target="mailto:lugovoikonda@mail.ru" TargetMode="External"/><Relationship Id="rId1597" Type="http://schemas.openxmlformats.org/officeDocument/2006/relationships/hyperlink" Target="http://www.gfo-sorochinsk.ru/tshb" TargetMode="External"/><Relationship Id="rId96" Type="http://schemas.openxmlformats.org/officeDocument/2006/relationships/hyperlink" Target="https://docs.cntd.ru/document/561493132?marker" TargetMode="External"/><Relationship Id="rId827" Type="http://schemas.openxmlformats.org/officeDocument/2006/relationships/hyperlink" Target="https://www.samadm.ru/docs/official-publication/31618/" TargetMode="External"/><Relationship Id="rId1012" Type="http://schemas.openxmlformats.org/officeDocument/2006/relationships/hyperlink" Target="http://abgosk.ru/finansy/initsiativnoe-byudzhetirovanie/normativno-pravovaya-baza/normativno-pravovaya-baza.php" TargetMode="External"/><Relationship Id="rId1457" Type="http://schemas.openxmlformats.org/officeDocument/2006/relationships/hyperlink" Target="mailto:kna@ys.orb.ru" TargetMode="External"/><Relationship Id="rId1664" Type="http://schemas.openxmlformats.org/officeDocument/2006/relationships/hyperlink" Target="http://okuladm.ru/documents/16853" TargetMode="External"/><Relationship Id="rId1871" Type="http://schemas.openxmlformats.org/officeDocument/2006/relationships/hyperlink" Target="mailto:oktpos060@mail.ru" TargetMode="External"/><Relationship Id="rId1317" Type="http://schemas.openxmlformats.org/officeDocument/2006/relationships/hyperlink" Target="mailto:kuzmina.mv@ulminfin.ru" TargetMode="External"/><Relationship Id="rId1524" Type="http://schemas.openxmlformats.org/officeDocument/2006/relationships/hyperlink" Target="http://finotd_no@mail.orb.ru" TargetMode="External"/><Relationship Id="rId1731" Type="http://schemas.openxmlformats.org/officeDocument/2006/relationships/hyperlink" Target="https://omsukchan-adm.ru/inova_block_documentset/document/328406/" TargetMode="External"/><Relationship Id="rId1969" Type="http://schemas.openxmlformats.org/officeDocument/2006/relationships/hyperlink" Target="https://minter.permkrai.ru/dokumenty/106609/" TargetMode="External"/><Relationship Id="rId23" Type="http://schemas.openxmlformats.org/officeDocument/2006/relationships/hyperlink" Target="https://golos-amur.ru/" TargetMode="External"/><Relationship Id="rId1829" Type="http://schemas.openxmlformats.org/officeDocument/2006/relationships/hyperlink" Target="mailto:zaporoz_adm@mail.ru" TargetMode="External"/><Relationship Id="rId172" Type="http://schemas.openxmlformats.org/officeDocument/2006/relationships/hyperlink" Target="https://m.vk.com/album-169034427_0?rev=1&amp;from=profile&amp;z=photo-169034427_457239153%2Falbum-169034427_0%2Frev" TargetMode="External"/><Relationship Id="rId477" Type="http://schemas.openxmlformats.org/officeDocument/2006/relationships/hyperlink" Target="https://docs.cntd.ru/document/574631687" TargetMode="External"/><Relationship Id="rId684" Type="http://schemas.openxmlformats.org/officeDocument/2006/relationships/hyperlink" Target="http://&#1074;&#1086;&#1088;&#1082;&#1091;&#1090;&#1072;.&#1088;&#1092;/regulatory/initsiativnoe-byudzhetirovanie/" TargetMode="External"/><Relationship Id="rId2060" Type="http://schemas.openxmlformats.org/officeDocument/2006/relationships/hyperlink" Target="mailto:bud_komfin@novreg.ru" TargetMode="External"/><Relationship Id="rId2158" Type="http://schemas.openxmlformats.org/officeDocument/2006/relationships/printerSettings" Target="../printerSettings/printerSettings1.bin"/><Relationship Id="rId337" Type="http://schemas.openxmlformats.org/officeDocument/2006/relationships/hyperlink" Target="https://disk.yandex.ru/d/rDnDFhXbNfg89g" TargetMode="External"/><Relationship Id="rId891" Type="http://schemas.openxmlformats.org/officeDocument/2006/relationships/hyperlink" Target="http://kabanovka.kinel-cherkassy.ru/?p=7952" TargetMode="External"/><Relationship Id="rId989" Type="http://schemas.openxmlformats.org/officeDocument/2006/relationships/hyperlink" Target="https://sverdl.gks.ru/" TargetMode="External"/><Relationship Id="rId2018" Type="http://schemas.openxmlformats.org/officeDocument/2006/relationships/hyperlink" Target="http://msu.lenobl.ru/news/mediaproekty/" TargetMode="External"/><Relationship Id="rId544" Type="http://schemas.openxmlformats.org/officeDocument/2006/relationships/hyperlink" Target="https://vejdelevskij-r31.gosweb.gosuslugi.ru/deyatelnost/munitsipalnye-programmy/programma-13/" TargetMode="External"/><Relationship Id="rId751" Type="http://schemas.openxmlformats.org/officeDocument/2006/relationships/hyperlink" Target="https://proletarskoe.ru/images/phocagallery/2021/post-2021-N-175.doc" TargetMode="External"/><Relationship Id="rId849" Type="http://schemas.openxmlformats.org/officeDocument/2006/relationships/hyperlink" Target="https://rosstat.gov.ru/folder/12781" TargetMode="External"/><Relationship Id="rId1174" Type="http://schemas.openxmlformats.org/officeDocument/2006/relationships/hyperlink" Target="http://www.shugur.ru/documents/1396.html" TargetMode="External"/><Relationship Id="rId1381" Type="http://schemas.openxmlformats.org/officeDocument/2006/relationships/hyperlink" Target="mailto:gafieva_mi@zav.udmr.ru" TargetMode="External"/><Relationship Id="rId1479" Type="http://schemas.openxmlformats.org/officeDocument/2006/relationships/hyperlink" Target="https://mokurmsovet.ru/content/obyavleniya" TargetMode="External"/><Relationship Id="rId1686" Type="http://schemas.openxmlformats.org/officeDocument/2006/relationships/hyperlink" Target="mailto:vomp@adm.nov.ru" TargetMode="External"/><Relationship Id="rId404" Type="http://schemas.openxmlformats.org/officeDocument/2006/relationships/hyperlink" Target="https://pravo.donland.ru/doc/view/id/%D0%9E%D0%B1%D0%BB%D0%B0%D1%81%D1%82%D0%BD%D0%BE%D0%B9+%D0%B7%D0%B0%D0%BA%D0%BE%D0%BD_178-%D0%97%D0%A1_01082019_12886/" TargetMode="External"/><Relationship Id="rId611" Type="http://schemas.openxmlformats.org/officeDocument/2006/relationships/hyperlink" Target="https://cherinfo.ru/nb," TargetMode="External"/><Relationship Id="rId1034" Type="http://schemas.openxmlformats.org/officeDocument/2006/relationships/hyperlink" Target="https://www.adm-grsk.ru/initsiativnye-proekty" TargetMode="External"/><Relationship Id="rId1241" Type="http://schemas.openxmlformats.org/officeDocument/2006/relationships/hyperlink" Target="https://www.gubadm.ru/activity/14305" TargetMode="External"/><Relationship Id="rId1339" Type="http://schemas.openxmlformats.org/officeDocument/2006/relationships/hyperlink" Target="mailto:kuzmina.mv@ulminfin.ru" TargetMode="External"/><Relationship Id="rId1893" Type="http://schemas.openxmlformats.org/officeDocument/2006/relationships/hyperlink" Target="http://&#1072;&#1076;&#1084;-&#1080;&#1074;&#1072;&#1085;&#1086;&#1074;&#1089;&#1082;&#1072;&#1103;.&#1088;&#1092;/iniciativnoe-byudzhetirovanie.html" TargetMode="External"/><Relationship Id="rId709" Type="http://schemas.openxmlformats.org/officeDocument/2006/relationships/hyperlink" Target="https://11.rosstat.gov.ru/population" TargetMode="External"/><Relationship Id="rId916" Type="http://schemas.openxmlformats.org/officeDocument/2006/relationships/hyperlink" Target="https://samarastat.gks.ru/" TargetMode="External"/><Relationship Id="rId1101" Type="http://schemas.openxmlformats.org/officeDocument/2006/relationships/hyperlink" Target="https://rosstat.gov.ru/storage/mediabank/Chisl_nasel_RF_MO_01-01-2022.xlsx" TargetMode="External"/><Relationship Id="rId1546" Type="http://schemas.openxmlformats.org/officeDocument/2006/relationships/hyperlink" Target="https://grach-rf.orb.ru/documents/active/74643/" TargetMode="External"/><Relationship Id="rId1753" Type="http://schemas.openxmlformats.org/officeDocument/2006/relationships/hyperlink" Target="https://dzhankoy.rk.gov.ru/ru/structure/1915" TargetMode="External"/><Relationship Id="rId1960" Type="http://schemas.openxmlformats.org/officeDocument/2006/relationships/hyperlink" Target="https://57.rosstat.gov.ru/storage/mediabank/&#1063;&#1080;&#1089;&#1083;&#1077;&#1085;&#1085;&#1086;&#1089;&#1090;&#1100;%20&#1085;&#1072;&#1089;&#1077;&#1083;&#1077;&#1085;&#1080;&#1103;%20&#1074;%20&#1054;&#1088;&#1083;&#1086;&#1074;&#1089;&#1082;&#1086;&#1081;%20&#1086;&#1073;&#1083;&#1072;&#1089;&#1090;&#1080;(3).pdf" TargetMode="External"/><Relationship Id="rId45" Type="http://schemas.openxmlformats.org/officeDocument/2006/relationships/hyperlink" Target="https://www.govvrn.ru/iniciativnoe-budzetirovanie" TargetMode="External"/><Relationship Id="rId1406" Type="http://schemas.openxmlformats.org/officeDocument/2006/relationships/hyperlink" Target="http://admrogovskaya.ru/" TargetMode="External"/><Relationship Id="rId1613" Type="http://schemas.openxmlformats.org/officeDocument/2006/relationships/hyperlink" Target="https://vk.com/profm56" TargetMode="External"/><Relationship Id="rId1820" Type="http://schemas.openxmlformats.org/officeDocument/2006/relationships/hyperlink" Target="http://admsennaya.krd.eis1.ru/media/2022/03/22/1295341633/jpg2pdf_69.pdf" TargetMode="External"/><Relationship Id="rId194" Type="http://schemas.openxmlformats.org/officeDocument/2006/relationships/hyperlink" Target="https://minfin.astrobl.ru/napravleniya-deyatelnosti/iniciativnoe-biudzetirovanie" TargetMode="External"/><Relationship Id="rId1918" Type="http://schemas.openxmlformats.org/officeDocument/2006/relationships/hyperlink" Target="https://omsk.gks.ru/storage/mediabank/chisl-2022.htm" TargetMode="External"/><Relationship Id="rId2082" Type="http://schemas.openxmlformats.org/officeDocument/2006/relationships/hyperlink" Target="https://docs.cntd.ru/document/553386375" TargetMode="External"/><Relationship Id="rId261" Type="http://schemas.openxmlformats.org/officeDocument/2006/relationships/hyperlink" Target="http://10.40.40.2/ppmi/npa%20%20(&#1088;&#1072;&#1079;&#1076;&#1077;&#1083;%20%22&#1053;&#1055;&#1040;%22,%20&#1087;&#1086;&#1076;&#1088;&#1072;&#1079;&#1076;&#1077;&#1083;%20%22&#1064;&#1072;&#1073;&#1083;&#1086;&#1085;&#1099;%22,%20&#1055;&#1055;&#1052;&#1048;%20&#1051;&#1086;&#1075;&#1086;&#1090;&#1080;&#1087;)" TargetMode="External"/><Relationship Id="rId499" Type="http://schemas.openxmlformats.org/officeDocument/2006/relationships/hyperlink" Target="https://www.arhcity.ru/?page=2946/1" TargetMode="External"/><Relationship Id="rId359" Type="http://schemas.openxmlformats.org/officeDocument/2006/relationships/hyperlink" Target="https://78.rosstat.gov.ru/folder/27595" TargetMode="External"/><Relationship Id="rId566" Type="http://schemas.openxmlformats.org/officeDocument/2006/relationships/hyperlink" Target="https://gubkinadm.gosuslugi.ru/ofitsialno/dokumenty/?filter%5B297%5D%5BName%5D=457-&#1087;&#1072;" TargetMode="External"/><Relationship Id="rId773" Type="http://schemas.openxmlformats.org/officeDocument/2006/relationships/hyperlink" Target="mailto:ladonnikova_np@fin.artemokrug.ru" TargetMode="External"/><Relationship Id="rId1196" Type="http://schemas.openxmlformats.org/officeDocument/2006/relationships/hyperlink" Target="https://72.rosstat.gov.ru/ofs_demp_ynao" TargetMode="External"/><Relationship Id="rId121" Type="http://schemas.openxmlformats.org/officeDocument/2006/relationships/hyperlink" Target="http://gsrb.ru/ru/nakazy-izbirateley/" TargetMode="External"/><Relationship Id="rId219" Type="http://schemas.openxmlformats.org/officeDocument/2006/relationships/hyperlink" Target="http://publication.pravo.gov.ru/Document/View/3900202107010021" TargetMode="External"/><Relationship Id="rId426" Type="http://schemas.openxmlformats.org/officeDocument/2006/relationships/hyperlink" Target="https://isib.myopenugra.ru/upload/iblock/e14/e1405c7d566d86dc6af2fa6bd0928e19.pdf" TargetMode="External"/><Relationship Id="rId633" Type="http://schemas.openxmlformats.org/officeDocument/2006/relationships/hyperlink" Target="mailto:adm.ermolino@yandex.ru" TargetMode="External"/><Relationship Id="rId980" Type="http://schemas.openxmlformats.org/officeDocument/2006/relationships/hyperlink" Target="https://alapaevskoe.ru/article/show/id/10222" TargetMode="External"/><Relationship Id="rId1056" Type="http://schemas.openxmlformats.org/officeDocument/2006/relationships/hyperlink" Target="http://nevadm.ru/communal/gkh/mestnyie-initsiativyi/" TargetMode="External"/><Relationship Id="rId1263" Type="http://schemas.openxmlformats.org/officeDocument/2006/relationships/hyperlink" Target="https://disk.yandex.ru/d/GbFvvDzIdbgmKw" TargetMode="External"/><Relationship Id="rId2107" Type="http://schemas.openxmlformats.org/officeDocument/2006/relationships/hyperlink" Target="https://gokucmpi.ru/" TargetMode="External"/><Relationship Id="rId840" Type="http://schemas.openxmlformats.org/officeDocument/2006/relationships/hyperlink" Target="https://promadm.ru/allfiles/202304/Postanovlenie_ot-1680785647-5thvy.zip" TargetMode="External"/><Relationship Id="rId938" Type="http://schemas.openxmlformats.org/officeDocument/2006/relationships/hyperlink" Target="http://novyekluchi.kinel-cherkassy.ru/wp-content/uploads/2021/08/&#1056;&#1077;&#1096;&#1077;&#1085;&#1080;&#1077;-&#1087;&#1086;-&#1080;&#1085;&#1094;&#1080;&#1080;&#1088;&#1086;&#1074;&#1072;&#1085;&#1080;&#1102;-10-1&#1053;&#1086;&#1074;&#1099;&#1077;-&#1050;&#1083;&#1102;&#1095;&#1080;.doc" TargetMode="External"/><Relationship Id="rId1470" Type="http://schemas.openxmlformats.org/officeDocument/2006/relationships/hyperlink" Target="https://gy.orb.ru/documents/active/22068/" TargetMode="External"/><Relationship Id="rId1568" Type="http://schemas.openxmlformats.org/officeDocument/2006/relationships/hyperlink" Target="https://bugraifo.orb.ru/documents/other/103324/" TargetMode="External"/><Relationship Id="rId1775" Type="http://schemas.openxmlformats.org/officeDocument/2006/relationships/hyperlink" Target="http://www.admse.ru/upload/iblock/8e8/l92hk7ufw9r96jod9qynv59w3gt7x603.docx" TargetMode="External"/><Relationship Id="rId67" Type="http://schemas.openxmlformats.org/officeDocument/2006/relationships/hyperlink" Target="http://publication.pravo.gov.ru/Document/View/0500202005060005?index=1&amp;rangeSize=1" TargetMode="External"/><Relationship Id="rId700" Type="http://schemas.openxmlformats.org/officeDocument/2006/relationships/hyperlink" Target="mailto:Nikiforova_AA@sykt.rkomi.ru" TargetMode="External"/><Relationship Id="rId1123" Type="http://schemas.openxmlformats.org/officeDocument/2006/relationships/hyperlink" Target="mailto:KonstantinovaOA@admmegion.ru" TargetMode="External"/><Relationship Id="rId1330" Type="http://schemas.openxmlformats.org/officeDocument/2006/relationships/hyperlink" Target="https://gks.ru/dbscripts/munst/munst73/DBInet.cgi" TargetMode="External"/><Relationship Id="rId1428" Type="http://schemas.openxmlformats.org/officeDocument/2006/relationships/hyperlink" Target="http://admkud.ru/Doc/2022/11012022/4.pdf" TargetMode="External"/><Relationship Id="rId1635" Type="http://schemas.openxmlformats.org/officeDocument/2006/relationships/hyperlink" Target="https://buzuluk.orb.ru/activity/23687/" TargetMode="External"/><Relationship Id="rId1982" Type="http://schemas.openxmlformats.org/officeDocument/2006/relationships/hyperlink" Target="https://rosstat.gov.ru/compendium/document/13282" TargetMode="External"/><Relationship Id="rId1842" Type="http://schemas.openxmlformats.org/officeDocument/2006/relationships/hyperlink" Target="mailto:KolomietsAA@sochiadm.ru" TargetMode="External"/><Relationship Id="rId1702" Type="http://schemas.openxmlformats.org/officeDocument/2006/relationships/hyperlink" Target="https://borcity.ru/authority/acts/postadm/index2021.php" TargetMode="External"/><Relationship Id="rId283" Type="http://schemas.openxmlformats.org/officeDocument/2006/relationships/hyperlink" Target="https://vk.com/tmncomfort" TargetMode="External"/><Relationship Id="rId490" Type="http://schemas.openxmlformats.org/officeDocument/2006/relationships/hyperlink" Target="https://vk.com/btv29" TargetMode="External"/><Relationship Id="rId143" Type="http://schemas.openxmlformats.org/officeDocument/2006/relationships/hyperlink" Target="https://habstat.gks.ru/folder/25028" TargetMode="External"/><Relationship Id="rId350" Type="http://schemas.openxmlformats.org/officeDocument/2006/relationships/hyperlink" Target="https://rosstat.gov.ru/compendium/document/13282" TargetMode="External"/><Relationship Id="rId588" Type="http://schemas.openxmlformats.org/officeDocument/2006/relationships/hyperlink" Target="mailto:bud@vladfin.ru" TargetMode="External"/><Relationship Id="rId795" Type="http://schemas.openxmlformats.org/officeDocument/2006/relationships/hyperlink" Target="https://vk.com/fuauss" TargetMode="External"/><Relationship Id="rId2031" Type="http://schemas.openxmlformats.org/officeDocument/2006/relationships/hyperlink" Target="http://zakon.krskstate.ru/0/doc/34007" TargetMode="External"/><Relationship Id="rId9" Type="http://schemas.openxmlformats.org/officeDocument/2006/relationships/hyperlink" Target="https://sakha.gks.ru/folder/32348" TargetMode="External"/><Relationship Id="rId210" Type="http://schemas.openxmlformats.org/officeDocument/2006/relationships/hyperlink" Target="http://dkp31.ru/" TargetMode="External"/><Relationship Id="rId448" Type="http://schemas.openxmlformats.org/officeDocument/2006/relationships/hyperlink" Target="https://75.rosstat.gov.ru/storage/mediabank/1_%D0%A7%D0%B8%D1%81%D0%BB%D0%B5%D0%BD%D0%BD%D0%BE%D1%81%D1%82%D1%8C%20%D0%BD%D0%B0%D1%81%D0%B5%D0%BB%D0%B5%D0%BD%D0%B8%D1%8F.pdf" TargetMode="External"/><Relationship Id="rId655" Type="http://schemas.openxmlformats.org/officeDocument/2006/relationships/hyperlink" Target="https://&#1082;&#1080;&#1088;&#1086;&#1074;.&#1088;&#1092;/upload/medialibrary/710/uf821n0hq6j15ykgmn3sq579rgc00s55/&#1076;&#1083;&#1103;%20&#1087;&#1091;&#1073;&#1083;&#1080;&#1082;&#1072;&#1094;&#1080;&#1080;.pdf" TargetMode="External"/><Relationship Id="rId862" Type="http://schemas.openxmlformats.org/officeDocument/2006/relationships/hyperlink" Target="https://www.gks.ru/scripts/db_inet2/passport/table.aspx?opt=366164082022" TargetMode="External"/><Relationship Id="rId1078" Type="http://schemas.openxmlformats.org/officeDocument/2006/relationships/hyperlink" Target="http://petrgosk.ru/initsiativnye-proekty/" TargetMode="External"/><Relationship Id="rId1285" Type="http://schemas.openxmlformats.org/officeDocument/2006/relationships/hyperlink" Target="https://trk-luch.ru/search/index.php?q=&#1059;&#1102;&#1090;&#1085;&#1099;&#1081;+&#1071;&#1084;&#1072;&#1083;&amp;s=" TargetMode="External"/><Relationship Id="rId1492" Type="http://schemas.openxmlformats.org/officeDocument/2006/relationships/hyperlink" Target="https://tu.orb.ru/documents/active/81959/" TargetMode="External"/><Relationship Id="rId2129" Type="http://schemas.openxmlformats.org/officeDocument/2006/relationships/hyperlink" Target="https://gokucmpi.ru/" TargetMode="External"/><Relationship Id="rId308" Type="http://schemas.openxmlformats.org/officeDocument/2006/relationships/hyperlink" Target="mailto:kav@agro.tambov.gov.ru" TargetMode="External"/><Relationship Id="rId515" Type="http://schemas.openxmlformats.org/officeDocument/2006/relationships/hyperlink" Target="https://sterlibash.bashkortostan.ru/documents/active/427286/" TargetMode="External"/><Relationship Id="rId722" Type="http://schemas.openxmlformats.org/officeDocument/2006/relationships/hyperlink" Target="https://adm-yaroslavskogo.ru/&#1087;&#1088;&#1086;&#1077;&#1082;&#1090;&#1099;-&#1084;&#1077;&#1089;&#1090;&#1085;&#1099;&#1093;-&#1080;&#1085;&#1080;&#1094;&#1080;&#1072;&#1090;&#1080;&#1074;" TargetMode="External"/><Relationship Id="rId1145" Type="http://schemas.openxmlformats.org/officeDocument/2006/relationships/hyperlink" Target="http://admkonda.ru/documents/17169.html" TargetMode="External"/><Relationship Id="rId1352" Type="http://schemas.openxmlformats.org/officeDocument/2006/relationships/hyperlink" Target="mailto:kuzmina.mv@ulminfin.ru" TargetMode="External"/><Relationship Id="rId1797" Type="http://schemas.openxmlformats.org/officeDocument/2006/relationships/hyperlink" Target="https://rosstat.gov.ru/compendium/document/13282" TargetMode="External"/><Relationship Id="rId89" Type="http://schemas.openxmlformats.org/officeDocument/2006/relationships/hyperlink" Target="https://login.consultant.ru/link/?req=doc&amp;base=RLAW265&amp;n=102109&amp;dst=100002" TargetMode="External"/><Relationship Id="rId1005" Type="http://schemas.openxmlformats.org/officeDocument/2006/relationships/hyperlink" Target="https://stavstat.gks.ru/folder/28386" TargetMode="External"/><Relationship Id="rId1212" Type="http://schemas.openxmlformats.org/officeDocument/2006/relationships/hyperlink" Target="https://lbt.yanao.ru/activity/730/?nav-projects=page-1" TargetMode="External"/><Relationship Id="rId1657" Type="http://schemas.openxmlformats.org/officeDocument/2006/relationships/hyperlink" Target="https://vk.com/wall-117639365_195731" TargetMode="External"/><Relationship Id="rId1864" Type="http://schemas.openxmlformats.org/officeDocument/2006/relationships/hyperlink" Target="http://&#1073;&#1077;&#1079;&#1074;&#1086;&#1076;&#1085;&#1086;&#1077;.&#1088;&#1092;/documents/1334.html" TargetMode="External"/><Relationship Id="rId1517" Type="http://schemas.openxmlformats.org/officeDocument/2006/relationships/hyperlink" Target="http://fin-or.ru/content/narodnyy-byudzhet" TargetMode="External"/><Relationship Id="rId1724" Type="http://schemas.openxmlformats.org/officeDocument/2006/relationships/hyperlink" Target="https://&#1072;&#1076;&#1084;&#1076;&#1079;&#1077;&#1088;&#1078;&#1080;&#1085;&#1089;&#1082;.&#1088;&#1092;/documents/&#1053;&#1086;&#1074;&#1086;&#1089;&#1090;&#1080;/1.&#1057;&#1090;&#1088;&#1072;&#1090;&#1077;&#1075;&#1080;&#1103;%20&#1076;&#1086;%202030%20&#1075;&#1086;&#1076;&#1072;_30.01.2020.doc" TargetMode="External"/><Relationship Id="rId16" Type="http://schemas.openxmlformats.org/officeDocument/2006/relationships/hyperlink" Target="https://df.gov35.ru/dokumenty-strategicheskogo-planirovaniya/gosudarstvennaya-programma-departamenta-finansov/aktualnaya-versiya-gosudarstvennoy-programmy/" TargetMode="External"/><Relationship Id="rId1931" Type="http://schemas.openxmlformats.org/officeDocument/2006/relationships/hyperlink" Target="https://pib.primorsky.ru/Menu/Presentation/14?ItemId=14" TargetMode="External"/><Relationship Id="rId165" Type="http://schemas.openxmlformats.org/officeDocument/2006/relationships/hyperlink" Target="http://publication.pravo.gov.ru/Document/View/1000202202250006" TargetMode="External"/><Relationship Id="rId372" Type="http://schemas.openxmlformats.org/officeDocument/2006/relationships/hyperlink" Target="https://spbddtl.ru/sovet-starsheklassnikov-konkursy.html" TargetMode="External"/><Relationship Id="rId677" Type="http://schemas.openxmlformats.org/officeDocument/2006/relationships/hyperlink" Target="http://adm.govuktyl.ru/" TargetMode="External"/><Relationship Id="rId2053" Type="http://schemas.openxmlformats.org/officeDocument/2006/relationships/hyperlink" Target="https://docs.cntd.ru/document/450333035" TargetMode="External"/><Relationship Id="rId232" Type="http://schemas.openxmlformats.org/officeDocument/2006/relationships/hyperlink" Target="mailto:mvdemin@mail.ru" TargetMode="External"/><Relationship Id="rId884" Type="http://schemas.openxmlformats.org/officeDocument/2006/relationships/hyperlink" Target="https://samarastat.gks.ru/population" TargetMode="External"/><Relationship Id="rId2120" Type="http://schemas.openxmlformats.org/officeDocument/2006/relationships/hyperlink" Target="mailto:investapk@novreg.ru" TargetMode="External"/><Relationship Id="rId537" Type="http://schemas.openxmlformats.org/officeDocument/2006/relationships/hyperlink" Target="mailto:fps@vladfin.ru" TargetMode="External"/><Relationship Id="rId744" Type="http://schemas.openxmlformats.org/officeDocument/2006/relationships/hyperlink" Target="https://zhuravskaja.ru/images/docs/2022/07/post2022_111.doc" TargetMode="External"/><Relationship Id="rId951" Type="http://schemas.openxmlformats.org/officeDocument/2006/relationships/hyperlink" Target="http://sadgorod.kinel-cherkassy.ru/wp-content/uploads/2021/07/&#1056;&#1077;&#1096;&#1077;&#1085;&#1080;&#1077;-7-1-&#1086;&#1090;-12.07.2021-&#1054;&#1073;-&#1091;&#1090;&#1074;&#1077;&#1088;&#1078;&#1076;&#1077;&#1085;&#1080;&#1103;-&#1087;&#1086;&#1083;&#1086;&#1078;&#1077;&#1085;&#1080;&#1103;-&#1086;-&#1080;&#1085;&#1080;&#1094;&#1080;&#1080;&#1088;&#1086;&#1074;&#1072;&#1085;&#1080;&#1080;-&#1080;-&#1088;&#1077;&#1072;&#1083;&#1080;&#1079;&#1072;&#1094;&#1080;&#1080;-&#1080;&#1085;&#1080;&#1094;&#1080;&#1072;&#1090;&#1080;&#1074;&#1085;&#1099;&#1093;-&#1087;&#1088;&#1086;&#1077;&#1082;&#1090;&#1086;&#1074;-&#1085;&#1072;-&#1090;&#1077;&#1088;&#1088;&#1080;&#1090;&#1086;&#1088;&#1080;&#1080;-&#1089;&#1077;&#1083;&#1100;&#1089;&#1082;&#1086;&#1075;&#1086;-&#1087;&#1086;&#1089;&#1077;&#1083;&#1077;&#1085;&#1080;&#1103;.docx" TargetMode="External"/><Relationship Id="rId1167" Type="http://schemas.openxmlformats.org/officeDocument/2006/relationships/hyperlink" Target="http://admkuma.ru/polozhenie-o-provedenii-konkursnogo-otbora-proektov-narodnyy-byudzhet-v-gorodskom-poselenii-kuminskiy.html" TargetMode="External"/><Relationship Id="rId1374" Type="http://schemas.openxmlformats.org/officeDocument/2006/relationships/hyperlink" Target="https://unarokovo.ru/" TargetMode="External"/><Relationship Id="rId1581" Type="http://schemas.openxmlformats.org/officeDocument/2006/relationships/hyperlink" Target="https://adamfin.ru/assets/files/documents/Shkolnyi%20budjet/2022/itogi-otbora-proektnyix-predlozhenij-po-proektu-shkolnyij-byudzhet-za-2022-god.pdf" TargetMode="External"/><Relationship Id="rId1679" Type="http://schemas.openxmlformats.org/officeDocument/2006/relationships/hyperlink" Target="http://publication.pravo.gov.ru/Document/View/5300202005080009" TargetMode="External"/><Relationship Id="rId80" Type="http://schemas.openxmlformats.org/officeDocument/2006/relationships/hyperlink" Target="mailto:orst@apk.kostroma.gov.ru" TargetMode="External"/><Relationship Id="rId604" Type="http://schemas.openxmlformats.org/officeDocument/2006/relationships/hyperlink" Target="https://cherinfo-doc.ru/documents/postanovlenie-merii-goroda-cherepovca-ot-26.10.2021-4132-ob-utverzhdenii-municipalnoj-programmy-osucshestvlenie-byudzhetnyh-investicij-v-socialnuyu-kommunalnuyu-transportnuyu-infrastruktury-i-kapitalnyj-remont-obektov-municipalnoj-sobstvennosti-" TargetMode="External"/><Relationship Id="rId811" Type="http://schemas.openxmlformats.org/officeDocument/2006/relationships/hyperlink" Target="https://pohgor.ru/documents/postanovlenie/npa_1884.html" TargetMode="External"/><Relationship Id="rId1027" Type="http://schemas.openxmlformats.org/officeDocument/2006/relationships/hyperlink" Target="https://www.georgievsk.ru/mestnye-initsiativy/" TargetMode="External"/><Relationship Id="rId1234" Type="http://schemas.openxmlformats.org/officeDocument/2006/relationships/hyperlink" Target="https://vk.com/wall-189302525?q=&#1073;&#1102;&#1076;&#1078;&#1077;&#1090;&#1080;&#1088;&#1086;&#1074;&#1072;&#1085;&#1080;&#1077;" TargetMode="External"/><Relationship Id="rId1441" Type="http://schemas.openxmlformats.org/officeDocument/2006/relationships/hyperlink" Target="mailto:velav@mail.orb.ru" TargetMode="External"/><Relationship Id="rId1886" Type="http://schemas.openxmlformats.org/officeDocument/2006/relationships/hyperlink" Target="mailto:admnovomish@mail.ru" TargetMode="External"/><Relationship Id="rId909" Type="http://schemas.openxmlformats.org/officeDocument/2006/relationships/hyperlink" Target="https://samarastat.gks.ru/population" TargetMode="External"/><Relationship Id="rId1301" Type="http://schemas.openxmlformats.org/officeDocument/2006/relationships/hyperlink" Target="https://uln.gks.ru/storage/mediabank/73-nas-22.xlsx" TargetMode="External"/><Relationship Id="rId1539" Type="http://schemas.openxmlformats.org/officeDocument/2006/relationships/hyperlink" Target="https://krasnogvardfo.ru/assets/files/documents/%D0%9D%D0%B0%D1%80%D0%BE%D0%B4%D0%BD%D1%8B%D0%B9%20%D0%B1%D1%8E%D0%B4%D0%B6%D0%B5%D1%82/npa-1.rar" TargetMode="External"/><Relationship Id="rId1746" Type="http://schemas.openxmlformats.org/officeDocument/2006/relationships/hyperlink" Target="https://perovskoe.rk.gov.ru/ru/structure/2022_02_17_13_11_normativnye_pravovye_dokumenty_po_initsiativnomu_biudzhetirovaniiu_administratsii_perovskogo_selskogo_poseleniia" TargetMode="External"/><Relationship Id="rId1953" Type="http://schemas.openxmlformats.org/officeDocument/2006/relationships/hyperlink" Target="https://orel-region.ru/index.php?head=1&amp;unit=17469" TargetMode="External"/><Relationship Id="rId38" Type="http://schemas.openxmlformats.org/officeDocument/2006/relationships/hyperlink" Target="mailto:vatsuev_ad@minfinchr.ru" TargetMode="External"/><Relationship Id="rId1606" Type="http://schemas.openxmlformats.org/officeDocument/2006/relationships/hyperlink" Target="https://orenburg.ru/documents/other/63573/" TargetMode="External"/><Relationship Id="rId1813" Type="http://schemas.openxmlformats.org/officeDocument/2006/relationships/hyperlink" Target="http://&#1072;&#1076;&#1084;-&#1090;&#1072;&#1084;&#1072;&#1085;&#1100;.&#1088;&#1092;/images/SMI/proekt/&#1055;&#1088;&#1086;&#1090;&#1086;&#1082;&#1086;&#1083;%20&#1089;&#1086;&#1075;&#1083;&#1072;&#1089;&#1080;&#1090;&#1077;&#1083;&#1100;&#1085;&#1086;&#1081;%20&#1082;&#1086;&#1084;&#1080;&#1089;&#1089;&#1080;&#1080;.pdf" TargetMode="External"/><Relationship Id="rId187" Type="http://schemas.openxmlformats.org/officeDocument/2006/relationships/hyperlink" Target="mailto:avb@volgafin.ru" TargetMode="External"/><Relationship Id="rId394" Type="http://schemas.openxmlformats.org/officeDocument/2006/relationships/hyperlink" Target="https://minter.ryazangov.ru/activities/direction/podderzhka-mestnykh-initsiativ/" TargetMode="External"/><Relationship Id="rId2075" Type="http://schemas.openxmlformats.org/officeDocument/2006/relationships/hyperlink" Target="https://novgorodstat.gks.ru/storage/mediabank/%D0%A7%D0%B8%D1%81%D0%BB%D0%B5%D0%BD%D0%BD%D0%BE%D1%81%D1%82%D1%8C%20%D0%BE%D0%B1%D0%BB%D0%B0%D1%81%D1%82%D1%8C%202022.pdf" TargetMode="External"/><Relationship Id="rId254" Type="http://schemas.openxmlformats.org/officeDocument/2006/relationships/hyperlink" Target="https://www.consultant.ru/regbase/cgi/online.cgi?req=doc&amp;base=RLAW076&amp;n=50606" TargetMode="External"/><Relationship Id="rId699" Type="http://schemas.openxmlformats.org/officeDocument/2006/relationships/hyperlink" Target="https://syktyvdin.ru/ru/page/residents.malyje_i_narodnyje_projekty.NB_2021.narodnye_initsiativy_2021_1" TargetMode="External"/><Relationship Id="rId1091" Type="http://schemas.openxmlformats.org/officeDocument/2006/relationships/hyperlink" Target="https://pyatigorsk.org/filesarhiv/docs?FilesarhivSearch%5Binner_id%5D=3535&amp;FilesarhivSearch%5Btitle%5D=&amp;FilesarhivSearch%5Btypeid%5D=&amp;FilesarhivSearch%5Bcatid%5D=&amp;FilesarhivSearch%5Bcreated%5D=" TargetMode="External"/><Relationship Id="rId114" Type="http://schemas.openxmlformats.org/officeDocument/2006/relationships/hyperlink" Target="mailto:bvl@obladmin.pskov.ru" TargetMode="External"/><Relationship Id="rId461" Type="http://schemas.openxmlformats.org/officeDocument/2006/relationships/hyperlink" Target="https://disk.yandex.ru/d/D19IW8IO9t0U5Q" TargetMode="External"/><Relationship Id="rId559" Type="http://schemas.openxmlformats.org/officeDocument/2006/relationships/hyperlink" Target="mailto:svod2@beldepfin.ru" TargetMode="External"/><Relationship Id="rId766" Type="http://schemas.openxmlformats.org/officeDocument/2006/relationships/hyperlink" Target="mailto:dyadkovsk@inbox.ru" TargetMode="External"/><Relationship Id="rId1189" Type="http://schemas.openxmlformats.org/officeDocument/2006/relationships/hyperlink" Target="http://nvraion.ru/ekonomika-i-finansy/initsiativnoe-byudzhetirovanie/&#1062;&#1042;&#1045;&#1058;.jpg" TargetMode="External"/><Relationship Id="rId1396" Type="http://schemas.openxmlformats.org/officeDocument/2006/relationships/hyperlink" Target="https://www.temryuk.ru/nash-rayon/initsiativnoe-byudzhetirovanie/normativno-pravovye-akty/2022-god/" TargetMode="External"/><Relationship Id="rId2142" Type="http://schemas.openxmlformats.org/officeDocument/2006/relationships/hyperlink" Target="https://27.rosstat.gov.ru/" TargetMode="External"/><Relationship Id="rId321" Type="http://schemas.openxmlformats.org/officeDocument/2006/relationships/hyperlink" Target="https://sverdl.gks.ru/folder/29698" TargetMode="External"/><Relationship Id="rId419" Type="http://schemas.openxmlformats.org/officeDocument/2006/relationships/hyperlink" Target="http://portal.dvinaland.ru/docs/pub/a16eece709bc76b71bf44543d9de3cd7/613-37-oz.doc" TargetMode="External"/><Relationship Id="rId626" Type="http://schemas.openxmlformats.org/officeDocument/2006/relationships/hyperlink" Target="http://adm-borovskiy.ru/files/1/reshen_34(1).PDF" TargetMode="External"/><Relationship Id="rId973" Type="http://schemas.openxmlformats.org/officeDocument/2006/relationships/hyperlink" Target="https://kadm63.ru/Selo/Chetyrovka/NPA_Sobr_Pred/R_SP_SP_Chetirovka_44_15-06-2021.pdf" TargetMode="External"/><Relationship Id="rId1049" Type="http://schemas.openxmlformats.org/officeDocument/2006/relationships/hyperlink" Target="https://www.&#1082;&#1086;&#1095;&#1091;&#1073;&#1077;&#1077;&#1074;&#1089;&#1082;&#1080;&#1081;-&#1088;&#1072;&#1081;&#1086;&#1085;.&#1088;&#1092;/" TargetMode="External"/><Relationship Id="rId1256" Type="http://schemas.openxmlformats.org/officeDocument/2006/relationships/hyperlink" Target="https://admmuji.yanao.ru/documents/other/170350/" TargetMode="External"/><Relationship Id="rId2002" Type="http://schemas.openxmlformats.org/officeDocument/2006/relationships/hyperlink" Target="mailto:paramonova_iv@fin.kreml.nnov.ru" TargetMode="External"/><Relationship Id="rId833" Type="http://schemas.openxmlformats.org/officeDocument/2006/relationships/hyperlink" Target="mailto:AkritovaVT@samadm.ru" TargetMode="External"/><Relationship Id="rId1116" Type="http://schemas.openxmlformats.org/officeDocument/2006/relationships/hyperlink" Target="https://uray.ru/strategiya-razvitiya/obsujdeniya-proekta-perspektivnogo-plana-razvitiya-munitsipalnog/" TargetMode="External"/><Relationship Id="rId1463" Type="http://schemas.openxmlformats.org/officeDocument/2006/relationships/hyperlink" Target="https://gy.orb.ru/documents/active/66763/" TargetMode="External"/><Relationship Id="rId1670" Type="http://schemas.openxmlformats.org/officeDocument/2006/relationships/hyperlink" Target="mailto:komlub2@yandex.ru" TargetMode="External"/><Relationship Id="rId1768" Type="http://schemas.openxmlformats.org/officeDocument/2006/relationships/hyperlink" Target="mailto:suxom.rf35@yandex.ru" TargetMode="External"/><Relationship Id="rId900" Type="http://schemas.openxmlformats.org/officeDocument/2006/relationships/hyperlink" Target="https://samarastat.gks.ru/population" TargetMode="External"/><Relationship Id="rId1323" Type="http://schemas.openxmlformats.org/officeDocument/2006/relationships/hyperlink" Target="https://inzenskij-r73.gosweb.gosuslugi.ru/dlya-zhiteley/narodnaya-initsiativa/proekt-narodnyy-byudzhet/remont-peshehodnogo-mosta/" TargetMode="External"/><Relationship Id="rId1530" Type="http://schemas.openxmlformats.org/officeDocument/2006/relationships/hyperlink" Target="https://finotdnovoorsk.ru/assets/files/2021/458-p-ot-04.06.2021.pdf" TargetMode="External"/><Relationship Id="rId1628" Type="http://schemas.openxmlformats.org/officeDocument/2006/relationships/hyperlink" Target="mailto:velav@mail.orb.ru" TargetMode="External"/><Relationship Id="rId1975" Type="http://schemas.openxmlformats.org/officeDocument/2006/relationships/hyperlink" Target="https://vk.com/centr_izuch_grazhdans_initsiativ" TargetMode="External"/><Relationship Id="rId1835" Type="http://schemas.openxmlformats.org/officeDocument/2006/relationships/hyperlink" Target="http://golubitskoe.ru/%D0%B4%D0%BE%D0%BA%D1%83%D0%BC%D0%B5%D0%BD%D1%82%D1%8B/reshenija/%D1%80%D0%B5%D1%88%D0%B5%D0%BD%D0%B8%D1%8F-2022.html" TargetMode="External"/><Relationship Id="rId1902" Type="http://schemas.openxmlformats.org/officeDocument/2006/relationships/hyperlink" Target="http://wp.sergievka.ru/wp-content/uploads/2021/12/79-&#1080;&#1085;&#1080;&#1094;.&#1073;&#1102;&#1076;&#1078;&#1077;&#1090;&#1080;&#1088;.doc" TargetMode="External"/><Relationship Id="rId2097" Type="http://schemas.openxmlformats.org/officeDocument/2006/relationships/hyperlink" Target="https://docs.cntd.ru/document/553386375" TargetMode="External"/><Relationship Id="rId276" Type="http://schemas.openxmlformats.org/officeDocument/2006/relationships/hyperlink" Target="https://disk.yandex.ru/i/XVQzgInXC8I50Q" TargetMode="External"/><Relationship Id="rId483" Type="http://schemas.openxmlformats.org/officeDocument/2006/relationships/hyperlink" Target="mailto:elena.mineeva@tularegion.ru" TargetMode="External"/><Relationship Id="rId690" Type="http://schemas.openxmlformats.org/officeDocument/2006/relationships/hyperlink" Target="mailto:e.v.galeva@priluzie.ru" TargetMode="External"/><Relationship Id="rId136" Type="http://schemas.openxmlformats.org/officeDocument/2006/relationships/hyperlink" Target="https://vk.com/cigi_noc_rb" TargetMode="External"/><Relationship Id="rId343" Type="http://schemas.openxmlformats.org/officeDocument/2006/relationships/hyperlink" Target="https://pib.sakhminfin.ru/" TargetMode="External"/><Relationship Id="rId550" Type="http://schemas.openxmlformats.org/officeDocument/2006/relationships/hyperlink" Target="https://belg.gks.ru/" TargetMode="External"/><Relationship Id="rId788" Type="http://schemas.openxmlformats.org/officeDocument/2006/relationships/hyperlink" Target="https://dalmdr.ru/node/4901" TargetMode="External"/><Relationship Id="rId995" Type="http://schemas.openxmlformats.org/officeDocument/2006/relationships/hyperlink" Target="mailto:e.mokrushina@kgo66.ru" TargetMode="External"/><Relationship Id="rId1180" Type="http://schemas.openxmlformats.org/officeDocument/2006/relationships/hyperlink" Target="http://www.gks.ru/free_doc/new_site/bd_munst/munst.htm" TargetMode="External"/><Relationship Id="rId2024" Type="http://schemas.openxmlformats.org/officeDocument/2006/relationships/hyperlink" Target="https://disk.yandex.ru/d/bNtKkI7tYHzdAg" TargetMode="External"/><Relationship Id="rId203" Type="http://schemas.openxmlformats.org/officeDocument/2006/relationships/hyperlink" Target="http://www.zakon.belregion.ru/" TargetMode="External"/><Relationship Id="rId648" Type="http://schemas.openxmlformats.org/officeDocument/2006/relationships/hyperlink" Target="https://www.afanasyevo.ru/ekonomika/initsiativnye-proekty" TargetMode="External"/><Relationship Id="rId855" Type="http://schemas.openxmlformats.org/officeDocument/2006/relationships/hyperlink" Target="https://www.gks.ru/scripts/db_inet2/passport/table.aspx?opt=366164082022" TargetMode="External"/><Relationship Id="rId1040" Type="http://schemas.openxmlformats.org/officeDocument/2006/relationships/hyperlink" Target="http://ipatovo.org/userfiles/file/2021/fevral/resheniya/reshenie_16_poryadka_vyd_rassm__inic_proektov.doc" TargetMode="External"/><Relationship Id="rId1278" Type="http://schemas.openxmlformats.org/officeDocument/2006/relationships/hyperlink" Target="https://tasu.ru/mestnoe-samoupravlenie/administratsiya/postanovleniya-administratsii-rayona/o-realizatsii-proekta-shkolnoe-partisipatornoe-byudzhetirovanie-v-munitsipalnom-okruge-tazovskiy-rayon-yamalo-nenetskogo-avtonomnogo-okruga-48554/" TargetMode="External"/><Relationship Id="rId1485" Type="http://schemas.openxmlformats.org/officeDocument/2006/relationships/hyperlink" Target="mailto:velav@mail.orb.ru" TargetMode="External"/><Relationship Id="rId1692" Type="http://schemas.openxmlformats.org/officeDocument/2006/relationships/hyperlink" Target="mailto:paramonova_iv@fin.kreml.nnov.ru" TargetMode="External"/><Relationship Id="rId410" Type="http://schemas.openxmlformats.org/officeDocument/2006/relationships/hyperlink" Target="https://www.donland.ru/news/14625/" TargetMode="External"/><Relationship Id="rId508" Type="http://schemas.openxmlformats.org/officeDocument/2006/relationships/hyperlink" Target="mailto:fu.karaid@bashkortostan.ru" TargetMode="External"/><Relationship Id="rId715" Type="http://schemas.openxmlformats.org/officeDocument/2006/relationships/hyperlink" Target="mailto:vladimir-nosov-59@mail.ru" TargetMode="External"/><Relationship Id="rId922" Type="http://schemas.openxmlformats.org/officeDocument/2006/relationships/hyperlink" Target="https://samarastat.gks.ru/" TargetMode="External"/><Relationship Id="rId1138" Type="http://schemas.openxmlformats.org/officeDocument/2006/relationships/hyperlink" Target="https://www.n-vartovsk.ru/documents/" TargetMode="External"/><Relationship Id="rId1345" Type="http://schemas.openxmlformats.org/officeDocument/2006/relationships/hyperlink" Target="https://uln.gks.ru/folder/40275" TargetMode="External"/><Relationship Id="rId1552" Type="http://schemas.openxmlformats.org/officeDocument/2006/relationships/hyperlink" Target="http://pp-bz.ru/legal-acts/2603" TargetMode="External"/><Relationship Id="rId1997" Type="http://schemas.openxmlformats.org/officeDocument/2006/relationships/hyperlink" Target="https://disk.yandex.ru/i/04f_ikVeU6_mDg" TargetMode="External"/><Relationship Id="rId1205" Type="http://schemas.openxmlformats.org/officeDocument/2006/relationships/hyperlink" Target="https://rosstat.gov.ru/compendium/document/13282;%20https:/invest.yanao.ru/municipalities/labitnangi/" TargetMode="External"/><Relationship Id="rId1857" Type="http://schemas.openxmlformats.org/officeDocument/2006/relationships/hyperlink" Target="https://www.labinsk-city.ru/" TargetMode="External"/><Relationship Id="rId51" Type="http://schemas.openxmlformats.org/officeDocument/2006/relationships/hyperlink" Target="https://pravo.govvrn.ru/?q=node/21716" TargetMode="External"/><Relationship Id="rId1412" Type="http://schemas.openxmlformats.org/officeDocument/2006/relationships/hyperlink" Target="http://veradmgo.ru/inova_block_documentset/document/340513/" TargetMode="External"/><Relationship Id="rId1717" Type="http://schemas.openxmlformats.org/officeDocument/2006/relationships/hyperlink" Target="mailto:vachaganchik@mail.ru" TargetMode="External"/><Relationship Id="rId1924"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298" Type="http://schemas.openxmlformats.org/officeDocument/2006/relationships/hyperlink" Target="http://publication.pravo.gov.ru/Document/View/6800202111190001" TargetMode="External"/><Relationship Id="rId158" Type="http://schemas.openxmlformats.org/officeDocument/2006/relationships/hyperlink" Target="mailto:e.a.barabanova@adm.khv.ru" TargetMode="External"/><Relationship Id="rId365" Type="http://schemas.openxmlformats.org/officeDocument/2006/relationships/hyperlink" Target="mailto:Kuhareva@kfin.gov.spb.ru" TargetMode="External"/><Relationship Id="rId572" Type="http://schemas.openxmlformats.org/officeDocument/2006/relationships/hyperlink" Target="mailto:arovenki@mail.ru" TargetMode="External"/><Relationship Id="rId2046" Type="http://schemas.openxmlformats.org/officeDocument/2006/relationships/hyperlink" Target="https://53.gorodsreda.ru/" TargetMode="External"/><Relationship Id="rId225" Type="http://schemas.openxmlformats.org/officeDocument/2006/relationships/hyperlink" Target="http://publication.pravo.gov.ru/Document/View/3900202107010021" TargetMode="External"/><Relationship Id="rId432" Type="http://schemas.openxmlformats.org/officeDocument/2006/relationships/hyperlink" Target="http://publication.pravo.gov.ru/Document/View/6900202103170004" TargetMode="External"/><Relationship Id="rId877" Type="http://schemas.openxmlformats.org/officeDocument/2006/relationships/hyperlink" Target="http://berezniki.ucoz.ru/admu/4/resh.sp_15-1_ot_16.08.2021..doc" TargetMode="External"/><Relationship Id="rId1062" Type="http://schemas.openxmlformats.org/officeDocument/2006/relationships/hyperlink" Target="https://www.angosk.ru/index.php/informatsiya/mestnye-initsiativy/10123-postanovlenie-administratsii-neftekumskogo-gorodskogo-okruga-stavropolskogo-kraya-955-ot-30-iyunya-2021-g" TargetMode="External"/><Relationship Id="rId2113" Type="http://schemas.openxmlformats.org/officeDocument/2006/relationships/hyperlink" Target="http://docs.cntd.ru/document/553364140" TargetMode="External"/><Relationship Id="rId737" Type="http://schemas.openxmlformats.org/officeDocument/2006/relationships/hyperlink" Target="https://sovet.korenovsk.ru/wp-content/files/__37__23.12.2020_._.pdf" TargetMode="External"/><Relationship Id="rId944" Type="http://schemas.openxmlformats.org/officeDocument/2006/relationships/hyperlink" Target="https://podgornoe.kinel-cherkassy.ru/wp-content/uploads/2021/07/&#1056;&#1077;&#1096;-10-1-&#1088;&#1077;&#1096;&#1077;&#1085;&#1080;&#1103;-&#1055;&#1086;&#1083;&#1086;&#1078;&#1077;&#1085;&#1080;&#1077;-&#1086;&#1073;-&#1080;&#1085;&#1080;&#1094;&#1080;&#1080;&#1088;&#1086;&#1074;&#1072;&#1085;&#1080;&#1080;.docx" TargetMode="External"/><Relationship Id="rId1367" Type="http://schemas.openxmlformats.org/officeDocument/2006/relationships/hyperlink" Target="https://npavlovka.ru/ekonomika-i-finansy/initsiativnoe-byudzhetirovanie/" TargetMode="External"/><Relationship Id="rId1574" Type="http://schemas.openxmlformats.org/officeDocument/2006/relationships/hyperlink" Target="https://asfin56.ru/narodnyij-byudzhet" TargetMode="External"/><Relationship Id="rId1781" Type="http://schemas.openxmlformats.org/officeDocument/2006/relationships/hyperlink" Target="http://www.divnogorsk-adm.ru/finansy/iniciativnoe-byudzhetirovanie/" TargetMode="External"/><Relationship Id="rId73" Type="http://schemas.openxmlformats.org/officeDocument/2006/relationships/hyperlink" Target="https://www.ofukem.ru/activity/initiative-budgeting/about-the-projects/" TargetMode="External"/><Relationship Id="rId804" Type="http://schemas.openxmlformats.org/officeDocument/2006/relationships/hyperlink" Target="mailto:fuago@otradny.org" TargetMode="External"/><Relationship Id="rId1227" Type="http://schemas.openxmlformats.org/officeDocument/2006/relationships/hyperlink" Target="https://admnoyabrsk.ru/obshchestvo/ritm?ysclid=lg3nvhi7gc998813957" TargetMode="External"/><Relationship Id="rId1434" Type="http://schemas.openxmlformats.org/officeDocument/2006/relationships/hyperlink" Target="mailto:lagileva@vereschagino.permkrai.ru" TargetMode="External"/><Relationship Id="rId1641" Type="http://schemas.openxmlformats.org/officeDocument/2006/relationships/hyperlink" Target="https://omskportal.ru/npa?id=/omsu/tevr-3-52-255-1/ivanovo-myisskoe/2022/05/05/01" TargetMode="External"/><Relationship Id="rId1879" Type="http://schemas.openxmlformats.org/officeDocument/2006/relationships/hyperlink" Target="mailto:prigorod_adm49@mail.ru" TargetMode="External"/><Relationship Id="rId1501" Type="http://schemas.openxmlformats.org/officeDocument/2006/relationships/hyperlink" Target="http://fintotsk.ru/file/download/1156" TargetMode="External"/><Relationship Id="rId1739" Type="http://schemas.openxmlformats.org/officeDocument/2006/relationships/hyperlink" Target="https://dzhankoy.rk.gov.ru/ru/structure/2022_03_16_15_21_konkurs_proektov_initsiativnogo_biudzhetirovaniia_v_munitsipalnom_obrazovanii_gorodskoi_okrug_dzhankoi_respubliki_krym_2022_god" TargetMode="External"/><Relationship Id="rId1946" Type="http://schemas.openxmlformats.org/officeDocument/2006/relationships/hyperlink" Target="https://gorodsreda.ru/" TargetMode="External"/><Relationship Id="rId1806" Type="http://schemas.openxmlformats.org/officeDocument/2006/relationships/hyperlink" Target="http://leninskoesp.ru/pages/tselevye-programmy" TargetMode="External"/><Relationship Id="rId387" Type="http://schemas.openxmlformats.org/officeDocument/2006/relationships/hyperlink" Target="https://gorodsreda.ru/documents" TargetMode="External"/><Relationship Id="rId594" Type="http://schemas.openxmlformats.org/officeDocument/2006/relationships/hyperlink" Target="http://www.adm-vyaz.ru/tinybrowser/files/finupr/2022/Post_23-03-2022_277.zip" TargetMode="External"/><Relationship Id="rId2068" Type="http://schemas.openxmlformats.org/officeDocument/2006/relationships/hyperlink" Target="https://docs.cntd.ru/document/450360732" TargetMode="External"/><Relationship Id="rId247" Type="http://schemas.openxmlformats.org/officeDocument/2006/relationships/hyperlink" Target="https://ulgov.ru/news/regional/2020.12.04/58446/" TargetMode="External"/><Relationship Id="rId899" Type="http://schemas.openxmlformats.org/officeDocument/2006/relationships/hyperlink" Target="https://www.kinel-cherkassy.ru/index.php/dokumenty/ofitsialnoe-opublikovanie/37533-postanovlenie-administratsii-kinel-cherkasskogo-rajona-ot-29-06-2022-677" TargetMode="External"/><Relationship Id="rId1084" Type="http://schemas.openxmlformats.org/officeDocument/2006/relationships/hyperlink" Target="https://pmosk.ru/archives/7202" TargetMode="External"/><Relationship Id="rId107" Type="http://schemas.openxmlformats.org/officeDocument/2006/relationships/hyperlink" Target="https://www.cap.ru/doc/laws/2022/08/24/ruling-406" TargetMode="External"/><Relationship Id="rId454" Type="http://schemas.openxmlformats.org/officeDocument/2006/relationships/hyperlink" Target="https://docs.cntd.ru/document/561750188" TargetMode="External"/><Relationship Id="rId661" Type="http://schemas.openxmlformats.org/officeDocument/2006/relationships/hyperlink" Target="https://&#1082;&#1080;&#1088;&#1086;&#1074;.&#1088;&#1092;/upload/medialibrary/710/uf821n0hq6j15ykgmn3sq579rgc00s55/&#1076;&#1083;&#1103;%20&#1087;&#1091;&#1073;&#1083;&#1080;&#1082;&#1072;&#1094;&#1080;&#1080;.pdf" TargetMode="External"/><Relationship Id="rId759" Type="http://schemas.openxmlformats.org/officeDocument/2006/relationships/hyperlink" Target="https://www.adm-kavkaz.ru/sobranie-deputatov/reshenie-sobranij/resheniya-2020/3741-reshenie-4-ot-08-02-2019-goda-o-peredache-kavkazskomu-selskomu-poseleniyu-kavkazskogo-rajona-proektnoj-dokumentatsii-ob-ekta-gazifikatsii" TargetMode="External"/><Relationship Id="rId966" Type="http://schemas.openxmlformats.org/officeDocument/2006/relationships/hyperlink" Target="http://www.kinel.ru/tselevye-programmy-selskikh-poselenijj/malaja-malyshevka/" TargetMode="External"/><Relationship Id="rId1291" Type="http://schemas.openxmlformats.org/officeDocument/2006/relationships/hyperlink" Target="https://bsizgan.gosuslugi.ru/ofitsialno/dokumenty/rsd-mo/rsd-2016/dokumenty_372.html" TargetMode="External"/><Relationship Id="rId1389" Type="http://schemas.openxmlformats.org/officeDocument/2006/relationships/hyperlink" Target="mailto:bratkovsk@mail.ru" TargetMode="External"/><Relationship Id="rId1596" Type="http://schemas.openxmlformats.org/officeDocument/2006/relationships/hyperlink" Target="http://www.gfo-sorochinsk.ru/tshb" TargetMode="External"/><Relationship Id="rId2135" Type="http://schemas.openxmlformats.org/officeDocument/2006/relationships/hyperlink" Target="https://iproject.mfnso.ru/" TargetMode="External"/><Relationship Id="rId314" Type="http://schemas.openxmlformats.org/officeDocument/2006/relationships/hyperlink" Target="https://68.rosstat.gov.ru/storage/mediabank/chis23-22s.pdf" TargetMode="External"/><Relationship Id="rId521" Type="http://schemas.openxmlformats.org/officeDocument/2006/relationships/hyperlink" Target="mailto:kochetkova.e@bashkortostan.ru" TargetMode="External"/><Relationship Id="rId619" Type="http://schemas.openxmlformats.org/officeDocument/2006/relationships/hyperlink" Target="https://admdetchino.ru/2021/11/9725/" TargetMode="External"/><Relationship Id="rId1151" Type="http://schemas.openxmlformats.org/officeDocument/2006/relationships/hyperlink" Target="http://lugovoikonda.ru/munitcipal-nye-programmy-2019-2025-godov-i-na-period-do-2030-goda.html" TargetMode="External"/><Relationship Id="rId1249" Type="http://schemas.openxmlformats.org/officeDocument/2006/relationships/hyperlink" Target="https://nadym.yanao.ru/documents/active/161227/;https:/nadym.yanao.ru/documents/active/161347/" TargetMode="External"/><Relationship Id="rId95" Type="http://schemas.openxmlformats.org/officeDocument/2006/relationships/hyperlink" Target="http://www.statdata.ru/naselenie/kostromskoi-oblasti" TargetMode="External"/><Relationship Id="rId826" Type="http://schemas.openxmlformats.org/officeDocument/2006/relationships/hyperlink" Target="https://www.samadm.ru/docs/official-publication" TargetMode="External"/><Relationship Id="rId1011" Type="http://schemas.openxmlformats.org/officeDocument/2006/relationships/hyperlink" Target="https://bdex.ru/naselenie/stavropolskiy-kray/n/apanasenkovskiy/" TargetMode="External"/><Relationship Id="rId1109" Type="http://schemas.openxmlformats.org/officeDocument/2006/relationships/hyperlink" Target="https://khv27.ru/projects/territorialnoe-obshchestvennoe-samoupravlenie/" TargetMode="External"/><Relationship Id="rId1456" Type="http://schemas.openxmlformats.org/officeDocument/2006/relationships/hyperlink" Target="mailto:velav@mail.orb.ru" TargetMode="External"/><Relationship Id="rId1663" Type="http://schemas.openxmlformats.org/officeDocument/2006/relationships/hyperlink" Target="http://okuladm.ru/documents/21583" TargetMode="External"/><Relationship Id="rId1870" Type="http://schemas.openxmlformats.org/officeDocument/2006/relationships/hyperlink" Target="mailto:aksp160@mail.ru" TargetMode="External"/><Relationship Id="rId1968" Type="http://schemas.openxmlformats.org/officeDocument/2006/relationships/hyperlink" Target="https://59.rosstat.gov.ru/folder/160087" TargetMode="External"/><Relationship Id="rId1316" Type="http://schemas.openxmlformats.org/officeDocument/2006/relationships/hyperlink" Target="https://73.rosstat.gov.ru/folder/40275" TargetMode="External"/><Relationship Id="rId1523" Type="http://schemas.openxmlformats.org/officeDocument/2006/relationships/hyperlink" Target="mailto:velav@mail.orb.ru" TargetMode="External"/><Relationship Id="rId1730" Type="http://schemas.openxmlformats.org/officeDocument/2006/relationships/hyperlink" Target="https://habstat.gks.ru/folder/23590" TargetMode="External"/><Relationship Id="rId22" Type="http://schemas.openxmlformats.org/officeDocument/2006/relationships/hyperlink" Target="https://amurstat.gks.ru/storage/mediabank/07_1_4.htm" TargetMode="External"/><Relationship Id="rId1828" Type="http://schemas.openxmlformats.org/officeDocument/2006/relationships/hyperlink" Target="https://adm-zaparozhskaya.ru/" TargetMode="External"/><Relationship Id="rId171" Type="http://schemas.openxmlformats.org/officeDocument/2006/relationships/hyperlink" Target="http://old.gov.karelia.ru/Projects/Initiatives/" TargetMode="External"/><Relationship Id="rId269" Type="http://schemas.openxmlformats.org/officeDocument/2006/relationships/hyperlink" Target="https://disk.yandex.ru/i/1v1IuZeb0n8c-A" TargetMode="External"/><Relationship Id="rId476" Type="http://schemas.openxmlformats.org/officeDocument/2006/relationships/hyperlink" Target="http://publication.pravo.gov.ru/Document/View/7100202102010001" TargetMode="External"/><Relationship Id="rId683" Type="http://schemas.openxmlformats.org/officeDocument/2006/relationships/hyperlink" Target="http://&#1074;&#1086;&#1088;&#1082;&#1091;&#1090;&#1072;.&#1088;&#1092;/city/strategic-management/the-strategy-of-socio-economic-development-of-the-constituent-vorkuta/?ELEMENT_ID=18015" TargetMode="External"/><Relationship Id="rId890" Type="http://schemas.openxmlformats.org/officeDocument/2006/relationships/hyperlink" Target="http://kabanovka.kinel-cherkassy.ru/?p=7952" TargetMode="External"/><Relationship Id="rId2157" Type="http://schemas.openxmlformats.org/officeDocument/2006/relationships/hyperlink" Target="mailto:svod2@beldepfin.ru" TargetMode="External"/><Relationship Id="rId129" Type="http://schemas.openxmlformats.org/officeDocument/2006/relationships/hyperlink" Target="http://docs.cntd.ru/document/553216517" TargetMode="External"/><Relationship Id="rId336" Type="http://schemas.openxmlformats.org/officeDocument/2006/relationships/hyperlink" Target="https://vk.com/sodeistvie63" TargetMode="External"/><Relationship Id="rId543" Type="http://schemas.openxmlformats.org/officeDocument/2006/relationships/hyperlink" Target="https://bryansk.gks.ru/" TargetMode="External"/><Relationship Id="rId988" Type="http://schemas.openxmlformats.org/officeDocument/2006/relationships/hyperlink" Target="http://&#1080;&#1085;&#1080;&#1094;&#1080;&#1072;&#1090;&#1080;&#1074;&#1072;.&#1077;&#1082;&#1072;&#1090;&#1077;&#1088;&#1080;&#1085;&#1073;&#1091;&#1088;&#1075;.&#1088;&#1092;/about/documents" TargetMode="External"/><Relationship Id="rId1173" Type="http://schemas.openxmlformats.org/officeDocument/2006/relationships/hyperlink" Target="http://www.shugur.ru/documents/1396.html" TargetMode="External"/><Relationship Id="rId1380" Type="http://schemas.openxmlformats.org/officeDocument/2006/relationships/hyperlink" Target="mailto:gafieva_mi@zav.udmr.ru" TargetMode="External"/><Relationship Id="rId2017" Type="http://schemas.openxmlformats.org/officeDocument/2006/relationships/hyperlink" Target="mailto:vv_nikiforov@lenreg.ru" TargetMode="External"/><Relationship Id="rId403" Type="http://schemas.openxmlformats.org/officeDocument/2006/relationships/hyperlink" Target="consultantplus://offline/ref=DE2DE3F8186B0DAD49025B8CDA042F0A3702C1F84D01F84FDB1859A0452F269CB69213BADF9B6F70CDB851237108FCECB1C794F803344305CCF079H" TargetMode="External"/><Relationship Id="rId750" Type="http://schemas.openxmlformats.org/officeDocument/2006/relationships/hyperlink" Target="mailto:platnirovka@mail.ru" TargetMode="External"/><Relationship Id="rId848" Type="http://schemas.openxmlformats.org/officeDocument/2006/relationships/hyperlink" Target="https://tgl.ru/documentation/obj?obj=32772" TargetMode="External"/><Relationship Id="rId1033" Type="http://schemas.openxmlformats.org/officeDocument/2006/relationships/hyperlink" Target="https://www.adm-grsk.ru/sobranie-deputatov/resheniya-soveta/resheniya-2021/reshenie-ot-22-04-2021-g-37-o-nekotorykh-voprosakh-realizatsii-initsiativnykh-proektov-na-territorii-grachevskogo-munitsipalnogo-okruga-stavropolskogo-kraya" TargetMode="External"/><Relationship Id="rId1478" Type="http://schemas.openxmlformats.org/officeDocument/2006/relationships/hyperlink" Target="https://gks.ru/dbscripts/munst/munst53/DBInet.cgi" TargetMode="External"/><Relationship Id="rId1685" Type="http://schemas.openxmlformats.org/officeDocument/2006/relationships/hyperlink" Target="mailto:bud_komfin@novreg.ru" TargetMode="External"/><Relationship Id="rId1892" Type="http://schemas.openxmlformats.org/officeDocument/2006/relationships/hyperlink" Target="mailto:oktadm95@mail.ru" TargetMode="External"/><Relationship Id="rId610" Type="http://schemas.openxmlformats.org/officeDocument/2006/relationships/hyperlink" Target="https://35.rosstat.gov.ru/storage/mediabank/%D0%9E%D1%86%D0%B5%D0%BD%D0%BA%D0%B0%20%D1%87%D0%B8%D1%81%D0%BB%D0%B5%D0%BD%D0%BD%D0%BE%D1%81%D1%82%D0%B8%20%D0%BD%D0%B0%2001.01.2023(2).htm" TargetMode="External"/><Relationship Id="rId708" Type="http://schemas.openxmlformats.org/officeDocument/2006/relationships/hyperlink" Target="mailto:economraz@mail.ru" TargetMode="External"/><Relationship Id="rId915" Type="http://schemas.openxmlformats.org/officeDocument/2006/relationships/hyperlink" Target="http://krotovka.kinel-cherkassy.ru/images/files/Reshenie_19-2_ot_23.08.2021.pdf" TargetMode="External"/><Relationship Id="rId1240" Type="http://schemas.openxmlformats.org/officeDocument/2006/relationships/hyperlink" Target="https://www.gubadm.ru/documents/all" TargetMode="External"/><Relationship Id="rId1338" Type="http://schemas.openxmlformats.org/officeDocument/2006/relationships/hyperlink" Target="mailto:fin-mgp@mail.ru" TargetMode="External"/><Relationship Id="rId1545" Type="http://schemas.openxmlformats.org/officeDocument/2006/relationships/hyperlink" Target="https://grach-rf.orb.ru/upload/uf/783/Narodnyy_byudzhet_2022.rar" TargetMode="External"/><Relationship Id="rId1100" Type="http://schemas.openxmlformats.org/officeDocument/2006/relationships/hyperlink" Target="http://www.tyumendoc.ru/docs/dokumenty-tgd/view-9479" TargetMode="External"/><Relationship Id="rId1405" Type="http://schemas.openxmlformats.org/officeDocument/2006/relationships/hyperlink" Target="http://admrogovskaya.ru/" TargetMode="External"/><Relationship Id="rId1752" Type="http://schemas.openxmlformats.org/officeDocument/2006/relationships/hyperlink" Target="https://dzhankoy.rk.gov.ru/uploads/txteditor/dzhankoy/attachments/d4/1d/8c/d98f00b204e9800998ecf8427e/phpm1golM_&#1084;&#1086;&#1083;&#1086;&#1076;&#1086;&#1077;%20&#1087;&#1086;&#1082;&#1086;&#1083;&#1077;&#1085;&#1080;&#1077;%20&#1048;&#1085;&#1080;&#1094;&#1080;&#1072;&#1090;&#1080;&#1074;&#1085;&#1086;&#1077;%20&#1073;&#1102;&#1076;&#1078;&#1077;&#1090;&#1080;&#1088;&#1086;&#1074;&#1072;&#1085;&#1080;&#1077;%20&#1055;&#1051;&#1040;&#1050;&#1040;&#1090;%202021.jpg" TargetMode="External"/><Relationship Id="rId44"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1612" Type="http://schemas.openxmlformats.org/officeDocument/2006/relationships/hyperlink" Target="mailto:fo@mednogorsk56.ru" TargetMode="External"/><Relationship Id="rId1917" Type="http://schemas.openxmlformats.org/officeDocument/2006/relationships/hyperlink" Target="mailto:pimenovaiv@minfin.omskportal.ru" TargetMode="External"/><Relationship Id="rId193" Type="http://schemas.openxmlformats.org/officeDocument/2006/relationships/hyperlink" Target="mailto:iniciativa.ao@mail.ru" TargetMode="External"/><Relationship Id="rId498" Type="http://schemas.openxmlformats.org/officeDocument/2006/relationships/hyperlink" Target="https://www.arhcity.ru/?page=2865/2" TargetMode="External"/><Relationship Id="rId2081" Type="http://schemas.openxmlformats.org/officeDocument/2006/relationships/hyperlink" Target="https://docs.cntd.ru/document/553386375" TargetMode="External"/><Relationship Id="rId260" Type="http://schemas.openxmlformats.org/officeDocument/2006/relationships/hyperlink" Target="https://&#1094;&#1092;&#1075;73.&#1088;&#1092;/%20;" TargetMode="External"/><Relationship Id="rId120" Type="http://schemas.openxmlformats.org/officeDocument/2006/relationships/hyperlink" Target="mailto:bvl@obladmin.pskov.ru" TargetMode="External"/><Relationship Id="rId358" Type="http://schemas.openxmlformats.org/officeDocument/2006/relationships/hyperlink" Target="https://school.tvoybudget.spb.ru/materials" TargetMode="External"/><Relationship Id="rId565" Type="http://schemas.openxmlformats.org/officeDocument/2006/relationships/hyperlink" Target="mailto:svod2@beldepfin.ru" TargetMode="External"/><Relationship Id="rId772" Type="http://schemas.openxmlformats.org/officeDocument/2006/relationships/hyperlink" Target="mailto:artem-dorogi@yandex.ru" TargetMode="External"/><Relationship Id="rId1195" Type="http://schemas.openxmlformats.org/officeDocument/2006/relationships/hyperlink" Target="https://www.salekhard.org/normativno-pravovye-akty/postanovleniya-administratsii/31558" TargetMode="External"/><Relationship Id="rId2039" Type="http://schemas.openxmlformats.org/officeDocument/2006/relationships/hyperlink" Target="http://budget.orb.ru/images/gritsenko/post3.doc" TargetMode="External"/><Relationship Id="rId218" Type="http://schemas.openxmlformats.org/officeDocument/2006/relationships/hyperlink" Target="mailto:e.zykina@gov39.ru" TargetMode="External"/><Relationship Id="rId425" Type="http://schemas.openxmlformats.org/officeDocument/2006/relationships/hyperlink" Target="https://admhmansy.ru/formirovanie-sovremennoy-gorodskoy-sredy/" TargetMode="External"/><Relationship Id="rId632" Type="http://schemas.openxmlformats.org/officeDocument/2006/relationships/hyperlink" Target="mailto:adm.ermolino@yandex.ru" TargetMode="External"/><Relationship Id="rId1055" Type="http://schemas.openxmlformats.org/officeDocument/2006/relationships/hyperlink" Target="mailto:zapros.ler@yandex.ru" TargetMode="External"/><Relationship Id="rId1262" Type="http://schemas.openxmlformats.org/officeDocument/2006/relationships/hyperlink" Target="http://spmuzhi.ru/?p=35724" TargetMode="External"/><Relationship Id="rId2106" Type="http://schemas.openxmlformats.org/officeDocument/2006/relationships/hyperlink" Target="mailto:ppmi-53@mail,ru" TargetMode="External"/><Relationship Id="rId937" Type="http://schemas.openxmlformats.org/officeDocument/2006/relationships/hyperlink" Target="https://samarastat.gks.ru/" TargetMode="External"/><Relationship Id="rId1122" Type="http://schemas.openxmlformats.org/officeDocument/2006/relationships/hyperlink" Target="https://www.dumamegion.ru/laws/resheniya/detail.php?ID=9646" TargetMode="External"/><Relationship Id="rId1567" Type="http://schemas.openxmlformats.org/officeDocument/2006/relationships/hyperlink" Target="https://bugraifo.orb.ru/activity/26288/" TargetMode="External"/><Relationship Id="rId1774" Type="http://schemas.openxmlformats.org/officeDocument/2006/relationships/hyperlink" Target="http://www.admse.ru/upload/iblock/a92/oxg028k3a7ukc8ju1x22ddfwb0qdt5iu.xls" TargetMode="External"/><Relationship Id="rId1981" Type="http://schemas.openxmlformats.org/officeDocument/2006/relationships/hyperlink" Target="https://budget.rk.ifinmon.ru/krym-kak-my-hotim/dokumenty" TargetMode="External"/><Relationship Id="rId66" Type="http://schemas.openxmlformats.org/officeDocument/2006/relationships/hyperlink" Target="mailto:mcxrd@mail.ru" TargetMode="External"/><Relationship Id="rId1427" Type="http://schemas.openxmlformats.org/officeDocument/2006/relationships/hyperlink" Target="http://www.admkud.ru/initsiativnoe-byudzhetirovanie/index.php" TargetMode="External"/><Relationship Id="rId1634" Type="http://schemas.openxmlformats.org/officeDocument/2006/relationships/hyperlink" Target="https://vk.com/wall-120041745_17733" TargetMode="External"/><Relationship Id="rId1841" Type="http://schemas.openxmlformats.org/officeDocument/2006/relationships/hyperlink" Target="https://sochi.ru/gorodskaya-vlast/deyatelnost/mun-sluzhba/initsiativnye-proekty/171202/" TargetMode="External"/><Relationship Id="rId1939" Type="http://schemas.openxmlformats.org/officeDocument/2006/relationships/hyperlink" Target="https://budget.omsk.ifinmon.ru/initsiativnoe-byudzhetirovanie/obshchaya-informatsiya" TargetMode="External"/><Relationship Id="rId1701" Type="http://schemas.openxmlformats.org/officeDocument/2006/relationships/hyperlink" Target="mailto:dop.kstovo@mail.ru" TargetMode="External"/><Relationship Id="rId282" Type="http://schemas.openxmlformats.org/officeDocument/2006/relationships/hyperlink" Target="http://gorodsreda.ru/" TargetMode="External"/><Relationship Id="rId587" Type="http://schemas.openxmlformats.org/officeDocument/2006/relationships/hyperlink" Target="mailto:finu@gusr.ru" TargetMode="External"/><Relationship Id="rId8" Type="http://schemas.openxmlformats.org/officeDocument/2006/relationships/hyperlink" Target="https://ppmi.yakutia.click/Home" TargetMode="External"/><Relationship Id="rId142" Type="http://schemas.openxmlformats.org/officeDocument/2006/relationships/hyperlink" Target="https://laws.khv.gov.ru/" TargetMode="External"/><Relationship Id="rId447" Type="http://schemas.openxmlformats.org/officeDocument/2006/relationships/hyperlink" Target="http://publication.pravo.gov.ru/Document/View/7500201809040003" TargetMode="External"/><Relationship Id="rId794" Type="http://schemas.openxmlformats.org/officeDocument/2006/relationships/hyperlink" Target="https://adm-ussuriisk.ru/ob_okruge/otkrytyy_byudzhet/initsiativnoe_byudzhetirovanie/mestnye_initsiativy/" TargetMode="External"/><Relationship Id="rId1077" Type="http://schemas.openxmlformats.org/officeDocument/2006/relationships/hyperlink" Target="https://stavstat.gks.ru/folder/28386" TargetMode="External"/><Relationship Id="rId2030" Type="http://schemas.openxmlformats.org/officeDocument/2006/relationships/hyperlink" Target="http://zakon.krskstate.ru/0/doc/83206" TargetMode="External"/><Relationship Id="rId2128" Type="http://schemas.openxmlformats.org/officeDocument/2006/relationships/hyperlink" Target="https://gokucmpi.ru/" TargetMode="External"/><Relationship Id="rId654" Type="http://schemas.openxmlformats.org/officeDocument/2006/relationships/hyperlink" Target="mailto:org@admkirov.ru" TargetMode="External"/><Relationship Id="rId861" Type="http://schemas.openxmlformats.org/officeDocument/2006/relationships/hyperlink" Target="https://isakli.ru/documents/priobretenie-konteynerov-dlya-skladirovaniya-tbo/164-27-12-2021-o-vnesen-izmenen-v-zhkkh../" TargetMode="External"/><Relationship Id="rId959" Type="http://schemas.openxmlformats.org/officeDocument/2006/relationships/hyperlink" Target="http://adm-timashevo.ru/images/postanovleniya/2018/post_53_ot_25.04.18.zip" TargetMode="External"/><Relationship Id="rId1284" Type="http://schemas.openxmlformats.org/officeDocument/2006/relationships/hyperlink" Target="https://www.puradm.ru/one-doc/12513" TargetMode="External"/><Relationship Id="rId1491" Type="http://schemas.openxmlformats.org/officeDocument/2006/relationships/hyperlink" Target="https://tu.orb.ru/activity/21506/" TargetMode="External"/><Relationship Id="rId1589" Type="http://schemas.openxmlformats.org/officeDocument/2006/relationships/hyperlink" Target="https://adamfin.ru/assets/files/1oldfile/Postanovlenie_13.03.2021_175-p-Narodnyy-byudzhet.PDF" TargetMode="External"/><Relationship Id="rId307" Type="http://schemas.openxmlformats.org/officeDocument/2006/relationships/hyperlink" Target="https://agro.tmbreg.ru/inv.html" TargetMode="External"/><Relationship Id="rId514" Type="http://schemas.openxmlformats.org/officeDocument/2006/relationships/hyperlink" Target="https://02.rosstat.gov.ru/storage/mediabank/CHislennost-naseleniya-po-municipalnym-rajonam-i-gorodskim-okrugam-Respubliki-%20Bashkortostan-na-1-yanvarya-2022-g-s-uchetom-VPN-2020.pdf" TargetMode="External"/><Relationship Id="rId721" Type="http://schemas.openxmlformats.org/officeDocument/2006/relationships/hyperlink" Target="https://adm-yaroslavskogo.ru/&#1087;&#1088;&#1086;&#1077;&#1082;&#1090;&#1099;-&#1084;&#1077;&#1089;&#1090;&#1085;&#1099;&#1093;-&#1080;&#1085;&#1080;&#1094;&#1080;&#1072;&#1090;&#1080;&#1074;" TargetMode="External"/><Relationship Id="rId1144" Type="http://schemas.openxmlformats.org/officeDocument/2006/relationships/hyperlink" Target="mailto:oms@admkonda.ru" TargetMode="External"/><Relationship Id="rId1351" Type="http://schemas.openxmlformats.org/officeDocument/2006/relationships/hyperlink" Target="mailto:finupr.adm.vesh@mail.ru" TargetMode="External"/><Relationship Id="rId1449" Type="http://schemas.openxmlformats.org/officeDocument/2006/relationships/hyperlink" Target="http://&#1089;&#1074;&#1077;&#1090;&#1083;&#1099;&#1081;-&#1089;-&#1089;.&#1088;&#1092;/" TargetMode="External"/><Relationship Id="rId1796" Type="http://schemas.openxmlformats.org/officeDocument/2006/relationships/hyperlink" Target="http://starscherb.ru/2021/Iniciati_proekt/281_ot_28.10.2021-lozinskaja.doc" TargetMode="External"/><Relationship Id="rId88" Type="http://schemas.openxmlformats.org/officeDocument/2006/relationships/hyperlink" Target="consultantplus://offline/ref=55AB044EF2AE989F64BAC01863E5C4A9ADFF11BADF275679A20855BC8E46D11C9C7059606921C791BA63221FB7AD46C4F510AAEFFC56605E2760CEN9c9M" TargetMode="External"/><Relationship Id="rId819" Type="http://schemas.openxmlformats.org/officeDocument/2006/relationships/hyperlink" Target="https://www.samadm.ru/docs/official-publication/31618/" TargetMode="External"/><Relationship Id="rId1004" Type="http://schemas.openxmlformats.org/officeDocument/2006/relationships/hyperlink" Target="https://aleksadmin.ru/initsiativnoe-byudzhetirovanie/mestnye-praktiki/" TargetMode="External"/><Relationship Id="rId1211" Type="http://schemas.openxmlformats.org/officeDocument/2006/relationships/hyperlink" Target="https://lbt.yanao.ru/presscenter/news/10190" TargetMode="External"/><Relationship Id="rId1656" Type="http://schemas.openxmlformats.org/officeDocument/2006/relationships/hyperlink" Target="https://pos.gosuslugi.ru/lkp/project-contests/10129/" TargetMode="External"/><Relationship Id="rId1863" Type="http://schemas.openxmlformats.org/officeDocument/2006/relationships/hyperlink" Target="http://&#1073;&#1077;&#1079;&#1074;&#1086;&#1076;&#1085;&#1086;&#1077;.&#1088;&#1092;/iniciativnoe-byudzhetirovanie-1.html" TargetMode="External"/><Relationship Id="rId1309" Type="http://schemas.openxmlformats.org/officeDocument/2006/relationships/hyperlink" Target="https://mo-veshkaima.ru/view_news.php?id=23328" TargetMode="External"/><Relationship Id="rId1516" Type="http://schemas.openxmlformats.org/officeDocument/2006/relationships/hyperlink" Target="http://fin-or.ru/content/narodnyy-byudzhet" TargetMode="External"/><Relationship Id="rId1723" Type="http://schemas.openxmlformats.org/officeDocument/2006/relationships/hyperlink" Target="http://www.dumadzr.ru/index.php?id_page=6&amp;id_catalog=6200" TargetMode="External"/><Relationship Id="rId1930" Type="http://schemas.openxmlformats.org/officeDocument/2006/relationships/hyperlink" Target="https://pib.primorsky.ru/Pib/Stat/2" TargetMode="External"/><Relationship Id="rId15" Type="http://schemas.openxmlformats.org/officeDocument/2006/relationships/hyperlink" Target="https://df.gov35.ru/dokumenty-strategicheskogo-planirovaniya/gosudarstvennaya-programma-departamenta-finansov/aktualnaya-versiya-gosudarstvennoy-programmy/" TargetMode="External"/><Relationship Id="rId164" Type="http://schemas.openxmlformats.org/officeDocument/2006/relationships/hyperlink" Target="http://karelia-zs.ru/zakonodatelstvo_rk/prav_akty/915-zrk/" TargetMode="External"/><Relationship Id="rId371" Type="http://schemas.openxmlformats.org/officeDocument/2006/relationships/hyperlink" Target="https://drive.google.com/drive/folders/1YvEmAsUXFub9rTIDNsoYmn_z6qsVxIMl" TargetMode="External"/><Relationship Id="rId2052" Type="http://schemas.openxmlformats.org/officeDocument/2006/relationships/hyperlink" Target="https://docs.cntd.ru/document/450333035" TargetMode="External"/><Relationship Id="rId469" Type="http://schemas.openxmlformats.org/officeDocument/2006/relationships/hyperlink" Target="https://npa.bashkortostan.ru/34655/" TargetMode="External"/><Relationship Id="rId676" Type="http://schemas.openxmlformats.org/officeDocument/2006/relationships/hyperlink" Target="http://adm.govuktyl.ru/dokumenty/postanovleniya/2022-god/aprel" TargetMode="External"/><Relationship Id="rId883" Type="http://schemas.openxmlformats.org/officeDocument/2006/relationships/hyperlink" Target="http://erzovka.kinel-cherkassy.ru/?p=8935" TargetMode="External"/><Relationship Id="rId1099" Type="http://schemas.openxmlformats.org/officeDocument/2006/relationships/hyperlink" Target="http://www.tyumendoc.ru/docs/postanovleniya/view-10076" TargetMode="External"/><Relationship Id="rId231" Type="http://schemas.openxmlformats.org/officeDocument/2006/relationships/hyperlink" Target="http://&#1072;&#1083;&#1090;&#1072;&#1081;&#1087;&#1088;&#1077;&#1076;&#1083;&#1072;&#1075;&#1072;&#1081;.&#1088;&#1092;/documents/normativnye-pravovye-akty/" TargetMode="External"/><Relationship Id="rId329" Type="http://schemas.openxmlformats.org/officeDocument/2006/relationships/hyperlink" Target="https://disk.yandex.ru/i/ggzNJQrgVKGMQA" TargetMode="External"/><Relationship Id="rId536" Type="http://schemas.openxmlformats.org/officeDocument/2006/relationships/hyperlink" Target="https://vladimirstat.gks.ru/" TargetMode="External"/><Relationship Id="rId1166" Type="http://schemas.openxmlformats.org/officeDocument/2006/relationships/hyperlink" Target="http://admkuma.ru/documents/3140.html" TargetMode="External"/><Relationship Id="rId1373" Type="http://schemas.openxmlformats.org/officeDocument/2006/relationships/hyperlink" Target="https://unarokovo.ru/" TargetMode="External"/><Relationship Id="rId743" Type="http://schemas.openxmlformats.org/officeDocument/2006/relationships/hyperlink" Target="https://zhuravskaja.ru/initsiativnoe-byudzhetirovanie/2021" TargetMode="External"/><Relationship Id="rId950" Type="http://schemas.openxmlformats.org/officeDocument/2006/relationships/hyperlink" Target="http://sadgorod.kinel-cherkassy.ru/wp-content/uploads/2021/12/&#1055;&#1086;&#1089;&#1090;&#1072;&#1085;&#1086;&#1074;&#1083;&#1077;&#1085;&#1080;&#1077;-&#8470;-134-&#1086;&#1090;-21.12.21-&#1041;&#1083;&#1072;&#1075;&#1086;-&#1074;&#1086;-&#1057;&#1072;&#1076;&#1075;&#1086;&#1088;&#1086;&#1076;.doc" TargetMode="External"/><Relationship Id="rId1026" Type="http://schemas.openxmlformats.org/officeDocument/2006/relationships/hyperlink" Target="https://www.georgievsk.ru/mestnye-initsiativy/failes/2180_proekt.doc" TargetMode="External"/><Relationship Id="rId1580" Type="http://schemas.openxmlformats.org/officeDocument/2006/relationships/hyperlink" Target="http://finadam@mail.orb.ru" TargetMode="External"/><Relationship Id="rId1678" Type="http://schemas.openxmlformats.org/officeDocument/2006/relationships/hyperlink" Target="mailto:finans@adm-krestcy.ru" TargetMode="External"/><Relationship Id="rId1885" Type="http://schemas.openxmlformats.org/officeDocument/2006/relationships/hyperlink" Target="mailto:admnovomish@mail.ru" TargetMode="External"/><Relationship Id="rId603" Type="http://schemas.openxmlformats.org/officeDocument/2006/relationships/hyperlink" Target="https://cherinfo-doc.ru/resolution/85077-resenie-cerepoveckoj-gorodskoj-dumy-ot-06122016-no-242-ob-utverzdenii-strategii-socialno-ekonomiceskogo-razvitia-goroda-cerepovc" TargetMode="External"/><Relationship Id="rId810" Type="http://schemas.openxmlformats.org/officeDocument/2006/relationships/hyperlink" Target="http://www.pohgor.ru/economyka/strategiya-razvitiya-2030/npa/" TargetMode="External"/><Relationship Id="rId908" Type="http://schemas.openxmlformats.org/officeDocument/2006/relationships/hyperlink" Target="http://gorka.kinel-cherkassy.ru/?p=4625" TargetMode="External"/><Relationship Id="rId1233" Type="http://schemas.openxmlformats.org/officeDocument/2006/relationships/hyperlink" Target="https://vk.com/@-193603247-shkolnoe-iniciativnoe-budzhetirovanie-2021%20%20https:/vk.com/wall-189302525?q=&#1073;&#1102;&#1076;&#1078;&#1077;&#1090;&#1080;&#1088;&#1086;&#1074;&#1072;&#1085;&#1080;&#1077;" TargetMode="External"/><Relationship Id="rId1440" Type="http://schemas.openxmlformats.org/officeDocument/2006/relationships/hyperlink" Target="https://www.penza-gorod.ru/upload/medialibrary/6f0/6f0a29fc4cc5508d641cbf93834d8eae.pdf" TargetMode="External"/><Relationship Id="rId1538" Type="http://schemas.openxmlformats.org/officeDocument/2006/relationships/hyperlink" Target="https://krasnogvardfo.ru/assets/files/%D0%91%D1%8E%D0%B4%D0%B6%D0%B5%D1%82/4-aktualnaya-redakcziya-noyabr-2022.rar" TargetMode="External"/><Relationship Id="rId1300" Type="http://schemas.openxmlformats.org/officeDocument/2006/relationships/hyperlink" Target="mailto:kuzmina.mv@ulminfin.ru" TargetMode="External"/><Relationship Id="rId1745" Type="http://schemas.openxmlformats.org/officeDocument/2006/relationships/hyperlink" Target="mailto:perovskiy-sov@mail.ru" TargetMode="External"/><Relationship Id="rId1952" Type="http://schemas.openxmlformats.org/officeDocument/2006/relationships/hyperlink" Target="mailto:oof@adm.orel.ru" TargetMode="External"/><Relationship Id="rId37" Type="http://schemas.openxmlformats.org/officeDocument/2006/relationships/hyperlink" Target="http://ivo.garant.ru/proxy/share?data=q4Og0aLnpN5Pvp_qlYqxjK_xqrzXt9W_qeqZArDksdj_97HLova1x5DWsdG8lFKko_yS8tuowbnMtcfyh_Gp47Xikv2K_L_hlQzwn7TasvW85r_8j9G0nuur5IkR5bnoguOwrQ==" TargetMode="External"/><Relationship Id="rId1605" Type="http://schemas.openxmlformats.org/officeDocument/2006/relationships/hyperlink" Target="https://rosstat.gov.ru/storage/mediabank/Chisl_nasel_RF_MO_01-01-2022.xlsx" TargetMode="External"/><Relationship Id="rId1812" Type="http://schemas.openxmlformats.org/officeDocument/2006/relationships/hyperlink" Target="http://&#1072;&#1076;&#1084;-&#1090;&#1072;&#1084;&#1072;&#1085;&#1100;.&#1088;&#1092;/images/SMI/proekt/&#1055;&#1086;&#1089;&#1090;%20335%20&#1086;&#1090;%2007.10.2022%20&#1089;&#1086;&#1075;&#1083;&#1072;&#1089;&#1080;&#1090;%20&#1082;&#1086;&#1084;&#1080;&#1089;&#1089;&#1080;&#1103;.pdf" TargetMode="External"/><Relationship Id="rId186" Type="http://schemas.openxmlformats.org/officeDocument/2006/relationships/hyperlink" Target="mailto:romanova_o@depfin.kirov.ru" TargetMode="External"/><Relationship Id="rId393" Type="http://schemas.openxmlformats.org/officeDocument/2006/relationships/hyperlink" Target="https://ryazan.gks.ru/storage/mediabank/&#1063;&#1080;&#1089;&#1083;&#1077;&#1085;&#1085;&#1086;&#1089;&#1090;&#1100;%20&#1085;&#1072;%201%20&#1103;&#1085;&#1074;&#1072;&#1088;&#1103;%202022%20&#1075;&#1086;&#1076;&#1072;(1).pdf" TargetMode="External"/><Relationship Id="rId2074" Type="http://schemas.openxmlformats.org/officeDocument/2006/relationships/hyperlink" Target="https://gokucmpi.ru/" TargetMode="External"/><Relationship Id="rId253" Type="http://schemas.openxmlformats.org/officeDocument/2006/relationships/hyperlink" Target="http://10.40.40.2/ppmi/npa" TargetMode="External"/><Relationship Id="rId460" Type="http://schemas.openxmlformats.org/officeDocument/2006/relationships/hyperlink" Target="https://minenergo.75.ru/" TargetMode="External"/><Relationship Id="rId698" Type="http://schemas.openxmlformats.org/officeDocument/2006/relationships/hyperlink" Target="https://syktyvdin.gosuslugi.ru/)" TargetMode="External"/><Relationship Id="rId1090" Type="http://schemas.openxmlformats.org/officeDocument/2006/relationships/hyperlink" Target="https://pyatigorsk.org/filesarhiv/docs?FilesarhivSearch%5Binner_id%5D=8-66+%D0%A0%D0%94&amp;FilesarhivSearch%5Btitle%5D=&amp;FilesarhivSearch%5Btypeid%5D=&amp;FilesarhivSearch%5Bcatid%5D=&amp;FilesarhivSearch%5Bcreated%5D=" TargetMode="External"/><Relationship Id="rId2141" Type="http://schemas.openxmlformats.org/officeDocument/2006/relationships/hyperlink" Target="https://politic.49gov.ru/" TargetMode="External"/><Relationship Id="rId113" Type="http://schemas.openxmlformats.org/officeDocument/2006/relationships/hyperlink" Target="mailto:namihaylova@obladmin.pskov.ru" TargetMode="External"/><Relationship Id="rId320" Type="http://schemas.openxmlformats.org/officeDocument/2006/relationships/hyperlink" Target="https://energy.midural.ru/napravleniya-deyatelnosti/formirovanie-komfortnoj-gorodskoj-sredy/prioritetnyj-proekt/hod-prior/pasport-regionalnogo-proekta-formirovanie-komfortnoj-gorodskoj-sredy-na-territorii-sverdlovskoj-oblasti-versija-40-ot-14-03-2023/" TargetMode="External"/><Relationship Id="rId558" Type="http://schemas.openxmlformats.org/officeDocument/2006/relationships/hyperlink" Target="mailto:org-otdel33@yandex.ru" TargetMode="External"/><Relationship Id="rId765" Type="http://schemas.openxmlformats.org/officeDocument/2006/relationships/hyperlink" Target="mailto:dyadkovsk@inbox.ru" TargetMode="External"/><Relationship Id="rId972" Type="http://schemas.openxmlformats.org/officeDocument/2006/relationships/hyperlink" Target="https://kadm63.ru/Selo/Chetyrovka/NPA/P_SP_Chetirovka_71_30-12-2021.pdf" TargetMode="External"/><Relationship Id="rId1188" Type="http://schemas.openxmlformats.org/officeDocument/2006/relationships/hyperlink" Target="http://nvraion.ru/ekonomika-i-finansy/initsiativnoe-byudzhetirovanie/" TargetMode="External"/><Relationship Id="rId1395" Type="http://schemas.openxmlformats.org/officeDocument/2006/relationships/hyperlink" Target="https://www.temryuk.ru/administratsiya/munitsipalnye-pravovye-akty/docs.php?find=&amp;num=&amp;from=&amp;to=&amp;type%5B0%5D=20&amp;creator%5B0%5D=5&amp;sort=1&amp;PAGEN_1=3" TargetMode="External"/><Relationship Id="rId2001" Type="http://schemas.openxmlformats.org/officeDocument/2006/relationships/hyperlink" Target="mailto:otdel421991@yandex.ru" TargetMode="External"/><Relationship Id="rId418" Type="http://schemas.openxmlformats.org/officeDocument/2006/relationships/hyperlink" Target="http://publication.pravo.gov.ru/Document/View/2900201910180011" TargetMode="External"/><Relationship Id="rId625" Type="http://schemas.openxmlformats.org/officeDocument/2006/relationships/hyperlink" Target="mailto:buhadmi@mail.ru" TargetMode="External"/><Relationship Id="rId832" Type="http://schemas.openxmlformats.org/officeDocument/2006/relationships/hyperlink" Target="https://samadm.ru/upload/iblock/b87/Informatsionnoe-soobshchenie-po-TKD.docx" TargetMode="External"/><Relationship Id="rId1048" Type="http://schemas.openxmlformats.org/officeDocument/2006/relationships/hyperlink" Target="https://www.&#1082;&#1086;&#1095;&#1091;&#1073;&#1077;&#1077;&#1074;&#1089;&#1082;&#1080;&#1081;-&#1088;&#1072;&#1081;&#1086;&#1085;.&#1088;&#1092;/dokumenty.htm" TargetMode="External"/><Relationship Id="rId1255" Type="http://schemas.openxmlformats.org/officeDocument/2006/relationships/hyperlink" Target="http://gasu.gov.ru/sp/sp-stratdocs/rest/file/download/454068601" TargetMode="External"/><Relationship Id="rId1462" Type="http://schemas.openxmlformats.org/officeDocument/2006/relationships/hyperlink" Target="https://vk.com/wall-43693019_9940" TargetMode="External"/><Relationship Id="rId1115" Type="http://schemas.openxmlformats.org/officeDocument/2006/relationships/hyperlink" Target="https://uray.ru/strategiya-razvitiya/municipalnye-programmy/" TargetMode="External"/><Relationship Id="rId1322" Type="http://schemas.openxmlformats.org/officeDocument/2006/relationships/hyperlink" Target="mailto:kuzmina.mv@ulminfin.ru" TargetMode="External"/><Relationship Id="rId1767" Type="http://schemas.openxmlformats.org/officeDocument/2006/relationships/hyperlink" Target="https://suhobuzimo.ru/docs/id1816.html" TargetMode="External"/><Relationship Id="rId1974" Type="http://schemas.openxmlformats.org/officeDocument/2006/relationships/hyperlink" Target="mailto:unp@minfin.rk.gov.ru" TargetMode="External"/><Relationship Id="rId59" Type="http://schemas.openxmlformats.org/officeDocument/2006/relationships/hyperlink" Target="https://mintourismrd.ru/dejatelnost/mestnye-iniciativy/" TargetMode="External"/><Relationship Id="rId1627" Type="http://schemas.openxmlformats.org/officeDocument/2006/relationships/hyperlink" Target="https://buzuluk.orb.ru/documents/other/91622/" TargetMode="External"/><Relationship Id="rId1834" Type="http://schemas.openxmlformats.org/officeDocument/2006/relationships/hyperlink" Target="http://golubitskoe.ru/%D0%B4%D0%BE%D0%BA%D1%83%D0%BC%D0%B5%D0%BD%D1%82%D1%8B/postanovlenija/%D0%BF%D0%BE%D1%81%D1%82%D0%B0%D0%BD%D0%BE%D0%B2%D0%BB%D0%B5%D0%BD%D0%B8%D1%8F-2022.html" TargetMode="External"/><Relationship Id="rId2096" Type="http://schemas.openxmlformats.org/officeDocument/2006/relationships/hyperlink" Target="https://gokucmpi.ru/upload/iblock/a03/qlnw3ih5yzrzhnub3b0p431n5fkdlhet/Ustav-GOKU-TSMPI-_posl.red..pdf" TargetMode="External"/><Relationship Id="rId1901" Type="http://schemas.openxmlformats.org/officeDocument/2006/relationships/hyperlink" Target="https://www.poltavadm.ru/index.php/ru/pravotvorchestvo/munitsipalnye-pravovye-akty/455-postanovleniya" TargetMode="External"/><Relationship Id="rId275" Type="http://schemas.openxmlformats.org/officeDocument/2006/relationships/hyperlink" Target="https://vk.com/atmosfera_ur" TargetMode="External"/><Relationship Id="rId482" Type="http://schemas.openxmlformats.org/officeDocument/2006/relationships/hyperlink" Target="https://transfiles.ru/atd2k" TargetMode="External"/><Relationship Id="rId135" Type="http://schemas.openxmlformats.org/officeDocument/2006/relationships/hyperlink" Target="https://ppmi.bashkortostan.ru/" TargetMode="External"/><Relationship Id="rId342" Type="http://schemas.openxmlformats.org/officeDocument/2006/relationships/hyperlink" Target="https://rosstat.gov.ru/compendium/document/13282" TargetMode="External"/><Relationship Id="rId787" Type="http://schemas.openxmlformats.org/officeDocument/2006/relationships/hyperlink" Target="https://dalmdr.ru/node/4932" TargetMode="External"/><Relationship Id="rId994" Type="http://schemas.openxmlformats.org/officeDocument/2006/relationships/hyperlink" Target="https://kgo66.ru/str-eco/str-eco-inbud/str-eco-inbud-inpr" TargetMode="External"/><Relationship Id="rId2023" Type="http://schemas.openxmlformats.org/officeDocument/2006/relationships/hyperlink" Target="mailto:k312@krasfin.ru" TargetMode="External"/><Relationship Id="rId202" Type="http://schemas.openxmlformats.org/officeDocument/2006/relationships/hyperlink" Target="mailto:svod2@beldepfin.ru" TargetMode="External"/><Relationship Id="rId647" Type="http://schemas.openxmlformats.org/officeDocument/2006/relationships/hyperlink" Target="https://43.rosstat.gov.ru/main_indicators" TargetMode="External"/><Relationship Id="rId854" Type="http://schemas.openxmlformats.org/officeDocument/2006/relationships/hyperlink" Target="mailto:admspisakly@yandex.ru" TargetMode="External"/><Relationship Id="rId1277" Type="http://schemas.openxmlformats.org/officeDocument/2006/relationships/hyperlink" Target="https://vk.com/moi_yamalskiy_raion?w=wall-75005231_26093" TargetMode="External"/><Relationship Id="rId1484" Type="http://schemas.openxmlformats.org/officeDocument/2006/relationships/hyperlink" Target="mailto:velav@mail.orb.ru" TargetMode="External"/><Relationship Id="rId1691" Type="http://schemas.openxmlformats.org/officeDocument/2006/relationships/hyperlink" Target="https://www.boradmin.ru/documents/8996.html" TargetMode="External"/><Relationship Id="rId507" Type="http://schemas.openxmlformats.org/officeDocument/2006/relationships/hyperlink" Target="https://karaidel.bashkortostan.ru/presscenter/news/357766/" TargetMode="External"/><Relationship Id="rId714" Type="http://schemas.openxmlformats.org/officeDocument/2006/relationships/hyperlink" Target="https://www.gks.ru/scripts/db_inet2/passport/table.aspx?opt=877250002022" TargetMode="External"/><Relationship Id="rId921" Type="http://schemas.openxmlformats.org/officeDocument/2006/relationships/hyperlink" Target="mailto:administraziy75@mail.ru" TargetMode="External"/><Relationship Id="rId1137" Type="http://schemas.openxmlformats.org/officeDocument/2006/relationships/hyperlink" Target="https://www.n-vartovsk.ru/documents/dumaReshenie/" TargetMode="External"/><Relationship Id="rId1344" Type="http://schemas.openxmlformats.org/officeDocument/2006/relationships/hyperlink" Target="https://adm-melekess.gosuslugi.ru/deyatelnost/napravleniya-deyatelnosti/finansovaya-deyatelnost/narodnyy-byudzhet/" TargetMode="External"/><Relationship Id="rId1551" Type="http://schemas.openxmlformats.org/officeDocument/2006/relationships/hyperlink" Target="https://orenstat.gks.ru/storage/document/document_statistic_collection/2022-12/30/%D0%95%D0%B6%D0%B5%D0%B3%D0%BE%D0%B4%D0%BD%D0%B8%D0%BA_2022.pdf" TargetMode="External"/><Relationship Id="rId1789" Type="http://schemas.openxmlformats.org/officeDocument/2006/relationships/hyperlink" Target="https://grigorevskaia.krasnodar.ru/poselenie/initsiativnye-proety/" TargetMode="External"/><Relationship Id="rId1996" Type="http://schemas.openxmlformats.org/officeDocument/2006/relationships/hyperlink" Target="https://mari-el.gov.ru/proactivities/pages/natpojects_urban/" TargetMode="External"/><Relationship Id="rId50" Type="http://schemas.openxmlformats.org/officeDocument/2006/relationships/hyperlink" Target="https://tos.govvrn.ru/" TargetMode="External"/><Relationship Id="rId1204" Type="http://schemas.openxmlformats.org/officeDocument/2006/relationships/hyperlink" Target="https://lbt.yanao.ru/documents/active/83650/" TargetMode="External"/><Relationship Id="rId1411" Type="http://schemas.openxmlformats.org/officeDocument/2006/relationships/hyperlink" Target="mailto:Sp-Kirpili@yandex.ru" TargetMode="External"/><Relationship Id="rId1649" Type="http://schemas.openxmlformats.org/officeDocument/2006/relationships/hyperlink" Target="https://kormil.omskportal.ru/omsu/kormil-3-52-223-1/etc/inbudg" TargetMode="External"/><Relationship Id="rId1856" Type="http://schemas.openxmlformats.org/officeDocument/2006/relationships/hyperlink" Target="mailto:fbu@nross.ru" TargetMode="External"/><Relationship Id="rId1509" Type="http://schemas.openxmlformats.org/officeDocument/2006/relationships/hyperlink" Target="http://fin-or.ru/content/shkolnyy-byudzhet" TargetMode="External"/><Relationship Id="rId1716" Type="http://schemas.openxmlformats.org/officeDocument/2006/relationships/hyperlink" Target="http://www.bg-adm.ru/?id=13194consultantplus://offline/ref=2CC86A632DDCDBD2BEF227A416F02E4579DBE4E7B0AB25168217C6E6DDF8D71865C457A6B9452A0828U4G4M" TargetMode="External"/><Relationship Id="rId1923" Type="http://schemas.openxmlformats.org/officeDocument/2006/relationships/hyperlink" Target="https://vote.dobrodel.ru/narodniy_budjet" TargetMode="External"/><Relationship Id="rId297" Type="http://schemas.openxmlformats.org/officeDocument/2006/relationships/hyperlink" Target="mailto:pae@omsu.tambov.gov.ru" TargetMode="External"/><Relationship Id="rId157" Type="http://schemas.openxmlformats.org/officeDocument/2006/relationships/hyperlink" Target="https://docs.cntd.ru/document/446168877" TargetMode="External"/><Relationship Id="rId364" Type="http://schemas.openxmlformats.org/officeDocument/2006/relationships/hyperlink" Target="https://disk.yandex.ru/d/B5YKNqMCrCvOBg" TargetMode="External"/><Relationship Id="rId2045" Type="http://schemas.openxmlformats.org/officeDocument/2006/relationships/hyperlink" Target="https://www.consultant.ru/" TargetMode="External"/><Relationship Id="rId571" Type="http://schemas.openxmlformats.org/officeDocument/2006/relationships/hyperlink" Target="mailto:svod2@beldepfin.ru" TargetMode="External"/><Relationship Id="rId669" Type="http://schemas.openxmlformats.org/officeDocument/2006/relationships/hyperlink" Target="http://adminta.ru/about/info/news/12760/" TargetMode="External"/><Relationship Id="rId876" Type="http://schemas.openxmlformats.org/officeDocument/2006/relationships/hyperlink" Target="https://mail.yandex.ru/?uid=1553361628" TargetMode="External"/><Relationship Id="rId1299" Type="http://schemas.openxmlformats.org/officeDocument/2006/relationships/hyperlink" Target="https://barysh.org/upload/iblock/7d7/788-mr.doc" TargetMode="External"/><Relationship Id="rId224" Type="http://schemas.openxmlformats.org/officeDocument/2006/relationships/hyperlink" Target="http://docs.cntd.ru/document/460267690" TargetMode="External"/><Relationship Id="rId431" Type="http://schemas.openxmlformats.org/officeDocument/2006/relationships/hyperlink" Target="http://publication.pravo.gov.ru/Document/View/6900202103170004" TargetMode="External"/><Relationship Id="rId529" Type="http://schemas.openxmlformats.org/officeDocument/2006/relationships/hyperlink" Target="mailto:bud@vladfin.ru" TargetMode="External"/><Relationship Id="rId736" Type="http://schemas.openxmlformats.org/officeDocument/2006/relationships/hyperlink" Target="https://disk.yandex.ru/i/pELIk2qfIWxV6w" TargetMode="External"/><Relationship Id="rId1061" Type="http://schemas.openxmlformats.org/officeDocument/2006/relationships/hyperlink" Target="https://www.angosk.ru/index.php/munitsipalnye-programmy/7469-munitsipalnaya-programma-razvitie-zhilishchno-kommunalnogo-khozyajstva-i-uluchshenie-zhilishchnykh-uslovij-2" TargetMode="External"/><Relationship Id="rId1159" Type="http://schemas.openxmlformats.org/officeDocument/2006/relationships/hyperlink" Target="mailto:adm-mortka@maii.ru" TargetMode="External"/><Relationship Id="rId1366" Type="http://schemas.openxmlformats.org/officeDocument/2006/relationships/hyperlink" Target="mailto:oms@admkonda.ru" TargetMode="External"/><Relationship Id="rId2112" Type="http://schemas.openxmlformats.org/officeDocument/2006/relationships/hyperlink" Target="http://docs.cntd.ru/document/553230534" TargetMode="External"/><Relationship Id="rId943" Type="http://schemas.openxmlformats.org/officeDocument/2006/relationships/hyperlink" Target="https://podgornoe.kinel-cherkassy.ru/wp-content/uploads/2023/03/&#1055;&#1086;&#1089;&#1090;-27-&#1048;&#1079;&#1084;&#1077;&#1085;&#1077;&#1085;&#1080;&#1103;-&#1073;&#1083;&#1072;&#1075;&#1086;&#1091;&#1089;&#1090;-&#1055;&#1086;&#1076;&#1075;&#1086;&#1088;&#1085;&#1086;&#1077;-.doc" TargetMode="External"/><Relationship Id="rId1019" Type="http://schemas.openxmlformats.org/officeDocument/2006/relationships/hyperlink" Target="http://www.abgosk.ru/city/economica/municipal-programs/razvitie-zhkkh-i-dorozhnoy-infrastruktury.php" TargetMode="External"/><Relationship Id="rId1573" Type="http://schemas.openxmlformats.org/officeDocument/2006/relationships/hyperlink" Target="https://asfin56.ru/narodnyij-byudzhet" TargetMode="External"/><Relationship Id="rId1780" Type="http://schemas.openxmlformats.org/officeDocument/2006/relationships/hyperlink" Target="mailto:k312@krasfin.ru" TargetMode="External"/><Relationship Id="rId1878" Type="http://schemas.openxmlformats.org/officeDocument/2006/relationships/hyperlink" Target="https://&#1085;&#1086;&#1074;&#1086;&#1072;&#1083;&#1077;&#1082;&#1089;&#1077;&#1077;&#1074;&#1089;&#1082;&#1072;&#1103;.&#1088;&#1092;/documents/630.html" TargetMode="External"/><Relationship Id="rId72" Type="http://schemas.openxmlformats.org/officeDocument/2006/relationships/hyperlink" Target="https://42.rosstat.gov.ru/storage/mediabank/&#1050;&#1091;&#1079;&#1073;&#1072;&#1089;&#1089;%20&#1074;%20&#1094;&#1080;&#1092;&#1088;&#1072;&#1093;(1).pdf" TargetMode="External"/><Relationship Id="rId803" Type="http://schemas.openxmlformats.org/officeDocument/2006/relationships/hyperlink" Target="https://otradny.org/%20populatijn-census" TargetMode="External"/><Relationship Id="rId1226" Type="http://schemas.openxmlformats.org/officeDocument/2006/relationships/hyperlink" Target="https://budget.depfinnbr.ru/initsiativnoe-byudzhetirovanie/proekt-ritm?ysclid=lg3nxyqj3c196949660" TargetMode="External"/><Relationship Id="rId1433" Type="http://schemas.openxmlformats.org/officeDocument/2006/relationships/hyperlink" Target="mailto:finans-ver@yandex.ru" TargetMode="External"/><Relationship Id="rId1640" Type="http://schemas.openxmlformats.org/officeDocument/2006/relationships/hyperlink" Target="http://&#1073;&#1091;&#1079;&#1091;&#1083;&#1091;&#1082;-&#1087;&#1088;&#1072;&#1074;&#1086;.&#1088;&#1092;/node/5771," TargetMode="External"/><Relationship Id="rId1738" Type="http://schemas.openxmlformats.org/officeDocument/2006/relationships/hyperlink" Target="https://dzhankoy.rk.gov.ru/uploads/txteditor/dzhankoy/attachments/d4/1d/8c/d98f00b204e9800998ecf8427e/phpm1golM_&#1084;&#1086;&#1083;&#1086;&#1076;&#1086;&#1077;%20&#1087;&#1086;&#1082;&#1086;&#1083;&#1077;&#1085;&#1080;&#1077;%20&#1048;&#1085;&#1080;&#1094;&#1080;&#1072;&#1090;&#1080;&#1074;&#1085;&#1086;&#1077;%20&#1073;&#1102;&#1076;&#1078;&#1077;&#1090;&#1080;&#1088;&#1086;&#1074;&#1072;&#1085;&#1080;&#1077;%20&#1055;&#1051;&#1040;&#1050;&#1040;&#1090;%202021.jpg" TargetMode="External"/><Relationship Id="rId1500" Type="http://schemas.openxmlformats.org/officeDocument/2006/relationships/hyperlink" Target="http://fintotsk.ru/file/download/1668" TargetMode="External"/><Relationship Id="rId1945" Type="http://schemas.openxmlformats.org/officeDocument/2006/relationships/hyperlink" Target="mailto:oof@adm.orel.ru" TargetMode="External"/><Relationship Id="rId1805" Type="http://schemas.openxmlformats.org/officeDocument/2006/relationships/hyperlink" Target="http://zheleznoe-sp.ru/publ/normativnye_pravovye_akty/reshenija/reshenie_soveta_zheleznogo_selskogo_poselenija_ot_14_12_2021_g_1_protokol_42/3-1-0-668" TargetMode="External"/><Relationship Id="rId179" Type="http://schemas.openxmlformats.org/officeDocument/2006/relationships/hyperlink" Target="mailto:mbud@fin.gov10.ru" TargetMode="External"/><Relationship Id="rId386" Type="http://schemas.openxmlformats.org/officeDocument/2006/relationships/hyperlink" Target="https://rosstat.gov.ru/storage/mediabank/chisl_RF_01-01-2022_VPN-2020.xls" TargetMode="External"/><Relationship Id="rId593" Type="http://schemas.openxmlformats.org/officeDocument/2006/relationships/hyperlink" Target="https://vladimirstat.gks.ru/" TargetMode="External"/><Relationship Id="rId2067" Type="http://schemas.openxmlformats.org/officeDocument/2006/relationships/hyperlink" Target="https://novgorodstat.gks.ru/storage/mediabank/%D0%A7%D0%B8%D1%81%D0%BB%D0%B5%D0%BD%D0%BD%D0%BE%D1%81%D1%82%D1%8C%20%D0%BE%D0%B1%D0%BB%D0%B0%D1%81%D1%82%D1%8C%202022.pdf" TargetMode="External"/><Relationship Id="rId246" Type="http://schemas.openxmlformats.org/officeDocument/2006/relationships/hyperlink" Target="mailto:gorod_sreda73@mail.ru" TargetMode="External"/><Relationship Id="rId453" Type="http://schemas.openxmlformats.org/officeDocument/2006/relationships/hyperlink" Target="mailto:adm30@list.ru" TargetMode="External"/><Relationship Id="rId660" Type="http://schemas.openxmlformats.org/officeDocument/2006/relationships/hyperlink" Target="mailto:org@admkirov.ru" TargetMode="External"/><Relationship Id="rId898" Type="http://schemas.openxmlformats.org/officeDocument/2006/relationships/hyperlink" Target="https://admkinel-cherkassy.ru/2021/08/18/%d1%80%d0%b5%d1%88%d0%b5%d0%bd%d0%b8%d0%b5-%e2%84%96-19-3-%d0%be%d1%82-12-08-2021-%d0%be%d0%b1-%d1%83%d1%82%d0%b2%d0%b5%d1%80%d0%b6%d0%b4%d0%b5%d0%bd%d0%b8%d0%b8-%d0%bf%d0%be%d0%bb%d0%be%d0%b6/" TargetMode="External"/><Relationship Id="rId1083" Type="http://schemas.openxmlformats.org/officeDocument/2006/relationships/hyperlink" Target="https://pmosk.ru/archives/3503" TargetMode="External"/><Relationship Id="rId1290" Type="http://schemas.openxmlformats.org/officeDocument/2006/relationships/hyperlink" Target="mailto:tatianaakomarova@krasnoselkupsky.yanao.ru" TargetMode="External"/><Relationship Id="rId2134" Type="http://schemas.openxmlformats.org/officeDocument/2006/relationships/hyperlink" Target="https://vk.com/iproject.mfnso," TargetMode="External"/><Relationship Id="rId106" Type="http://schemas.openxmlformats.org/officeDocument/2006/relationships/hyperlink" Target="https://chuvash.gks.ru/demog" TargetMode="External"/><Relationship Id="rId313" Type="http://schemas.openxmlformats.org/officeDocument/2006/relationships/hyperlink" Target="http://publication.pravo.gov.ru/Document/View/6800201709010001?rangeSize=20" TargetMode="External"/><Relationship Id="rId758" Type="http://schemas.openxmlformats.org/officeDocument/2006/relationships/hyperlink" Target="mailto:proletarka05@mail.ru" TargetMode="External"/><Relationship Id="rId965" Type="http://schemas.openxmlformats.org/officeDocument/2006/relationships/hyperlink" Target="http://chernovka.kinel-cherkassy.ru/" TargetMode="External"/><Relationship Id="rId1150" Type="http://schemas.openxmlformats.org/officeDocument/2006/relationships/hyperlink" Target="http://lugovoikonda.ru/tinybrowser/files/2020/-172-rassmotreniya-iniciativnyh-proektov.doc" TargetMode="External"/><Relationship Id="rId1388" Type="http://schemas.openxmlformats.org/officeDocument/2006/relationships/hyperlink" Target="mailto:fu25.165@mail.ru" TargetMode="External"/><Relationship Id="rId1595" Type="http://schemas.openxmlformats.org/officeDocument/2006/relationships/hyperlink" Target="mailto:gorfo@esoo.ru" TargetMode="External"/><Relationship Id="rId94" Type="http://schemas.openxmlformats.org/officeDocument/2006/relationships/hyperlink" Target="http://gkh.adm44.ru/sov_sreda/" TargetMode="External"/><Relationship Id="rId520" Type="http://schemas.openxmlformats.org/officeDocument/2006/relationships/hyperlink" Target="http://admmeleuz.ru/index.php?option=com_content&amp;view=category&amp;id=905&amp;Itemid=356" TargetMode="External"/><Relationship Id="rId618" Type="http://schemas.openxmlformats.org/officeDocument/2006/relationships/hyperlink" Target="https://admdetchino.ru/2022/11/12887/" TargetMode="External"/><Relationship Id="rId825" Type="http://schemas.openxmlformats.org/officeDocument/2006/relationships/hyperlink" Target="https://www.samadm.ru/docs/official-publication/31618/" TargetMode="External"/><Relationship Id="rId1248" Type="http://schemas.openxmlformats.org/officeDocument/2006/relationships/hyperlink" Target="https://nadym.yanao.ru/documents/active/131380" TargetMode="External"/><Relationship Id="rId1455" Type="http://schemas.openxmlformats.org/officeDocument/2006/relationships/hyperlink" Target="https://disk.yandex.ru/d/G4_51Lpc60p5MA" TargetMode="External"/><Relationship Id="rId1662" Type="http://schemas.openxmlformats.org/officeDocument/2006/relationships/hyperlink" Target="https://www.gks.ru/scripts/db_inet2/passport/table.aspx?opt=496281542022" TargetMode="External"/><Relationship Id="rId1010" Type="http://schemas.openxmlformats.org/officeDocument/2006/relationships/hyperlink" Target="https://aamrsk.ru/deyatelnost/initsiativnoe-byudzhetirovanie/initsiativnye-proekty/" TargetMode="External"/><Relationship Id="rId1108" Type="http://schemas.openxmlformats.org/officeDocument/2006/relationships/hyperlink" Target="mailto:Khomutovaed@khv27.ru" TargetMode="External"/><Relationship Id="rId1315" Type="http://schemas.openxmlformats.org/officeDocument/2006/relationships/hyperlink" Target="https://veshkajma-r73.gosweb.gosuslugi.ru/deyatelnost/napravleniya-deyatelnosti/finansy/budgetgr/" TargetMode="External"/><Relationship Id="rId1967" Type="http://schemas.openxmlformats.org/officeDocument/2006/relationships/hyperlink" Target="mailto:ivbormotova@mfin.permkrai.ru" TargetMode="External"/><Relationship Id="rId1522" Type="http://schemas.openxmlformats.org/officeDocument/2006/relationships/hyperlink" Target="http://fin-or.ru/ckfinder/userfiles/files/%D0%9F%D0%BE%D1%81%D1%82%D0%B0%D0%BD%D0%BE%D0%B2%D0%BB%D0%B5%D0%BD%D0%B8%D0%B5%20983%D0%BF%20%D0%BE%D1%82%2019052021(1).pdf" TargetMode="External"/><Relationship Id="rId21" Type="http://schemas.openxmlformats.org/officeDocument/2006/relationships/hyperlink" Target="mailto:Shushkovasa@df.gov35.ru" TargetMode="External"/><Relationship Id="rId2089" Type="http://schemas.openxmlformats.org/officeDocument/2006/relationships/hyperlink" Target="https://vk.com/club172332438?w=wall-172332438_409%2Fall" TargetMode="External"/><Relationship Id="rId268" Type="http://schemas.openxmlformats.org/officeDocument/2006/relationships/hyperlink" Target="https://disk.yandex.ru/i/aYxSNZdBi9urEQ" TargetMode="External"/><Relationship Id="rId475" Type="http://schemas.openxmlformats.org/officeDocument/2006/relationships/hyperlink" Target="mailto:matveeva.an@ryazangov.ru" TargetMode="External"/><Relationship Id="rId682" Type="http://schemas.openxmlformats.org/officeDocument/2006/relationships/hyperlink" Target="http://&#1074;&#1086;&#1088;&#1082;&#1091;&#1090;&#1072;.&#1088;&#1092;/about/str/department-of-economy/munitsipalnye-programmy-2022-goda/files/%D0%9F%D0%BE%D1%81%D1%8270.pdf" TargetMode="External"/><Relationship Id="rId2156" Type="http://schemas.openxmlformats.org/officeDocument/2006/relationships/hyperlink" Target="https://belgorodskij-r31.gosweb.gosuslugi.ru/netcat_files/485/3037/_523_ot_29.04.2022.pdf" TargetMode="External"/><Relationship Id="rId128" Type="http://schemas.openxmlformats.org/officeDocument/2006/relationships/hyperlink" Target="https://vk.com/erbashkortostan?w=wall-1663109_25345" TargetMode="External"/><Relationship Id="rId335" Type="http://schemas.openxmlformats.org/officeDocument/2006/relationships/hyperlink" Target="https://www.samregion.ru/open_government/institutions-gubernatorskij-proekt-sodejstvie/" TargetMode="External"/><Relationship Id="rId542" Type="http://schemas.openxmlformats.org/officeDocument/2006/relationships/hyperlink" Target="mailto:oms032@yandex.ru" TargetMode="External"/><Relationship Id="rId1172" Type="http://schemas.openxmlformats.org/officeDocument/2006/relationships/hyperlink" Target="http://www.gks.ru/free_doc/new_site/bd_munst/munst.htm" TargetMode="External"/><Relationship Id="rId2016" Type="http://schemas.openxmlformats.org/officeDocument/2006/relationships/hyperlink" Target="mailto:iv_kravchenko@lenreg.ru" TargetMode="External"/><Relationship Id="rId402" Type="http://schemas.openxmlformats.org/officeDocument/2006/relationships/hyperlink" Target="consultantplus://offline/ref=7A8079BB22A90FC58189C1F3198D70BC59D58978709EA63070E4BAA502BD6E590BDA5032DD61F941DDO045J" TargetMode="External"/><Relationship Id="rId1032" Type="http://schemas.openxmlformats.org/officeDocument/2006/relationships/hyperlink" Target="https://www.adm-grsk.ru/sobranie-deputatov/resheniya-soveta/resheniya-2021/reshenie-ot-22-04-2021-g-37-o-nekotorykh-voprosakh-realizatsii-initsiativnykh-proektov-na-territorii-grachevskogo-munitsipalnogo-okruga-stavropolskogo-kraya" TargetMode="External"/><Relationship Id="rId1989" Type="http://schemas.openxmlformats.org/officeDocument/2006/relationships/hyperlink" Target="https://rosstat.gov.ru/compendium/document/13282" TargetMode="External"/><Relationship Id="rId1849" Type="http://schemas.openxmlformats.org/officeDocument/2006/relationships/hyperlink" Target="https://severskoe.sevadm.ru/normotvorchestvo/munitsipalnye-programmy/?ELEMENT_ID=28924" TargetMode="External"/><Relationship Id="rId192" Type="http://schemas.openxmlformats.org/officeDocument/2006/relationships/hyperlink" Target="http://mfc.volganet.ru/konkurs_iniciativ.php" TargetMode="External"/><Relationship Id="rId1709" Type="http://schemas.openxmlformats.org/officeDocument/2006/relationships/hyperlink" Target="https://borcity.ru/authority/acts/postadm/index2015.php" TargetMode="External"/><Relationship Id="rId1916" Type="http://schemas.openxmlformats.org/officeDocument/2006/relationships/hyperlink" Target="mailto:Oromanova@mezhk.omskportal.ru" TargetMode="External"/><Relationship Id="rId2080" Type="http://schemas.openxmlformats.org/officeDocument/2006/relationships/hyperlink" Target="https://gokucmpi.ru/upload/iblock/a03/qlnw3ih5yzrzhnub3b0p431n5fkdlhet/Ustav-GOKU-TSMPI-_posl.red..pdf" TargetMode="External"/><Relationship Id="rId869" Type="http://schemas.openxmlformats.org/officeDocument/2006/relationships/hyperlink" Target="https://www.kinel-cherkassy.ru/index.php/dokumenty/ofitsialnoe-opublikovanie/39924-postanovlenie-administratsii-kinel-cherkasskogo-rajona-ot-06-02-2023-65" TargetMode="External"/><Relationship Id="rId1499" Type="http://schemas.openxmlformats.org/officeDocument/2006/relationships/hyperlink" Target="http://fintotsk.ru/file/download/1628" TargetMode="External"/><Relationship Id="rId729" Type="http://schemas.openxmlformats.org/officeDocument/2006/relationships/hyperlink" Target="mailto:fo.rzn@mail.ru" TargetMode="External"/><Relationship Id="rId1359" Type="http://schemas.openxmlformats.org/officeDocument/2006/relationships/hyperlink" Target="mailto:kuzmina.mv@ulminfin.ru" TargetMode="External"/><Relationship Id="rId936" Type="http://schemas.openxmlformats.org/officeDocument/2006/relationships/hyperlink" Target="mailto:Adm.muxanovo.ru@yandex.ru" TargetMode="External"/><Relationship Id="rId1219" Type="http://schemas.openxmlformats.org/officeDocument/2006/relationships/hyperlink" Target="https://nur.yanao.ru/documents/active/107772/" TargetMode="External"/><Relationship Id="rId1566" Type="http://schemas.openxmlformats.org/officeDocument/2006/relationships/hyperlink" Target="mailto:bugraifo@mail.ru" TargetMode="External"/><Relationship Id="rId1773" Type="http://schemas.openxmlformats.org/officeDocument/2006/relationships/hyperlink" Target="http://www.admse.ru/rayon/initsiativnye-proekty/" TargetMode="External"/><Relationship Id="rId1980" Type="http://schemas.openxmlformats.org/officeDocument/2006/relationships/hyperlink" Target="https://budget.rk.ifinmon.ru/krym-kak-my-hotim/dokumenty" TargetMode="External"/><Relationship Id="rId65" Type="http://schemas.openxmlformats.org/officeDocument/2006/relationships/hyperlink" Target="https://dagstat.gks.ru/storage/mediabank/%D1%87%D0%B8%D1%81%D0%BB.%20%D0%BD%D0%B0%2001.01.2022%D0%B3.%20(%D1%87%D0%B5%D0%BB.).pdf" TargetMode="External"/><Relationship Id="rId1426" Type="http://schemas.openxmlformats.org/officeDocument/2006/relationships/hyperlink" Target="mailto:tv_zubova@mail.ru" TargetMode="External"/><Relationship Id="rId1633" Type="http://schemas.openxmlformats.org/officeDocument/2006/relationships/hyperlink" Target="https://buzuluk.orb.ru/activity/23687/" TargetMode="External"/><Relationship Id="rId1840" Type="http://schemas.openxmlformats.org/officeDocument/2006/relationships/hyperlink" Target="https://23.rosstat.gov.ru/folder/55805" TargetMode="External"/><Relationship Id="rId1700" Type="http://schemas.openxmlformats.org/officeDocument/2006/relationships/hyperlink" Target="mailto:paramonova_iv@fin.kreml.nnov.ru" TargetMode="External"/><Relationship Id="rId379" Type="http://schemas.openxmlformats.org/officeDocument/2006/relationships/hyperlink" Target="https://minfin.saratov.gov.ru/budget/proekty/proekt-po-podderzhke-mestnykh-initsiativ-v-saratovskoj-oblasti/o-proekte" TargetMode="External"/><Relationship Id="rId586" Type="http://schemas.openxmlformats.org/officeDocument/2006/relationships/hyperlink" Target="https://www.gusr.ru/userfiles_npa/P_399_15_04_2020.pdf" TargetMode="External"/><Relationship Id="rId793" Type="http://schemas.openxmlformats.org/officeDocument/2006/relationships/hyperlink" Target="http://www.gks.ru/scripts/db_inet2/passport/table.aspx?opt=57230002022" TargetMode="External"/><Relationship Id="rId239" Type="http://schemas.openxmlformats.org/officeDocument/2006/relationships/hyperlink" Target="consultantplus://offline/ref=CE41F64B95E700B67DE5A00A9B62613B01AE69E1DB036705D8D0A60453D7CC789CC4567030BDEFDBBBe77EI" TargetMode="External"/><Relationship Id="rId446" Type="http://schemas.openxmlformats.org/officeDocument/2006/relationships/hyperlink" Target="mailto:boev@fin22.ru" TargetMode="External"/><Relationship Id="rId653" Type="http://schemas.openxmlformats.org/officeDocument/2006/relationships/hyperlink" Target="https://docs.cntd.ru/document/578008025" TargetMode="External"/><Relationship Id="rId1076" Type="http://schemas.openxmlformats.org/officeDocument/2006/relationships/hyperlink" Target="http://petrgosk.ru/ekonomika/ekonomicheskoe-razvitie/munitsipalnye-programmy-petrovskogo-gorodskogo-okruga-stavropolskogo-kraya-/munitsipalnye-programmy-2021-2026-gg/" TargetMode="External"/><Relationship Id="rId1283" Type="http://schemas.openxmlformats.org/officeDocument/2006/relationships/hyperlink" Target="https://rosstat.gov.ru/storage/mediabank/Chisl_nasel_RF_MO_01-01-2022.xlsx" TargetMode="External"/><Relationship Id="rId1490" Type="http://schemas.openxmlformats.org/officeDocument/2006/relationships/hyperlink" Target="https://rosstat.gov.ru/storage/mediabank/Chisl_nasel_RF_MO_01-01-2022.xlsx" TargetMode="External"/><Relationship Id="rId2127" Type="http://schemas.openxmlformats.org/officeDocument/2006/relationships/hyperlink" Target="mailto:ppmi-53@mail.ru" TargetMode="External"/><Relationship Id="rId306" Type="http://schemas.openxmlformats.org/officeDocument/2006/relationships/hyperlink" Target="https://68.rosstat.gov.ru/storage/mediabank/chis23-22s.pdf" TargetMode="External"/><Relationship Id="rId860" Type="http://schemas.openxmlformats.org/officeDocument/2006/relationships/hyperlink" Target="mailto:admspisakly@yandex.ru" TargetMode="External"/><Relationship Id="rId1143" Type="http://schemas.openxmlformats.org/officeDocument/2006/relationships/hyperlink" Target="mailto:invest@n-vartovsk.ru" TargetMode="External"/><Relationship Id="rId513" Type="http://schemas.openxmlformats.org/officeDocument/2006/relationships/hyperlink" Target="https://sterlibash.bashkortostan.ru/documents/active/427286/," TargetMode="External"/><Relationship Id="rId720" Type="http://schemas.openxmlformats.org/officeDocument/2006/relationships/hyperlink" Target="https://adm-yaroslavskogo.ru/&#1087;&#1088;&#1086;&#1077;&#1082;&#1090;&#1099;-&#1084;&#1077;&#1089;&#1090;&#1085;&#1099;&#1093;-&#1080;&#1085;&#1080;&#1094;&#1080;&#1072;&#1090;&#1080;&#1074;" TargetMode="External"/><Relationship Id="rId1350" Type="http://schemas.openxmlformats.org/officeDocument/2006/relationships/hyperlink" Target="https://73.rosstat.gov.ru/folder/40275" TargetMode="External"/><Relationship Id="rId1003" Type="http://schemas.openxmlformats.org/officeDocument/2006/relationships/hyperlink" Target="https://aleksadmin.ru/initsiativnoe-byudzhetirovanie/mestnye-praktiki/normativno-pravovye-akty" TargetMode="External"/><Relationship Id="rId1210" Type="http://schemas.openxmlformats.org/officeDocument/2006/relationships/hyperlink" Target="https://m.vk.com/lbt_yanao_ru" TargetMode="External"/><Relationship Id="rId163" Type="http://schemas.openxmlformats.org/officeDocument/2006/relationships/hyperlink" Target="http://old.gov.karelia.ru/Projects/Initiatives/" TargetMode="External"/><Relationship Id="rId370" Type="http://schemas.openxmlformats.org/officeDocument/2006/relationships/hyperlink" Target="http://spbddtl.ru/page-595.html" TargetMode="External"/><Relationship Id="rId2051" Type="http://schemas.openxmlformats.org/officeDocument/2006/relationships/hyperlink" Target="https://53.gorodsreda.ru/?ysclid=lgw6et35g147221306" TargetMode="External"/><Relationship Id="rId230" Type="http://schemas.openxmlformats.org/officeDocument/2006/relationships/hyperlink" Target="https://cloud.mail.ru/public/EDhs/FsnBhny8N" TargetMode="External"/><Relationship Id="rId1677" Type="http://schemas.openxmlformats.org/officeDocument/2006/relationships/hyperlink" Target="https://novgorodstat.gks.ru/storage/mediabank/%D0%A7%D0%B8%D1%81%D0%BB%D0%B5%D0%BD%D0%BD%D0%BE%D1%81%D1%82%D1%8C%20%D0%BD%D0%B0%D1%81%D0%B5%D0%BB%D0%B5%D0%BD%D0%B8%D1%8F%20%D0%BD%D0%B0%201.01.2022%20%D0%B3%D0%BE%D0%B4%D0%B0.pdf" TargetMode="External"/><Relationship Id="rId1884" Type="http://schemas.openxmlformats.org/officeDocument/2006/relationships/hyperlink" Target="https://internet.garant.r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0DF7-EDA5-8742-B81C-E9FB92BEB76A}">
  <dimension ref="A1:FA167"/>
  <sheetViews>
    <sheetView tabSelected="1" zoomScale="70" zoomScaleNormal="70" workbookViewId="0">
      <selection activeCell="D4" sqref="D4"/>
    </sheetView>
  </sheetViews>
  <sheetFormatPr baseColWidth="10" defaultColWidth="11" defaultRowHeight="16" x14ac:dyDescent="0.2"/>
  <cols>
    <col min="1" max="1" width="11" style="17"/>
    <col min="2" max="2" width="26" style="17" customWidth="1"/>
    <col min="3" max="3" width="11" style="17"/>
    <col min="4" max="4" width="20" style="17" customWidth="1"/>
    <col min="5" max="5" width="14.1640625" style="17" customWidth="1"/>
    <col min="6" max="6" width="36" style="17" customWidth="1"/>
    <col min="7" max="7" width="30.6640625" style="17" customWidth="1"/>
    <col min="8" max="9" width="28.83203125" style="17" customWidth="1"/>
    <col min="10" max="10" width="29" style="17" customWidth="1"/>
    <col min="11" max="11" width="28.6640625" style="17" customWidth="1"/>
    <col min="12" max="12" width="31.33203125" style="17" customWidth="1"/>
    <col min="13" max="13" width="30.83203125" style="17" customWidth="1"/>
    <col min="14" max="14" width="28.5" style="17" customWidth="1"/>
    <col min="15" max="15" width="22.1640625" style="17" customWidth="1"/>
    <col min="16" max="16" width="19.5" style="17" customWidth="1"/>
    <col min="17" max="17" width="20.6640625" style="17" customWidth="1"/>
    <col min="18" max="18" width="27.5" style="17" customWidth="1"/>
    <col min="19" max="19" width="25.83203125" style="17" customWidth="1"/>
    <col min="20" max="20" width="21.5" style="17" customWidth="1"/>
    <col min="21" max="21" width="23" style="17" customWidth="1"/>
    <col min="22" max="22" width="21.5" style="17" customWidth="1"/>
    <col min="23" max="23" width="24.83203125" style="17" customWidth="1"/>
    <col min="24" max="24" width="26.83203125" style="17" customWidth="1"/>
    <col min="25" max="25" width="18.83203125" style="17" customWidth="1"/>
    <col min="26" max="26" width="21.1640625" style="17" customWidth="1"/>
    <col min="27" max="27" width="23.5" style="17" customWidth="1"/>
    <col min="28" max="29" width="20" style="17" customWidth="1"/>
    <col min="30" max="30" width="23.83203125" style="17" customWidth="1"/>
    <col min="31" max="33" width="20.5" style="17" customWidth="1"/>
    <col min="34" max="36" width="21" style="17" customWidth="1"/>
    <col min="37" max="37" width="13.5" style="17" customWidth="1"/>
    <col min="38" max="38" width="30.83203125" style="17" customWidth="1"/>
    <col min="39" max="39" width="29" style="17" customWidth="1"/>
    <col min="40" max="40" width="27" style="17" customWidth="1"/>
    <col min="41" max="41" width="31.33203125" style="17" customWidth="1"/>
    <col min="42" max="42" width="19" style="17" customWidth="1"/>
    <col min="43" max="43" width="35.5" style="17" customWidth="1"/>
    <col min="44" max="44" width="21.33203125" style="17" customWidth="1"/>
    <col min="45" max="45" width="28.6640625" style="17" customWidth="1"/>
    <col min="46" max="46" width="32.83203125" style="17" customWidth="1"/>
    <col min="47" max="47" width="28.33203125" style="17" customWidth="1"/>
    <col min="48" max="48" width="28.1640625" style="17" customWidth="1"/>
    <col min="49" max="49" width="21.6640625" style="17" customWidth="1"/>
    <col min="50" max="50" width="17.1640625" style="17" customWidth="1"/>
    <col min="51" max="51" width="11" style="17"/>
    <col min="52" max="52" width="24" style="17" customWidth="1"/>
    <col min="53" max="53" width="28" style="17" customWidth="1"/>
    <col min="54" max="54" width="20.6640625" style="17" customWidth="1"/>
    <col min="55" max="55" width="26.1640625" style="17" customWidth="1"/>
    <col min="56" max="56" width="27.83203125" style="17" customWidth="1"/>
    <col min="57" max="57" width="24.6640625" style="17" customWidth="1"/>
    <col min="58" max="58" width="29" style="17" customWidth="1"/>
    <col min="59" max="59" width="31.6640625" style="17" customWidth="1"/>
    <col min="60" max="60" width="25" style="17" customWidth="1"/>
    <col min="61" max="61" width="30.83203125" style="17" customWidth="1"/>
    <col min="62" max="62" width="29.6640625" style="17" customWidth="1"/>
    <col min="63" max="63" width="24.1640625" style="17" customWidth="1"/>
    <col min="64" max="64" width="28.83203125" style="17" customWidth="1"/>
    <col min="65" max="65" width="28.1640625" style="17" customWidth="1"/>
    <col min="66" max="66" width="24.1640625" style="17" customWidth="1"/>
    <col min="67" max="67" width="36" style="17" customWidth="1"/>
    <col min="68" max="68" width="25.1640625" style="17" customWidth="1"/>
    <col min="69" max="69" width="23.6640625" style="17" customWidth="1"/>
    <col min="70" max="70" width="25.1640625" style="17" customWidth="1"/>
    <col min="71" max="71" width="22.5" style="17" customWidth="1"/>
    <col min="72" max="72" width="26.33203125" style="17" customWidth="1"/>
    <col min="73" max="73" width="18" style="17" customWidth="1"/>
    <col min="74" max="75" width="24" style="17" customWidth="1"/>
    <col min="76" max="76" width="23.6640625" style="17" customWidth="1"/>
    <col min="77" max="77" width="19.1640625" style="17" customWidth="1"/>
    <col min="78" max="78" width="11" style="17"/>
    <col min="79" max="79" width="25.6640625" style="17" customWidth="1"/>
    <col min="80" max="80" width="21.83203125" style="17" customWidth="1"/>
    <col min="81" max="81" width="19.33203125" style="17" customWidth="1"/>
    <col min="82" max="82" width="19.83203125" style="17" customWidth="1"/>
    <col min="83" max="83" width="17.33203125" style="17" customWidth="1"/>
    <col min="84" max="84" width="22.83203125" style="17" customWidth="1"/>
    <col min="85" max="85" width="17.33203125" style="17" customWidth="1"/>
    <col min="86" max="86" width="29.1640625" style="17" customWidth="1"/>
    <col min="87" max="87" width="28" style="17" customWidth="1"/>
    <col min="88" max="88" width="30.83203125" style="17" customWidth="1"/>
    <col min="89" max="89" width="33.83203125" style="17" customWidth="1"/>
    <col min="90" max="90" width="25.83203125" style="17" customWidth="1"/>
    <col min="91" max="91" width="23.33203125" style="17" customWidth="1"/>
    <col min="92" max="94" width="26.33203125" style="17" customWidth="1"/>
    <col min="95" max="95" width="23.6640625" style="17" customWidth="1"/>
    <col min="96" max="96" width="22.1640625" style="17" customWidth="1"/>
    <col min="97" max="98" width="25.6640625" style="17" customWidth="1"/>
    <col min="99" max="99" width="22.5" style="17" customWidth="1"/>
    <col min="100" max="100" width="21.83203125" style="17" customWidth="1"/>
    <col min="101" max="101" width="29.33203125" style="17" customWidth="1"/>
    <col min="102" max="102" width="26.33203125" style="17" customWidth="1"/>
    <col min="103" max="103" width="17.6640625" style="17" customWidth="1"/>
    <col min="104" max="104" width="19.33203125" style="17" customWidth="1"/>
    <col min="105" max="105" width="26.1640625" style="17" customWidth="1"/>
    <col min="106" max="107" width="22.6640625" style="17" customWidth="1"/>
    <col min="108" max="108" width="21.83203125" style="17" customWidth="1"/>
    <col min="109" max="109" width="25.1640625" style="17" customWidth="1"/>
    <col min="110" max="110" width="28" style="17" customWidth="1"/>
    <col min="111" max="112" width="31" style="17" customWidth="1"/>
    <col min="113" max="113" width="25.5" style="17" customWidth="1"/>
    <col min="114" max="115" width="36.5" style="17" customWidth="1"/>
    <col min="116" max="116" width="44.33203125" style="17" customWidth="1"/>
    <col min="117" max="117" width="34.5" style="17" customWidth="1"/>
    <col min="118" max="118" width="39.33203125" style="17" customWidth="1"/>
    <col min="119" max="119" width="40.83203125" style="17" customWidth="1"/>
    <col min="120" max="121" width="23.83203125" style="17" customWidth="1"/>
    <col min="122" max="122" width="22.83203125" style="17" customWidth="1"/>
    <col min="123" max="123" width="24.83203125" style="17" customWidth="1"/>
    <col min="124" max="124" width="22" style="17" customWidth="1"/>
    <col min="125" max="125" width="33.5" style="17" customWidth="1"/>
    <col min="126" max="126" width="34.1640625" style="17" customWidth="1"/>
    <col min="127" max="130" width="30.1640625" style="17" customWidth="1"/>
    <col min="131" max="131" width="23.5" style="17" customWidth="1"/>
    <col min="132" max="132" width="21" style="17" customWidth="1"/>
    <col min="133" max="133" width="27" style="17" customWidth="1"/>
    <col min="134" max="134" width="23.6640625" style="17" customWidth="1"/>
    <col min="135" max="135" width="19.83203125" style="17" customWidth="1"/>
    <col min="136" max="136" width="20.1640625" style="17" customWidth="1"/>
    <col min="137" max="137" width="20.33203125" style="17" customWidth="1"/>
    <col min="138" max="139" width="23.1640625" style="17" customWidth="1"/>
    <col min="140" max="140" width="29.1640625" style="17" customWidth="1"/>
    <col min="141" max="141" width="28.83203125" style="17" customWidth="1"/>
    <col min="142" max="142" width="32.33203125" style="17" customWidth="1"/>
    <col min="143" max="144" width="23" style="17" customWidth="1"/>
    <col min="145" max="145" width="19" style="17" customWidth="1"/>
    <col min="146" max="146" width="19.33203125" style="17" customWidth="1"/>
    <col min="147" max="147" width="26.1640625" style="17" customWidth="1"/>
    <col min="148" max="148" width="33.1640625" style="17" customWidth="1"/>
    <col min="149" max="149" width="27.33203125" style="17" customWidth="1"/>
    <col min="150" max="150" width="29.33203125" style="17" customWidth="1"/>
    <col min="151" max="151" width="30.6640625" style="17" customWidth="1"/>
    <col min="152" max="152" width="28.33203125" style="17" customWidth="1"/>
    <col min="153" max="153" width="23.33203125" style="17" customWidth="1"/>
    <col min="154" max="154" width="20.83203125" style="17" customWidth="1"/>
    <col min="155" max="155" width="26" style="17" customWidth="1"/>
    <col min="156" max="156" width="11" style="17"/>
    <col min="157" max="157" width="20.5" style="17" customWidth="1"/>
    <col min="158" max="16384" width="11" style="17"/>
  </cols>
  <sheetData>
    <row r="1" spans="1:157" ht="51" x14ac:dyDescent="0.2">
      <c r="A1" s="659" t="s">
        <v>0</v>
      </c>
      <c r="B1" s="660" t="s">
        <v>1</v>
      </c>
      <c r="C1" s="659" t="s">
        <v>2</v>
      </c>
      <c r="D1" s="660" t="s">
        <v>3</v>
      </c>
      <c r="E1" s="660" t="s">
        <v>4</v>
      </c>
      <c r="F1" s="182" t="s">
        <v>296</v>
      </c>
      <c r="G1" s="182" t="s">
        <v>296</v>
      </c>
      <c r="H1" s="182" t="s">
        <v>296</v>
      </c>
      <c r="I1" s="182" t="s">
        <v>296</v>
      </c>
      <c r="J1" s="182" t="s">
        <v>296</v>
      </c>
      <c r="K1" s="182" t="s">
        <v>296</v>
      </c>
      <c r="L1" s="182" t="s">
        <v>296</v>
      </c>
      <c r="M1" s="182" t="s">
        <v>296</v>
      </c>
      <c r="N1" s="182" t="s">
        <v>296</v>
      </c>
      <c r="O1" s="182" t="s">
        <v>296</v>
      </c>
      <c r="P1" s="182" t="s">
        <v>461</v>
      </c>
      <c r="Q1" s="182" t="s">
        <v>296</v>
      </c>
      <c r="R1" s="182" t="s">
        <v>461</v>
      </c>
      <c r="S1" s="182" t="s">
        <v>296</v>
      </c>
      <c r="T1" s="182" t="s">
        <v>296</v>
      </c>
      <c r="U1" s="182" t="s">
        <v>296</v>
      </c>
      <c r="V1" s="182" t="s">
        <v>296</v>
      </c>
      <c r="W1" s="182" t="s">
        <v>296</v>
      </c>
      <c r="X1" s="182" t="s">
        <v>296</v>
      </c>
      <c r="Y1" s="182" t="s">
        <v>296</v>
      </c>
      <c r="Z1" s="182" t="s">
        <v>296</v>
      </c>
      <c r="AA1" s="182" t="s">
        <v>296</v>
      </c>
      <c r="AB1" s="182" t="s">
        <v>296</v>
      </c>
      <c r="AC1" s="182" t="s">
        <v>296</v>
      </c>
      <c r="AD1" s="182" t="s">
        <v>296</v>
      </c>
      <c r="AE1" s="182" t="s">
        <v>296</v>
      </c>
      <c r="AF1" s="182" t="s">
        <v>296</v>
      </c>
      <c r="AG1" s="182" t="s">
        <v>296</v>
      </c>
      <c r="AH1" s="182" t="s">
        <v>296</v>
      </c>
      <c r="AI1" s="182" t="s">
        <v>296</v>
      </c>
      <c r="AJ1" s="182" t="s">
        <v>296</v>
      </c>
      <c r="AK1" s="182" t="s">
        <v>296</v>
      </c>
      <c r="AL1" s="182" t="s">
        <v>296</v>
      </c>
      <c r="AM1" s="182" t="s">
        <v>296</v>
      </c>
      <c r="AN1" s="182" t="s">
        <v>296</v>
      </c>
      <c r="AO1" s="182" t="s">
        <v>296</v>
      </c>
      <c r="AP1" s="182" t="s">
        <v>296</v>
      </c>
      <c r="AQ1" s="182" t="s">
        <v>296</v>
      </c>
      <c r="AR1" s="182" t="s">
        <v>296</v>
      </c>
      <c r="AS1" s="182" t="s">
        <v>296</v>
      </c>
      <c r="AT1" s="182" t="s">
        <v>296</v>
      </c>
      <c r="AU1" s="182" t="s">
        <v>296</v>
      </c>
      <c r="AV1" s="182" t="s">
        <v>296</v>
      </c>
      <c r="AW1" s="182" t="s">
        <v>297</v>
      </c>
      <c r="AX1" s="182" t="s">
        <v>296</v>
      </c>
      <c r="AY1" s="182" t="s">
        <v>296</v>
      </c>
      <c r="AZ1" s="182" t="s">
        <v>296</v>
      </c>
      <c r="BA1" s="182" t="s">
        <v>296</v>
      </c>
      <c r="BB1" s="182" t="s">
        <v>296</v>
      </c>
      <c r="BC1" s="182" t="s">
        <v>296</v>
      </c>
      <c r="BD1" s="182" t="s">
        <v>296</v>
      </c>
      <c r="BE1" s="182" t="s">
        <v>296</v>
      </c>
      <c r="BF1" s="182" t="s">
        <v>296</v>
      </c>
      <c r="BG1" s="182" t="s">
        <v>296</v>
      </c>
      <c r="BH1" s="182" t="s">
        <v>296</v>
      </c>
      <c r="BI1" s="182" t="s">
        <v>296</v>
      </c>
      <c r="BJ1" s="182" t="s">
        <v>296</v>
      </c>
      <c r="BK1" s="182" t="s">
        <v>296</v>
      </c>
      <c r="BL1" s="182" t="s">
        <v>297</v>
      </c>
      <c r="BM1" s="182" t="s">
        <v>296</v>
      </c>
      <c r="BN1" s="182" t="s">
        <v>296</v>
      </c>
      <c r="BO1" s="182" t="s">
        <v>296</v>
      </c>
      <c r="BP1" s="182" t="s">
        <v>296</v>
      </c>
      <c r="BQ1" s="182" t="s">
        <v>296</v>
      </c>
      <c r="BR1" s="182" t="s">
        <v>296</v>
      </c>
      <c r="BS1" s="182" t="s">
        <v>461</v>
      </c>
      <c r="BT1" s="182" t="s">
        <v>296</v>
      </c>
      <c r="BU1" s="182" t="s">
        <v>296</v>
      </c>
      <c r="BV1" s="182" t="s">
        <v>296</v>
      </c>
      <c r="BW1" s="182" t="s">
        <v>296</v>
      </c>
      <c r="BX1" s="182" t="s">
        <v>296</v>
      </c>
      <c r="BY1" s="182" t="s">
        <v>296</v>
      </c>
      <c r="BZ1" s="182" t="s">
        <v>296</v>
      </c>
      <c r="CA1" s="182" t="s">
        <v>296</v>
      </c>
      <c r="CB1" s="182" t="s">
        <v>296</v>
      </c>
      <c r="CC1" s="182" t="s">
        <v>296</v>
      </c>
      <c r="CD1" s="182" t="s">
        <v>296</v>
      </c>
      <c r="CE1" s="182" t="s">
        <v>296</v>
      </c>
      <c r="CF1" s="182" t="s">
        <v>296</v>
      </c>
      <c r="CG1" s="182" t="s">
        <v>296</v>
      </c>
      <c r="CH1" s="182" t="s">
        <v>296</v>
      </c>
      <c r="CI1" s="182" t="s">
        <v>296</v>
      </c>
      <c r="CJ1" s="182" t="s">
        <v>296</v>
      </c>
      <c r="CK1" s="182" t="s">
        <v>296</v>
      </c>
      <c r="CL1" s="182" t="s">
        <v>296</v>
      </c>
      <c r="CM1" s="182" t="s">
        <v>296</v>
      </c>
      <c r="CN1" s="182" t="s">
        <v>296</v>
      </c>
      <c r="CO1" s="182" t="s">
        <v>296</v>
      </c>
      <c r="CP1" s="182" t="s">
        <v>296</v>
      </c>
      <c r="CQ1" s="182" t="s">
        <v>296</v>
      </c>
      <c r="CR1" s="182" t="s">
        <v>296</v>
      </c>
      <c r="CS1" s="182" t="s">
        <v>296</v>
      </c>
      <c r="CT1" s="182" t="s">
        <v>296</v>
      </c>
      <c r="CU1" s="182" t="s">
        <v>296</v>
      </c>
      <c r="CV1" s="182" t="s">
        <v>296</v>
      </c>
      <c r="CW1" s="182" t="s">
        <v>296</v>
      </c>
      <c r="CX1" s="182" t="s">
        <v>296</v>
      </c>
      <c r="CY1" s="182" t="s">
        <v>296</v>
      </c>
      <c r="CZ1" s="182" t="s">
        <v>296</v>
      </c>
      <c r="DA1" s="182" t="s">
        <v>296</v>
      </c>
      <c r="DB1" s="182" t="s">
        <v>296</v>
      </c>
      <c r="DC1" s="182" t="s">
        <v>296</v>
      </c>
      <c r="DD1" s="182" t="s">
        <v>296</v>
      </c>
      <c r="DE1" s="182" t="s">
        <v>296</v>
      </c>
      <c r="DF1" s="182" t="s">
        <v>296</v>
      </c>
      <c r="DG1" s="182" t="s">
        <v>296</v>
      </c>
      <c r="DH1" s="182" t="s">
        <v>296</v>
      </c>
      <c r="DI1" s="182" t="s">
        <v>296</v>
      </c>
      <c r="DJ1" s="182" t="s">
        <v>296</v>
      </c>
      <c r="DK1" s="182" t="s">
        <v>296</v>
      </c>
      <c r="DL1" s="182" t="s">
        <v>296</v>
      </c>
      <c r="DM1" s="182" t="s">
        <v>296</v>
      </c>
      <c r="DN1" s="182" t="s">
        <v>296</v>
      </c>
      <c r="DO1" s="182" t="s">
        <v>461</v>
      </c>
      <c r="DP1" s="182" t="s">
        <v>296</v>
      </c>
      <c r="DQ1" s="182" t="s">
        <v>296</v>
      </c>
      <c r="DR1" s="182" t="s">
        <v>296</v>
      </c>
      <c r="DS1" s="182" t="s">
        <v>296</v>
      </c>
      <c r="DT1" s="182" t="s">
        <v>296</v>
      </c>
      <c r="DU1" s="182" t="s">
        <v>296</v>
      </c>
      <c r="DV1" s="182" t="s">
        <v>296</v>
      </c>
      <c r="DW1" s="182" t="s">
        <v>296</v>
      </c>
      <c r="DX1" s="182" t="s">
        <v>296</v>
      </c>
      <c r="DY1" s="182" t="s">
        <v>296</v>
      </c>
      <c r="DZ1" s="182" t="s">
        <v>296</v>
      </c>
      <c r="EA1" s="182" t="s">
        <v>296</v>
      </c>
      <c r="EB1" s="182" t="s">
        <v>296</v>
      </c>
      <c r="EC1" s="182" t="s">
        <v>296</v>
      </c>
      <c r="ED1" s="182" t="s">
        <v>461</v>
      </c>
      <c r="EE1" s="182" t="s">
        <v>296</v>
      </c>
      <c r="EF1" s="182" t="s">
        <v>296</v>
      </c>
      <c r="EG1" s="182" t="s">
        <v>296</v>
      </c>
      <c r="EH1" s="182" t="s">
        <v>296</v>
      </c>
      <c r="EI1" s="182" t="s">
        <v>296</v>
      </c>
      <c r="EJ1" s="182" t="s">
        <v>461</v>
      </c>
      <c r="EK1" s="182" t="s">
        <v>296</v>
      </c>
      <c r="EL1" s="182" t="s">
        <v>296</v>
      </c>
      <c r="EM1" s="182" t="s">
        <v>296</v>
      </c>
      <c r="EN1" s="182" t="s">
        <v>296</v>
      </c>
      <c r="EO1" s="182" t="s">
        <v>296</v>
      </c>
      <c r="EP1" s="182" t="s">
        <v>296</v>
      </c>
      <c r="EQ1" s="182" t="s">
        <v>296</v>
      </c>
      <c r="ER1" s="182" t="s">
        <v>296</v>
      </c>
      <c r="ES1" s="182" t="s">
        <v>296</v>
      </c>
      <c r="ET1" s="182" t="s">
        <v>296</v>
      </c>
      <c r="EU1" s="182" t="s">
        <v>296</v>
      </c>
      <c r="EV1" s="182" t="s">
        <v>296</v>
      </c>
      <c r="EW1" s="182" t="s">
        <v>296</v>
      </c>
      <c r="EX1" s="182" t="s">
        <v>296</v>
      </c>
      <c r="EY1" s="182" t="s">
        <v>296</v>
      </c>
      <c r="EZ1" s="182" t="s">
        <v>296</v>
      </c>
      <c r="FA1" s="182" t="s">
        <v>296</v>
      </c>
    </row>
    <row r="2" spans="1:157" ht="17" x14ac:dyDescent="0.2">
      <c r="A2" s="196" t="s">
        <v>5</v>
      </c>
      <c r="B2" s="661" t="s">
        <v>6</v>
      </c>
      <c r="C2" s="167" t="s">
        <v>7</v>
      </c>
      <c r="D2" s="100" t="s">
        <v>8</v>
      </c>
      <c r="E2" s="100" t="s">
        <v>9</v>
      </c>
      <c r="F2" s="54" t="s">
        <v>298</v>
      </c>
      <c r="G2" s="54" t="s">
        <v>299</v>
      </c>
      <c r="H2" s="54" t="s">
        <v>299</v>
      </c>
      <c r="I2" s="54" t="s">
        <v>299</v>
      </c>
      <c r="J2" s="169" t="s">
        <v>300</v>
      </c>
      <c r="K2" s="169" t="s">
        <v>300</v>
      </c>
      <c r="L2" s="54" t="s">
        <v>301</v>
      </c>
      <c r="M2" s="54" t="s">
        <v>302</v>
      </c>
      <c r="N2" s="54" t="s">
        <v>303</v>
      </c>
      <c r="O2" s="54" t="s">
        <v>304</v>
      </c>
      <c r="P2" s="54" t="s">
        <v>304</v>
      </c>
      <c r="Q2" s="54" t="s">
        <v>304</v>
      </c>
      <c r="R2" s="54" t="s">
        <v>304</v>
      </c>
      <c r="S2" s="54" t="s">
        <v>304</v>
      </c>
      <c r="T2" s="54" t="s">
        <v>305</v>
      </c>
      <c r="U2" s="54" t="s">
        <v>305</v>
      </c>
      <c r="V2" s="54" t="s">
        <v>305</v>
      </c>
      <c r="W2" s="54" t="s">
        <v>306</v>
      </c>
      <c r="X2" s="54" t="s">
        <v>307</v>
      </c>
      <c r="Y2" s="54" t="s">
        <v>308</v>
      </c>
      <c r="Z2" s="54" t="s">
        <v>308</v>
      </c>
      <c r="AA2" s="54" t="s">
        <v>308</v>
      </c>
      <c r="AB2" s="54" t="s">
        <v>309</v>
      </c>
      <c r="AC2" s="54" t="s">
        <v>309</v>
      </c>
      <c r="AD2" s="54" t="s">
        <v>310</v>
      </c>
      <c r="AE2" s="54" t="s">
        <v>311</v>
      </c>
      <c r="AF2" s="54" t="s">
        <v>311</v>
      </c>
      <c r="AG2" s="54" t="s">
        <v>311</v>
      </c>
      <c r="AH2" s="54" t="s">
        <v>312</v>
      </c>
      <c r="AI2" s="54" t="s">
        <v>312</v>
      </c>
      <c r="AJ2" s="54" t="s">
        <v>312</v>
      </c>
      <c r="AK2" s="54" t="s">
        <v>462</v>
      </c>
      <c r="AL2" s="54" t="s">
        <v>313</v>
      </c>
      <c r="AM2" s="54" t="s">
        <v>313</v>
      </c>
      <c r="AN2" s="54" t="s">
        <v>313</v>
      </c>
      <c r="AO2" s="54" t="s">
        <v>314</v>
      </c>
      <c r="AP2" s="54" t="s">
        <v>315</v>
      </c>
      <c r="AQ2" s="54" t="s">
        <v>316</v>
      </c>
      <c r="AR2" s="54" t="s">
        <v>463</v>
      </c>
      <c r="AS2" s="54" t="s">
        <v>317</v>
      </c>
      <c r="AT2" s="54" t="s">
        <v>317</v>
      </c>
      <c r="AU2" s="54" t="s">
        <v>317</v>
      </c>
      <c r="AV2" s="54" t="s">
        <v>318</v>
      </c>
      <c r="AW2" s="54" t="s">
        <v>319</v>
      </c>
      <c r="AX2" s="54" t="s">
        <v>320</v>
      </c>
      <c r="AY2" s="54" t="s">
        <v>464</v>
      </c>
      <c r="AZ2" s="54" t="s">
        <v>321</v>
      </c>
      <c r="BA2" s="54" t="s">
        <v>321</v>
      </c>
      <c r="BB2" s="54" t="s">
        <v>321</v>
      </c>
      <c r="BC2" s="54" t="s">
        <v>322</v>
      </c>
      <c r="BD2" s="54" t="s">
        <v>323</v>
      </c>
      <c r="BE2" s="54" t="s">
        <v>323</v>
      </c>
      <c r="BF2" s="54" t="s">
        <v>324</v>
      </c>
      <c r="BG2" s="54" t="s">
        <v>325</v>
      </c>
      <c r="BH2" s="54" t="s">
        <v>325</v>
      </c>
      <c r="BI2" s="54" t="s">
        <v>325</v>
      </c>
      <c r="BJ2" s="54" t="s">
        <v>325</v>
      </c>
      <c r="BK2" s="54" t="s">
        <v>326</v>
      </c>
      <c r="BL2" s="54" t="s">
        <v>327</v>
      </c>
      <c r="BM2" s="54" t="s">
        <v>465</v>
      </c>
      <c r="BN2" s="54" t="s">
        <v>465</v>
      </c>
      <c r="BO2" s="54" t="s">
        <v>465</v>
      </c>
      <c r="BP2" s="54" t="s">
        <v>328</v>
      </c>
      <c r="BQ2" s="54" t="s">
        <v>329</v>
      </c>
      <c r="BR2" s="54" t="s">
        <v>330</v>
      </c>
      <c r="BS2" s="54" t="s">
        <v>330</v>
      </c>
      <c r="BT2" s="54" t="s">
        <v>331</v>
      </c>
      <c r="BU2" s="54" t="s">
        <v>332</v>
      </c>
      <c r="BV2" s="54" t="s">
        <v>333</v>
      </c>
      <c r="BW2" s="54" t="s">
        <v>333</v>
      </c>
      <c r="BX2" s="54" t="s">
        <v>333</v>
      </c>
      <c r="BY2" s="54" t="s">
        <v>466</v>
      </c>
      <c r="BZ2" s="54" t="s">
        <v>467</v>
      </c>
      <c r="CA2" s="54" t="s">
        <v>334</v>
      </c>
      <c r="CB2" s="54" t="s">
        <v>468</v>
      </c>
      <c r="CC2" s="54" t="s">
        <v>335</v>
      </c>
      <c r="CD2" s="54" t="s">
        <v>336</v>
      </c>
      <c r="CE2" s="54" t="s">
        <v>337</v>
      </c>
      <c r="CF2" s="54" t="s">
        <v>337</v>
      </c>
      <c r="CG2" s="54" t="s">
        <v>337</v>
      </c>
      <c r="CH2" s="54" t="s">
        <v>337</v>
      </c>
      <c r="CI2" s="54" t="s">
        <v>337</v>
      </c>
      <c r="CJ2" s="54" t="s">
        <v>337</v>
      </c>
      <c r="CK2" s="54" t="s">
        <v>337</v>
      </c>
      <c r="CL2" s="54" t="s">
        <v>337</v>
      </c>
      <c r="CM2" s="54" t="s">
        <v>338</v>
      </c>
      <c r="CN2" s="54" t="s">
        <v>339</v>
      </c>
      <c r="CO2" s="54" t="s">
        <v>339</v>
      </c>
      <c r="CP2" s="54" t="s">
        <v>339</v>
      </c>
      <c r="CQ2" s="54" t="s">
        <v>339</v>
      </c>
      <c r="CR2" s="54" t="s">
        <v>340</v>
      </c>
      <c r="CS2" s="54" t="s">
        <v>341</v>
      </c>
      <c r="CT2" s="54" t="s">
        <v>341</v>
      </c>
      <c r="CU2" s="54" t="s">
        <v>341</v>
      </c>
      <c r="CV2" s="54" t="s">
        <v>342</v>
      </c>
      <c r="CW2" s="54" t="s">
        <v>343</v>
      </c>
      <c r="CX2" s="54" t="s">
        <v>344</v>
      </c>
      <c r="CY2" s="54" t="s">
        <v>345</v>
      </c>
      <c r="CZ2" s="54" t="s">
        <v>345</v>
      </c>
      <c r="DA2" s="54" t="s">
        <v>346</v>
      </c>
      <c r="DB2" s="54" t="s">
        <v>347</v>
      </c>
      <c r="DC2" s="54" t="s">
        <v>347</v>
      </c>
      <c r="DD2" s="54" t="s">
        <v>347</v>
      </c>
      <c r="DE2" s="54" t="s">
        <v>348</v>
      </c>
      <c r="DF2" s="54" t="s">
        <v>348</v>
      </c>
      <c r="DG2" s="54" t="s">
        <v>349</v>
      </c>
      <c r="DH2" s="54" t="s">
        <v>349</v>
      </c>
      <c r="DI2" s="54" t="s">
        <v>349</v>
      </c>
      <c r="DJ2" s="54" t="s">
        <v>350</v>
      </c>
      <c r="DK2" s="54" t="s">
        <v>350</v>
      </c>
      <c r="DL2" s="54" t="s">
        <v>350</v>
      </c>
      <c r="DM2" s="54" t="s">
        <v>351</v>
      </c>
      <c r="DN2" s="54" t="s">
        <v>352</v>
      </c>
      <c r="DO2" s="54" t="s">
        <v>352</v>
      </c>
      <c r="DP2" s="54" t="s">
        <v>353</v>
      </c>
      <c r="DQ2" s="54" t="s">
        <v>353</v>
      </c>
      <c r="DR2" s="54" t="s">
        <v>353</v>
      </c>
      <c r="DS2" s="54" t="s">
        <v>354</v>
      </c>
      <c r="DT2" s="54" t="s">
        <v>355</v>
      </c>
      <c r="DU2" s="54" t="s">
        <v>356</v>
      </c>
      <c r="DV2" s="54" t="s">
        <v>357</v>
      </c>
      <c r="DW2" s="54" t="s">
        <v>358</v>
      </c>
      <c r="DX2" s="54" t="s">
        <v>358</v>
      </c>
      <c r="DY2" s="54" t="s">
        <v>358</v>
      </c>
      <c r="DZ2" s="54" t="s">
        <v>358</v>
      </c>
      <c r="EA2" s="54" t="s">
        <v>358</v>
      </c>
      <c r="EB2" s="54" t="s">
        <v>359</v>
      </c>
      <c r="EC2" s="54" t="s">
        <v>360</v>
      </c>
      <c r="ED2" s="54" t="s">
        <v>360</v>
      </c>
      <c r="EE2" s="54" t="s">
        <v>361</v>
      </c>
      <c r="EF2" s="54" t="s">
        <v>362</v>
      </c>
      <c r="EG2" s="54" t="s">
        <v>363</v>
      </c>
      <c r="EH2" s="54" t="s">
        <v>364</v>
      </c>
      <c r="EI2" s="54" t="s">
        <v>364</v>
      </c>
      <c r="EJ2" s="54" t="s">
        <v>364</v>
      </c>
      <c r="EK2" s="54" t="s">
        <v>365</v>
      </c>
      <c r="EL2" s="54" t="s">
        <v>365</v>
      </c>
      <c r="EM2" s="54" t="s">
        <v>366</v>
      </c>
      <c r="EN2" s="54" t="s">
        <v>366</v>
      </c>
      <c r="EO2" s="54" t="s">
        <v>366</v>
      </c>
      <c r="EP2" s="54" t="s">
        <v>367</v>
      </c>
      <c r="EQ2" s="54" t="s">
        <v>367</v>
      </c>
      <c r="ER2" s="54" t="s">
        <v>367</v>
      </c>
      <c r="ES2" s="54" t="s">
        <v>368</v>
      </c>
      <c r="ET2" s="54" t="s">
        <v>369</v>
      </c>
      <c r="EU2" s="54" t="s">
        <v>369</v>
      </c>
      <c r="EV2" s="54" t="s">
        <v>370</v>
      </c>
      <c r="EW2" s="54" t="s">
        <v>371</v>
      </c>
      <c r="EX2" s="54" t="s">
        <v>372</v>
      </c>
      <c r="EY2" s="54" t="s">
        <v>373</v>
      </c>
      <c r="EZ2" s="54" t="s">
        <v>374</v>
      </c>
      <c r="FA2" s="54" t="s">
        <v>375</v>
      </c>
    </row>
    <row r="3" spans="1:157" ht="51" x14ac:dyDescent="0.2">
      <c r="A3" s="196" t="s">
        <v>11</v>
      </c>
      <c r="B3" s="166" t="s">
        <v>12</v>
      </c>
      <c r="C3" s="167" t="s">
        <v>13</v>
      </c>
      <c r="D3" s="168" t="s">
        <v>14</v>
      </c>
      <c r="E3" s="185" t="s">
        <v>15</v>
      </c>
      <c r="F3" s="54" t="s">
        <v>376</v>
      </c>
      <c r="G3" s="54" t="s">
        <v>377</v>
      </c>
      <c r="H3" s="54" t="s">
        <v>377</v>
      </c>
      <c r="I3" s="54" t="s">
        <v>377</v>
      </c>
      <c r="J3" s="169" t="s">
        <v>378</v>
      </c>
      <c r="K3" s="169" t="s">
        <v>378</v>
      </c>
      <c r="L3" s="54" t="s">
        <v>379</v>
      </c>
      <c r="M3" s="54" t="s">
        <v>380</v>
      </c>
      <c r="N3" s="54" t="s">
        <v>381</v>
      </c>
      <c r="O3" s="54" t="s">
        <v>382</v>
      </c>
      <c r="P3" s="54" t="s">
        <v>382</v>
      </c>
      <c r="Q3" s="54" t="s">
        <v>382</v>
      </c>
      <c r="R3" s="54" t="s">
        <v>382</v>
      </c>
      <c r="S3" s="54" t="s">
        <v>382</v>
      </c>
      <c r="T3" s="54" t="s">
        <v>383</v>
      </c>
      <c r="U3" s="54" t="s">
        <v>383</v>
      </c>
      <c r="V3" s="54" t="s">
        <v>383</v>
      </c>
      <c r="W3" s="54" t="s">
        <v>384</v>
      </c>
      <c r="X3" s="29" t="s">
        <v>385</v>
      </c>
      <c r="Y3" s="29" t="s">
        <v>386</v>
      </c>
      <c r="Z3" s="29" t="s">
        <v>386</v>
      </c>
      <c r="AA3" s="29" t="s">
        <v>386</v>
      </c>
      <c r="AB3" s="54" t="s">
        <v>387</v>
      </c>
      <c r="AC3" s="54" t="s">
        <v>387</v>
      </c>
      <c r="AD3" s="54" t="s">
        <v>388</v>
      </c>
      <c r="AE3" s="54" t="s">
        <v>389</v>
      </c>
      <c r="AF3" s="54" t="s">
        <v>389</v>
      </c>
      <c r="AG3" s="54" t="s">
        <v>389</v>
      </c>
      <c r="AH3" s="54" t="s">
        <v>390</v>
      </c>
      <c r="AI3" s="54" t="s">
        <v>390</v>
      </c>
      <c r="AJ3" s="54" t="s">
        <v>390</v>
      </c>
      <c r="AK3" s="54" t="s">
        <v>391</v>
      </c>
      <c r="AL3" s="54" t="s">
        <v>392</v>
      </c>
      <c r="AM3" s="54" t="s">
        <v>392</v>
      </c>
      <c r="AN3" s="54" t="s">
        <v>392</v>
      </c>
      <c r="AO3" s="54" t="s">
        <v>393</v>
      </c>
      <c r="AP3" s="54" t="s">
        <v>394</v>
      </c>
      <c r="AQ3" s="54" t="s">
        <v>395</v>
      </c>
      <c r="AR3" s="54" t="s">
        <v>396</v>
      </c>
      <c r="AS3" s="54" t="s">
        <v>397</v>
      </c>
      <c r="AT3" s="54" t="s">
        <v>397</v>
      </c>
      <c r="AU3" s="54" t="s">
        <v>397</v>
      </c>
      <c r="AV3" s="54" t="s">
        <v>398</v>
      </c>
      <c r="AW3" s="54" t="s">
        <v>399</v>
      </c>
      <c r="AX3" s="54" t="s">
        <v>400</v>
      </c>
      <c r="AY3" s="54" t="s">
        <v>401</v>
      </c>
      <c r="AZ3" s="54" t="s">
        <v>402</v>
      </c>
      <c r="BA3" s="54" t="s">
        <v>402</v>
      </c>
      <c r="BB3" s="54" t="s">
        <v>402</v>
      </c>
      <c r="BC3" s="54" t="s">
        <v>403</v>
      </c>
      <c r="BD3" s="54" t="s">
        <v>404</v>
      </c>
      <c r="BE3" s="54" t="s">
        <v>404</v>
      </c>
      <c r="BF3" s="54" t="s">
        <v>405</v>
      </c>
      <c r="BG3" s="29" t="s">
        <v>406</v>
      </c>
      <c r="BH3" s="29" t="s">
        <v>406</v>
      </c>
      <c r="BI3" s="29" t="s">
        <v>406</v>
      </c>
      <c r="BJ3" s="29" t="s">
        <v>406</v>
      </c>
      <c r="BK3" s="54" t="s">
        <v>407</v>
      </c>
      <c r="BL3" s="54" t="s">
        <v>408</v>
      </c>
      <c r="BM3" s="54" t="s">
        <v>409</v>
      </c>
      <c r="BN3" s="54" t="s">
        <v>409</v>
      </c>
      <c r="BO3" s="54" t="s">
        <v>409</v>
      </c>
      <c r="BP3" s="54" t="s">
        <v>410</v>
      </c>
      <c r="BQ3" s="54" t="s">
        <v>411</v>
      </c>
      <c r="BR3" s="29" t="s">
        <v>412</v>
      </c>
      <c r="BS3" s="54" t="s">
        <v>412</v>
      </c>
      <c r="BT3" s="54" t="s">
        <v>413</v>
      </c>
      <c r="BU3" s="54" t="s">
        <v>414</v>
      </c>
      <c r="BV3" s="54" t="s">
        <v>415</v>
      </c>
      <c r="BW3" s="54" t="s">
        <v>415</v>
      </c>
      <c r="BX3" s="54" t="s">
        <v>415</v>
      </c>
      <c r="BY3" s="54" t="s">
        <v>416</v>
      </c>
      <c r="BZ3" s="54" t="s">
        <v>417</v>
      </c>
      <c r="CA3" s="54" t="s">
        <v>418</v>
      </c>
      <c r="CB3" s="54" t="s">
        <v>419</v>
      </c>
      <c r="CC3" s="54" t="s">
        <v>420</v>
      </c>
      <c r="CD3" s="54" t="s">
        <v>421</v>
      </c>
      <c r="CE3" s="54" t="s">
        <v>422</v>
      </c>
      <c r="CF3" s="54" t="s">
        <v>422</v>
      </c>
      <c r="CG3" s="54" t="s">
        <v>422</v>
      </c>
      <c r="CH3" s="54" t="s">
        <v>422</v>
      </c>
      <c r="CI3" s="54" t="s">
        <v>422</v>
      </c>
      <c r="CJ3" s="54" t="s">
        <v>422</v>
      </c>
      <c r="CK3" s="54" t="s">
        <v>422</v>
      </c>
      <c r="CL3" s="54" t="s">
        <v>422</v>
      </c>
      <c r="CM3" s="54" t="s">
        <v>423</v>
      </c>
      <c r="CN3" s="54" t="s">
        <v>424</v>
      </c>
      <c r="CO3" s="54" t="s">
        <v>424</v>
      </c>
      <c r="CP3" s="54" t="s">
        <v>424</v>
      </c>
      <c r="CQ3" s="54" t="s">
        <v>424</v>
      </c>
      <c r="CR3" s="54" t="s">
        <v>425</v>
      </c>
      <c r="CS3" s="54" t="s">
        <v>426</v>
      </c>
      <c r="CT3" s="54" t="s">
        <v>426</v>
      </c>
      <c r="CU3" s="54" t="s">
        <v>426</v>
      </c>
      <c r="CV3" s="54" t="s">
        <v>427</v>
      </c>
      <c r="CW3" s="54" t="s">
        <v>428</v>
      </c>
      <c r="CX3" s="54" t="s">
        <v>429</v>
      </c>
      <c r="CY3" s="54" t="s">
        <v>430</v>
      </c>
      <c r="CZ3" s="54" t="s">
        <v>430</v>
      </c>
      <c r="DA3" s="54" t="s">
        <v>431</v>
      </c>
      <c r="DB3" s="54" t="s">
        <v>432</v>
      </c>
      <c r="DC3" s="54" t="s">
        <v>432</v>
      </c>
      <c r="DD3" s="54" t="s">
        <v>432</v>
      </c>
      <c r="DE3" s="54" t="s">
        <v>433</v>
      </c>
      <c r="DF3" s="54" t="s">
        <v>433</v>
      </c>
      <c r="DG3" s="54" t="s">
        <v>434</v>
      </c>
      <c r="DH3" s="54" t="s">
        <v>434</v>
      </c>
      <c r="DI3" s="54" t="s">
        <v>434</v>
      </c>
      <c r="DJ3" s="54" t="s">
        <v>435</v>
      </c>
      <c r="DK3" s="54" t="s">
        <v>435</v>
      </c>
      <c r="DL3" s="54" t="s">
        <v>435</v>
      </c>
      <c r="DM3" s="54" t="s">
        <v>436</v>
      </c>
      <c r="DN3" s="54" t="s">
        <v>437</v>
      </c>
      <c r="DO3" s="54" t="s">
        <v>437</v>
      </c>
      <c r="DP3" s="54" t="s">
        <v>438</v>
      </c>
      <c r="DQ3" s="54" t="s">
        <v>438</v>
      </c>
      <c r="DR3" s="54" t="s">
        <v>438</v>
      </c>
      <c r="DS3" s="54" t="s">
        <v>439</v>
      </c>
      <c r="DT3" s="54" t="s">
        <v>440</v>
      </c>
      <c r="DU3" s="54" t="s">
        <v>441</v>
      </c>
      <c r="DV3" s="54" t="s">
        <v>442</v>
      </c>
      <c r="DW3" s="54" t="s">
        <v>443</v>
      </c>
      <c r="DX3" s="54" t="s">
        <v>443</v>
      </c>
      <c r="DY3" s="54" t="s">
        <v>443</v>
      </c>
      <c r="DZ3" s="54" t="s">
        <v>443</v>
      </c>
      <c r="EA3" s="54" t="s">
        <v>443</v>
      </c>
      <c r="EB3" s="54" t="s">
        <v>444</v>
      </c>
      <c r="EC3" s="54" t="s">
        <v>445</v>
      </c>
      <c r="ED3" s="54" t="s">
        <v>445</v>
      </c>
      <c r="EE3" s="54" t="s">
        <v>446</v>
      </c>
      <c r="EF3" s="54" t="s">
        <v>447</v>
      </c>
      <c r="EG3" s="54" t="s">
        <v>448</v>
      </c>
      <c r="EH3" s="54" t="s">
        <v>449</v>
      </c>
      <c r="EI3" s="54" t="s">
        <v>449</v>
      </c>
      <c r="EJ3" s="54" t="s">
        <v>449</v>
      </c>
      <c r="EK3" s="54" t="s">
        <v>450</v>
      </c>
      <c r="EL3" s="54" t="s">
        <v>450</v>
      </c>
      <c r="EM3" s="54" t="s">
        <v>451</v>
      </c>
      <c r="EN3" s="54" t="s">
        <v>451</v>
      </c>
      <c r="EO3" s="54" t="s">
        <v>451</v>
      </c>
      <c r="EP3" s="54" t="s">
        <v>452</v>
      </c>
      <c r="EQ3" s="54" t="s">
        <v>452</v>
      </c>
      <c r="ER3" s="54" t="s">
        <v>452</v>
      </c>
      <c r="ES3" s="54" t="s">
        <v>453</v>
      </c>
      <c r="ET3" s="54" t="s">
        <v>454</v>
      </c>
      <c r="EU3" s="54" t="s">
        <v>454</v>
      </c>
      <c r="EV3" s="54" t="s">
        <v>455</v>
      </c>
      <c r="EW3" s="54" t="s">
        <v>456</v>
      </c>
      <c r="EX3" s="54" t="s">
        <v>457</v>
      </c>
      <c r="EY3" s="54" t="s">
        <v>458</v>
      </c>
      <c r="EZ3" s="54" t="s">
        <v>459</v>
      </c>
      <c r="FA3" s="54" t="s">
        <v>460</v>
      </c>
    </row>
    <row r="4" spans="1:157" s="77" customFormat="1" x14ac:dyDescent="0.2">
      <c r="A4" s="194"/>
      <c r="B4" s="82"/>
      <c r="C4" s="199"/>
      <c r="D4" s="198"/>
      <c r="E4" s="555"/>
      <c r="F4" s="54"/>
      <c r="G4" s="54"/>
      <c r="H4" s="54"/>
      <c r="I4" s="54"/>
      <c r="J4" s="169"/>
      <c r="K4" s="169"/>
      <c r="L4" s="54"/>
      <c r="M4" s="54"/>
      <c r="N4" s="54"/>
      <c r="O4" s="54"/>
      <c r="P4" s="54"/>
      <c r="Q4" s="54"/>
      <c r="R4" s="54"/>
      <c r="S4" s="54"/>
      <c r="T4" s="54"/>
      <c r="U4" s="54"/>
      <c r="V4" s="54"/>
      <c r="W4" s="54"/>
      <c r="X4" s="29"/>
      <c r="Y4" s="29"/>
      <c r="Z4" s="29"/>
      <c r="AA4" s="29"/>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29"/>
      <c r="BH4" s="29"/>
      <c r="BI4" s="29"/>
      <c r="BJ4" s="29"/>
      <c r="BK4" s="54"/>
      <c r="BL4" s="54"/>
      <c r="BM4" s="54"/>
      <c r="BN4" s="54"/>
      <c r="BO4" s="54"/>
      <c r="BP4" s="54"/>
      <c r="BQ4" s="54"/>
      <c r="BR4" s="29"/>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row>
    <row r="5" spans="1:157" ht="124" customHeight="1" x14ac:dyDescent="0.2">
      <c r="A5" s="1205" t="s">
        <v>5</v>
      </c>
      <c r="B5" s="1206" t="s">
        <v>9479</v>
      </c>
      <c r="C5" s="167" t="s">
        <v>16</v>
      </c>
      <c r="D5" s="168" t="s">
        <v>17</v>
      </c>
      <c r="E5" s="185" t="s">
        <v>15</v>
      </c>
      <c r="F5" s="29" t="s">
        <v>991</v>
      </c>
      <c r="G5" s="29" t="s">
        <v>1019</v>
      </c>
      <c r="H5" s="662" t="s">
        <v>3582</v>
      </c>
      <c r="I5" s="29" t="s">
        <v>3597</v>
      </c>
      <c r="J5" s="29" t="s">
        <v>2013</v>
      </c>
      <c r="K5" s="29" t="s">
        <v>3191</v>
      </c>
      <c r="L5" s="29" t="s">
        <v>672</v>
      </c>
      <c r="M5" s="29" t="s">
        <v>3283</v>
      </c>
      <c r="N5" s="29" t="s">
        <v>1414</v>
      </c>
      <c r="O5" s="29" t="s">
        <v>1468</v>
      </c>
      <c r="P5" s="29" t="s">
        <v>3217</v>
      </c>
      <c r="Q5" s="29" t="s">
        <v>1498</v>
      </c>
      <c r="R5" s="29" t="s">
        <v>3232</v>
      </c>
      <c r="S5" s="54" t="s">
        <v>1520</v>
      </c>
      <c r="T5" s="29" t="s">
        <v>1885</v>
      </c>
      <c r="U5" s="29" t="s">
        <v>1917</v>
      </c>
      <c r="V5" s="29" t="s">
        <v>1917</v>
      </c>
      <c r="W5" s="54" t="s">
        <v>526</v>
      </c>
      <c r="X5" s="29" t="s">
        <v>3611</v>
      </c>
      <c r="Y5" s="29" t="s">
        <v>840</v>
      </c>
      <c r="Z5" s="29" t="s">
        <v>863</v>
      </c>
      <c r="AA5" s="29" t="s">
        <v>890</v>
      </c>
      <c r="AB5" s="29" t="s">
        <v>1785</v>
      </c>
      <c r="AC5" s="29" t="s">
        <v>1854</v>
      </c>
      <c r="AD5" s="29" t="s">
        <v>650</v>
      </c>
      <c r="AE5" s="662" t="s">
        <v>757</v>
      </c>
      <c r="AF5" s="54" t="s">
        <v>785</v>
      </c>
      <c r="AG5" s="29" t="s">
        <v>814</v>
      </c>
      <c r="AH5" s="29" t="s">
        <v>909</v>
      </c>
      <c r="AI5" s="29" t="s">
        <v>928</v>
      </c>
      <c r="AJ5" s="29" t="s">
        <v>945</v>
      </c>
      <c r="AK5" s="663"/>
      <c r="AL5" s="29" t="s">
        <v>3461</v>
      </c>
      <c r="AM5" s="29" t="s">
        <v>3485</v>
      </c>
      <c r="AN5" s="29" t="s">
        <v>1045</v>
      </c>
      <c r="AO5" s="29" t="s">
        <v>1348</v>
      </c>
      <c r="AP5" s="663"/>
      <c r="AQ5" s="48" t="s">
        <v>626</v>
      </c>
      <c r="AR5" s="663"/>
      <c r="AS5" s="29" t="s">
        <v>1956</v>
      </c>
      <c r="AT5" s="29" t="s">
        <v>1979</v>
      </c>
      <c r="AU5" s="29" t="s">
        <v>1979</v>
      </c>
      <c r="AV5" s="29" t="s">
        <v>715</v>
      </c>
      <c r="AW5" s="29" t="s">
        <v>1413</v>
      </c>
      <c r="AX5" s="663"/>
      <c r="AY5" s="663"/>
      <c r="AZ5" s="29" t="s">
        <v>1728</v>
      </c>
      <c r="BA5" s="29" t="s">
        <v>1757</v>
      </c>
      <c r="BB5" s="29" t="s">
        <v>1771</v>
      </c>
      <c r="BC5" s="48" t="s">
        <v>965</v>
      </c>
      <c r="BD5" s="29" t="s">
        <v>1803</v>
      </c>
      <c r="BE5" s="29" t="s">
        <v>1142</v>
      </c>
      <c r="BF5" s="48" t="s">
        <v>650</v>
      </c>
      <c r="BG5" s="29" t="s">
        <v>1044</v>
      </c>
      <c r="BH5" s="29" t="s">
        <v>1063</v>
      </c>
      <c r="BI5" s="29" t="s">
        <v>1063</v>
      </c>
      <c r="BJ5" s="29" t="s">
        <v>1104</v>
      </c>
      <c r="BK5" s="29" t="s">
        <v>1705</v>
      </c>
      <c r="BL5" s="101" t="s">
        <v>2094</v>
      </c>
      <c r="BM5" s="29" t="s">
        <v>1413</v>
      </c>
      <c r="BN5" s="54" t="s">
        <v>3557</v>
      </c>
      <c r="BO5" s="186" t="s">
        <v>1045</v>
      </c>
      <c r="BP5" s="29" t="s">
        <v>551</v>
      </c>
      <c r="BQ5" s="29" t="s">
        <v>3023</v>
      </c>
      <c r="BR5" s="29" t="s">
        <v>2127</v>
      </c>
      <c r="BS5" s="29" t="s">
        <v>2159</v>
      </c>
      <c r="BT5" s="29" t="s">
        <v>3567</v>
      </c>
      <c r="BU5" s="29" t="s">
        <v>606</v>
      </c>
      <c r="BV5" s="29" t="s">
        <v>1620</v>
      </c>
      <c r="BW5" s="29" t="s">
        <v>2994</v>
      </c>
      <c r="BX5" s="29" t="s">
        <v>2966</v>
      </c>
      <c r="BY5" s="663"/>
      <c r="BZ5" s="663"/>
      <c r="CA5" s="29" t="s">
        <v>1414</v>
      </c>
      <c r="CB5" s="48" t="s">
        <v>1117</v>
      </c>
      <c r="CC5" s="29" t="s">
        <v>1141</v>
      </c>
      <c r="CD5" s="29" t="s">
        <v>2176</v>
      </c>
      <c r="CE5" s="29" t="s">
        <v>1193</v>
      </c>
      <c r="CF5" s="29" t="s">
        <v>1232</v>
      </c>
      <c r="CG5" s="662" t="s">
        <v>1252</v>
      </c>
      <c r="CH5" s="29" t="s">
        <v>1255</v>
      </c>
      <c r="CI5" s="29" t="s">
        <v>1278</v>
      </c>
      <c r="CJ5" s="29" t="s">
        <v>1298</v>
      </c>
      <c r="CK5" s="54" t="s">
        <v>1311</v>
      </c>
      <c r="CL5" s="29" t="s">
        <v>840</v>
      </c>
      <c r="CM5" s="109" t="s">
        <v>1167</v>
      </c>
      <c r="CN5" s="29" t="s">
        <v>3142</v>
      </c>
      <c r="CO5" s="29" t="s">
        <v>3389</v>
      </c>
      <c r="CP5" s="29" t="s">
        <v>3389</v>
      </c>
      <c r="CQ5" s="29" t="s">
        <v>3169</v>
      </c>
      <c r="CR5" s="127" t="s">
        <v>1378</v>
      </c>
      <c r="CS5" s="29" t="s">
        <v>1045</v>
      </c>
      <c r="CT5" s="29" t="s">
        <v>3119</v>
      </c>
      <c r="CU5" s="29" t="s">
        <v>3106</v>
      </c>
      <c r="CV5" s="663"/>
      <c r="CW5" s="54" t="s">
        <v>3058</v>
      </c>
      <c r="CX5" s="664" t="s">
        <v>3237</v>
      </c>
      <c r="CY5" s="29" t="s">
        <v>1446</v>
      </c>
      <c r="CZ5" s="29" t="s">
        <v>1466</v>
      </c>
      <c r="DA5" s="29" t="s">
        <v>2878</v>
      </c>
      <c r="DB5" s="29" t="s">
        <v>2834</v>
      </c>
      <c r="DC5" s="29" t="s">
        <v>3634</v>
      </c>
      <c r="DD5" s="54" t="s">
        <v>2856</v>
      </c>
      <c r="DE5" s="29" t="s">
        <v>2600</v>
      </c>
      <c r="DF5" s="29" t="s">
        <v>3312</v>
      </c>
      <c r="DG5" s="127" t="s">
        <v>2684</v>
      </c>
      <c r="DH5" s="665" t="s">
        <v>2744</v>
      </c>
      <c r="DI5" s="127" t="s">
        <v>2712</v>
      </c>
      <c r="DJ5" s="666" t="s">
        <v>2771</v>
      </c>
      <c r="DK5" s="667" t="s">
        <v>1045</v>
      </c>
      <c r="DL5" s="29" t="s">
        <v>840</v>
      </c>
      <c r="DM5" s="127" t="s">
        <v>576</v>
      </c>
      <c r="DN5" s="29" t="s">
        <v>2644</v>
      </c>
      <c r="DO5" s="54" t="s">
        <v>2668</v>
      </c>
      <c r="DP5" s="147" t="s">
        <v>2508</v>
      </c>
      <c r="DQ5" s="148" t="s">
        <v>1045</v>
      </c>
      <c r="DR5" s="148" t="s">
        <v>2547</v>
      </c>
      <c r="DS5" s="29" t="s">
        <v>699</v>
      </c>
      <c r="DT5" s="29" t="s">
        <v>2906</v>
      </c>
      <c r="DU5" s="54" t="s">
        <v>469</v>
      </c>
      <c r="DV5" s="29" t="s">
        <v>2094</v>
      </c>
      <c r="DW5" s="54" t="s">
        <v>2401</v>
      </c>
      <c r="DX5" s="29" t="s">
        <v>2440</v>
      </c>
      <c r="DY5" s="29" t="s">
        <v>840</v>
      </c>
      <c r="DZ5" s="29" t="s">
        <v>2455</v>
      </c>
      <c r="EA5" s="54" t="s">
        <v>2427</v>
      </c>
      <c r="EB5" s="29" t="s">
        <v>2920</v>
      </c>
      <c r="EC5" s="29" t="s">
        <v>3408</v>
      </c>
      <c r="ED5" s="29" t="s">
        <v>3437</v>
      </c>
      <c r="EE5" s="54" t="s">
        <v>497</v>
      </c>
      <c r="EF5" s="29" t="s">
        <v>1256</v>
      </c>
      <c r="EG5" s="663"/>
      <c r="EH5" s="184" t="s">
        <v>2342</v>
      </c>
      <c r="EI5" s="186" t="s">
        <v>2387</v>
      </c>
      <c r="EJ5" s="186" t="s">
        <v>840</v>
      </c>
      <c r="EK5" s="29" t="s">
        <v>2288</v>
      </c>
      <c r="EL5" s="29" t="s">
        <v>2321</v>
      </c>
      <c r="EM5" s="186" t="s">
        <v>2205</v>
      </c>
      <c r="EN5" s="29" t="s">
        <v>2227</v>
      </c>
      <c r="EO5" s="29" t="s">
        <v>2253</v>
      </c>
      <c r="EP5" s="29" t="s">
        <v>1547</v>
      </c>
      <c r="EQ5" s="29" t="s">
        <v>1642</v>
      </c>
      <c r="ER5" s="29" t="s">
        <v>3675</v>
      </c>
      <c r="ES5" s="663"/>
      <c r="ET5" s="29" t="s">
        <v>3334</v>
      </c>
      <c r="EU5" s="127" t="s">
        <v>3363</v>
      </c>
      <c r="EV5" s="662" t="s">
        <v>1575</v>
      </c>
      <c r="EW5" s="29" t="s">
        <v>733</v>
      </c>
      <c r="EX5" s="29" t="s">
        <v>1413</v>
      </c>
      <c r="EY5" s="29" t="s">
        <v>2075</v>
      </c>
      <c r="EZ5" s="663"/>
      <c r="FA5" s="29" t="s">
        <v>1611</v>
      </c>
    </row>
    <row r="6" spans="1:157" ht="127" customHeight="1" x14ac:dyDescent="0.2">
      <c r="A6" s="1205"/>
      <c r="B6" s="1206"/>
      <c r="C6" s="167" t="s">
        <v>18</v>
      </c>
      <c r="D6" s="168" t="s">
        <v>19</v>
      </c>
      <c r="E6" s="185" t="s">
        <v>15</v>
      </c>
      <c r="F6" s="29" t="s">
        <v>992</v>
      </c>
      <c r="G6" s="29" t="s">
        <v>1019</v>
      </c>
      <c r="H6" s="662" t="s">
        <v>1045</v>
      </c>
      <c r="I6" s="29" t="s">
        <v>3597</v>
      </c>
      <c r="J6" s="29" t="s">
        <v>2014</v>
      </c>
      <c r="K6" s="29" t="s">
        <v>3192</v>
      </c>
      <c r="L6" s="29" t="s">
        <v>673</v>
      </c>
      <c r="M6" s="29"/>
      <c r="N6" s="51" t="s">
        <v>656</v>
      </c>
      <c r="O6" s="29" t="s">
        <v>1469</v>
      </c>
      <c r="P6" s="29" t="s">
        <v>3218</v>
      </c>
      <c r="Q6" s="29" t="s">
        <v>1499</v>
      </c>
      <c r="R6" s="29" t="s">
        <v>1482</v>
      </c>
      <c r="S6" s="54" t="s">
        <v>1521</v>
      </c>
      <c r="T6" s="29" t="s">
        <v>1886</v>
      </c>
      <c r="U6" s="29" t="s">
        <v>1918</v>
      </c>
      <c r="V6" s="29" t="s">
        <v>1948</v>
      </c>
      <c r="W6" s="54" t="s">
        <v>526</v>
      </c>
      <c r="X6" s="29" t="s">
        <v>3612</v>
      </c>
      <c r="Y6" s="29" t="s">
        <v>840</v>
      </c>
      <c r="Z6" s="29" t="s">
        <v>539</v>
      </c>
      <c r="AA6" s="29" t="s">
        <v>891</v>
      </c>
      <c r="AB6" s="29" t="s">
        <v>1786</v>
      </c>
      <c r="AC6" s="29" t="s">
        <v>1855</v>
      </c>
      <c r="AD6" s="29" t="s">
        <v>651</v>
      </c>
      <c r="AE6" s="662" t="s">
        <v>758</v>
      </c>
      <c r="AF6" s="54" t="s">
        <v>786</v>
      </c>
      <c r="AG6" s="29" t="s">
        <v>815</v>
      </c>
      <c r="AH6" s="29" t="s">
        <v>910</v>
      </c>
      <c r="AI6" s="29" t="s">
        <v>929</v>
      </c>
      <c r="AJ6" s="29" t="s">
        <v>946</v>
      </c>
      <c r="AK6" s="663"/>
      <c r="AL6" s="29" t="s">
        <v>1924</v>
      </c>
      <c r="AM6" s="29" t="s">
        <v>656</v>
      </c>
      <c r="AN6" s="29" t="s">
        <v>3508</v>
      </c>
      <c r="AO6" s="29" t="s">
        <v>1349</v>
      </c>
      <c r="AP6" s="663"/>
      <c r="AQ6" s="48" t="s">
        <v>627</v>
      </c>
      <c r="AR6" s="663"/>
      <c r="AS6" s="29" t="s">
        <v>1045</v>
      </c>
      <c r="AT6" s="29" t="s">
        <v>840</v>
      </c>
      <c r="AU6" s="29" t="s">
        <v>1999</v>
      </c>
      <c r="AV6" s="29" t="s">
        <v>716</v>
      </c>
      <c r="AW6" s="29" t="s">
        <v>2049</v>
      </c>
      <c r="AX6" s="663"/>
      <c r="AY6" s="663"/>
      <c r="AZ6" s="29" t="s">
        <v>1521</v>
      </c>
      <c r="BA6" s="29" t="s">
        <v>1758</v>
      </c>
      <c r="BB6" s="29" t="s">
        <v>1772</v>
      </c>
      <c r="BC6" s="48" t="s">
        <v>966</v>
      </c>
      <c r="BD6" s="29" t="s">
        <v>1772</v>
      </c>
      <c r="BE6" s="29" t="s">
        <v>1830</v>
      </c>
      <c r="BF6" s="48" t="s">
        <v>1671</v>
      </c>
      <c r="BG6" s="29" t="s">
        <v>1045</v>
      </c>
      <c r="BH6" s="29" t="s">
        <v>1064</v>
      </c>
      <c r="BI6" s="29" t="s">
        <v>1082</v>
      </c>
      <c r="BJ6" s="29" t="s">
        <v>1105</v>
      </c>
      <c r="BK6" s="29"/>
      <c r="BL6" s="101"/>
      <c r="BM6" s="29" t="s">
        <v>1413</v>
      </c>
      <c r="BN6" s="54" t="s">
        <v>3557</v>
      </c>
      <c r="BO6" s="186" t="s">
        <v>1045</v>
      </c>
      <c r="BP6" s="29" t="s">
        <v>552</v>
      </c>
      <c r="BQ6" s="29" t="s">
        <v>3024</v>
      </c>
      <c r="BR6" s="29" t="s">
        <v>2128</v>
      </c>
      <c r="BS6" s="29" t="s">
        <v>2128</v>
      </c>
      <c r="BT6" s="29" t="s">
        <v>3568</v>
      </c>
      <c r="BU6" s="29" t="s">
        <v>606</v>
      </c>
      <c r="BV6" s="29" t="s">
        <v>1620</v>
      </c>
      <c r="BW6" s="29" t="s">
        <v>1142</v>
      </c>
      <c r="BX6" s="29" t="s">
        <v>2967</v>
      </c>
      <c r="BY6" s="663"/>
      <c r="BZ6" s="663"/>
      <c r="CA6" s="29" t="s">
        <v>3260</v>
      </c>
      <c r="CB6" s="48" t="s">
        <v>1118</v>
      </c>
      <c r="CC6" s="29" t="s">
        <v>1142</v>
      </c>
      <c r="CD6" s="29" t="s">
        <v>2177</v>
      </c>
      <c r="CE6" s="29" t="s">
        <v>1194</v>
      </c>
      <c r="CF6" s="29" t="s">
        <v>470</v>
      </c>
      <c r="CG6" s="662" t="s">
        <v>470</v>
      </c>
      <c r="CH6" s="29" t="s">
        <v>1256</v>
      </c>
      <c r="CI6" s="29" t="s">
        <v>1279</v>
      </c>
      <c r="CJ6" s="29" t="s">
        <v>1299</v>
      </c>
      <c r="CK6" s="29" t="s">
        <v>1312</v>
      </c>
      <c r="CL6" s="29" t="s">
        <v>840</v>
      </c>
      <c r="CM6" s="110" t="s">
        <v>1168</v>
      </c>
      <c r="CN6" s="29" t="s">
        <v>3143</v>
      </c>
      <c r="CO6" s="29" t="s">
        <v>840</v>
      </c>
      <c r="CP6" s="29" t="s">
        <v>840</v>
      </c>
      <c r="CQ6" s="29" t="s">
        <v>3170</v>
      </c>
      <c r="CR6" s="127" t="s">
        <v>1379</v>
      </c>
      <c r="CS6" s="29" t="s">
        <v>1045</v>
      </c>
      <c r="CT6" s="29" t="s">
        <v>3120</v>
      </c>
      <c r="CU6" s="29" t="s">
        <v>3107</v>
      </c>
      <c r="CV6" s="663"/>
      <c r="CW6" s="54" t="s">
        <v>3059</v>
      </c>
      <c r="CX6" s="664" t="s">
        <v>3238</v>
      </c>
      <c r="CY6" s="29" t="s">
        <v>1447</v>
      </c>
      <c r="CZ6" s="29" t="s">
        <v>1447</v>
      </c>
      <c r="DA6" s="29" t="s">
        <v>2879</v>
      </c>
      <c r="DB6" s="29" t="s">
        <v>2094</v>
      </c>
      <c r="DC6" s="29" t="s">
        <v>3634</v>
      </c>
      <c r="DD6" s="54" t="s">
        <v>2856</v>
      </c>
      <c r="DE6" s="29" t="s">
        <v>2601</v>
      </c>
      <c r="DF6" s="29" t="s">
        <v>3312</v>
      </c>
      <c r="DG6" s="142" t="s">
        <v>2685</v>
      </c>
      <c r="DH6" s="668" t="s">
        <v>2745</v>
      </c>
      <c r="DI6" s="142" t="s">
        <v>2713</v>
      </c>
      <c r="DJ6" s="666" t="s">
        <v>2772</v>
      </c>
      <c r="DK6" s="667"/>
      <c r="DL6" s="29" t="s">
        <v>2799</v>
      </c>
      <c r="DM6" s="127" t="s">
        <v>577</v>
      </c>
      <c r="DN6" s="29" t="s">
        <v>2645</v>
      </c>
      <c r="DO6" s="54" t="s">
        <v>2669</v>
      </c>
      <c r="DP6" s="54" t="s">
        <v>2509</v>
      </c>
      <c r="DQ6" s="29" t="s">
        <v>1045</v>
      </c>
      <c r="DR6" s="29"/>
      <c r="DS6" s="29" t="s">
        <v>656</v>
      </c>
      <c r="DT6" s="29"/>
      <c r="DU6" s="29" t="s">
        <v>470</v>
      </c>
      <c r="DV6" s="29" t="s">
        <v>2479</v>
      </c>
      <c r="DW6" s="54" t="s">
        <v>2402</v>
      </c>
      <c r="DX6" s="29"/>
      <c r="DY6" s="29" t="s">
        <v>840</v>
      </c>
      <c r="DZ6" s="29"/>
      <c r="EA6" s="54" t="s">
        <v>1414</v>
      </c>
      <c r="EB6" s="29" t="s">
        <v>2921</v>
      </c>
      <c r="EC6" s="29" t="s">
        <v>3409</v>
      </c>
      <c r="ED6" s="29" t="s">
        <v>3438</v>
      </c>
      <c r="EE6" s="54" t="s">
        <v>498</v>
      </c>
      <c r="EF6" s="29" t="s">
        <v>1256</v>
      </c>
      <c r="EG6" s="663"/>
      <c r="EH6" s="186" t="s">
        <v>656</v>
      </c>
      <c r="EI6" s="186" t="s">
        <v>656</v>
      </c>
      <c r="EJ6" s="186" t="s">
        <v>840</v>
      </c>
      <c r="EK6" s="29" t="s">
        <v>2289</v>
      </c>
      <c r="EL6" s="29" t="s">
        <v>2322</v>
      </c>
      <c r="EM6" s="186"/>
      <c r="EN6" s="29" t="s">
        <v>2228</v>
      </c>
      <c r="EO6" s="29" t="s">
        <v>2254</v>
      </c>
      <c r="EP6" s="29" t="s">
        <v>656</v>
      </c>
      <c r="EQ6" s="29" t="s">
        <v>1643</v>
      </c>
      <c r="ER6" s="29" t="s">
        <v>3676</v>
      </c>
      <c r="ES6" s="663"/>
      <c r="ET6" s="29" t="s">
        <v>3334</v>
      </c>
      <c r="EU6" s="128" t="s">
        <v>1414</v>
      </c>
      <c r="EV6" s="662" t="s">
        <v>656</v>
      </c>
      <c r="EW6" s="29"/>
      <c r="EX6" s="29" t="s">
        <v>1414</v>
      </c>
      <c r="EY6" s="29" t="s">
        <v>2075</v>
      </c>
      <c r="EZ6" s="663"/>
      <c r="FA6" s="29" t="s">
        <v>1612</v>
      </c>
    </row>
    <row r="7" spans="1:157" ht="119" x14ac:dyDescent="0.2">
      <c r="A7" s="196" t="s">
        <v>6</v>
      </c>
      <c r="B7" s="165" t="s">
        <v>20</v>
      </c>
      <c r="C7" s="167" t="s">
        <v>21</v>
      </c>
      <c r="D7" s="168" t="s">
        <v>22</v>
      </c>
      <c r="E7" s="185" t="s">
        <v>23</v>
      </c>
      <c r="F7" s="30">
        <v>2018</v>
      </c>
      <c r="G7" s="30">
        <v>2018</v>
      </c>
      <c r="H7" s="669">
        <v>2020</v>
      </c>
      <c r="I7" s="30">
        <v>2017</v>
      </c>
      <c r="J7" s="30">
        <v>2017</v>
      </c>
      <c r="K7" s="30">
        <v>2020</v>
      </c>
      <c r="L7" s="30">
        <v>2018</v>
      </c>
      <c r="M7" s="30">
        <v>2022</v>
      </c>
      <c r="N7" s="29">
        <v>2019</v>
      </c>
      <c r="O7" s="30">
        <v>2015</v>
      </c>
      <c r="P7" s="30">
        <v>2022</v>
      </c>
      <c r="Q7" s="30">
        <v>2017</v>
      </c>
      <c r="R7" s="30">
        <v>2022</v>
      </c>
      <c r="S7" s="66">
        <v>2014</v>
      </c>
      <c r="T7" s="30" t="s">
        <v>1887</v>
      </c>
      <c r="U7" s="30">
        <v>2019</v>
      </c>
      <c r="V7" s="30">
        <v>2018</v>
      </c>
      <c r="W7" s="30" t="s">
        <v>527</v>
      </c>
      <c r="X7" s="30">
        <v>2014</v>
      </c>
      <c r="Y7" s="30">
        <v>2017</v>
      </c>
      <c r="Z7" s="30">
        <v>2015</v>
      </c>
      <c r="AA7" s="30">
        <v>2013</v>
      </c>
      <c r="AB7" s="30">
        <v>2022</v>
      </c>
      <c r="AC7" s="30">
        <v>2019</v>
      </c>
      <c r="AD7" s="30">
        <v>2015</v>
      </c>
      <c r="AE7" s="669">
        <v>2018</v>
      </c>
      <c r="AF7" s="66">
        <v>2015</v>
      </c>
      <c r="AG7" s="30">
        <v>2020</v>
      </c>
      <c r="AH7" s="30">
        <v>2022</v>
      </c>
      <c r="AI7" s="30">
        <v>2019</v>
      </c>
      <c r="AJ7" s="30">
        <v>2020</v>
      </c>
      <c r="AK7" s="663"/>
      <c r="AL7" s="30">
        <v>2020</v>
      </c>
      <c r="AM7" s="30">
        <v>2019</v>
      </c>
      <c r="AN7" s="30">
        <v>2020</v>
      </c>
      <c r="AO7" s="30">
        <v>2019</v>
      </c>
      <c r="AP7" s="663"/>
      <c r="AQ7" s="72">
        <v>2011</v>
      </c>
      <c r="AR7" s="663"/>
      <c r="AS7" s="30">
        <v>2019</v>
      </c>
      <c r="AT7" s="30">
        <v>2017</v>
      </c>
      <c r="AU7" s="30">
        <v>2011</v>
      </c>
      <c r="AV7" s="72">
        <v>2019</v>
      </c>
      <c r="AW7" s="30">
        <v>2017</v>
      </c>
      <c r="AX7" s="663"/>
      <c r="AY7" s="663"/>
      <c r="AZ7" s="30">
        <v>2014</v>
      </c>
      <c r="BA7" s="30">
        <v>2018</v>
      </c>
      <c r="BB7" s="30">
        <v>2020</v>
      </c>
      <c r="BC7" s="72">
        <v>2019</v>
      </c>
      <c r="BD7" s="30">
        <v>2014</v>
      </c>
      <c r="BE7" s="30">
        <v>2010</v>
      </c>
      <c r="BF7" s="72">
        <v>2017</v>
      </c>
      <c r="BG7" s="30">
        <v>2020</v>
      </c>
      <c r="BH7" s="30">
        <v>2017</v>
      </c>
      <c r="BI7" s="30">
        <v>2015</v>
      </c>
      <c r="BJ7" s="30">
        <v>2017</v>
      </c>
      <c r="BK7" s="30">
        <v>2020</v>
      </c>
      <c r="BL7" s="670">
        <v>2017</v>
      </c>
      <c r="BM7" s="30">
        <v>2022</v>
      </c>
      <c r="BN7" s="30">
        <v>2017</v>
      </c>
      <c r="BO7" s="671">
        <v>2020</v>
      </c>
      <c r="BP7" s="30">
        <v>2017</v>
      </c>
      <c r="BQ7" s="30" t="s">
        <v>1887</v>
      </c>
      <c r="BR7" s="30">
        <v>2013</v>
      </c>
      <c r="BS7" s="30" t="s">
        <v>1313</v>
      </c>
      <c r="BT7" s="30">
        <v>2018</v>
      </c>
      <c r="BU7" s="30">
        <v>2021</v>
      </c>
      <c r="BV7" s="30">
        <v>2017</v>
      </c>
      <c r="BW7" s="30" t="s">
        <v>1548</v>
      </c>
      <c r="BX7" s="30" t="s">
        <v>2968</v>
      </c>
      <c r="BY7" s="663"/>
      <c r="BZ7" s="663"/>
      <c r="CA7" s="30">
        <v>2020</v>
      </c>
      <c r="CB7" s="72">
        <v>2017</v>
      </c>
      <c r="CC7" s="30">
        <v>2017</v>
      </c>
      <c r="CD7" s="30" t="s">
        <v>2178</v>
      </c>
      <c r="CE7" s="30">
        <v>2019</v>
      </c>
      <c r="CF7" s="30">
        <v>2020</v>
      </c>
      <c r="CG7" s="669">
        <v>2020</v>
      </c>
      <c r="CH7" s="30">
        <v>2019</v>
      </c>
      <c r="CI7" s="30">
        <v>2022</v>
      </c>
      <c r="CJ7" s="30">
        <v>2018</v>
      </c>
      <c r="CK7" s="30" t="s">
        <v>1313</v>
      </c>
      <c r="CL7" s="30" t="s">
        <v>1327</v>
      </c>
      <c r="CM7" s="111">
        <v>2017</v>
      </c>
      <c r="CN7" s="30">
        <v>2021</v>
      </c>
      <c r="CO7" s="30">
        <v>2018</v>
      </c>
      <c r="CP7" s="30">
        <v>2018</v>
      </c>
      <c r="CQ7" s="30">
        <v>2020</v>
      </c>
      <c r="CR7" s="128">
        <v>2017</v>
      </c>
      <c r="CS7" s="30">
        <v>2014</v>
      </c>
      <c r="CT7" s="30">
        <v>2018</v>
      </c>
      <c r="CU7" s="30">
        <v>2018</v>
      </c>
      <c r="CV7" s="663"/>
      <c r="CW7" s="66">
        <v>2017</v>
      </c>
      <c r="CX7" s="672">
        <v>2021</v>
      </c>
      <c r="CY7" s="30">
        <v>2021</v>
      </c>
      <c r="CZ7" s="30">
        <v>2019</v>
      </c>
      <c r="DA7" s="30">
        <v>2020</v>
      </c>
      <c r="DB7" s="30">
        <v>2017</v>
      </c>
      <c r="DC7" s="30">
        <v>2018</v>
      </c>
      <c r="DD7" s="66">
        <v>2017</v>
      </c>
      <c r="DE7" s="30">
        <v>2017</v>
      </c>
      <c r="DF7" s="30">
        <v>2020</v>
      </c>
      <c r="DG7" s="128" t="s">
        <v>2686</v>
      </c>
      <c r="DH7" s="673">
        <v>2022</v>
      </c>
      <c r="DI7" s="128" t="s">
        <v>2714</v>
      </c>
      <c r="DJ7" s="674">
        <v>2017</v>
      </c>
      <c r="DK7" s="667">
        <v>2019</v>
      </c>
      <c r="DL7" s="128">
        <v>2018</v>
      </c>
      <c r="DM7" s="128">
        <v>2017</v>
      </c>
      <c r="DN7" s="30" t="s">
        <v>527</v>
      </c>
      <c r="DO7" s="30" t="s">
        <v>1327</v>
      </c>
      <c r="DP7" s="66">
        <v>2017</v>
      </c>
      <c r="DQ7" s="30">
        <v>2019</v>
      </c>
      <c r="DR7" s="30">
        <v>2017</v>
      </c>
      <c r="DS7" s="30">
        <v>2017</v>
      </c>
      <c r="DT7" s="31" t="s">
        <v>2907</v>
      </c>
      <c r="DU7" s="30">
        <v>2018</v>
      </c>
      <c r="DV7" s="30">
        <v>2007</v>
      </c>
      <c r="DW7" s="66">
        <v>2012</v>
      </c>
      <c r="DX7" s="30">
        <v>2020</v>
      </c>
      <c r="DY7" s="30">
        <v>2018</v>
      </c>
      <c r="DZ7" s="30">
        <v>2020</v>
      </c>
      <c r="EA7" s="66">
        <v>2022</v>
      </c>
      <c r="EB7" s="30">
        <v>2014</v>
      </c>
      <c r="EC7" s="30">
        <v>2013</v>
      </c>
      <c r="ED7" s="30">
        <v>2021</v>
      </c>
      <c r="EE7" s="66">
        <v>2018</v>
      </c>
      <c r="EF7" s="30">
        <v>2011</v>
      </c>
      <c r="EG7" s="663"/>
      <c r="EH7" s="671">
        <v>2020</v>
      </c>
      <c r="EI7" s="675">
        <v>2022</v>
      </c>
      <c r="EJ7" s="675" t="s">
        <v>2363</v>
      </c>
      <c r="EK7" s="30">
        <v>2019</v>
      </c>
      <c r="EL7" s="30">
        <v>2020</v>
      </c>
      <c r="EM7" s="671">
        <v>2022</v>
      </c>
      <c r="EN7" s="30">
        <v>2017</v>
      </c>
      <c r="EO7" s="30">
        <v>2015</v>
      </c>
      <c r="EP7" s="30" t="s">
        <v>1548</v>
      </c>
      <c r="EQ7" s="30">
        <v>2016</v>
      </c>
      <c r="ER7" s="30">
        <v>2019</v>
      </c>
      <c r="ES7" s="663"/>
      <c r="ET7" s="30">
        <v>2019</v>
      </c>
      <c r="EU7" s="129">
        <v>44218</v>
      </c>
      <c r="EV7" s="669" t="s">
        <v>1576</v>
      </c>
      <c r="EW7" s="30">
        <v>2021</v>
      </c>
      <c r="EX7" s="30">
        <v>2017</v>
      </c>
      <c r="EY7" s="30">
        <v>2019</v>
      </c>
      <c r="EZ7" s="663"/>
      <c r="FA7" s="30">
        <v>2017</v>
      </c>
    </row>
    <row r="8" spans="1:157" ht="119" x14ac:dyDescent="0.2">
      <c r="A8" s="1205" t="s">
        <v>7</v>
      </c>
      <c r="B8" s="1207" t="s">
        <v>24</v>
      </c>
      <c r="C8" s="1208" t="s">
        <v>25</v>
      </c>
      <c r="D8" s="1204" t="s">
        <v>26</v>
      </c>
      <c r="E8" s="185" t="s">
        <v>27</v>
      </c>
      <c r="F8" s="31">
        <v>44618</v>
      </c>
      <c r="G8" s="31" t="s">
        <v>1020</v>
      </c>
      <c r="H8" s="158" t="s">
        <v>3583</v>
      </c>
      <c r="I8" s="31" t="s">
        <v>1020</v>
      </c>
      <c r="J8" s="31">
        <v>44378</v>
      </c>
      <c r="K8" s="70">
        <v>44440</v>
      </c>
      <c r="L8" s="31">
        <v>44593</v>
      </c>
      <c r="M8" s="31" t="s">
        <v>3284</v>
      </c>
      <c r="N8" s="31" t="s">
        <v>864</v>
      </c>
      <c r="O8" s="53">
        <v>44570</v>
      </c>
      <c r="P8" s="31">
        <v>44559</v>
      </c>
      <c r="Q8" s="31">
        <v>44440</v>
      </c>
      <c r="R8" s="31">
        <v>44559</v>
      </c>
      <c r="S8" s="31" t="s">
        <v>1522</v>
      </c>
      <c r="T8" s="31" t="s">
        <v>1888</v>
      </c>
      <c r="U8" s="31" t="s">
        <v>1919</v>
      </c>
      <c r="V8" s="31" t="s">
        <v>1919</v>
      </c>
      <c r="W8" s="31" t="s">
        <v>528</v>
      </c>
      <c r="X8" s="31" t="s">
        <v>3613</v>
      </c>
      <c r="Y8" s="31">
        <v>44562</v>
      </c>
      <c r="Z8" s="31" t="s">
        <v>864</v>
      </c>
      <c r="AA8" s="31" t="s">
        <v>578</v>
      </c>
      <c r="AB8" s="31">
        <v>44790</v>
      </c>
      <c r="AC8" s="31">
        <v>44663</v>
      </c>
      <c r="AD8" s="31" t="s">
        <v>652</v>
      </c>
      <c r="AE8" s="158" t="s">
        <v>759</v>
      </c>
      <c r="AF8" s="70">
        <v>44512</v>
      </c>
      <c r="AG8" s="31">
        <v>44287</v>
      </c>
      <c r="AH8" s="31">
        <v>44562</v>
      </c>
      <c r="AI8" s="31">
        <v>44679</v>
      </c>
      <c r="AJ8" s="31">
        <v>43831</v>
      </c>
      <c r="AK8" s="663"/>
      <c r="AL8" s="31">
        <v>44545</v>
      </c>
      <c r="AM8" s="31">
        <v>44312</v>
      </c>
      <c r="AN8" s="31">
        <v>44573</v>
      </c>
      <c r="AO8" s="31" t="s">
        <v>1350</v>
      </c>
      <c r="AP8" s="663"/>
      <c r="AQ8" s="47" t="s">
        <v>628</v>
      </c>
      <c r="AR8" s="663"/>
      <c r="AS8" s="31">
        <v>44562</v>
      </c>
      <c r="AT8" s="31">
        <v>44562</v>
      </c>
      <c r="AU8" s="31">
        <v>44562</v>
      </c>
      <c r="AV8" s="31">
        <v>44361</v>
      </c>
      <c r="AW8" s="31">
        <v>44348</v>
      </c>
      <c r="AX8" s="663"/>
      <c r="AY8" s="663"/>
      <c r="AZ8" s="31">
        <v>44666</v>
      </c>
      <c r="BA8" s="31">
        <v>44743</v>
      </c>
      <c r="BB8" s="31">
        <v>44696</v>
      </c>
      <c r="BC8" s="31">
        <v>44228</v>
      </c>
      <c r="BD8" s="31">
        <v>44410</v>
      </c>
      <c r="BE8" s="31">
        <v>44287</v>
      </c>
      <c r="BF8" s="54" t="s">
        <v>1672</v>
      </c>
      <c r="BG8" s="31">
        <v>44713</v>
      </c>
      <c r="BH8" s="31">
        <v>44840</v>
      </c>
      <c r="BI8" s="31" t="s">
        <v>1083</v>
      </c>
      <c r="BJ8" s="31">
        <v>44562</v>
      </c>
      <c r="BK8" s="31">
        <v>44645</v>
      </c>
      <c r="BL8" s="676">
        <v>44462</v>
      </c>
      <c r="BM8" s="31">
        <v>44862</v>
      </c>
      <c r="BN8" s="31">
        <v>44562</v>
      </c>
      <c r="BO8" s="677">
        <v>44652</v>
      </c>
      <c r="BP8" s="31" t="s">
        <v>553</v>
      </c>
      <c r="BQ8" s="31">
        <v>44636</v>
      </c>
      <c r="BR8" s="31" t="s">
        <v>1195</v>
      </c>
      <c r="BS8" s="31" t="s">
        <v>2160</v>
      </c>
      <c r="BT8" s="31">
        <v>44562</v>
      </c>
      <c r="BU8" s="31" t="s">
        <v>607</v>
      </c>
      <c r="BV8" s="31">
        <v>44217</v>
      </c>
      <c r="BW8" s="31" t="s">
        <v>2995</v>
      </c>
      <c r="BX8" s="31" t="s">
        <v>2969</v>
      </c>
      <c r="BY8" s="663"/>
      <c r="BZ8" s="663"/>
      <c r="CA8" s="31" t="s">
        <v>3261</v>
      </c>
      <c r="CB8" s="47">
        <v>44562</v>
      </c>
      <c r="CC8" s="31">
        <v>44570</v>
      </c>
      <c r="CD8" s="31">
        <v>44480</v>
      </c>
      <c r="CE8" s="31" t="s">
        <v>1195</v>
      </c>
      <c r="CF8" s="31">
        <v>44197</v>
      </c>
      <c r="CG8" s="158" t="s">
        <v>1253</v>
      </c>
      <c r="CH8" s="31">
        <v>44381</v>
      </c>
      <c r="CI8" s="31">
        <v>44420</v>
      </c>
      <c r="CJ8" s="31">
        <v>44415</v>
      </c>
      <c r="CK8" s="31" t="s">
        <v>1195</v>
      </c>
      <c r="CL8" s="31" t="s">
        <v>1328</v>
      </c>
      <c r="CM8" s="112" t="s">
        <v>1169</v>
      </c>
      <c r="CN8" s="31">
        <v>44467</v>
      </c>
      <c r="CO8" s="80" t="s">
        <v>3390</v>
      </c>
      <c r="CP8" s="80" t="s">
        <v>3390</v>
      </c>
      <c r="CQ8" s="31">
        <v>44692</v>
      </c>
      <c r="CR8" s="129" t="s">
        <v>1380</v>
      </c>
      <c r="CS8" s="31" t="s">
        <v>3088</v>
      </c>
      <c r="CT8" s="31" t="s">
        <v>3121</v>
      </c>
      <c r="CU8" s="31"/>
      <c r="CV8" s="663"/>
      <c r="CW8" s="53">
        <v>44197</v>
      </c>
      <c r="CX8" s="678">
        <v>44220</v>
      </c>
      <c r="CY8" s="31">
        <v>44403</v>
      </c>
      <c r="CZ8" s="31">
        <v>44562</v>
      </c>
      <c r="DA8" s="31" t="s">
        <v>2880</v>
      </c>
      <c r="DB8" s="31">
        <v>44564</v>
      </c>
      <c r="DC8" s="31"/>
      <c r="DD8" s="53">
        <v>44474</v>
      </c>
      <c r="DE8" s="31">
        <v>44440</v>
      </c>
      <c r="DF8" s="141">
        <v>44835</v>
      </c>
      <c r="DG8" s="129" t="s">
        <v>2687</v>
      </c>
      <c r="DH8" s="679">
        <v>44440</v>
      </c>
      <c r="DI8" s="129">
        <v>44440</v>
      </c>
      <c r="DJ8" s="680" t="s">
        <v>2773</v>
      </c>
      <c r="DK8" s="667" t="s">
        <v>2817</v>
      </c>
      <c r="DL8" s="129">
        <v>44593</v>
      </c>
      <c r="DM8" s="129" t="s">
        <v>578</v>
      </c>
      <c r="DN8" s="31">
        <v>44470</v>
      </c>
      <c r="DO8" s="31">
        <v>44378</v>
      </c>
      <c r="DP8" s="31" t="s">
        <v>2510</v>
      </c>
      <c r="DQ8" s="31">
        <v>44470</v>
      </c>
      <c r="DR8" s="31" t="s">
        <v>578</v>
      </c>
      <c r="DS8" s="31">
        <v>44456</v>
      </c>
      <c r="DT8" s="31" t="s">
        <v>2908</v>
      </c>
      <c r="DU8" s="31" t="s">
        <v>471</v>
      </c>
      <c r="DV8" s="31">
        <v>44317</v>
      </c>
      <c r="DW8" s="681">
        <v>44713</v>
      </c>
      <c r="DX8" s="31">
        <v>44562</v>
      </c>
      <c r="DY8" s="31">
        <v>44440</v>
      </c>
      <c r="DZ8" s="31" t="s">
        <v>578</v>
      </c>
      <c r="EA8" s="681">
        <v>44609</v>
      </c>
      <c r="EB8" s="31" t="s">
        <v>2922</v>
      </c>
      <c r="EC8" s="31">
        <v>44197</v>
      </c>
      <c r="ED8" s="31">
        <v>44593</v>
      </c>
      <c r="EE8" s="31">
        <v>44440</v>
      </c>
      <c r="EF8" s="31">
        <v>44209</v>
      </c>
      <c r="EG8" s="663"/>
      <c r="EH8" s="677">
        <v>44328</v>
      </c>
      <c r="EI8" s="186" t="s">
        <v>2364</v>
      </c>
      <c r="EJ8" s="186" t="s">
        <v>2364</v>
      </c>
      <c r="EK8" s="31" t="s">
        <v>2290</v>
      </c>
      <c r="EL8" s="31" t="s">
        <v>2323</v>
      </c>
      <c r="EM8" s="677">
        <v>44562</v>
      </c>
      <c r="EN8" s="31" t="s">
        <v>2229</v>
      </c>
      <c r="EO8" s="43">
        <v>44452</v>
      </c>
      <c r="EP8" s="31" t="s">
        <v>864</v>
      </c>
      <c r="EQ8" s="31">
        <v>44562</v>
      </c>
      <c r="ER8" s="31">
        <v>44562</v>
      </c>
      <c r="ES8" s="663"/>
      <c r="ET8" s="31"/>
      <c r="EU8" s="129">
        <v>44561</v>
      </c>
      <c r="EV8" s="158" t="s">
        <v>1577</v>
      </c>
      <c r="EW8" s="31">
        <v>44621</v>
      </c>
      <c r="EX8" s="141">
        <v>44562</v>
      </c>
      <c r="EY8" s="31">
        <v>44608</v>
      </c>
      <c r="EZ8" s="663"/>
      <c r="FA8" s="31">
        <v>44312</v>
      </c>
    </row>
    <row r="9" spans="1:157" ht="120" customHeight="1" x14ac:dyDescent="0.2">
      <c r="A9" s="1205"/>
      <c r="B9" s="1207"/>
      <c r="C9" s="1208"/>
      <c r="D9" s="1204"/>
      <c r="E9" s="185" t="s">
        <v>28</v>
      </c>
      <c r="F9" s="31" t="s">
        <v>993</v>
      </c>
      <c r="G9" s="31" t="s">
        <v>554</v>
      </c>
      <c r="H9" s="158" t="s">
        <v>3584</v>
      </c>
      <c r="I9" s="31" t="s">
        <v>554</v>
      </c>
      <c r="J9" s="31">
        <v>44926</v>
      </c>
      <c r="K9" s="43">
        <v>44925</v>
      </c>
      <c r="L9" s="31">
        <v>44926</v>
      </c>
      <c r="M9" s="31" t="s">
        <v>3285</v>
      </c>
      <c r="N9" s="31" t="s">
        <v>1863</v>
      </c>
      <c r="O9" s="53">
        <v>44926</v>
      </c>
      <c r="P9" s="31">
        <v>44706</v>
      </c>
      <c r="Q9" s="31">
        <v>44926</v>
      </c>
      <c r="R9" s="31">
        <v>44706</v>
      </c>
      <c r="S9" s="31" t="s">
        <v>1523</v>
      </c>
      <c r="T9" s="31" t="s">
        <v>1889</v>
      </c>
      <c r="U9" s="31" t="s">
        <v>1920</v>
      </c>
      <c r="V9" s="31" t="s">
        <v>1949</v>
      </c>
      <c r="W9" s="31" t="s">
        <v>472</v>
      </c>
      <c r="X9" s="31" t="s">
        <v>993</v>
      </c>
      <c r="Y9" s="31">
        <v>44926</v>
      </c>
      <c r="Z9" s="31" t="s">
        <v>865</v>
      </c>
      <c r="AA9" s="31" t="s">
        <v>892</v>
      </c>
      <c r="AB9" s="31">
        <v>45627</v>
      </c>
      <c r="AC9" s="31">
        <v>45627</v>
      </c>
      <c r="AD9" s="31">
        <v>44926</v>
      </c>
      <c r="AE9" s="158" t="s">
        <v>760</v>
      </c>
      <c r="AF9" s="70">
        <v>44920</v>
      </c>
      <c r="AG9" s="31" t="s">
        <v>816</v>
      </c>
      <c r="AH9" s="31">
        <v>44926</v>
      </c>
      <c r="AI9" s="31">
        <v>44925</v>
      </c>
      <c r="AJ9" s="31">
        <v>44196</v>
      </c>
      <c r="AK9" s="663"/>
      <c r="AL9" s="31">
        <v>44866</v>
      </c>
      <c r="AM9" s="31">
        <v>44346</v>
      </c>
      <c r="AN9" s="31">
        <v>44580</v>
      </c>
      <c r="AO9" s="31" t="s">
        <v>472</v>
      </c>
      <c r="AP9" s="663"/>
      <c r="AQ9" s="47">
        <v>44925</v>
      </c>
      <c r="AR9" s="663"/>
      <c r="AS9" s="31">
        <v>44926</v>
      </c>
      <c r="AT9" s="31">
        <v>44926</v>
      </c>
      <c r="AU9" s="31">
        <v>44926</v>
      </c>
      <c r="AV9" s="31">
        <v>44926</v>
      </c>
      <c r="AW9" s="31">
        <v>44923</v>
      </c>
      <c r="AX9" s="663"/>
      <c r="AY9" s="663"/>
      <c r="AZ9" s="31">
        <v>44926</v>
      </c>
      <c r="BA9" s="31">
        <v>44926</v>
      </c>
      <c r="BB9" s="31">
        <v>44926</v>
      </c>
      <c r="BC9" s="31">
        <v>44866</v>
      </c>
      <c r="BD9" s="31">
        <v>44926</v>
      </c>
      <c r="BE9" s="31">
        <v>44926</v>
      </c>
      <c r="BF9" s="54" t="s">
        <v>1673</v>
      </c>
      <c r="BG9" s="31">
        <v>44925</v>
      </c>
      <c r="BH9" s="31">
        <v>44924</v>
      </c>
      <c r="BI9" s="31" t="s">
        <v>865</v>
      </c>
      <c r="BJ9" s="31">
        <v>44926</v>
      </c>
      <c r="BK9" s="31">
        <v>44924</v>
      </c>
      <c r="BL9" s="679">
        <v>44918</v>
      </c>
      <c r="BM9" s="31">
        <v>44896</v>
      </c>
      <c r="BN9" s="31">
        <v>44926</v>
      </c>
      <c r="BO9" s="677">
        <v>44926</v>
      </c>
      <c r="BP9" s="31" t="s">
        <v>554</v>
      </c>
      <c r="BQ9" s="31">
        <v>44926</v>
      </c>
      <c r="BR9" s="31" t="s">
        <v>865</v>
      </c>
      <c r="BS9" s="31" t="s">
        <v>472</v>
      </c>
      <c r="BT9" s="31">
        <v>44926</v>
      </c>
      <c r="BU9" s="31" t="s">
        <v>554</v>
      </c>
      <c r="BV9" s="31">
        <v>44926</v>
      </c>
      <c r="BW9" s="31" t="s">
        <v>2996</v>
      </c>
      <c r="BX9" s="31" t="s">
        <v>865</v>
      </c>
      <c r="BY9" s="663"/>
      <c r="BZ9" s="663"/>
      <c r="CA9" s="31" t="s">
        <v>1314</v>
      </c>
      <c r="CB9" s="47">
        <v>44926</v>
      </c>
      <c r="CC9" s="31">
        <v>44920</v>
      </c>
      <c r="CD9" s="31">
        <v>44920</v>
      </c>
      <c r="CE9" s="31" t="s">
        <v>816</v>
      </c>
      <c r="CF9" s="31" t="s">
        <v>865</v>
      </c>
      <c r="CG9" s="158" t="s">
        <v>865</v>
      </c>
      <c r="CH9" s="31">
        <v>44920</v>
      </c>
      <c r="CI9" s="31">
        <v>44895</v>
      </c>
      <c r="CJ9" s="31">
        <v>44920</v>
      </c>
      <c r="CK9" s="31" t="s">
        <v>1314</v>
      </c>
      <c r="CL9" s="31" t="s">
        <v>865</v>
      </c>
      <c r="CM9" s="112" t="s">
        <v>554</v>
      </c>
      <c r="CN9" s="31">
        <v>44926</v>
      </c>
      <c r="CO9" s="80" t="s">
        <v>3391</v>
      </c>
      <c r="CP9" s="80" t="s">
        <v>3391</v>
      </c>
      <c r="CQ9" s="31">
        <v>44767</v>
      </c>
      <c r="CR9" s="129" t="s">
        <v>554</v>
      </c>
      <c r="CS9" s="31" t="s">
        <v>865</v>
      </c>
      <c r="CT9" s="31">
        <v>44926</v>
      </c>
      <c r="CU9" s="31"/>
      <c r="CV9" s="663"/>
      <c r="CW9" s="53">
        <v>44926</v>
      </c>
      <c r="CX9" s="678">
        <v>44926</v>
      </c>
      <c r="CY9" s="31">
        <v>44925</v>
      </c>
      <c r="CZ9" s="31">
        <v>44925</v>
      </c>
      <c r="DA9" s="31" t="s">
        <v>2881</v>
      </c>
      <c r="DB9" s="31" t="s">
        <v>2835</v>
      </c>
      <c r="DC9" s="31"/>
      <c r="DD9" s="53">
        <v>44926</v>
      </c>
      <c r="DE9" s="31">
        <v>44926</v>
      </c>
      <c r="DF9" s="141">
        <v>44866</v>
      </c>
      <c r="DG9" s="129" t="s">
        <v>865</v>
      </c>
      <c r="DH9" s="679">
        <v>44926</v>
      </c>
      <c r="DI9" s="129">
        <v>44910</v>
      </c>
      <c r="DJ9" s="680" t="s">
        <v>2774</v>
      </c>
      <c r="DK9" s="667" t="s">
        <v>2818</v>
      </c>
      <c r="DL9" s="129">
        <v>44866</v>
      </c>
      <c r="DM9" s="129" t="s">
        <v>554</v>
      </c>
      <c r="DN9" s="31">
        <v>44926</v>
      </c>
      <c r="DO9" s="31">
        <v>44926</v>
      </c>
      <c r="DP9" s="53">
        <v>44926</v>
      </c>
      <c r="DQ9" s="31">
        <v>44726</v>
      </c>
      <c r="DR9" s="31" t="s">
        <v>554</v>
      </c>
      <c r="DS9" s="31" t="s">
        <v>700</v>
      </c>
      <c r="DT9" s="31" t="s">
        <v>2909</v>
      </c>
      <c r="DU9" s="31" t="s">
        <v>472</v>
      </c>
      <c r="DV9" s="31">
        <v>44926</v>
      </c>
      <c r="DW9" s="681">
        <v>44896</v>
      </c>
      <c r="DX9" s="31">
        <v>44926</v>
      </c>
      <c r="DY9" s="31">
        <v>44651</v>
      </c>
      <c r="DZ9" s="31" t="s">
        <v>554</v>
      </c>
      <c r="EA9" s="681">
        <v>44926</v>
      </c>
      <c r="EB9" s="31" t="s">
        <v>2923</v>
      </c>
      <c r="EC9" s="31">
        <v>44915</v>
      </c>
      <c r="ED9" s="31" t="s">
        <v>993</v>
      </c>
      <c r="EE9" s="31">
        <v>44926</v>
      </c>
      <c r="EF9" s="31" t="s">
        <v>3644</v>
      </c>
      <c r="EG9" s="663"/>
      <c r="EH9" s="677" t="s">
        <v>865</v>
      </c>
      <c r="EI9" s="186" t="s">
        <v>865</v>
      </c>
      <c r="EJ9" s="186" t="s">
        <v>865</v>
      </c>
      <c r="EK9" s="31" t="s">
        <v>554</v>
      </c>
      <c r="EL9" s="31">
        <v>44926</v>
      </c>
      <c r="EM9" s="677">
        <v>44926</v>
      </c>
      <c r="EN9" s="31" t="s">
        <v>2230</v>
      </c>
      <c r="EO9" s="43">
        <v>44866</v>
      </c>
      <c r="EP9" s="31" t="s">
        <v>865</v>
      </c>
      <c r="EQ9" s="31" t="s">
        <v>865</v>
      </c>
      <c r="ER9" s="31" t="s">
        <v>865</v>
      </c>
      <c r="ES9" s="663"/>
      <c r="ET9" s="31">
        <v>44707</v>
      </c>
      <c r="EU9" s="127" t="s">
        <v>3364</v>
      </c>
      <c r="EV9" s="158" t="s">
        <v>1578</v>
      </c>
      <c r="EW9" s="31">
        <v>44926</v>
      </c>
      <c r="EX9" s="141">
        <v>44926</v>
      </c>
      <c r="EY9" s="31">
        <v>44926</v>
      </c>
      <c r="EZ9" s="663"/>
      <c r="FA9" s="31">
        <v>44910</v>
      </c>
    </row>
    <row r="10" spans="1:157" ht="123" customHeight="1" x14ac:dyDescent="0.2">
      <c r="A10" s="1205" t="s">
        <v>8</v>
      </c>
      <c r="B10" s="1207" t="s">
        <v>29</v>
      </c>
      <c r="C10" s="167" t="s">
        <v>30</v>
      </c>
      <c r="D10" s="168" t="s">
        <v>31</v>
      </c>
      <c r="E10" s="185" t="s">
        <v>15</v>
      </c>
      <c r="F10" s="29" t="s">
        <v>470</v>
      </c>
      <c r="G10" s="29" t="s">
        <v>1021</v>
      </c>
      <c r="H10" s="662" t="s">
        <v>3585</v>
      </c>
      <c r="I10" s="29" t="s">
        <v>3598</v>
      </c>
      <c r="J10" s="29" t="s">
        <v>2015</v>
      </c>
      <c r="K10" s="29" t="s">
        <v>3193</v>
      </c>
      <c r="L10" s="29" t="s">
        <v>674</v>
      </c>
      <c r="M10" s="29" t="s">
        <v>3286</v>
      </c>
      <c r="N10" s="29" t="s">
        <v>1864</v>
      </c>
      <c r="O10" s="54" t="s">
        <v>1470</v>
      </c>
      <c r="P10" s="29" t="s">
        <v>3219</v>
      </c>
      <c r="Q10" s="29" t="s">
        <v>1500</v>
      </c>
      <c r="R10" s="29" t="s">
        <v>3233</v>
      </c>
      <c r="S10" s="29" t="s">
        <v>1524</v>
      </c>
      <c r="T10" s="29" t="s">
        <v>1890</v>
      </c>
      <c r="U10" s="29" t="s">
        <v>1921</v>
      </c>
      <c r="V10" s="29" t="s">
        <v>1950</v>
      </c>
      <c r="W10" s="29" t="s">
        <v>529</v>
      </c>
      <c r="X10" s="29" t="s">
        <v>3614</v>
      </c>
      <c r="Y10" s="29" t="s">
        <v>841</v>
      </c>
      <c r="Z10" s="29" t="s">
        <v>866</v>
      </c>
      <c r="AA10" s="29" t="s">
        <v>893</v>
      </c>
      <c r="AB10" s="29" t="s">
        <v>1787</v>
      </c>
      <c r="AC10" s="29" t="s">
        <v>1787</v>
      </c>
      <c r="AD10" s="29" t="s">
        <v>653</v>
      </c>
      <c r="AE10" s="662" t="s">
        <v>761</v>
      </c>
      <c r="AF10" s="54" t="s">
        <v>9484</v>
      </c>
      <c r="AG10" s="29" t="s">
        <v>817</v>
      </c>
      <c r="AH10" s="29" t="s">
        <v>911</v>
      </c>
      <c r="AI10" s="29"/>
      <c r="AJ10" s="29" t="s">
        <v>947</v>
      </c>
      <c r="AK10" s="663"/>
      <c r="AL10" s="29" t="s">
        <v>3462</v>
      </c>
      <c r="AM10" s="29" t="s">
        <v>3486</v>
      </c>
      <c r="AN10" s="29" t="s">
        <v>3509</v>
      </c>
      <c r="AO10" s="29" t="s">
        <v>1351</v>
      </c>
      <c r="AP10" s="663"/>
      <c r="AQ10" s="48" t="s">
        <v>629</v>
      </c>
      <c r="AR10" s="663"/>
      <c r="AS10" s="54" t="s">
        <v>1957</v>
      </c>
      <c r="AT10" s="54" t="s">
        <v>1980</v>
      </c>
      <c r="AU10" s="29" t="s">
        <v>2000</v>
      </c>
      <c r="AV10" s="29" t="s">
        <v>717</v>
      </c>
      <c r="AW10" s="29" t="s">
        <v>2050</v>
      </c>
      <c r="AX10" s="663"/>
      <c r="AY10" s="663"/>
      <c r="AZ10" s="29" t="s">
        <v>1729</v>
      </c>
      <c r="BA10" s="29" t="s">
        <v>1729</v>
      </c>
      <c r="BB10" s="29" t="s">
        <v>1729</v>
      </c>
      <c r="BC10" s="29" t="s">
        <v>967</v>
      </c>
      <c r="BD10" s="54" t="s">
        <v>1804</v>
      </c>
      <c r="BE10" s="29" t="s">
        <v>1831</v>
      </c>
      <c r="BF10" s="54" t="s">
        <v>1674</v>
      </c>
      <c r="BG10" s="29" t="s">
        <v>1046</v>
      </c>
      <c r="BH10" s="29" t="s">
        <v>1065</v>
      </c>
      <c r="BI10" s="29" t="s">
        <v>1084</v>
      </c>
      <c r="BJ10" s="29" t="s">
        <v>1106</v>
      </c>
      <c r="BK10" s="29" t="s">
        <v>1706</v>
      </c>
      <c r="BL10" s="101" t="s">
        <v>2095</v>
      </c>
      <c r="BM10" s="29" t="s">
        <v>3533</v>
      </c>
      <c r="BN10" s="54" t="s">
        <v>3557</v>
      </c>
      <c r="BO10" s="186" t="s">
        <v>3547</v>
      </c>
      <c r="BP10" s="29" t="s">
        <v>470</v>
      </c>
      <c r="BQ10" s="29" t="s">
        <v>470</v>
      </c>
      <c r="BR10" s="29" t="s">
        <v>2129</v>
      </c>
      <c r="BS10" s="29" t="s">
        <v>2161</v>
      </c>
      <c r="BT10" s="29" t="s">
        <v>3569</v>
      </c>
      <c r="BU10" s="29" t="s">
        <v>608</v>
      </c>
      <c r="BV10" s="29" t="s">
        <v>2938</v>
      </c>
      <c r="BW10" s="29" t="s">
        <v>2997</v>
      </c>
      <c r="BX10" s="29" t="s">
        <v>2970</v>
      </c>
      <c r="BY10" s="663"/>
      <c r="BZ10" s="663"/>
      <c r="CA10" s="29" t="s">
        <v>3262</v>
      </c>
      <c r="CB10" s="48" t="s">
        <v>1119</v>
      </c>
      <c r="CC10" s="29" t="s">
        <v>1143</v>
      </c>
      <c r="CD10" s="29"/>
      <c r="CE10" s="29" t="s">
        <v>1196</v>
      </c>
      <c r="CF10" s="29" t="s">
        <v>1233</v>
      </c>
      <c r="CG10" s="662" t="s">
        <v>1233</v>
      </c>
      <c r="CH10" s="29" t="s">
        <v>1257</v>
      </c>
      <c r="CI10" s="29" t="s">
        <v>1280</v>
      </c>
      <c r="CJ10" s="29" t="s">
        <v>1300</v>
      </c>
      <c r="CK10" s="29" t="s">
        <v>1315</v>
      </c>
      <c r="CL10" s="29" t="s">
        <v>1329</v>
      </c>
      <c r="CM10" s="110" t="s">
        <v>1170</v>
      </c>
      <c r="CN10" s="29" t="s">
        <v>3144</v>
      </c>
      <c r="CO10" s="29" t="s">
        <v>9513</v>
      </c>
      <c r="CP10" s="29" t="s">
        <v>9514</v>
      </c>
      <c r="CQ10" s="29" t="s">
        <v>3171</v>
      </c>
      <c r="CR10" s="127" t="s">
        <v>9515</v>
      </c>
      <c r="CS10" s="29" t="s">
        <v>3089</v>
      </c>
      <c r="CT10" s="29" t="s">
        <v>3122</v>
      </c>
      <c r="CU10" s="29" t="s">
        <v>656</v>
      </c>
      <c r="CV10" s="663"/>
      <c r="CW10" s="53" t="s">
        <v>3060</v>
      </c>
      <c r="CX10" s="664" t="s">
        <v>3239</v>
      </c>
      <c r="CY10" s="29" t="s">
        <v>1448</v>
      </c>
      <c r="CZ10" s="29" t="s">
        <v>1467</v>
      </c>
      <c r="DA10" s="29" t="s">
        <v>1482</v>
      </c>
      <c r="DB10" s="169" t="s">
        <v>2836</v>
      </c>
      <c r="DC10" s="29" t="s">
        <v>3635</v>
      </c>
      <c r="DD10" s="54" t="s">
        <v>2857</v>
      </c>
      <c r="DE10" s="29" t="s">
        <v>2602</v>
      </c>
      <c r="DF10" s="29" t="s">
        <v>3313</v>
      </c>
      <c r="DG10" s="127" t="s">
        <v>2688</v>
      </c>
      <c r="DH10" s="665" t="s">
        <v>2746</v>
      </c>
      <c r="DI10" s="127" t="s">
        <v>2715</v>
      </c>
      <c r="DJ10" s="666" t="s">
        <v>2775</v>
      </c>
      <c r="DK10" s="667" t="s">
        <v>2819</v>
      </c>
      <c r="DL10" s="29" t="s">
        <v>2800</v>
      </c>
      <c r="DM10" s="127" t="s">
        <v>576</v>
      </c>
      <c r="DN10" s="29" t="s">
        <v>2646</v>
      </c>
      <c r="DO10" s="29" t="s">
        <v>2646</v>
      </c>
      <c r="DP10" s="54" t="s">
        <v>2511</v>
      </c>
      <c r="DQ10" s="29" t="s">
        <v>2584</v>
      </c>
      <c r="DR10" s="29" t="s">
        <v>2548</v>
      </c>
      <c r="DS10" s="29" t="s">
        <v>701</v>
      </c>
      <c r="DT10" s="29"/>
      <c r="DU10" s="30" t="s">
        <v>473</v>
      </c>
      <c r="DV10" s="29" t="s">
        <v>2480</v>
      </c>
      <c r="DW10" s="54" t="s">
        <v>2403</v>
      </c>
      <c r="DX10" s="29" t="s">
        <v>2441</v>
      </c>
      <c r="DY10" s="29" t="s">
        <v>2464</v>
      </c>
      <c r="DZ10" s="29" t="s">
        <v>2456</v>
      </c>
      <c r="EA10" s="54" t="s">
        <v>2428</v>
      </c>
      <c r="EB10" s="29" t="s">
        <v>2924</v>
      </c>
      <c r="EC10" s="29" t="s">
        <v>3410</v>
      </c>
      <c r="ED10" s="29" t="s">
        <v>3439</v>
      </c>
      <c r="EE10" s="54" t="s">
        <v>499</v>
      </c>
      <c r="EF10" s="29" t="s">
        <v>470</v>
      </c>
      <c r="EG10" s="663"/>
      <c r="EH10" s="184" t="s">
        <v>2343</v>
      </c>
      <c r="EI10" s="186" t="s">
        <v>656</v>
      </c>
      <c r="EJ10" s="186" t="s">
        <v>2365</v>
      </c>
      <c r="EK10" s="29" t="s">
        <v>2291</v>
      </c>
      <c r="EL10" s="29" t="s">
        <v>2291</v>
      </c>
      <c r="EM10" s="186" t="s">
        <v>2205</v>
      </c>
      <c r="EN10" s="29" t="s">
        <v>2231</v>
      </c>
      <c r="EO10" s="29" t="s">
        <v>2255</v>
      </c>
      <c r="EP10" s="29" t="s">
        <v>1549</v>
      </c>
      <c r="EQ10" s="29" t="s">
        <v>1644</v>
      </c>
      <c r="ER10" s="29" t="s">
        <v>3677</v>
      </c>
      <c r="ES10" s="663"/>
      <c r="ET10" s="29" t="s">
        <v>3335</v>
      </c>
      <c r="EU10" s="127" t="s">
        <v>3365</v>
      </c>
      <c r="EV10" s="662" t="s">
        <v>656</v>
      </c>
      <c r="EW10" s="29" t="s">
        <v>734</v>
      </c>
      <c r="EX10" s="29" t="s">
        <v>1415</v>
      </c>
      <c r="EY10" s="29" t="s">
        <v>2076</v>
      </c>
      <c r="EZ10" s="663"/>
      <c r="FA10" s="29" t="s">
        <v>1613</v>
      </c>
    </row>
    <row r="11" spans="1:157" ht="149" customHeight="1" x14ac:dyDescent="0.2">
      <c r="A11" s="1205"/>
      <c r="B11" s="1207"/>
      <c r="C11" s="1208" t="s">
        <v>32</v>
      </c>
      <c r="D11" s="1204" t="s">
        <v>33</v>
      </c>
      <c r="E11" s="185" t="s">
        <v>15</v>
      </c>
      <c r="F11" s="29" t="s">
        <v>470</v>
      </c>
      <c r="G11" s="29" t="s">
        <v>1022</v>
      </c>
      <c r="H11" s="662" t="s">
        <v>3586</v>
      </c>
      <c r="I11" s="29" t="s">
        <v>3599</v>
      </c>
      <c r="J11" s="29" t="s">
        <v>2016</v>
      </c>
      <c r="K11" s="29" t="s">
        <v>3194</v>
      </c>
      <c r="L11" s="29" t="s">
        <v>675</v>
      </c>
      <c r="M11" s="29" t="s">
        <v>3287</v>
      </c>
      <c r="N11" s="29" t="s">
        <v>1865</v>
      </c>
      <c r="O11" s="54" t="s">
        <v>1471</v>
      </c>
      <c r="P11" s="29" t="s">
        <v>3220</v>
      </c>
      <c r="Q11" s="29" t="s">
        <v>1501</v>
      </c>
      <c r="R11" s="29" t="s">
        <v>3220</v>
      </c>
      <c r="S11" s="29" t="s">
        <v>1525</v>
      </c>
      <c r="T11" s="31" t="s">
        <v>1890</v>
      </c>
      <c r="U11" s="29" t="s">
        <v>1922</v>
      </c>
      <c r="V11" s="29" t="s">
        <v>1951</v>
      </c>
      <c r="W11" s="29" t="s">
        <v>530</v>
      </c>
      <c r="X11" s="29" t="s">
        <v>3615</v>
      </c>
      <c r="Y11" s="29" t="s">
        <v>842</v>
      </c>
      <c r="Z11" s="29" t="s">
        <v>867</v>
      </c>
      <c r="AA11" s="29" t="s">
        <v>894</v>
      </c>
      <c r="AB11" s="29" t="s">
        <v>1788</v>
      </c>
      <c r="AC11" s="29" t="s">
        <v>1788</v>
      </c>
      <c r="AD11" s="29" t="s">
        <v>654</v>
      </c>
      <c r="AE11" s="662" t="s">
        <v>762</v>
      </c>
      <c r="AF11" s="54" t="s">
        <v>787</v>
      </c>
      <c r="AG11" s="29" t="s">
        <v>818</v>
      </c>
      <c r="AH11" s="29" t="s">
        <v>912</v>
      </c>
      <c r="AI11" s="29"/>
      <c r="AJ11" s="29" t="s">
        <v>945</v>
      </c>
      <c r="AK11" s="663"/>
      <c r="AL11" s="29" t="s">
        <v>3463</v>
      </c>
      <c r="AM11" s="29" t="s">
        <v>3487</v>
      </c>
      <c r="AN11" s="29" t="s">
        <v>3510</v>
      </c>
      <c r="AO11" s="29" t="s">
        <v>1352</v>
      </c>
      <c r="AP11" s="663"/>
      <c r="AQ11" s="48" t="s">
        <v>630</v>
      </c>
      <c r="AR11" s="663"/>
      <c r="AS11" s="54" t="s">
        <v>1958</v>
      </c>
      <c r="AT11" s="60" t="s">
        <v>9485</v>
      </c>
      <c r="AU11" s="29" t="s">
        <v>2001</v>
      </c>
      <c r="AV11" s="29" t="s">
        <v>718</v>
      </c>
      <c r="AW11" s="29" t="s">
        <v>2051</v>
      </c>
      <c r="AX11" s="663"/>
      <c r="AY11" s="663"/>
      <c r="AZ11" s="29" t="s">
        <v>1730</v>
      </c>
      <c r="BA11" s="29" t="s">
        <v>1730</v>
      </c>
      <c r="BB11" s="29" t="s">
        <v>1773</v>
      </c>
      <c r="BC11" s="29" t="s">
        <v>968</v>
      </c>
      <c r="BD11" s="29" t="s">
        <v>1805</v>
      </c>
      <c r="BE11" s="29" t="s">
        <v>1832</v>
      </c>
      <c r="BF11" s="29" t="s">
        <v>1675</v>
      </c>
      <c r="BG11" s="29" t="s">
        <v>1046</v>
      </c>
      <c r="BH11" s="29" t="s">
        <v>1066</v>
      </c>
      <c r="BI11" s="29" t="s">
        <v>1085</v>
      </c>
      <c r="BJ11" s="29" t="s">
        <v>1106</v>
      </c>
      <c r="BK11" s="29" t="s">
        <v>1707</v>
      </c>
      <c r="BL11" s="101" t="s">
        <v>2096</v>
      </c>
      <c r="BM11" s="29" t="s">
        <v>3534</v>
      </c>
      <c r="BN11" s="54" t="s">
        <v>3558</v>
      </c>
      <c r="BO11" s="186" t="s">
        <v>3548</v>
      </c>
      <c r="BP11" s="29" t="s">
        <v>470</v>
      </c>
      <c r="BQ11" s="29" t="s">
        <v>470</v>
      </c>
      <c r="BR11" s="29" t="s">
        <v>2130</v>
      </c>
      <c r="BS11" s="29" t="s">
        <v>2130</v>
      </c>
      <c r="BT11" s="29" t="s">
        <v>3570</v>
      </c>
      <c r="BU11" s="29" t="s">
        <v>609</v>
      </c>
      <c r="BV11" s="29" t="s">
        <v>2939</v>
      </c>
      <c r="BW11" s="29" t="s">
        <v>2998</v>
      </c>
      <c r="BX11" s="29" t="s">
        <v>2971</v>
      </c>
      <c r="BY11" s="663"/>
      <c r="BZ11" s="663"/>
      <c r="CA11" s="29" t="s">
        <v>3263</v>
      </c>
      <c r="CB11" s="48" t="s">
        <v>1120</v>
      </c>
      <c r="CC11" s="29" t="s">
        <v>1144</v>
      </c>
      <c r="CD11" s="29"/>
      <c r="CE11" s="29" t="s">
        <v>1197</v>
      </c>
      <c r="CF11" s="29" t="s">
        <v>1234</v>
      </c>
      <c r="CG11" s="662" t="s">
        <v>1234</v>
      </c>
      <c r="CH11" s="29" t="s">
        <v>1258</v>
      </c>
      <c r="CI11" s="29" t="s">
        <v>1281</v>
      </c>
      <c r="CJ11" s="29" t="s">
        <v>1281</v>
      </c>
      <c r="CK11" s="29" t="s">
        <v>1281</v>
      </c>
      <c r="CL11" s="29" t="s">
        <v>1330</v>
      </c>
      <c r="CM11" s="110" t="s">
        <v>1171</v>
      </c>
      <c r="CN11" s="29" t="s">
        <v>3145</v>
      </c>
      <c r="CO11" s="29" t="s">
        <v>3392</v>
      </c>
      <c r="CP11" s="29" t="s">
        <v>3392</v>
      </c>
      <c r="CQ11" s="29" t="s">
        <v>3172</v>
      </c>
      <c r="CR11" s="127" t="s">
        <v>1381</v>
      </c>
      <c r="CS11" s="29" t="s">
        <v>3090</v>
      </c>
      <c r="CT11" s="29" t="s">
        <v>3123</v>
      </c>
      <c r="CU11" s="29" t="s">
        <v>656</v>
      </c>
      <c r="CV11" s="663"/>
      <c r="CW11" s="29" t="s">
        <v>3061</v>
      </c>
      <c r="CX11" s="664" t="s">
        <v>3240</v>
      </c>
      <c r="CY11" s="29" t="s">
        <v>1449</v>
      </c>
      <c r="CZ11" s="29" t="s">
        <v>1449</v>
      </c>
      <c r="DA11" s="29" t="s">
        <v>1482</v>
      </c>
      <c r="DB11" s="29" t="s">
        <v>2837</v>
      </c>
      <c r="DC11" s="29" t="s">
        <v>3636</v>
      </c>
      <c r="DD11" s="54" t="s">
        <v>2858</v>
      </c>
      <c r="DE11" s="29" t="s">
        <v>2603</v>
      </c>
      <c r="DF11" s="29" t="s">
        <v>3314</v>
      </c>
      <c r="DG11" s="127" t="s">
        <v>2689</v>
      </c>
      <c r="DH11" s="665"/>
      <c r="DI11" s="127" t="s">
        <v>2689</v>
      </c>
      <c r="DJ11" s="666" t="s">
        <v>2776</v>
      </c>
      <c r="DK11" s="667" t="s">
        <v>2820</v>
      </c>
      <c r="DL11" s="127" t="s">
        <v>2801</v>
      </c>
      <c r="DM11" s="127" t="s">
        <v>576</v>
      </c>
      <c r="DN11" s="54" t="s">
        <v>2647</v>
      </c>
      <c r="DO11" s="54" t="s">
        <v>2670</v>
      </c>
      <c r="DP11" s="54" t="s">
        <v>2512</v>
      </c>
      <c r="DQ11" s="29" t="s">
        <v>2585</v>
      </c>
      <c r="DR11" s="29" t="s">
        <v>2549</v>
      </c>
      <c r="DS11" s="29" t="s">
        <v>656</v>
      </c>
      <c r="DT11" s="29" t="s">
        <v>2910</v>
      </c>
      <c r="DU11" s="29" t="s">
        <v>474</v>
      </c>
      <c r="DV11" s="29" t="s">
        <v>2481</v>
      </c>
      <c r="DW11" s="54" t="s">
        <v>2404</v>
      </c>
      <c r="DX11" s="29" t="s">
        <v>2442</v>
      </c>
      <c r="DY11" s="29" t="s">
        <v>2465</v>
      </c>
      <c r="DZ11" s="29" t="s">
        <v>2442</v>
      </c>
      <c r="EA11" s="54" t="s">
        <v>2404</v>
      </c>
      <c r="EB11" s="29" t="s">
        <v>2925</v>
      </c>
      <c r="EC11" s="29" t="s">
        <v>3411</v>
      </c>
      <c r="ED11" s="29" t="s">
        <v>3440</v>
      </c>
      <c r="EE11" s="29" t="s">
        <v>500</v>
      </c>
      <c r="EF11" s="29" t="s">
        <v>470</v>
      </c>
      <c r="EG11" s="663"/>
      <c r="EH11" s="186" t="s">
        <v>2344</v>
      </c>
      <c r="EI11" s="186" t="s">
        <v>656</v>
      </c>
      <c r="EJ11" s="186" t="s">
        <v>2366</v>
      </c>
      <c r="EK11" s="29" t="s">
        <v>2292</v>
      </c>
      <c r="EL11" s="29" t="s">
        <v>2324</v>
      </c>
      <c r="EM11" s="186" t="s">
        <v>2206</v>
      </c>
      <c r="EN11" s="29" t="s">
        <v>2232</v>
      </c>
      <c r="EO11" s="29" t="s">
        <v>2256</v>
      </c>
      <c r="EP11" s="29" t="s">
        <v>1550</v>
      </c>
      <c r="EQ11" s="29" t="s">
        <v>1645</v>
      </c>
      <c r="ER11" s="29" t="s">
        <v>3678</v>
      </c>
      <c r="ES11" s="663"/>
      <c r="ET11" s="29" t="s">
        <v>3336</v>
      </c>
      <c r="EU11" s="173" t="s">
        <v>3366</v>
      </c>
      <c r="EV11" s="662" t="s">
        <v>656</v>
      </c>
      <c r="EW11" s="29" t="s">
        <v>735</v>
      </c>
      <c r="EX11" s="29" t="s">
        <v>1416</v>
      </c>
      <c r="EY11" s="29" t="s">
        <v>2077</v>
      </c>
      <c r="EZ11" s="663"/>
      <c r="FA11" s="29" t="s">
        <v>1614</v>
      </c>
    </row>
    <row r="12" spans="1:157" ht="132" customHeight="1" x14ac:dyDescent="0.2">
      <c r="A12" s="1205"/>
      <c r="B12" s="1207"/>
      <c r="C12" s="1208"/>
      <c r="D12" s="1204"/>
      <c r="E12" s="185" t="s">
        <v>34</v>
      </c>
      <c r="F12" s="29" t="s">
        <v>470</v>
      </c>
      <c r="G12" s="29" t="s">
        <v>1023</v>
      </c>
      <c r="H12" s="662" t="s">
        <v>3587</v>
      </c>
      <c r="I12" s="29" t="s">
        <v>1023</v>
      </c>
      <c r="J12" s="32" t="s">
        <v>2017</v>
      </c>
      <c r="K12" s="32" t="s">
        <v>3195</v>
      </c>
      <c r="L12" s="29" t="s">
        <v>676</v>
      </c>
      <c r="M12" s="32" t="s">
        <v>3288</v>
      </c>
      <c r="N12" s="32"/>
      <c r="O12" s="54" t="s">
        <v>1472</v>
      </c>
      <c r="P12" s="32" t="s">
        <v>3221</v>
      </c>
      <c r="Q12" s="32" t="s">
        <v>1502</v>
      </c>
      <c r="R12" s="29" t="s">
        <v>3221</v>
      </c>
      <c r="S12" s="102" t="s">
        <v>1526</v>
      </c>
      <c r="T12" s="29" t="s">
        <v>1890</v>
      </c>
      <c r="U12" s="103" t="s">
        <v>1923</v>
      </c>
      <c r="V12" s="29" t="s">
        <v>1952</v>
      </c>
      <c r="W12" s="29" t="s">
        <v>531</v>
      </c>
      <c r="X12" s="29" t="s">
        <v>3616</v>
      </c>
      <c r="Y12" s="57" t="s">
        <v>843</v>
      </c>
      <c r="Z12" s="87" t="s">
        <v>868</v>
      </c>
      <c r="AA12" s="57" t="s">
        <v>895</v>
      </c>
      <c r="AB12" s="29"/>
      <c r="AC12" s="29"/>
      <c r="AD12" s="57" t="s">
        <v>655</v>
      </c>
      <c r="AE12" s="682" t="s">
        <v>763</v>
      </c>
      <c r="AF12" s="32" t="s">
        <v>788</v>
      </c>
      <c r="AG12" s="32" t="s">
        <v>819</v>
      </c>
      <c r="AH12" s="29"/>
      <c r="AI12" s="29"/>
      <c r="AJ12" s="32" t="s">
        <v>948</v>
      </c>
      <c r="AK12" s="663"/>
      <c r="AL12" s="57" t="s">
        <v>3464</v>
      </c>
      <c r="AM12" s="32" t="s">
        <v>3488</v>
      </c>
      <c r="AN12" s="32" t="s">
        <v>3511</v>
      </c>
      <c r="AO12" s="32" t="s">
        <v>1353</v>
      </c>
      <c r="AP12" s="663"/>
      <c r="AQ12" s="29"/>
      <c r="AR12" s="663"/>
      <c r="AS12" s="32" t="s">
        <v>1959</v>
      </c>
      <c r="AT12" s="32" t="s">
        <v>1981</v>
      </c>
      <c r="AU12" s="29" t="s">
        <v>2002</v>
      </c>
      <c r="AV12" s="32" t="s">
        <v>719</v>
      </c>
      <c r="AW12" s="32" t="s">
        <v>2052</v>
      </c>
      <c r="AX12" s="663"/>
      <c r="AY12" s="663"/>
      <c r="AZ12" s="29" t="s">
        <v>1731</v>
      </c>
      <c r="BA12" s="29" t="s">
        <v>1731</v>
      </c>
      <c r="BB12" s="29" t="s">
        <v>1774</v>
      </c>
      <c r="BC12" s="32" t="s">
        <v>969</v>
      </c>
      <c r="BD12" s="57" t="s">
        <v>1806</v>
      </c>
      <c r="BE12" s="29" t="s">
        <v>1833</v>
      </c>
      <c r="BF12" s="29" t="s">
        <v>1676</v>
      </c>
      <c r="BG12" s="32" t="s">
        <v>1047</v>
      </c>
      <c r="BH12" s="32" t="s">
        <v>1067</v>
      </c>
      <c r="BI12" s="683" t="s">
        <v>1086</v>
      </c>
      <c r="BJ12" s="32" t="s">
        <v>1107</v>
      </c>
      <c r="BK12" s="29" t="s">
        <v>1708</v>
      </c>
      <c r="BL12" s="684" t="s">
        <v>2097</v>
      </c>
      <c r="BM12" s="57" t="s">
        <v>3535</v>
      </c>
      <c r="BN12" s="54" t="s">
        <v>3559</v>
      </c>
      <c r="BO12" s="186" t="s">
        <v>3549</v>
      </c>
      <c r="BP12" s="29" t="s">
        <v>470</v>
      </c>
      <c r="BQ12" s="29" t="s">
        <v>470</v>
      </c>
      <c r="BR12" s="32" t="s">
        <v>2131</v>
      </c>
      <c r="BS12" s="102" t="s">
        <v>2131</v>
      </c>
      <c r="BT12" s="57" t="s">
        <v>3571</v>
      </c>
      <c r="BU12" s="29" t="s">
        <v>610</v>
      </c>
      <c r="BV12" s="29" t="s">
        <v>2940</v>
      </c>
      <c r="BW12" s="29" t="s">
        <v>2999</v>
      </c>
      <c r="BX12" s="32" t="s">
        <v>2972</v>
      </c>
      <c r="BY12" s="663"/>
      <c r="BZ12" s="663"/>
      <c r="CA12" s="32" t="s">
        <v>3264</v>
      </c>
      <c r="CB12" s="48" t="s">
        <v>1121</v>
      </c>
      <c r="CC12" s="32" t="s">
        <v>1145</v>
      </c>
      <c r="CD12" s="29"/>
      <c r="CE12" s="32" t="s">
        <v>1198</v>
      </c>
      <c r="CF12" s="57" t="s">
        <v>1235</v>
      </c>
      <c r="CG12" s="682" t="s">
        <v>1235</v>
      </c>
      <c r="CH12" s="32" t="s">
        <v>1259</v>
      </c>
      <c r="CI12" s="32" t="s">
        <v>1282</v>
      </c>
      <c r="CJ12" s="32" t="s">
        <v>1282</v>
      </c>
      <c r="CK12" s="32" t="s">
        <v>1282</v>
      </c>
      <c r="CL12" s="32" t="s">
        <v>1331</v>
      </c>
      <c r="CM12" s="75" t="s">
        <v>1172</v>
      </c>
      <c r="CN12" s="120" t="s">
        <v>3146</v>
      </c>
      <c r="CO12" s="685" t="s">
        <v>3393</v>
      </c>
      <c r="CP12" s="685" t="s">
        <v>3393</v>
      </c>
      <c r="CQ12" s="57" t="s">
        <v>3173</v>
      </c>
      <c r="CR12" s="686" t="s">
        <v>1382</v>
      </c>
      <c r="CS12" s="32" t="s">
        <v>3091</v>
      </c>
      <c r="CT12" s="32" t="s">
        <v>3124</v>
      </c>
      <c r="CU12" s="29" t="s">
        <v>656</v>
      </c>
      <c r="CV12" s="663"/>
      <c r="CW12" s="32" t="s">
        <v>3062</v>
      </c>
      <c r="CX12" s="687" t="s">
        <v>3241</v>
      </c>
      <c r="CY12" s="57" t="s">
        <v>1450</v>
      </c>
      <c r="CZ12" s="57" t="s">
        <v>1450</v>
      </c>
      <c r="DA12" s="29" t="s">
        <v>1482</v>
      </c>
      <c r="DB12" s="29" t="s">
        <v>1924</v>
      </c>
      <c r="DC12" s="29" t="s">
        <v>656</v>
      </c>
      <c r="DD12" s="87" t="s">
        <v>2859</v>
      </c>
      <c r="DE12" s="32" t="s">
        <v>2604</v>
      </c>
      <c r="DF12" s="29" t="s">
        <v>3315</v>
      </c>
      <c r="DG12" s="688" t="s">
        <v>2690</v>
      </c>
      <c r="DH12" s="171" t="s">
        <v>2747</v>
      </c>
      <c r="DI12" s="173" t="s">
        <v>2716</v>
      </c>
      <c r="DJ12" s="689" t="s">
        <v>2777</v>
      </c>
      <c r="DK12" s="690" t="s">
        <v>2821</v>
      </c>
      <c r="DL12" s="127" t="s">
        <v>2802</v>
      </c>
      <c r="DM12" s="173" t="s">
        <v>579</v>
      </c>
      <c r="DN12" s="87" t="s">
        <v>2648</v>
      </c>
      <c r="DO12" s="32" t="s">
        <v>2671</v>
      </c>
      <c r="DP12" s="57" t="s">
        <v>2513</v>
      </c>
      <c r="DQ12" s="57" t="s">
        <v>2586</v>
      </c>
      <c r="DR12" s="57" t="s">
        <v>2550</v>
      </c>
      <c r="DS12" s="29" t="s">
        <v>656</v>
      </c>
      <c r="DT12" s="29"/>
      <c r="DU12" s="29" t="s">
        <v>475</v>
      </c>
      <c r="DV12" s="29" t="s">
        <v>2482</v>
      </c>
      <c r="DW12" s="57" t="s">
        <v>2405</v>
      </c>
      <c r="DX12" s="57" t="s">
        <v>2443</v>
      </c>
      <c r="DY12" s="57" t="s">
        <v>2405</v>
      </c>
      <c r="DZ12" s="57" t="s">
        <v>2443</v>
      </c>
      <c r="EA12" s="57" t="s">
        <v>2405</v>
      </c>
      <c r="EB12" s="32" t="s">
        <v>2926</v>
      </c>
      <c r="EC12" s="29" t="s">
        <v>1447</v>
      </c>
      <c r="ED12" s="32" t="s">
        <v>3441</v>
      </c>
      <c r="EE12" s="57" t="s">
        <v>501</v>
      </c>
      <c r="EF12" s="29" t="s">
        <v>470</v>
      </c>
      <c r="EG12" s="663"/>
      <c r="EH12" s="172" t="s">
        <v>2345</v>
      </c>
      <c r="EI12" s="186" t="s">
        <v>656</v>
      </c>
      <c r="EJ12" s="172" t="s">
        <v>2367</v>
      </c>
      <c r="EK12" s="57" t="s">
        <v>2293</v>
      </c>
      <c r="EL12" s="57" t="s">
        <v>2325</v>
      </c>
      <c r="EM12" s="186" t="s">
        <v>2207</v>
      </c>
      <c r="EN12" s="32" t="s">
        <v>2233</v>
      </c>
      <c r="EO12" s="57" t="s">
        <v>2257</v>
      </c>
      <c r="EP12" s="102" t="s">
        <v>1551</v>
      </c>
      <c r="EQ12" s="29" t="s">
        <v>1646</v>
      </c>
      <c r="ER12" s="32" t="s">
        <v>3679</v>
      </c>
      <c r="ES12" s="663"/>
      <c r="ET12" s="32" t="s">
        <v>3337</v>
      </c>
      <c r="EU12" s="127" t="s">
        <v>3367</v>
      </c>
      <c r="EV12" s="662" t="s">
        <v>656</v>
      </c>
      <c r="EW12" s="32" t="s">
        <v>736</v>
      </c>
      <c r="EX12" s="32" t="s">
        <v>1417</v>
      </c>
      <c r="EY12" s="29" t="s">
        <v>2078</v>
      </c>
      <c r="EZ12" s="663"/>
      <c r="FA12" s="32" t="s">
        <v>1615</v>
      </c>
    </row>
    <row r="13" spans="1:157" ht="409.6" x14ac:dyDescent="0.2">
      <c r="A13" s="1205"/>
      <c r="B13" s="1207"/>
      <c r="C13" s="1208" t="s">
        <v>35</v>
      </c>
      <c r="D13" s="1204" t="s">
        <v>36</v>
      </c>
      <c r="E13" s="185" t="s">
        <v>15</v>
      </c>
      <c r="F13" s="29" t="s">
        <v>994</v>
      </c>
      <c r="G13" s="29" t="s">
        <v>656</v>
      </c>
      <c r="H13" s="662"/>
      <c r="I13" s="29" t="s">
        <v>656</v>
      </c>
      <c r="J13" s="29" t="s">
        <v>2018</v>
      </c>
      <c r="K13" s="29" t="s">
        <v>2018</v>
      </c>
      <c r="L13" s="29" t="s">
        <v>677</v>
      </c>
      <c r="M13" s="29"/>
      <c r="N13" s="48" t="s">
        <v>656</v>
      </c>
      <c r="O13" s="29" t="s">
        <v>656</v>
      </c>
      <c r="P13" s="29" t="s">
        <v>656</v>
      </c>
      <c r="Q13" s="29" t="s">
        <v>656</v>
      </c>
      <c r="R13" s="29" t="s">
        <v>656</v>
      </c>
      <c r="S13" s="29" t="s">
        <v>656</v>
      </c>
      <c r="T13" s="29" t="s">
        <v>1891</v>
      </c>
      <c r="U13" s="29" t="s">
        <v>1924</v>
      </c>
      <c r="V13" s="29" t="s">
        <v>1924</v>
      </c>
      <c r="W13" s="29" t="s">
        <v>470</v>
      </c>
      <c r="X13" s="29" t="s">
        <v>470</v>
      </c>
      <c r="Y13" s="29"/>
      <c r="Z13" s="29" t="s">
        <v>539</v>
      </c>
      <c r="AA13" s="29"/>
      <c r="AB13" s="29"/>
      <c r="AC13" s="29"/>
      <c r="AD13" s="29" t="s">
        <v>656</v>
      </c>
      <c r="AE13" s="662"/>
      <c r="AF13" s="29"/>
      <c r="AG13" s="29"/>
      <c r="AH13" s="48" t="s">
        <v>470</v>
      </c>
      <c r="AI13" s="29"/>
      <c r="AJ13" s="29" t="s">
        <v>470</v>
      </c>
      <c r="AK13" s="663"/>
      <c r="AL13" s="29" t="s">
        <v>1924</v>
      </c>
      <c r="AM13" s="29" t="s">
        <v>656</v>
      </c>
      <c r="AN13" s="29" t="s">
        <v>3512</v>
      </c>
      <c r="AO13" s="29"/>
      <c r="AP13" s="663"/>
      <c r="AQ13" s="29"/>
      <c r="AR13" s="663"/>
      <c r="AS13" s="29" t="s">
        <v>470</v>
      </c>
      <c r="AT13" s="29" t="s">
        <v>470</v>
      </c>
      <c r="AU13" s="29" t="s">
        <v>470</v>
      </c>
      <c r="AV13" s="29"/>
      <c r="AW13" s="60"/>
      <c r="AX13" s="663"/>
      <c r="AY13" s="663"/>
      <c r="AZ13" s="29" t="s">
        <v>9490</v>
      </c>
      <c r="BA13" s="29" t="s">
        <v>9491</v>
      </c>
      <c r="BB13" s="29" t="s">
        <v>1775</v>
      </c>
      <c r="BC13" s="29" t="s">
        <v>470</v>
      </c>
      <c r="BD13" s="29" t="s">
        <v>470</v>
      </c>
      <c r="BE13" s="29" t="s">
        <v>656</v>
      </c>
      <c r="BF13" s="29" t="s">
        <v>873</v>
      </c>
      <c r="BG13" s="29" t="s">
        <v>656</v>
      </c>
      <c r="BH13" s="29" t="s">
        <v>656</v>
      </c>
      <c r="BI13" s="29" t="s">
        <v>656</v>
      </c>
      <c r="BJ13" s="29" t="s">
        <v>656</v>
      </c>
      <c r="BK13" s="29"/>
      <c r="BL13" s="101" t="s">
        <v>470</v>
      </c>
      <c r="BM13" s="29"/>
      <c r="BN13" s="29"/>
      <c r="BO13" s="186"/>
      <c r="BP13" s="29" t="s">
        <v>555</v>
      </c>
      <c r="BQ13" s="29" t="s">
        <v>3025</v>
      </c>
      <c r="BR13" s="29" t="s">
        <v>656</v>
      </c>
      <c r="BS13" s="29" t="s">
        <v>656</v>
      </c>
      <c r="BT13" s="29" t="s">
        <v>3572</v>
      </c>
      <c r="BU13" s="29" t="s">
        <v>470</v>
      </c>
      <c r="BV13" s="29" t="s">
        <v>2941</v>
      </c>
      <c r="BW13" s="29" t="s">
        <v>2941</v>
      </c>
      <c r="BX13" s="29" t="s">
        <v>2973</v>
      </c>
      <c r="BY13" s="663"/>
      <c r="BZ13" s="663"/>
      <c r="CA13" s="29" t="s">
        <v>470</v>
      </c>
      <c r="CB13" s="48" t="s">
        <v>470</v>
      </c>
      <c r="CC13" s="29" t="s">
        <v>1146</v>
      </c>
      <c r="CD13" s="29" t="s">
        <v>2179</v>
      </c>
      <c r="CE13" s="29" t="s">
        <v>656</v>
      </c>
      <c r="CF13" s="29" t="s">
        <v>656</v>
      </c>
      <c r="CG13" s="662" t="s">
        <v>656</v>
      </c>
      <c r="CH13" s="29" t="s">
        <v>656</v>
      </c>
      <c r="CI13" s="29" t="s">
        <v>656</v>
      </c>
      <c r="CJ13" s="29" t="s">
        <v>656</v>
      </c>
      <c r="CK13" s="29" t="s">
        <v>656</v>
      </c>
      <c r="CL13" s="29" t="s">
        <v>656</v>
      </c>
      <c r="CM13" s="110" t="s">
        <v>539</v>
      </c>
      <c r="CN13" s="29" t="s">
        <v>470</v>
      </c>
      <c r="CO13" s="29" t="s">
        <v>470</v>
      </c>
      <c r="CP13" s="29" t="s">
        <v>470</v>
      </c>
      <c r="CQ13" s="29" t="s">
        <v>470</v>
      </c>
      <c r="CR13" s="127"/>
      <c r="CS13" s="29" t="s">
        <v>3092</v>
      </c>
      <c r="CT13" s="29" t="s">
        <v>3125</v>
      </c>
      <c r="CU13" s="29" t="s">
        <v>3108</v>
      </c>
      <c r="CV13" s="663"/>
      <c r="CW13" s="29" t="s">
        <v>656</v>
      </c>
      <c r="CX13" s="1209" t="s">
        <v>1924</v>
      </c>
      <c r="CY13" s="29" t="s">
        <v>1447</v>
      </c>
      <c r="CZ13" s="29" t="s">
        <v>1447</v>
      </c>
      <c r="DA13" s="29" t="s">
        <v>2882</v>
      </c>
      <c r="DB13" s="29" t="s">
        <v>1924</v>
      </c>
      <c r="DC13" s="29" t="s">
        <v>656</v>
      </c>
      <c r="DD13" s="29" t="s">
        <v>2860</v>
      </c>
      <c r="DE13" s="29" t="s">
        <v>2605</v>
      </c>
      <c r="DF13" s="29"/>
      <c r="DG13" s="127" t="s">
        <v>470</v>
      </c>
      <c r="DH13" s="665" t="s">
        <v>470</v>
      </c>
      <c r="DI13" s="127" t="s">
        <v>470</v>
      </c>
      <c r="DJ13" s="666"/>
      <c r="DK13" s="667"/>
      <c r="DL13" s="127"/>
      <c r="DM13" s="127" t="s">
        <v>580</v>
      </c>
      <c r="DN13" s="29" t="s">
        <v>470</v>
      </c>
      <c r="DO13" s="29" t="s">
        <v>470</v>
      </c>
      <c r="DP13" s="54" t="s">
        <v>2514</v>
      </c>
      <c r="DQ13" s="54" t="s">
        <v>2514</v>
      </c>
      <c r="DR13" s="54" t="s">
        <v>2514</v>
      </c>
      <c r="DS13" s="29" t="s">
        <v>656</v>
      </c>
      <c r="DT13" s="29"/>
      <c r="DU13" s="29" t="s">
        <v>470</v>
      </c>
      <c r="DV13" s="29" t="s">
        <v>656</v>
      </c>
      <c r="DW13" s="36" t="s">
        <v>539</v>
      </c>
      <c r="DX13" s="29"/>
      <c r="DY13" s="29"/>
      <c r="DZ13" s="29"/>
      <c r="EA13" s="36"/>
      <c r="EB13" s="29" t="s">
        <v>2927</v>
      </c>
      <c r="EC13" s="29" t="s">
        <v>1447</v>
      </c>
      <c r="ED13" s="29" t="s">
        <v>1924</v>
      </c>
      <c r="EE13" s="29" t="s">
        <v>470</v>
      </c>
      <c r="EF13" s="29" t="s">
        <v>470</v>
      </c>
      <c r="EG13" s="663"/>
      <c r="EH13" s="186" t="s">
        <v>656</v>
      </c>
      <c r="EI13" s="691" t="s">
        <v>2388</v>
      </c>
      <c r="EJ13" s="186" t="s">
        <v>656</v>
      </c>
      <c r="EK13" s="29"/>
      <c r="EL13" s="29"/>
      <c r="EM13" s="186"/>
      <c r="EN13" s="48" t="s">
        <v>2234</v>
      </c>
      <c r="EO13" s="29" t="s">
        <v>2258</v>
      </c>
      <c r="EP13" s="29" t="s">
        <v>656</v>
      </c>
      <c r="EQ13" s="29" t="s">
        <v>470</v>
      </c>
      <c r="ER13" s="29"/>
      <c r="ES13" s="663"/>
      <c r="ET13" s="127" t="s">
        <v>3338</v>
      </c>
      <c r="EU13" s="29" t="s">
        <v>470</v>
      </c>
      <c r="EV13" s="662" t="s">
        <v>1579</v>
      </c>
      <c r="EW13" s="29"/>
      <c r="EX13" s="29" t="s">
        <v>1418</v>
      </c>
      <c r="EY13" s="29" t="s">
        <v>656</v>
      </c>
      <c r="EZ13" s="663"/>
      <c r="FA13" s="29" t="s">
        <v>656</v>
      </c>
    </row>
    <row r="14" spans="1:157" ht="306" x14ac:dyDescent="0.2">
      <c r="A14" s="1205"/>
      <c r="B14" s="1207"/>
      <c r="C14" s="1211"/>
      <c r="D14" s="1204"/>
      <c r="E14" s="185" t="s">
        <v>34</v>
      </c>
      <c r="F14" s="32" t="s">
        <v>995</v>
      </c>
      <c r="G14" s="29" t="s">
        <v>656</v>
      </c>
      <c r="H14" s="662"/>
      <c r="I14" s="29" t="s">
        <v>656</v>
      </c>
      <c r="J14" s="32" t="s">
        <v>2019</v>
      </c>
      <c r="K14" s="32" t="s">
        <v>2019</v>
      </c>
      <c r="L14" s="29" t="s">
        <v>676</v>
      </c>
      <c r="M14" s="29"/>
      <c r="N14" s="51" t="s">
        <v>656</v>
      </c>
      <c r="O14" s="29" t="s">
        <v>656</v>
      </c>
      <c r="P14" s="29" t="s">
        <v>656</v>
      </c>
      <c r="Q14" s="29" t="s">
        <v>656</v>
      </c>
      <c r="R14" s="29" t="s">
        <v>656</v>
      </c>
      <c r="S14" s="29" t="s">
        <v>656</v>
      </c>
      <c r="T14" s="103" t="s">
        <v>1892</v>
      </c>
      <c r="U14" s="29" t="s">
        <v>1924</v>
      </c>
      <c r="V14" s="29" t="s">
        <v>1924</v>
      </c>
      <c r="W14" s="29"/>
      <c r="X14" s="29"/>
      <c r="Y14" s="29"/>
      <c r="Z14" s="29"/>
      <c r="AA14" s="29"/>
      <c r="AB14" s="29"/>
      <c r="AC14" s="29"/>
      <c r="AD14" s="29" t="s">
        <v>656</v>
      </c>
      <c r="AE14" s="662"/>
      <c r="AF14" s="29"/>
      <c r="AG14" s="29"/>
      <c r="AH14" s="48">
        <f>-AN35</f>
        <v>-1.5757388185593656E-2</v>
      </c>
      <c r="AI14" s="29"/>
      <c r="AJ14" s="29" t="s">
        <v>470</v>
      </c>
      <c r="AK14" s="663"/>
      <c r="AL14" s="29"/>
      <c r="AM14" s="29" t="s">
        <v>656</v>
      </c>
      <c r="AN14" s="32" t="s">
        <v>3513</v>
      </c>
      <c r="AO14" s="29"/>
      <c r="AP14" s="663"/>
      <c r="AQ14" s="29"/>
      <c r="AR14" s="663"/>
      <c r="AS14" s="29"/>
      <c r="AT14" s="29"/>
      <c r="AU14" s="29"/>
      <c r="AV14" s="29"/>
      <c r="AW14" s="183"/>
      <c r="AX14" s="663"/>
      <c r="AY14" s="663"/>
      <c r="AZ14" s="84" t="s">
        <v>1732</v>
      </c>
      <c r="BA14" s="84" t="s">
        <v>1759</v>
      </c>
      <c r="BB14" s="84" t="s">
        <v>1776</v>
      </c>
      <c r="BC14" s="29" t="s">
        <v>470</v>
      </c>
      <c r="BD14" s="29"/>
      <c r="BE14" s="29" t="s">
        <v>656</v>
      </c>
      <c r="BF14" s="29"/>
      <c r="BG14" s="29" t="s">
        <v>656</v>
      </c>
      <c r="BH14" s="29" t="s">
        <v>656</v>
      </c>
      <c r="BI14" s="29" t="s">
        <v>656</v>
      </c>
      <c r="BJ14" s="29" t="s">
        <v>656</v>
      </c>
      <c r="BK14" s="29"/>
      <c r="BL14" s="101" t="s">
        <v>470</v>
      </c>
      <c r="BM14" s="29"/>
      <c r="BN14" s="29"/>
      <c r="BO14" s="186"/>
      <c r="BP14" s="57" t="s">
        <v>556</v>
      </c>
      <c r="BQ14" s="32" t="s">
        <v>3026</v>
      </c>
      <c r="BR14" s="29" t="s">
        <v>656</v>
      </c>
      <c r="BS14" s="29" t="s">
        <v>656</v>
      </c>
      <c r="BT14" s="54" t="s">
        <v>656</v>
      </c>
      <c r="BU14" s="29"/>
      <c r="BV14" s="29" t="s">
        <v>2942</v>
      </c>
      <c r="BW14" s="29" t="s">
        <v>2942</v>
      </c>
      <c r="BX14" s="32" t="s">
        <v>2974</v>
      </c>
      <c r="BY14" s="663"/>
      <c r="BZ14" s="663"/>
      <c r="CA14" s="29"/>
      <c r="CB14" s="48"/>
      <c r="CC14" s="29" t="s">
        <v>470</v>
      </c>
      <c r="CD14" s="32" t="s">
        <v>2180</v>
      </c>
      <c r="CE14" s="29" t="s">
        <v>656</v>
      </c>
      <c r="CF14" s="29" t="s">
        <v>656</v>
      </c>
      <c r="CG14" s="662" t="s">
        <v>656</v>
      </c>
      <c r="CH14" s="29" t="s">
        <v>656</v>
      </c>
      <c r="CI14" s="29" t="s">
        <v>656</v>
      </c>
      <c r="CJ14" s="29" t="s">
        <v>656</v>
      </c>
      <c r="CK14" s="29" t="s">
        <v>656</v>
      </c>
      <c r="CL14" s="29" t="s">
        <v>656</v>
      </c>
      <c r="CM14" s="110" t="s">
        <v>539</v>
      </c>
      <c r="CN14" s="29" t="s">
        <v>470</v>
      </c>
      <c r="CO14" s="29" t="s">
        <v>470</v>
      </c>
      <c r="CP14" s="29" t="s">
        <v>470</v>
      </c>
      <c r="CQ14" s="29" t="s">
        <v>470</v>
      </c>
      <c r="CR14" s="127"/>
      <c r="CS14" s="29" t="s">
        <v>3093</v>
      </c>
      <c r="CT14" s="29" t="s">
        <v>3126</v>
      </c>
      <c r="CU14" s="29" t="s">
        <v>3109</v>
      </c>
      <c r="CV14" s="663"/>
      <c r="CW14" s="29" t="s">
        <v>656</v>
      </c>
      <c r="CX14" s="1209"/>
      <c r="CY14" s="29" t="s">
        <v>1447</v>
      </c>
      <c r="CZ14" s="29" t="s">
        <v>1447</v>
      </c>
      <c r="DA14" s="29" t="s">
        <v>2883</v>
      </c>
      <c r="DB14" s="29" t="s">
        <v>1924</v>
      </c>
      <c r="DC14" s="29" t="s">
        <v>656</v>
      </c>
      <c r="DD14" s="692" t="s">
        <v>2861</v>
      </c>
      <c r="DE14" s="32" t="s">
        <v>2606</v>
      </c>
      <c r="DF14" s="29"/>
      <c r="DG14" s="127"/>
      <c r="DH14" s="665"/>
      <c r="DI14" s="127"/>
      <c r="DJ14" s="666"/>
      <c r="DK14" s="667"/>
      <c r="DL14" s="127"/>
      <c r="DM14" s="173" t="s">
        <v>581</v>
      </c>
      <c r="DN14" s="29" t="s">
        <v>656</v>
      </c>
      <c r="DO14" s="29" t="s">
        <v>656</v>
      </c>
      <c r="DP14" s="57" t="s">
        <v>2515</v>
      </c>
      <c r="DQ14" s="57" t="s">
        <v>2515</v>
      </c>
      <c r="DR14" s="57" t="s">
        <v>2515</v>
      </c>
      <c r="DS14" s="29" t="s">
        <v>656</v>
      </c>
      <c r="DT14" s="29"/>
      <c r="DU14" s="29"/>
      <c r="DV14" s="29" t="s">
        <v>656</v>
      </c>
      <c r="DW14" s="36" t="s">
        <v>539</v>
      </c>
      <c r="DX14" s="29"/>
      <c r="DY14" s="29"/>
      <c r="DZ14" s="29"/>
      <c r="EA14" s="36"/>
      <c r="EB14" s="32" t="s">
        <v>2928</v>
      </c>
      <c r="EC14" s="29" t="s">
        <v>1447</v>
      </c>
      <c r="ED14" s="29"/>
      <c r="EE14" s="29"/>
      <c r="EF14" s="29" t="s">
        <v>470</v>
      </c>
      <c r="EG14" s="663"/>
      <c r="EH14" s="186" t="s">
        <v>656</v>
      </c>
      <c r="EI14" s="172" t="s">
        <v>2389</v>
      </c>
      <c r="EJ14" s="186" t="s">
        <v>656</v>
      </c>
      <c r="EK14" s="29"/>
      <c r="EL14" s="29"/>
      <c r="EM14" s="186"/>
      <c r="EN14" s="48" t="s">
        <v>2234</v>
      </c>
      <c r="EO14" s="693" t="s">
        <v>2259</v>
      </c>
      <c r="EP14" s="29" t="s">
        <v>656</v>
      </c>
      <c r="EQ14" s="29" t="s">
        <v>470</v>
      </c>
      <c r="ER14" s="29"/>
      <c r="ES14" s="663"/>
      <c r="ET14" s="29" t="s">
        <v>3339</v>
      </c>
      <c r="EU14" s="29" t="s">
        <v>470</v>
      </c>
      <c r="EV14" s="694" t="s">
        <v>1580</v>
      </c>
      <c r="EW14" s="29"/>
      <c r="EX14" s="29" t="s">
        <v>1419</v>
      </c>
      <c r="EY14" s="29" t="s">
        <v>656</v>
      </c>
      <c r="EZ14" s="663"/>
      <c r="FA14" s="29" t="s">
        <v>656</v>
      </c>
    </row>
    <row r="15" spans="1:157" ht="340" x14ac:dyDescent="0.2">
      <c r="A15" s="1205"/>
      <c r="B15" s="1207"/>
      <c r="C15" s="1208" t="s">
        <v>37</v>
      </c>
      <c r="D15" s="1204" t="s">
        <v>38</v>
      </c>
      <c r="E15" s="185" t="s">
        <v>15</v>
      </c>
      <c r="F15" s="29" t="s">
        <v>470</v>
      </c>
      <c r="G15" s="29" t="s">
        <v>656</v>
      </c>
      <c r="H15" s="662"/>
      <c r="I15" s="29" t="s">
        <v>656</v>
      </c>
      <c r="J15" s="29" t="s">
        <v>656</v>
      </c>
      <c r="K15" s="29" t="s">
        <v>656</v>
      </c>
      <c r="L15" s="29"/>
      <c r="M15" s="29"/>
      <c r="N15" s="51" t="s">
        <v>656</v>
      </c>
      <c r="O15" s="29" t="s">
        <v>656</v>
      </c>
      <c r="P15" s="29" t="s">
        <v>656</v>
      </c>
      <c r="Q15" s="29" t="s">
        <v>656</v>
      </c>
      <c r="R15" s="29" t="s">
        <v>656</v>
      </c>
      <c r="S15" s="29" t="s">
        <v>656</v>
      </c>
      <c r="T15" s="29" t="s">
        <v>1893</v>
      </c>
      <c r="U15" s="29" t="s">
        <v>1925</v>
      </c>
      <c r="V15" s="29" t="s">
        <v>1925</v>
      </c>
      <c r="W15" s="29" t="s">
        <v>470</v>
      </c>
      <c r="X15" s="29" t="s">
        <v>470</v>
      </c>
      <c r="Y15" s="29"/>
      <c r="Z15" s="29" t="s">
        <v>539</v>
      </c>
      <c r="AA15" s="29" t="s">
        <v>896</v>
      </c>
      <c r="AB15" s="29"/>
      <c r="AC15" s="29"/>
      <c r="AD15" s="29" t="s">
        <v>656</v>
      </c>
      <c r="AE15" s="662"/>
      <c r="AF15" s="29" t="s">
        <v>789</v>
      </c>
      <c r="AG15" s="29"/>
      <c r="AH15" s="48" t="s">
        <v>470</v>
      </c>
      <c r="AI15" s="29"/>
      <c r="AJ15" s="29" t="s">
        <v>470</v>
      </c>
      <c r="AK15" s="663"/>
      <c r="AL15" s="29" t="s">
        <v>1924</v>
      </c>
      <c r="AM15" s="29" t="s">
        <v>1899</v>
      </c>
      <c r="AN15" s="29" t="s">
        <v>3514</v>
      </c>
      <c r="AO15" s="29"/>
      <c r="AP15" s="663"/>
      <c r="AQ15" s="29"/>
      <c r="AR15" s="663"/>
      <c r="AS15" s="29" t="s">
        <v>1960</v>
      </c>
      <c r="AT15" s="29" t="s">
        <v>1960</v>
      </c>
      <c r="AU15" s="29" t="s">
        <v>1960</v>
      </c>
      <c r="AV15" s="29"/>
      <c r="AW15" s="60" t="s">
        <v>9486</v>
      </c>
      <c r="AX15" s="663"/>
      <c r="AY15" s="663"/>
      <c r="AZ15" s="29" t="s">
        <v>1733</v>
      </c>
      <c r="BA15" s="29" t="s">
        <v>1760</v>
      </c>
      <c r="BB15" s="29" t="s">
        <v>1760</v>
      </c>
      <c r="BC15" s="29" t="s">
        <v>970</v>
      </c>
      <c r="BD15" s="29" t="s">
        <v>470</v>
      </c>
      <c r="BE15" s="29" t="s">
        <v>656</v>
      </c>
      <c r="BF15" s="29" t="s">
        <v>873</v>
      </c>
      <c r="BG15" s="29"/>
      <c r="BH15" s="29" t="s">
        <v>656</v>
      </c>
      <c r="BI15" s="29" t="s">
        <v>656</v>
      </c>
      <c r="BJ15" s="29" t="s">
        <v>656</v>
      </c>
      <c r="BK15" s="29"/>
      <c r="BL15" s="101" t="s">
        <v>2098</v>
      </c>
      <c r="BM15" s="29"/>
      <c r="BN15" s="29"/>
      <c r="BO15" s="186"/>
      <c r="BP15" s="29" t="s">
        <v>470</v>
      </c>
      <c r="BQ15" s="29" t="s">
        <v>3027</v>
      </c>
      <c r="BR15" s="29" t="s">
        <v>656</v>
      </c>
      <c r="BS15" s="29" t="s">
        <v>656</v>
      </c>
      <c r="BT15" s="54" t="s">
        <v>656</v>
      </c>
      <c r="BU15" s="29" t="s">
        <v>611</v>
      </c>
      <c r="BV15" s="29" t="s">
        <v>470</v>
      </c>
      <c r="BW15" s="29" t="s">
        <v>470</v>
      </c>
      <c r="BX15" s="29" t="s">
        <v>470</v>
      </c>
      <c r="BY15" s="663"/>
      <c r="BZ15" s="663"/>
      <c r="CA15" s="29" t="s">
        <v>3265</v>
      </c>
      <c r="CB15" s="48" t="s">
        <v>470</v>
      </c>
      <c r="CC15" s="29" t="s">
        <v>1147</v>
      </c>
      <c r="CD15" s="29" t="s">
        <v>2181</v>
      </c>
      <c r="CE15" s="29" t="s">
        <v>656</v>
      </c>
      <c r="CF15" s="29" t="s">
        <v>656</v>
      </c>
      <c r="CG15" s="662" t="s">
        <v>656</v>
      </c>
      <c r="CH15" s="29" t="s">
        <v>656</v>
      </c>
      <c r="CI15" s="29" t="s">
        <v>656</v>
      </c>
      <c r="CJ15" s="29" t="s">
        <v>656</v>
      </c>
      <c r="CK15" s="29" t="s">
        <v>656</v>
      </c>
      <c r="CL15" s="29" t="s">
        <v>656</v>
      </c>
      <c r="CM15" s="110" t="s">
        <v>539</v>
      </c>
      <c r="CN15" s="29" t="s">
        <v>470</v>
      </c>
      <c r="CO15" s="29" t="s">
        <v>470</v>
      </c>
      <c r="CP15" s="29" t="s">
        <v>470</v>
      </c>
      <c r="CQ15" s="29" t="s">
        <v>470</v>
      </c>
      <c r="CR15" s="127" t="s">
        <v>1383</v>
      </c>
      <c r="CS15" s="29"/>
      <c r="CT15" s="29" t="s">
        <v>656</v>
      </c>
      <c r="CU15" s="29"/>
      <c r="CV15" s="663"/>
      <c r="CW15" s="54" t="s">
        <v>3063</v>
      </c>
      <c r="CX15" s="1209" t="s">
        <v>1924</v>
      </c>
      <c r="CY15" s="29" t="s">
        <v>1447</v>
      </c>
      <c r="CZ15" s="29" t="s">
        <v>1447</v>
      </c>
      <c r="DA15" s="29" t="s">
        <v>2884</v>
      </c>
      <c r="DB15" s="29" t="s">
        <v>1924</v>
      </c>
      <c r="DC15" s="29" t="s">
        <v>656</v>
      </c>
      <c r="DD15" s="29" t="s">
        <v>470</v>
      </c>
      <c r="DE15" s="29" t="s">
        <v>2607</v>
      </c>
      <c r="DF15" s="29"/>
      <c r="DG15" s="127" t="s">
        <v>470</v>
      </c>
      <c r="DH15" s="665" t="s">
        <v>470</v>
      </c>
      <c r="DI15" s="127" t="s">
        <v>470</v>
      </c>
      <c r="DJ15" s="666"/>
      <c r="DK15" s="667"/>
      <c r="DL15" s="127"/>
      <c r="DM15" s="127" t="s">
        <v>580</v>
      </c>
      <c r="DN15" s="29" t="s">
        <v>470</v>
      </c>
      <c r="DO15" s="54" t="s">
        <v>2672</v>
      </c>
      <c r="DP15" s="54" t="s">
        <v>656</v>
      </c>
      <c r="DQ15" s="29" t="s">
        <v>656</v>
      </c>
      <c r="DR15" s="29" t="s">
        <v>656</v>
      </c>
      <c r="DS15" s="29" t="s">
        <v>656</v>
      </c>
      <c r="DT15" s="29"/>
      <c r="DU15" s="29" t="s">
        <v>470</v>
      </c>
      <c r="DV15" s="29" t="s">
        <v>2483</v>
      </c>
      <c r="DW15" s="36" t="s">
        <v>2406</v>
      </c>
      <c r="DX15" s="29"/>
      <c r="DY15" s="29"/>
      <c r="DZ15" s="29"/>
      <c r="EA15" s="36"/>
      <c r="EB15" s="29"/>
      <c r="EC15" s="29" t="s">
        <v>470</v>
      </c>
      <c r="ED15" s="29" t="s">
        <v>1924</v>
      </c>
      <c r="EE15" s="29" t="s">
        <v>470</v>
      </c>
      <c r="EF15" s="29" t="s">
        <v>3645</v>
      </c>
      <c r="EG15" s="663"/>
      <c r="EH15" s="186" t="s">
        <v>656</v>
      </c>
      <c r="EI15" s="186" t="s">
        <v>656</v>
      </c>
      <c r="EJ15" s="186" t="s">
        <v>656</v>
      </c>
      <c r="EK15" s="29"/>
      <c r="EL15" s="29"/>
      <c r="EM15" s="186"/>
      <c r="EN15" s="48" t="s">
        <v>2234</v>
      </c>
      <c r="EO15" s="29" t="s">
        <v>470</v>
      </c>
      <c r="EP15" s="29" t="s">
        <v>656</v>
      </c>
      <c r="EQ15" s="29" t="s">
        <v>470</v>
      </c>
      <c r="ER15" s="29"/>
      <c r="ES15" s="663"/>
      <c r="ET15" s="29" t="s">
        <v>470</v>
      </c>
      <c r="EU15" s="29" t="s">
        <v>470</v>
      </c>
      <c r="EV15" s="662" t="s">
        <v>1581</v>
      </c>
      <c r="EW15" s="29" t="s">
        <v>737</v>
      </c>
      <c r="EX15" s="29" t="s">
        <v>1420</v>
      </c>
      <c r="EY15" s="29" t="s">
        <v>656</v>
      </c>
      <c r="EZ15" s="663"/>
      <c r="FA15" s="29" t="s">
        <v>656</v>
      </c>
    </row>
    <row r="16" spans="1:157" ht="409.6" x14ac:dyDescent="0.2">
      <c r="A16" s="1205"/>
      <c r="B16" s="1207"/>
      <c r="C16" s="1208"/>
      <c r="D16" s="1204"/>
      <c r="E16" s="185" t="s">
        <v>34</v>
      </c>
      <c r="F16" s="29" t="s">
        <v>470</v>
      </c>
      <c r="G16" s="29" t="s">
        <v>656</v>
      </c>
      <c r="H16" s="662"/>
      <c r="I16" s="29" t="s">
        <v>656</v>
      </c>
      <c r="J16" s="29" t="s">
        <v>656</v>
      </c>
      <c r="K16" s="29" t="s">
        <v>656</v>
      </c>
      <c r="L16" s="29"/>
      <c r="M16" s="29"/>
      <c r="N16" s="51" t="s">
        <v>656</v>
      </c>
      <c r="O16" s="29" t="s">
        <v>656</v>
      </c>
      <c r="P16" s="29" t="s">
        <v>656</v>
      </c>
      <c r="Q16" s="29" t="s">
        <v>656</v>
      </c>
      <c r="R16" s="29" t="s">
        <v>656</v>
      </c>
      <c r="S16" s="29" t="s">
        <v>656</v>
      </c>
      <c r="T16" s="29" t="s">
        <v>1894</v>
      </c>
      <c r="U16" s="29" t="s">
        <v>1926</v>
      </c>
      <c r="V16" s="29" t="s">
        <v>1926</v>
      </c>
      <c r="W16" s="29"/>
      <c r="X16" s="29"/>
      <c r="Y16" s="29"/>
      <c r="Z16" s="29"/>
      <c r="AA16" s="29" t="s">
        <v>897</v>
      </c>
      <c r="AB16" s="29"/>
      <c r="AC16" s="29"/>
      <c r="AD16" s="29" t="s">
        <v>656</v>
      </c>
      <c r="AE16" s="662"/>
      <c r="AF16" s="29"/>
      <c r="AG16" s="29"/>
      <c r="AH16" s="48"/>
      <c r="AI16" s="29"/>
      <c r="AJ16" s="29"/>
      <c r="AK16" s="663"/>
      <c r="AL16" s="29"/>
      <c r="AM16" s="29" t="s">
        <v>656</v>
      </c>
      <c r="AN16" s="32"/>
      <c r="AO16" s="29"/>
      <c r="AP16" s="663"/>
      <c r="AQ16" s="29"/>
      <c r="AR16" s="663"/>
      <c r="AS16" s="32" t="s">
        <v>1961</v>
      </c>
      <c r="AT16" s="32" t="s">
        <v>1961</v>
      </c>
      <c r="AU16" s="32" t="s">
        <v>1961</v>
      </c>
      <c r="AV16" s="29"/>
      <c r="AW16" s="32" t="s">
        <v>2053</v>
      </c>
      <c r="AX16" s="663"/>
      <c r="AY16" s="663"/>
      <c r="AZ16" s="32" t="s">
        <v>1734</v>
      </c>
      <c r="BA16" s="32" t="s">
        <v>1734</v>
      </c>
      <c r="BB16" s="32" t="s">
        <v>1734</v>
      </c>
      <c r="BC16" s="32" t="s">
        <v>971</v>
      </c>
      <c r="BD16" s="29"/>
      <c r="BE16" s="29" t="s">
        <v>656</v>
      </c>
      <c r="BF16" s="29"/>
      <c r="BG16" s="32"/>
      <c r="BH16" s="29" t="s">
        <v>656</v>
      </c>
      <c r="BI16" s="29" t="s">
        <v>656</v>
      </c>
      <c r="BJ16" s="29" t="s">
        <v>656</v>
      </c>
      <c r="BK16" s="29"/>
      <c r="BL16" s="684" t="s">
        <v>2099</v>
      </c>
      <c r="BM16" s="29"/>
      <c r="BN16" s="29"/>
      <c r="BO16" s="186"/>
      <c r="BP16" s="29" t="s">
        <v>470</v>
      </c>
      <c r="BQ16" s="32" t="s">
        <v>3028</v>
      </c>
      <c r="BR16" s="29" t="s">
        <v>656</v>
      </c>
      <c r="BS16" s="103" t="s">
        <v>656</v>
      </c>
      <c r="BT16" s="54" t="s">
        <v>656</v>
      </c>
      <c r="BU16" s="29" t="s">
        <v>612</v>
      </c>
      <c r="BV16" s="29"/>
      <c r="BW16" s="29" t="s">
        <v>470</v>
      </c>
      <c r="BX16" s="29" t="s">
        <v>470</v>
      </c>
      <c r="BY16" s="663"/>
      <c r="BZ16" s="663"/>
      <c r="CA16" s="32" t="s">
        <v>3266</v>
      </c>
      <c r="CB16" s="48"/>
      <c r="CC16" s="29" t="s">
        <v>470</v>
      </c>
      <c r="CD16" s="32" t="s">
        <v>2182</v>
      </c>
      <c r="CE16" s="29" t="s">
        <v>656</v>
      </c>
      <c r="CF16" s="29" t="s">
        <v>656</v>
      </c>
      <c r="CG16" s="662" t="s">
        <v>656</v>
      </c>
      <c r="CH16" s="29" t="s">
        <v>656</v>
      </c>
      <c r="CI16" s="29" t="s">
        <v>656</v>
      </c>
      <c r="CJ16" s="29" t="s">
        <v>656</v>
      </c>
      <c r="CK16" s="29" t="s">
        <v>656</v>
      </c>
      <c r="CL16" s="29" t="s">
        <v>656</v>
      </c>
      <c r="CM16" s="110" t="s">
        <v>539</v>
      </c>
      <c r="CN16" s="29" t="s">
        <v>470</v>
      </c>
      <c r="CO16" s="29" t="s">
        <v>470</v>
      </c>
      <c r="CP16" s="29" t="s">
        <v>470</v>
      </c>
      <c r="CQ16" s="29" t="s">
        <v>470</v>
      </c>
      <c r="CR16" s="686" t="s">
        <v>1384</v>
      </c>
      <c r="CS16" s="29"/>
      <c r="CT16" s="135" t="s">
        <v>656</v>
      </c>
      <c r="CU16" s="29"/>
      <c r="CV16" s="663"/>
      <c r="CW16" s="32" t="s">
        <v>3064</v>
      </c>
      <c r="CX16" s="1209"/>
      <c r="CY16" s="29" t="s">
        <v>1447</v>
      </c>
      <c r="CZ16" s="29" t="s">
        <v>1447</v>
      </c>
      <c r="DA16" s="136" t="s">
        <v>2885</v>
      </c>
      <c r="DB16" s="29" t="s">
        <v>1924</v>
      </c>
      <c r="DC16" s="29" t="s">
        <v>656</v>
      </c>
      <c r="DD16" s="29" t="s">
        <v>470</v>
      </c>
      <c r="DE16" s="32" t="s">
        <v>2608</v>
      </c>
      <c r="DF16" s="29"/>
      <c r="DG16" s="127"/>
      <c r="DH16" s="665"/>
      <c r="DI16" s="127"/>
      <c r="DJ16" s="666"/>
      <c r="DK16" s="667"/>
      <c r="DL16" s="127"/>
      <c r="DM16" s="127" t="s">
        <v>581</v>
      </c>
      <c r="DN16" s="29" t="s">
        <v>656</v>
      </c>
      <c r="DO16" s="32" t="s">
        <v>2673</v>
      </c>
      <c r="DP16" s="54" t="s">
        <v>656</v>
      </c>
      <c r="DQ16" s="29" t="s">
        <v>656</v>
      </c>
      <c r="DR16" s="29" t="s">
        <v>656</v>
      </c>
      <c r="DS16" s="29" t="s">
        <v>656</v>
      </c>
      <c r="DT16" s="29"/>
      <c r="DU16" s="29"/>
      <c r="DV16" s="29" t="s">
        <v>2482</v>
      </c>
      <c r="DW16" s="79" t="s">
        <v>2407</v>
      </c>
      <c r="DX16" s="29"/>
      <c r="DY16" s="29"/>
      <c r="DZ16" s="29"/>
      <c r="EA16" s="36"/>
      <c r="EB16" s="29"/>
      <c r="EC16" s="29" t="s">
        <v>1447</v>
      </c>
      <c r="ED16" s="29"/>
      <c r="EE16" s="29"/>
      <c r="EF16" s="32" t="s">
        <v>3646</v>
      </c>
      <c r="EG16" s="663"/>
      <c r="EH16" s="186" t="s">
        <v>656</v>
      </c>
      <c r="EI16" s="186" t="s">
        <v>656</v>
      </c>
      <c r="EJ16" s="186" t="s">
        <v>656</v>
      </c>
      <c r="EK16" s="29"/>
      <c r="EL16" s="29"/>
      <c r="EM16" s="186"/>
      <c r="EN16" s="48" t="s">
        <v>2234</v>
      </c>
      <c r="EO16" s="29" t="s">
        <v>470</v>
      </c>
      <c r="EP16" s="29" t="s">
        <v>656</v>
      </c>
      <c r="EQ16" s="29" t="s">
        <v>470</v>
      </c>
      <c r="ER16" s="29"/>
      <c r="ES16" s="663"/>
      <c r="ET16" s="29" t="s">
        <v>470</v>
      </c>
      <c r="EU16" s="29" t="s">
        <v>470</v>
      </c>
      <c r="EV16" s="694" t="s">
        <v>1582</v>
      </c>
      <c r="EW16" s="32" t="s">
        <v>738</v>
      </c>
      <c r="EX16" s="32" t="s">
        <v>1421</v>
      </c>
      <c r="EY16" s="29" t="s">
        <v>656</v>
      </c>
      <c r="EZ16" s="663"/>
      <c r="FA16" s="29" t="s">
        <v>656</v>
      </c>
    </row>
    <row r="17" spans="1:157" ht="409.6" x14ac:dyDescent="0.2">
      <c r="A17" s="1205"/>
      <c r="B17" s="1207"/>
      <c r="C17" s="1208" t="s">
        <v>39</v>
      </c>
      <c r="D17" s="1204" t="s">
        <v>40</v>
      </c>
      <c r="E17" s="185" t="s">
        <v>15</v>
      </c>
      <c r="F17" s="29" t="s">
        <v>470</v>
      </c>
      <c r="G17" s="29" t="s">
        <v>656</v>
      </c>
      <c r="H17" s="662"/>
      <c r="I17" s="29" t="s">
        <v>656</v>
      </c>
      <c r="J17" s="29" t="s">
        <v>656</v>
      </c>
      <c r="K17" s="29" t="s">
        <v>656</v>
      </c>
      <c r="L17" s="29"/>
      <c r="M17" s="29"/>
      <c r="N17" s="51" t="s">
        <v>656</v>
      </c>
      <c r="O17" s="29" t="s">
        <v>1473</v>
      </c>
      <c r="P17" s="29" t="s">
        <v>3222</v>
      </c>
      <c r="Q17" s="29" t="s">
        <v>1503</v>
      </c>
      <c r="R17" s="29" t="s">
        <v>3222</v>
      </c>
      <c r="S17" s="29" t="s">
        <v>1527</v>
      </c>
      <c r="T17" s="29" t="s">
        <v>656</v>
      </c>
      <c r="U17" s="29" t="s">
        <v>1927</v>
      </c>
      <c r="V17" s="29" t="s">
        <v>1953</v>
      </c>
      <c r="W17" s="29" t="s">
        <v>470</v>
      </c>
      <c r="X17" s="29" t="s">
        <v>470</v>
      </c>
      <c r="Y17" s="29"/>
      <c r="Z17" s="29" t="s">
        <v>539</v>
      </c>
      <c r="AA17" s="29" t="s">
        <v>898</v>
      </c>
      <c r="AB17" s="29"/>
      <c r="AC17" s="29"/>
      <c r="AD17" s="29" t="s">
        <v>656</v>
      </c>
      <c r="AE17" s="695" t="s">
        <v>764</v>
      </c>
      <c r="AF17" s="54" t="s">
        <v>790</v>
      </c>
      <c r="AG17" s="29" t="s">
        <v>820</v>
      </c>
      <c r="AH17" s="48" t="s">
        <v>470</v>
      </c>
      <c r="AI17" s="29"/>
      <c r="AJ17" s="29" t="s">
        <v>470</v>
      </c>
      <c r="AK17" s="663"/>
      <c r="AL17" s="29" t="s">
        <v>1924</v>
      </c>
      <c r="AM17" s="29" t="s">
        <v>656</v>
      </c>
      <c r="AN17" s="29" t="s">
        <v>3514</v>
      </c>
      <c r="AO17" s="29"/>
      <c r="AP17" s="663"/>
      <c r="AQ17" s="29"/>
      <c r="AR17" s="663"/>
      <c r="AS17" s="29" t="s">
        <v>470</v>
      </c>
      <c r="AT17" s="29" t="s">
        <v>470</v>
      </c>
      <c r="AU17" s="29" t="s">
        <v>470</v>
      </c>
      <c r="AV17" s="29"/>
      <c r="AW17" s="60"/>
      <c r="AX17" s="663"/>
      <c r="AY17" s="663"/>
      <c r="AZ17" s="29" t="s">
        <v>1735</v>
      </c>
      <c r="BA17" s="29" t="s">
        <v>1735</v>
      </c>
      <c r="BB17" s="29" t="s">
        <v>1735</v>
      </c>
      <c r="BC17" s="29" t="s">
        <v>9492</v>
      </c>
      <c r="BD17" s="29" t="s">
        <v>470</v>
      </c>
      <c r="BE17" s="29" t="s">
        <v>656</v>
      </c>
      <c r="BF17" s="29" t="s">
        <v>873</v>
      </c>
      <c r="BG17" s="29"/>
      <c r="BH17" s="29" t="s">
        <v>656</v>
      </c>
      <c r="BI17" s="29" t="s">
        <v>656</v>
      </c>
      <c r="BJ17" s="29" t="s">
        <v>656</v>
      </c>
      <c r="BK17" s="29" t="s">
        <v>1709</v>
      </c>
      <c r="BL17" s="101" t="s">
        <v>470</v>
      </c>
      <c r="BM17" s="29"/>
      <c r="BN17" s="54" t="s">
        <v>3558</v>
      </c>
      <c r="BO17" s="186"/>
      <c r="BP17" s="29" t="s">
        <v>470</v>
      </c>
      <c r="BQ17" s="29" t="s">
        <v>3029</v>
      </c>
      <c r="BR17" s="29" t="s">
        <v>656</v>
      </c>
      <c r="BS17" s="29" t="s">
        <v>470</v>
      </c>
      <c r="BT17" s="54" t="s">
        <v>656</v>
      </c>
      <c r="BU17" s="29" t="s">
        <v>613</v>
      </c>
      <c r="BV17" s="29" t="s">
        <v>470</v>
      </c>
      <c r="BW17" s="29" t="s">
        <v>470</v>
      </c>
      <c r="BX17" s="29" t="s">
        <v>470</v>
      </c>
      <c r="BY17" s="663"/>
      <c r="BZ17" s="663"/>
      <c r="CA17" s="29" t="s">
        <v>470</v>
      </c>
      <c r="CB17" s="48" t="s">
        <v>470</v>
      </c>
      <c r="CC17" s="29" t="s">
        <v>1148</v>
      </c>
      <c r="CD17" s="29" t="s">
        <v>1482</v>
      </c>
      <c r="CE17" s="29" t="s">
        <v>1199</v>
      </c>
      <c r="CF17" s="29" t="s">
        <v>656</v>
      </c>
      <c r="CG17" s="662" t="s">
        <v>656</v>
      </c>
      <c r="CH17" s="29" t="s">
        <v>1260</v>
      </c>
      <c r="CI17" s="29" t="s">
        <v>1283</v>
      </c>
      <c r="CJ17" s="29" t="s">
        <v>1283</v>
      </c>
      <c r="CK17" s="29" t="s">
        <v>1199</v>
      </c>
      <c r="CL17" s="29" t="s">
        <v>1199</v>
      </c>
      <c r="CM17" s="110" t="s">
        <v>539</v>
      </c>
      <c r="CN17" s="29" t="s">
        <v>470</v>
      </c>
      <c r="CO17" s="29" t="s">
        <v>470</v>
      </c>
      <c r="CP17" s="29" t="s">
        <v>470</v>
      </c>
      <c r="CQ17" s="29" t="s">
        <v>470</v>
      </c>
      <c r="CR17" s="127" t="s">
        <v>1385</v>
      </c>
      <c r="CS17" s="29"/>
      <c r="CT17" s="29" t="s">
        <v>656</v>
      </c>
      <c r="CU17" s="29"/>
      <c r="CV17" s="663"/>
      <c r="CW17" s="54" t="s">
        <v>656</v>
      </c>
      <c r="CX17" s="1209" t="s">
        <v>1924</v>
      </c>
      <c r="CY17" s="29" t="s">
        <v>1447</v>
      </c>
      <c r="CZ17" s="29" t="s">
        <v>1447</v>
      </c>
      <c r="DA17" s="29" t="s">
        <v>1482</v>
      </c>
      <c r="DB17" s="29" t="s">
        <v>2838</v>
      </c>
      <c r="DC17" s="29" t="s">
        <v>656</v>
      </c>
      <c r="DD17" s="29" t="s">
        <v>470</v>
      </c>
      <c r="DE17" s="29" t="s">
        <v>2609</v>
      </c>
      <c r="DF17" s="29"/>
      <c r="DG17" s="127" t="s">
        <v>470</v>
      </c>
      <c r="DH17" s="665" t="s">
        <v>470</v>
      </c>
      <c r="DI17" s="127" t="s">
        <v>470</v>
      </c>
      <c r="DJ17" s="666"/>
      <c r="DK17" s="667"/>
      <c r="DL17" s="127"/>
      <c r="DM17" s="127" t="s">
        <v>576</v>
      </c>
      <c r="DN17" s="29" t="s">
        <v>2649</v>
      </c>
      <c r="DO17" s="54" t="s">
        <v>2649</v>
      </c>
      <c r="DP17" s="54" t="s">
        <v>656</v>
      </c>
      <c r="DQ17" s="29" t="s">
        <v>656</v>
      </c>
      <c r="DR17" s="29" t="s">
        <v>656</v>
      </c>
      <c r="DS17" s="29" t="s">
        <v>656</v>
      </c>
      <c r="DT17" s="29"/>
      <c r="DU17" s="29" t="s">
        <v>470</v>
      </c>
      <c r="DV17" s="29" t="s">
        <v>656</v>
      </c>
      <c r="DW17" s="36" t="s">
        <v>539</v>
      </c>
      <c r="DX17" s="29"/>
      <c r="DY17" s="29"/>
      <c r="DZ17" s="29"/>
      <c r="EA17" s="36"/>
      <c r="EB17" s="29"/>
      <c r="EC17" s="29" t="s">
        <v>3412</v>
      </c>
      <c r="ED17" s="29" t="s">
        <v>3442</v>
      </c>
      <c r="EE17" s="29" t="s">
        <v>470</v>
      </c>
      <c r="EF17" s="29" t="s">
        <v>470</v>
      </c>
      <c r="EG17" s="663"/>
      <c r="EH17" s="186" t="s">
        <v>656</v>
      </c>
      <c r="EI17" s="186" t="s">
        <v>656</v>
      </c>
      <c r="EJ17" s="186" t="s">
        <v>656</v>
      </c>
      <c r="EK17" s="54"/>
      <c r="EL17" s="29"/>
      <c r="EM17" s="186"/>
      <c r="EN17" s="48" t="s">
        <v>2234</v>
      </c>
      <c r="EO17" s="29" t="s">
        <v>2260</v>
      </c>
      <c r="EP17" s="29" t="s">
        <v>656</v>
      </c>
      <c r="EQ17" s="29" t="s">
        <v>470</v>
      </c>
      <c r="ER17" s="29"/>
      <c r="ES17" s="663"/>
      <c r="ET17" s="29" t="s">
        <v>3340</v>
      </c>
      <c r="EU17" s="29" t="s">
        <v>3340</v>
      </c>
      <c r="EV17" s="662" t="s">
        <v>656</v>
      </c>
      <c r="EW17" s="29" t="s">
        <v>739</v>
      </c>
      <c r="EX17" s="29" t="s">
        <v>656</v>
      </c>
      <c r="EY17" s="29" t="s">
        <v>2079</v>
      </c>
      <c r="EZ17" s="663"/>
      <c r="FA17" s="29" t="s">
        <v>656</v>
      </c>
    </row>
    <row r="18" spans="1:157" ht="170" x14ac:dyDescent="0.2">
      <c r="A18" s="1205"/>
      <c r="B18" s="1207"/>
      <c r="C18" s="1208"/>
      <c r="D18" s="1204"/>
      <c r="E18" s="185" t="s">
        <v>34</v>
      </c>
      <c r="F18" s="29" t="s">
        <v>470</v>
      </c>
      <c r="G18" s="29" t="s">
        <v>656</v>
      </c>
      <c r="H18" s="662"/>
      <c r="I18" s="29" t="s">
        <v>656</v>
      </c>
      <c r="J18" s="29" t="s">
        <v>656</v>
      </c>
      <c r="K18" s="29" t="s">
        <v>656</v>
      </c>
      <c r="L18" s="29"/>
      <c r="M18" s="29"/>
      <c r="N18" s="51" t="s">
        <v>656</v>
      </c>
      <c r="O18" s="32" t="s">
        <v>1474</v>
      </c>
      <c r="P18" s="32" t="s">
        <v>3223</v>
      </c>
      <c r="Q18" s="32" t="s">
        <v>1504</v>
      </c>
      <c r="R18" s="32" t="s">
        <v>3223</v>
      </c>
      <c r="S18" s="32" t="s">
        <v>1504</v>
      </c>
      <c r="T18" s="29" t="s">
        <v>656</v>
      </c>
      <c r="U18" s="103" t="s">
        <v>1928</v>
      </c>
      <c r="V18" s="29" t="s">
        <v>1928</v>
      </c>
      <c r="W18" s="29"/>
      <c r="X18" s="29"/>
      <c r="Y18" s="29"/>
      <c r="Z18" s="29"/>
      <c r="AA18" s="29"/>
      <c r="AB18" s="29"/>
      <c r="AC18" s="29"/>
      <c r="AD18" s="29" t="s">
        <v>656</v>
      </c>
      <c r="AE18" s="695" t="s">
        <v>765</v>
      </c>
      <c r="AF18" s="32" t="s">
        <v>791</v>
      </c>
      <c r="AG18" s="29" t="s">
        <v>821</v>
      </c>
      <c r="AH18" s="48"/>
      <c r="AI18" s="29"/>
      <c r="AJ18" s="29" t="s">
        <v>470</v>
      </c>
      <c r="AK18" s="663"/>
      <c r="AL18" s="29"/>
      <c r="AM18" s="29" t="s">
        <v>656</v>
      </c>
      <c r="AN18" s="29" t="s">
        <v>656</v>
      </c>
      <c r="AO18" s="29"/>
      <c r="AP18" s="663"/>
      <c r="AQ18" s="29"/>
      <c r="AR18" s="663"/>
      <c r="AS18" s="29"/>
      <c r="AT18" s="29"/>
      <c r="AU18" s="29"/>
      <c r="AV18" s="29"/>
      <c r="AW18" s="183"/>
      <c r="AX18" s="663"/>
      <c r="AY18" s="663"/>
      <c r="AZ18" s="32" t="s">
        <v>1736</v>
      </c>
      <c r="BA18" s="32" t="s">
        <v>1736</v>
      </c>
      <c r="BB18" s="32" t="s">
        <v>1736</v>
      </c>
      <c r="BC18" s="32" t="s">
        <v>971</v>
      </c>
      <c r="BD18" s="29"/>
      <c r="BE18" s="29" t="s">
        <v>656</v>
      </c>
      <c r="BF18" s="29"/>
      <c r="BG18" s="29"/>
      <c r="BH18" s="29" t="s">
        <v>656</v>
      </c>
      <c r="BI18" s="29" t="s">
        <v>656</v>
      </c>
      <c r="BJ18" s="29" t="s">
        <v>656</v>
      </c>
      <c r="BK18" s="29" t="s">
        <v>1708</v>
      </c>
      <c r="BL18" s="101" t="s">
        <v>470</v>
      </c>
      <c r="BM18" s="29"/>
      <c r="BN18" s="54" t="s">
        <v>3559</v>
      </c>
      <c r="BO18" s="186"/>
      <c r="BP18" s="29" t="s">
        <v>470</v>
      </c>
      <c r="BQ18" s="102" t="s">
        <v>3028</v>
      </c>
      <c r="BR18" s="29" t="s">
        <v>656</v>
      </c>
      <c r="BS18" s="29" t="s">
        <v>656</v>
      </c>
      <c r="BT18" s="54" t="s">
        <v>656</v>
      </c>
      <c r="BU18" s="29" t="s">
        <v>610</v>
      </c>
      <c r="BV18" s="29"/>
      <c r="BW18" s="29" t="s">
        <v>470</v>
      </c>
      <c r="BX18" s="29" t="s">
        <v>470</v>
      </c>
      <c r="BY18" s="663"/>
      <c r="BZ18" s="663"/>
      <c r="CA18" s="29"/>
      <c r="CB18" s="48"/>
      <c r="CC18" s="32" t="s">
        <v>1149</v>
      </c>
      <c r="CD18" s="29" t="s">
        <v>1482</v>
      </c>
      <c r="CE18" s="32" t="s">
        <v>1200</v>
      </c>
      <c r="CF18" s="29" t="s">
        <v>656</v>
      </c>
      <c r="CG18" s="662" t="s">
        <v>656</v>
      </c>
      <c r="CH18" s="32" t="s">
        <v>1261</v>
      </c>
      <c r="CI18" s="32" t="s">
        <v>1261</v>
      </c>
      <c r="CJ18" s="32" t="s">
        <v>1261</v>
      </c>
      <c r="CK18" s="32" t="s">
        <v>1261</v>
      </c>
      <c r="CL18" s="32" t="s">
        <v>1261</v>
      </c>
      <c r="CM18" s="110" t="s">
        <v>539</v>
      </c>
      <c r="CN18" s="29" t="s">
        <v>470</v>
      </c>
      <c r="CO18" s="29" t="s">
        <v>470</v>
      </c>
      <c r="CP18" s="29" t="s">
        <v>470</v>
      </c>
      <c r="CQ18" s="29" t="s">
        <v>470</v>
      </c>
      <c r="CR18" s="686" t="s">
        <v>1386</v>
      </c>
      <c r="CS18" s="29"/>
      <c r="CT18" s="29" t="s">
        <v>656</v>
      </c>
      <c r="CU18" s="29"/>
      <c r="CV18" s="663"/>
      <c r="CW18" s="54" t="s">
        <v>656</v>
      </c>
      <c r="CX18" s="1209"/>
      <c r="CY18" s="29" t="s">
        <v>1447</v>
      </c>
      <c r="CZ18" s="29" t="s">
        <v>1447</v>
      </c>
      <c r="DA18" s="29" t="s">
        <v>1482</v>
      </c>
      <c r="DB18" s="29" t="s">
        <v>1924</v>
      </c>
      <c r="DC18" s="29" t="s">
        <v>656</v>
      </c>
      <c r="DD18" s="29" t="s">
        <v>470</v>
      </c>
      <c r="DE18" s="32" t="s">
        <v>2610</v>
      </c>
      <c r="DF18" s="29"/>
      <c r="DG18" s="127"/>
      <c r="DH18" s="665"/>
      <c r="DI18" s="127"/>
      <c r="DJ18" s="666"/>
      <c r="DK18" s="667"/>
      <c r="DL18" s="127"/>
      <c r="DM18" s="127" t="s">
        <v>579</v>
      </c>
      <c r="DN18" s="85" t="s">
        <v>2650</v>
      </c>
      <c r="DO18" s="663" t="s">
        <v>2650</v>
      </c>
      <c r="DP18" s="54" t="s">
        <v>656</v>
      </c>
      <c r="DQ18" s="29" t="s">
        <v>656</v>
      </c>
      <c r="DR18" s="29" t="s">
        <v>656</v>
      </c>
      <c r="DS18" s="29" t="s">
        <v>656</v>
      </c>
      <c r="DT18" s="29"/>
      <c r="DU18" s="29"/>
      <c r="DV18" s="29" t="s">
        <v>656</v>
      </c>
      <c r="DW18" s="36" t="s">
        <v>539</v>
      </c>
      <c r="DX18" s="29"/>
      <c r="DY18" s="29"/>
      <c r="DZ18" s="29"/>
      <c r="EA18" s="36"/>
      <c r="EB18" s="29"/>
      <c r="EC18" s="29" t="s">
        <v>3413</v>
      </c>
      <c r="ED18" s="32" t="s">
        <v>3443</v>
      </c>
      <c r="EE18" s="29"/>
      <c r="EF18" s="29" t="s">
        <v>470</v>
      </c>
      <c r="EG18" s="663"/>
      <c r="EH18" s="186" t="s">
        <v>656</v>
      </c>
      <c r="EI18" s="186" t="s">
        <v>656</v>
      </c>
      <c r="EJ18" s="186" t="s">
        <v>656</v>
      </c>
      <c r="EK18" s="29"/>
      <c r="EL18" s="29"/>
      <c r="EM18" s="186"/>
      <c r="EN18" s="48" t="s">
        <v>2234</v>
      </c>
      <c r="EO18" s="57" t="s">
        <v>2261</v>
      </c>
      <c r="EP18" s="29" t="s">
        <v>656</v>
      </c>
      <c r="EQ18" s="29" t="s">
        <v>470</v>
      </c>
      <c r="ER18" s="29"/>
      <c r="ES18" s="663"/>
      <c r="ET18" s="29" t="s">
        <v>3341</v>
      </c>
      <c r="EU18" s="29" t="s">
        <v>3341</v>
      </c>
      <c r="EV18" s="662" t="s">
        <v>656</v>
      </c>
      <c r="EW18" s="32" t="s">
        <v>740</v>
      </c>
      <c r="EX18" s="32" t="s">
        <v>656</v>
      </c>
      <c r="EY18" s="29" t="s">
        <v>2078</v>
      </c>
      <c r="EZ18" s="663"/>
      <c r="FA18" s="29" t="s">
        <v>656</v>
      </c>
    </row>
    <row r="19" spans="1:157" ht="252" customHeight="1" x14ac:dyDescent="0.2">
      <c r="A19" s="1205"/>
      <c r="B19" s="1207"/>
      <c r="C19" s="1208" t="s">
        <v>41</v>
      </c>
      <c r="D19" s="1204" t="s">
        <v>42</v>
      </c>
      <c r="E19" s="185" t="s">
        <v>15</v>
      </c>
      <c r="F19" s="29" t="s">
        <v>996</v>
      </c>
      <c r="G19" s="29" t="s">
        <v>1024</v>
      </c>
      <c r="H19" s="662"/>
      <c r="I19" s="29" t="s">
        <v>656</v>
      </c>
      <c r="J19" s="29" t="s">
        <v>2020</v>
      </c>
      <c r="K19" s="29" t="s">
        <v>3196</v>
      </c>
      <c r="L19" s="29" t="s">
        <v>678</v>
      </c>
      <c r="M19" s="29" t="s">
        <v>3289</v>
      </c>
      <c r="N19" s="29" t="s">
        <v>1866</v>
      </c>
      <c r="O19" s="54" t="s">
        <v>1475</v>
      </c>
      <c r="P19" s="29" t="s">
        <v>3224</v>
      </c>
      <c r="Q19" s="29" t="s">
        <v>656</v>
      </c>
      <c r="R19" s="29" t="s">
        <v>3224</v>
      </c>
      <c r="S19" s="29" t="s">
        <v>656</v>
      </c>
      <c r="T19" s="29" t="s">
        <v>1895</v>
      </c>
      <c r="U19" s="29" t="s">
        <v>1929</v>
      </c>
      <c r="V19" s="29" t="s">
        <v>1929</v>
      </c>
      <c r="W19" s="29" t="s">
        <v>532</v>
      </c>
      <c r="X19" s="29" t="s">
        <v>3617</v>
      </c>
      <c r="Y19" s="29"/>
      <c r="Z19" s="29" t="s">
        <v>869</v>
      </c>
      <c r="AA19" s="29"/>
      <c r="AB19" s="29" t="s">
        <v>1789</v>
      </c>
      <c r="AC19" s="29" t="s">
        <v>1856</v>
      </c>
      <c r="AD19" s="29" t="s">
        <v>656</v>
      </c>
      <c r="AE19" s="662" t="s">
        <v>766</v>
      </c>
      <c r="AF19" s="54" t="s">
        <v>792</v>
      </c>
      <c r="AG19" s="29" t="s">
        <v>822</v>
      </c>
      <c r="AH19" s="48" t="s">
        <v>470</v>
      </c>
      <c r="AI19" s="29" t="s">
        <v>930</v>
      </c>
      <c r="AJ19" s="29" t="s">
        <v>949</v>
      </c>
      <c r="AK19" s="663"/>
      <c r="AL19" s="29" t="s">
        <v>3465</v>
      </c>
      <c r="AM19" s="29" t="s">
        <v>3489</v>
      </c>
      <c r="AN19" s="29" t="s">
        <v>3515</v>
      </c>
      <c r="AO19" s="29" t="s">
        <v>1354</v>
      </c>
      <c r="AP19" s="663"/>
      <c r="AQ19" s="48" t="s">
        <v>631</v>
      </c>
      <c r="AR19" s="663"/>
      <c r="AS19" s="29" t="s">
        <v>470</v>
      </c>
      <c r="AT19" s="29" t="s">
        <v>470</v>
      </c>
      <c r="AU19" s="29" t="s">
        <v>470</v>
      </c>
      <c r="AV19" s="29" t="s">
        <v>720</v>
      </c>
      <c r="AW19" s="29" t="s">
        <v>2054</v>
      </c>
      <c r="AX19" s="663"/>
      <c r="AY19" s="663"/>
      <c r="AZ19" s="29" t="s">
        <v>1737</v>
      </c>
      <c r="BA19" s="29" t="s">
        <v>1761</v>
      </c>
      <c r="BB19" s="29" t="s">
        <v>1761</v>
      </c>
      <c r="BC19" s="29" t="s">
        <v>9493</v>
      </c>
      <c r="BD19" s="54" t="s">
        <v>1807</v>
      </c>
      <c r="BE19" s="88"/>
      <c r="BF19" s="29" t="s">
        <v>1677</v>
      </c>
      <c r="BG19" s="29" t="s">
        <v>656</v>
      </c>
      <c r="BH19" s="29" t="s">
        <v>1068</v>
      </c>
      <c r="BI19" s="29" t="s">
        <v>1087</v>
      </c>
      <c r="BJ19" s="29" t="s">
        <v>656</v>
      </c>
      <c r="BK19" s="29" t="s">
        <v>1710</v>
      </c>
      <c r="BL19" s="101" t="s">
        <v>2100</v>
      </c>
      <c r="BM19" s="29" t="s">
        <v>3536</v>
      </c>
      <c r="BN19" s="29"/>
      <c r="BO19" s="186"/>
      <c r="BP19" s="29" t="s">
        <v>557</v>
      </c>
      <c r="BQ19" s="29" t="s">
        <v>3030</v>
      </c>
      <c r="BR19" s="29" t="s">
        <v>2132</v>
      </c>
      <c r="BS19" s="29" t="s">
        <v>2162</v>
      </c>
      <c r="BT19" s="54" t="s">
        <v>656</v>
      </c>
      <c r="BU19" s="29" t="s">
        <v>470</v>
      </c>
      <c r="BV19" s="29" t="s">
        <v>2943</v>
      </c>
      <c r="BW19" s="29" t="s">
        <v>3000</v>
      </c>
      <c r="BX19" s="29" t="s">
        <v>2975</v>
      </c>
      <c r="BY19" s="663"/>
      <c r="BZ19" s="663"/>
      <c r="CA19" s="29" t="s">
        <v>3267</v>
      </c>
      <c r="CB19" s="48" t="s">
        <v>470</v>
      </c>
      <c r="CC19" s="29" t="s">
        <v>1150</v>
      </c>
      <c r="CD19" s="29" t="s">
        <v>2183</v>
      </c>
      <c r="CE19" s="29" t="s">
        <v>1201</v>
      </c>
      <c r="CF19" s="29" t="s">
        <v>656</v>
      </c>
      <c r="CG19" s="662" t="s">
        <v>656</v>
      </c>
      <c r="CH19" s="29" t="s">
        <v>656</v>
      </c>
      <c r="CI19" s="29" t="s">
        <v>1201</v>
      </c>
      <c r="CJ19" s="29" t="s">
        <v>1201</v>
      </c>
      <c r="CK19" s="29" t="s">
        <v>1201</v>
      </c>
      <c r="CL19" s="29" t="s">
        <v>1201</v>
      </c>
      <c r="CM19" s="110" t="s">
        <v>539</v>
      </c>
      <c r="CN19" s="29" t="s">
        <v>3147</v>
      </c>
      <c r="CO19" s="29" t="s">
        <v>470</v>
      </c>
      <c r="CP19" s="29" t="s">
        <v>470</v>
      </c>
      <c r="CQ19" s="29" t="s">
        <v>470</v>
      </c>
      <c r="CR19" s="127" t="s">
        <v>1387</v>
      </c>
      <c r="CS19" s="29"/>
      <c r="CT19" s="29" t="s">
        <v>656</v>
      </c>
      <c r="CU19" s="29" t="s">
        <v>3110</v>
      </c>
      <c r="CV19" s="663"/>
      <c r="CW19" s="54" t="s">
        <v>656</v>
      </c>
      <c r="CX19" s="664" t="s">
        <v>3242</v>
      </c>
      <c r="CY19" s="29" t="s">
        <v>1451</v>
      </c>
      <c r="CZ19" s="29" t="s">
        <v>1451</v>
      </c>
      <c r="DA19" s="29" t="s">
        <v>1482</v>
      </c>
      <c r="DB19" s="29" t="s">
        <v>2839</v>
      </c>
      <c r="DC19" s="29" t="s">
        <v>656</v>
      </c>
      <c r="DD19" s="29" t="s">
        <v>2862</v>
      </c>
      <c r="DE19" s="29" t="s">
        <v>2611</v>
      </c>
      <c r="DF19" s="29"/>
      <c r="DG19" s="127" t="s">
        <v>470</v>
      </c>
      <c r="DH19" s="665" t="s">
        <v>2748</v>
      </c>
      <c r="DI19" s="127" t="s">
        <v>2717</v>
      </c>
      <c r="DJ19" s="666" t="s">
        <v>2778</v>
      </c>
      <c r="DK19" s="667"/>
      <c r="DL19" s="127"/>
      <c r="DM19" s="127" t="s">
        <v>576</v>
      </c>
      <c r="DN19" s="29" t="s">
        <v>470</v>
      </c>
      <c r="DO19" s="29" t="s">
        <v>470</v>
      </c>
      <c r="DP19" s="54" t="s">
        <v>2516</v>
      </c>
      <c r="DQ19" s="29" t="s">
        <v>656</v>
      </c>
      <c r="DR19" s="29" t="s">
        <v>2551</v>
      </c>
      <c r="DS19" s="29" t="s">
        <v>656</v>
      </c>
      <c r="DT19" s="29"/>
      <c r="DU19" s="29" t="s">
        <v>470</v>
      </c>
      <c r="DV19" s="29" t="s">
        <v>2484</v>
      </c>
      <c r="DW19" s="36" t="s">
        <v>2408</v>
      </c>
      <c r="DX19" s="29"/>
      <c r="DY19" s="29"/>
      <c r="DZ19" s="29"/>
      <c r="EA19" s="36" t="s">
        <v>2429</v>
      </c>
      <c r="EB19" s="29"/>
      <c r="EC19" s="29" t="s">
        <v>3414</v>
      </c>
      <c r="ED19" s="29" t="s">
        <v>3444</v>
      </c>
      <c r="EE19" s="29" t="s">
        <v>9546</v>
      </c>
      <c r="EF19" s="29" t="s">
        <v>3647</v>
      </c>
      <c r="EG19" s="663"/>
      <c r="EH19" s="186" t="s">
        <v>656</v>
      </c>
      <c r="EI19" s="691" t="s">
        <v>2390</v>
      </c>
      <c r="EJ19" s="186" t="s">
        <v>656</v>
      </c>
      <c r="EK19" s="29" t="s">
        <v>2294</v>
      </c>
      <c r="EL19" s="54" t="s">
        <v>2326</v>
      </c>
      <c r="EM19" s="186"/>
      <c r="EN19" s="48" t="s">
        <v>2234</v>
      </c>
      <c r="EO19" s="29" t="s">
        <v>2262</v>
      </c>
      <c r="EP19" s="29" t="s">
        <v>656</v>
      </c>
      <c r="EQ19" s="29" t="s">
        <v>1647</v>
      </c>
      <c r="ER19" s="29"/>
      <c r="ES19" s="663"/>
      <c r="ET19" s="29" t="s">
        <v>470</v>
      </c>
      <c r="EU19" s="127" t="s">
        <v>3368</v>
      </c>
      <c r="EV19" s="662" t="s">
        <v>1583</v>
      </c>
      <c r="EW19" s="29" t="s">
        <v>741</v>
      </c>
      <c r="EX19" s="29" t="s">
        <v>1422</v>
      </c>
      <c r="EY19" s="29" t="s">
        <v>656</v>
      </c>
      <c r="EZ19" s="663"/>
      <c r="FA19" s="29" t="s">
        <v>656</v>
      </c>
    </row>
    <row r="20" spans="1:157" ht="82" customHeight="1" x14ac:dyDescent="0.2">
      <c r="A20" s="1205"/>
      <c r="B20" s="1207"/>
      <c r="C20" s="1208"/>
      <c r="D20" s="1204"/>
      <c r="E20" s="185" t="s">
        <v>34</v>
      </c>
      <c r="F20" s="32" t="s">
        <v>997</v>
      </c>
      <c r="G20" s="29" t="s">
        <v>1025</v>
      </c>
      <c r="H20" s="662"/>
      <c r="I20" s="29" t="s">
        <v>656</v>
      </c>
      <c r="J20" s="169" t="s">
        <v>2021</v>
      </c>
      <c r="K20" s="32"/>
      <c r="L20" s="29" t="s">
        <v>676</v>
      </c>
      <c r="M20" s="32" t="s">
        <v>3290</v>
      </c>
      <c r="N20" s="32" t="s">
        <v>1867</v>
      </c>
      <c r="O20" s="32" t="s">
        <v>1474</v>
      </c>
      <c r="P20" s="29" t="s">
        <v>3225</v>
      </c>
      <c r="Q20" s="54" t="s">
        <v>656</v>
      </c>
      <c r="R20" s="29" t="s">
        <v>3225</v>
      </c>
      <c r="S20" s="29" t="s">
        <v>656</v>
      </c>
      <c r="T20" s="29" t="s">
        <v>1896</v>
      </c>
      <c r="U20" s="29" t="s">
        <v>1930</v>
      </c>
      <c r="V20" s="29" t="s">
        <v>1929</v>
      </c>
      <c r="W20" s="29" t="s">
        <v>533</v>
      </c>
      <c r="X20" s="29" t="s">
        <v>3618</v>
      </c>
      <c r="Y20" s="29"/>
      <c r="Z20" s="32" t="s">
        <v>870</v>
      </c>
      <c r="AA20" s="29"/>
      <c r="AB20" s="32" t="s">
        <v>1790</v>
      </c>
      <c r="AC20" s="32" t="s">
        <v>1857</v>
      </c>
      <c r="AD20" s="29" t="s">
        <v>656</v>
      </c>
      <c r="AE20" s="682" t="s">
        <v>767</v>
      </c>
      <c r="AF20" s="32" t="s">
        <v>793</v>
      </c>
      <c r="AG20" s="32" t="s">
        <v>823</v>
      </c>
      <c r="AH20" s="29"/>
      <c r="AI20" s="29" t="s">
        <v>931</v>
      </c>
      <c r="AJ20" s="32" t="s">
        <v>950</v>
      </c>
      <c r="AK20" s="663"/>
      <c r="AL20" s="57" t="s">
        <v>3466</v>
      </c>
      <c r="AM20" s="32" t="s">
        <v>3490</v>
      </c>
      <c r="AN20" s="32" t="s">
        <v>3516</v>
      </c>
      <c r="AO20" s="32" t="s">
        <v>1355</v>
      </c>
      <c r="AP20" s="663"/>
      <c r="AQ20" s="29"/>
      <c r="AR20" s="663"/>
      <c r="AS20" s="29"/>
      <c r="AT20" s="29"/>
      <c r="AU20" s="29"/>
      <c r="AV20" s="32" t="s">
        <v>719</v>
      </c>
      <c r="AW20" s="102" t="s">
        <v>2055</v>
      </c>
      <c r="AX20" s="663"/>
      <c r="AY20" s="663"/>
      <c r="AZ20" s="85" t="s">
        <v>1738</v>
      </c>
      <c r="BA20" s="85" t="s">
        <v>1762</v>
      </c>
      <c r="BB20" s="85" t="s">
        <v>1762</v>
      </c>
      <c r="BC20" s="29" t="s">
        <v>972</v>
      </c>
      <c r="BD20" s="181" t="s">
        <v>1808</v>
      </c>
      <c r="BE20" s="89"/>
      <c r="BF20" s="29" t="s">
        <v>1678</v>
      </c>
      <c r="BG20" s="29" t="s">
        <v>656</v>
      </c>
      <c r="BH20" s="32" t="s">
        <v>1069</v>
      </c>
      <c r="BI20" s="92" t="s">
        <v>1088</v>
      </c>
      <c r="BJ20" s="29" t="s">
        <v>656</v>
      </c>
      <c r="BK20" s="29" t="s">
        <v>1711</v>
      </c>
      <c r="BL20" s="684" t="s">
        <v>2101</v>
      </c>
      <c r="BM20" s="57" t="s">
        <v>3537</v>
      </c>
      <c r="BN20" s="29"/>
      <c r="BO20" s="186"/>
      <c r="BP20" s="57" t="s">
        <v>558</v>
      </c>
      <c r="BQ20" s="32" t="s">
        <v>3028</v>
      </c>
      <c r="BR20" s="102" t="s">
        <v>2133</v>
      </c>
      <c r="BS20" s="102" t="s">
        <v>2163</v>
      </c>
      <c r="BT20" s="29" t="s">
        <v>656</v>
      </c>
      <c r="BU20" s="29"/>
      <c r="BV20" s="32" t="s">
        <v>2940</v>
      </c>
      <c r="BW20" s="29" t="s">
        <v>3001</v>
      </c>
      <c r="BX20" s="32" t="s">
        <v>2972</v>
      </c>
      <c r="BY20" s="663"/>
      <c r="BZ20" s="663"/>
      <c r="CA20" s="32" t="s">
        <v>3268</v>
      </c>
      <c r="CB20" s="48"/>
      <c r="CC20" s="29" t="s">
        <v>470</v>
      </c>
      <c r="CD20" s="32" t="s">
        <v>2204</v>
      </c>
      <c r="CE20" s="32" t="s">
        <v>1202</v>
      </c>
      <c r="CF20" s="29" t="s">
        <v>656</v>
      </c>
      <c r="CG20" s="662" t="s">
        <v>656</v>
      </c>
      <c r="CH20" s="29" t="s">
        <v>656</v>
      </c>
      <c r="CI20" s="32" t="s">
        <v>1202</v>
      </c>
      <c r="CJ20" s="32" t="s">
        <v>1202</v>
      </c>
      <c r="CK20" s="32" t="s">
        <v>1202</v>
      </c>
      <c r="CL20" s="32" t="s">
        <v>1202</v>
      </c>
      <c r="CM20" s="110" t="s">
        <v>539</v>
      </c>
      <c r="CN20" s="57" t="s">
        <v>3148</v>
      </c>
      <c r="CO20" s="29" t="s">
        <v>470</v>
      </c>
      <c r="CP20" s="29" t="s">
        <v>470</v>
      </c>
      <c r="CQ20" s="29" t="s">
        <v>470</v>
      </c>
      <c r="CR20" s="686" t="s">
        <v>1388</v>
      </c>
      <c r="CS20" s="29"/>
      <c r="CT20" s="29" t="s">
        <v>656</v>
      </c>
      <c r="CU20" s="29" t="s">
        <v>3111</v>
      </c>
      <c r="CV20" s="663"/>
      <c r="CW20" s="54" t="s">
        <v>656</v>
      </c>
      <c r="CX20" s="687" t="s">
        <v>3241</v>
      </c>
      <c r="CY20" s="57" t="s">
        <v>1452</v>
      </c>
      <c r="CZ20" s="57" t="s">
        <v>1452</v>
      </c>
      <c r="DA20" s="29" t="s">
        <v>1482</v>
      </c>
      <c r="DB20" s="85" t="s">
        <v>2840</v>
      </c>
      <c r="DC20" s="29" t="s">
        <v>656</v>
      </c>
      <c r="DD20" s="87" t="s">
        <v>2863</v>
      </c>
      <c r="DE20" s="32" t="s">
        <v>2612</v>
      </c>
      <c r="DF20" s="29"/>
      <c r="DG20" s="127"/>
      <c r="DH20" s="32" t="s">
        <v>2749</v>
      </c>
      <c r="DI20" s="173" t="s">
        <v>2718</v>
      </c>
      <c r="DJ20" s="689" t="s">
        <v>2779</v>
      </c>
      <c r="DK20" s="667"/>
      <c r="DL20" s="127"/>
      <c r="DM20" s="127" t="s">
        <v>579</v>
      </c>
      <c r="DN20" s="29" t="s">
        <v>656</v>
      </c>
      <c r="DO20" s="29" t="s">
        <v>656</v>
      </c>
      <c r="DP20" s="57" t="s">
        <v>2517</v>
      </c>
      <c r="DQ20" s="29" t="s">
        <v>656</v>
      </c>
      <c r="DR20" s="57" t="s">
        <v>2552</v>
      </c>
      <c r="DS20" s="29" t="s">
        <v>656</v>
      </c>
      <c r="DT20" s="29"/>
      <c r="DU20" s="29"/>
      <c r="DV20" s="29" t="s">
        <v>2482</v>
      </c>
      <c r="DW20" s="79" t="s">
        <v>2409</v>
      </c>
      <c r="DX20" s="29"/>
      <c r="DY20" s="29"/>
      <c r="DZ20" s="29"/>
      <c r="EA20" s="57" t="s">
        <v>2430</v>
      </c>
      <c r="EB20" s="29"/>
      <c r="EC20" s="29" t="s">
        <v>3415</v>
      </c>
      <c r="ED20" s="32" t="s">
        <v>3445</v>
      </c>
      <c r="EE20" s="57" t="s">
        <v>502</v>
      </c>
      <c r="EF20" s="32" t="s">
        <v>3648</v>
      </c>
      <c r="EG20" s="663"/>
      <c r="EH20" s="186" t="s">
        <v>656</v>
      </c>
      <c r="EI20" s="172" t="s">
        <v>2391</v>
      </c>
      <c r="EJ20" s="184" t="s">
        <v>656</v>
      </c>
      <c r="EK20" s="29" t="s">
        <v>2295</v>
      </c>
      <c r="EL20" s="57" t="s">
        <v>2327</v>
      </c>
      <c r="EM20" s="186"/>
      <c r="EN20" s="48"/>
      <c r="EO20" s="29" t="s">
        <v>2263</v>
      </c>
      <c r="EP20" s="29" t="s">
        <v>656</v>
      </c>
      <c r="EQ20" s="29" t="s">
        <v>1648</v>
      </c>
      <c r="ER20" s="29"/>
      <c r="ES20" s="663"/>
      <c r="ET20" s="29" t="s">
        <v>470</v>
      </c>
      <c r="EU20" s="173" t="s">
        <v>3369</v>
      </c>
      <c r="EV20" s="694" t="s">
        <v>1584</v>
      </c>
      <c r="EW20" s="32" t="s">
        <v>742</v>
      </c>
      <c r="EX20" s="32" t="s">
        <v>1423</v>
      </c>
      <c r="EY20" s="29" t="s">
        <v>656</v>
      </c>
      <c r="EZ20" s="663"/>
      <c r="FA20" s="103" t="s">
        <v>656</v>
      </c>
    </row>
    <row r="21" spans="1:157" s="77" customFormat="1" ht="82" customHeight="1" x14ac:dyDescent="0.2">
      <c r="A21" s="696"/>
      <c r="B21" s="23"/>
      <c r="C21" s="25"/>
      <c r="D21" s="27"/>
      <c r="E21" s="697"/>
      <c r="F21" s="32"/>
      <c r="G21" s="29"/>
      <c r="H21" s="662"/>
      <c r="I21" s="29"/>
      <c r="J21" s="169"/>
      <c r="K21" s="32"/>
      <c r="L21" s="29"/>
      <c r="M21" s="32"/>
      <c r="N21" s="32"/>
      <c r="O21" s="32"/>
      <c r="P21" s="29"/>
      <c r="Q21" s="54"/>
      <c r="R21" s="29"/>
      <c r="S21" s="29"/>
      <c r="T21" s="29"/>
      <c r="U21" s="29"/>
      <c r="V21" s="29"/>
      <c r="W21" s="29"/>
      <c r="X21" s="29"/>
      <c r="Y21" s="29"/>
      <c r="Z21" s="32"/>
      <c r="AA21" s="29"/>
      <c r="AB21" s="32"/>
      <c r="AC21" s="32"/>
      <c r="AD21" s="29"/>
      <c r="AE21" s="682"/>
      <c r="AF21" s="32"/>
      <c r="AG21" s="32"/>
      <c r="AH21" s="29"/>
      <c r="AI21" s="29"/>
      <c r="AJ21" s="32"/>
      <c r="AK21" s="663"/>
      <c r="AL21" s="57"/>
      <c r="AM21" s="32"/>
      <c r="AN21" s="32"/>
      <c r="AO21" s="32"/>
      <c r="AP21" s="663"/>
      <c r="AQ21" s="29"/>
      <c r="AR21" s="663"/>
      <c r="AS21" s="29"/>
      <c r="AT21" s="29"/>
      <c r="AU21" s="29"/>
      <c r="AV21" s="32"/>
      <c r="AW21" s="102"/>
      <c r="AX21" s="663"/>
      <c r="AY21" s="663"/>
      <c r="AZ21" s="85"/>
      <c r="BA21" s="85"/>
      <c r="BB21" s="85"/>
      <c r="BC21" s="29"/>
      <c r="BD21" s="181"/>
      <c r="BE21" s="89"/>
      <c r="BF21" s="29"/>
      <c r="BG21" s="29"/>
      <c r="BH21" s="32"/>
      <c r="BI21" s="92"/>
      <c r="BJ21" s="29"/>
      <c r="BK21" s="29"/>
      <c r="BL21" s="684"/>
      <c r="BM21" s="57"/>
      <c r="BN21" s="29"/>
      <c r="BO21" s="186"/>
      <c r="BP21" s="57"/>
      <c r="BQ21" s="32"/>
      <c r="BR21" s="102"/>
      <c r="BS21" s="102"/>
      <c r="BT21" s="29"/>
      <c r="BU21" s="29"/>
      <c r="BV21" s="32"/>
      <c r="BW21" s="29"/>
      <c r="BX21" s="32"/>
      <c r="BY21" s="663"/>
      <c r="BZ21" s="663"/>
      <c r="CA21" s="32"/>
      <c r="CB21" s="48"/>
      <c r="CC21" s="29"/>
      <c r="CD21" s="32"/>
      <c r="CE21" s="32"/>
      <c r="CF21" s="29"/>
      <c r="CG21" s="662"/>
      <c r="CH21" s="29"/>
      <c r="CI21" s="32"/>
      <c r="CJ21" s="32"/>
      <c r="CK21" s="32"/>
      <c r="CL21" s="32"/>
      <c r="CM21" s="110"/>
      <c r="CN21" s="57"/>
      <c r="CO21" s="29"/>
      <c r="CP21" s="29"/>
      <c r="CQ21" s="29"/>
      <c r="CR21" s="686"/>
      <c r="CS21" s="29"/>
      <c r="CT21" s="29"/>
      <c r="CU21" s="29"/>
      <c r="CV21" s="663"/>
      <c r="CW21" s="54"/>
      <c r="CX21" s="687"/>
      <c r="CY21" s="57"/>
      <c r="CZ21" s="57"/>
      <c r="DA21" s="29"/>
      <c r="DB21" s="85"/>
      <c r="DC21" s="29"/>
      <c r="DD21" s="87"/>
      <c r="DE21" s="32"/>
      <c r="DF21" s="29"/>
      <c r="DG21" s="127"/>
      <c r="DH21" s="32"/>
      <c r="DI21" s="173"/>
      <c r="DJ21" s="689"/>
      <c r="DK21" s="667"/>
      <c r="DL21" s="127"/>
      <c r="DM21" s="127"/>
      <c r="DN21" s="29"/>
      <c r="DO21" s="29"/>
      <c r="DP21" s="57"/>
      <c r="DQ21" s="29"/>
      <c r="DR21" s="57"/>
      <c r="DS21" s="29"/>
      <c r="DT21" s="29"/>
      <c r="DU21" s="29"/>
      <c r="DV21" s="29"/>
      <c r="DW21" s="79"/>
      <c r="DX21" s="29"/>
      <c r="DY21" s="29"/>
      <c r="DZ21" s="29"/>
      <c r="EA21" s="57"/>
      <c r="EB21" s="29"/>
      <c r="EC21" s="29"/>
      <c r="ED21" s="32"/>
      <c r="EE21" s="57"/>
      <c r="EF21" s="32"/>
      <c r="EG21" s="663"/>
      <c r="EH21" s="186"/>
      <c r="EI21" s="172"/>
      <c r="EJ21" s="184"/>
      <c r="EK21" s="29"/>
      <c r="EL21" s="57"/>
      <c r="EM21" s="186"/>
      <c r="EN21" s="48"/>
      <c r="EO21" s="29"/>
      <c r="EP21" s="29"/>
      <c r="EQ21" s="29"/>
      <c r="ER21" s="29"/>
      <c r="ES21" s="663"/>
      <c r="ET21" s="29"/>
      <c r="EU21" s="173"/>
      <c r="EV21" s="694"/>
      <c r="EW21" s="32"/>
      <c r="EX21" s="32"/>
      <c r="EY21" s="29"/>
      <c r="EZ21" s="663"/>
      <c r="FA21" s="103"/>
    </row>
    <row r="22" spans="1:157" s="77" customFormat="1" ht="82" customHeight="1" x14ac:dyDescent="0.2">
      <c r="A22" s="696"/>
      <c r="B22" s="23"/>
      <c r="C22" s="25"/>
      <c r="D22" s="27"/>
      <c r="E22" s="697"/>
      <c r="F22" s="32"/>
      <c r="G22" s="29"/>
      <c r="H22" s="662"/>
      <c r="I22" s="29"/>
      <c r="J22" s="169"/>
      <c r="K22" s="32"/>
      <c r="L22" s="29"/>
      <c r="M22" s="32"/>
      <c r="N22" s="32"/>
      <c r="O22" s="32"/>
      <c r="P22" s="29"/>
      <c r="Q22" s="54"/>
      <c r="R22" s="29"/>
      <c r="S22" s="29"/>
      <c r="T22" s="29"/>
      <c r="U22" s="29"/>
      <c r="V22" s="29"/>
      <c r="W22" s="29"/>
      <c r="X22" s="29"/>
      <c r="Y22" s="29"/>
      <c r="Z22" s="32"/>
      <c r="AA22" s="29"/>
      <c r="AB22" s="32"/>
      <c r="AC22" s="32"/>
      <c r="AD22" s="29"/>
      <c r="AE22" s="682"/>
      <c r="AF22" s="32"/>
      <c r="AG22" s="32"/>
      <c r="AH22" s="29"/>
      <c r="AI22" s="29"/>
      <c r="AJ22" s="32"/>
      <c r="AK22" s="663"/>
      <c r="AL22" s="57"/>
      <c r="AM22" s="32"/>
      <c r="AN22" s="32"/>
      <c r="AO22" s="32"/>
      <c r="AP22" s="663"/>
      <c r="AQ22" s="29"/>
      <c r="AR22" s="663"/>
      <c r="AS22" s="29"/>
      <c r="AT22" s="29"/>
      <c r="AU22" s="29"/>
      <c r="AV22" s="32"/>
      <c r="AW22" s="102"/>
      <c r="AX22" s="663"/>
      <c r="AY22" s="663"/>
      <c r="AZ22" s="85"/>
      <c r="BA22" s="85"/>
      <c r="BB22" s="85"/>
      <c r="BC22" s="29"/>
      <c r="BD22" s="181"/>
      <c r="BE22" s="89"/>
      <c r="BF22" s="29"/>
      <c r="BG22" s="29"/>
      <c r="BH22" s="32"/>
      <c r="BI22" s="92"/>
      <c r="BJ22" s="29"/>
      <c r="BK22" s="29"/>
      <c r="BL22" s="684"/>
      <c r="BM22" s="57"/>
      <c r="BN22" s="29"/>
      <c r="BO22" s="186"/>
      <c r="BP22" s="57"/>
      <c r="BQ22" s="32"/>
      <c r="BR22" s="102"/>
      <c r="BS22" s="102"/>
      <c r="BT22" s="29"/>
      <c r="BU22" s="29"/>
      <c r="BV22" s="32"/>
      <c r="BW22" s="29"/>
      <c r="BX22" s="32"/>
      <c r="BY22" s="663"/>
      <c r="BZ22" s="663"/>
      <c r="CA22" s="32"/>
      <c r="CB22" s="48"/>
      <c r="CC22" s="29"/>
      <c r="CD22" s="32"/>
      <c r="CE22" s="32"/>
      <c r="CF22" s="29"/>
      <c r="CG22" s="662"/>
      <c r="CH22" s="29"/>
      <c r="CI22" s="32"/>
      <c r="CJ22" s="32"/>
      <c r="CK22" s="32"/>
      <c r="CL22" s="32"/>
      <c r="CM22" s="110"/>
      <c r="CN22" s="57"/>
      <c r="CO22" s="29"/>
      <c r="CP22" s="29"/>
      <c r="CQ22" s="29"/>
      <c r="CR22" s="686"/>
      <c r="CS22" s="29"/>
      <c r="CT22" s="29"/>
      <c r="CU22" s="29"/>
      <c r="CV22" s="663"/>
      <c r="CW22" s="54"/>
      <c r="CX22" s="687"/>
      <c r="CY22" s="57"/>
      <c r="CZ22" s="57"/>
      <c r="DA22" s="29"/>
      <c r="DB22" s="85"/>
      <c r="DC22" s="29"/>
      <c r="DD22" s="87"/>
      <c r="DE22" s="32"/>
      <c r="DF22" s="29"/>
      <c r="DG22" s="127"/>
      <c r="DH22" s="32"/>
      <c r="DI22" s="173"/>
      <c r="DJ22" s="689"/>
      <c r="DK22" s="667"/>
      <c r="DL22" s="127"/>
      <c r="DM22" s="127"/>
      <c r="DN22" s="29"/>
      <c r="DO22" s="29"/>
      <c r="DP22" s="57"/>
      <c r="DQ22" s="29"/>
      <c r="DR22" s="57"/>
      <c r="DS22" s="29"/>
      <c r="DT22" s="29"/>
      <c r="DU22" s="29"/>
      <c r="DV22" s="29"/>
      <c r="DW22" s="79"/>
      <c r="DX22" s="29"/>
      <c r="DY22" s="29"/>
      <c r="DZ22" s="29"/>
      <c r="EA22" s="57"/>
      <c r="EB22" s="29"/>
      <c r="EC22" s="29"/>
      <c r="ED22" s="32"/>
      <c r="EE22" s="57"/>
      <c r="EF22" s="32"/>
      <c r="EG22" s="663"/>
      <c r="EH22" s="186"/>
      <c r="EI22" s="172"/>
      <c r="EJ22" s="184"/>
      <c r="EK22" s="29"/>
      <c r="EL22" s="57"/>
      <c r="EM22" s="186"/>
      <c r="EN22" s="48"/>
      <c r="EO22" s="29"/>
      <c r="EP22" s="29"/>
      <c r="EQ22" s="29"/>
      <c r="ER22" s="29"/>
      <c r="ES22" s="663"/>
      <c r="ET22" s="29"/>
      <c r="EU22" s="173"/>
      <c r="EV22" s="694"/>
      <c r="EW22" s="32"/>
      <c r="EX22" s="32"/>
      <c r="EY22" s="29"/>
      <c r="EZ22" s="663"/>
      <c r="FA22" s="103"/>
    </row>
    <row r="23" spans="1:157" s="77" customFormat="1" ht="82" customHeight="1" x14ac:dyDescent="0.2">
      <c r="A23" s="696"/>
      <c r="B23" s="23"/>
      <c r="C23" s="25"/>
      <c r="D23" s="27"/>
      <c r="E23" s="697"/>
      <c r="F23" s="32"/>
      <c r="G23" s="29"/>
      <c r="H23" s="662"/>
      <c r="I23" s="29"/>
      <c r="J23" s="169"/>
      <c r="K23" s="32"/>
      <c r="L23" s="29"/>
      <c r="M23" s="32"/>
      <c r="N23" s="32"/>
      <c r="O23" s="32"/>
      <c r="P23" s="29"/>
      <c r="Q23" s="54"/>
      <c r="R23" s="29"/>
      <c r="S23" s="29"/>
      <c r="T23" s="29"/>
      <c r="U23" s="29"/>
      <c r="V23" s="29"/>
      <c r="W23" s="29"/>
      <c r="X23" s="29"/>
      <c r="Y23" s="29"/>
      <c r="Z23" s="32"/>
      <c r="AA23" s="29"/>
      <c r="AB23" s="32"/>
      <c r="AC23" s="32"/>
      <c r="AD23" s="29"/>
      <c r="AE23" s="682"/>
      <c r="AF23" s="32"/>
      <c r="AG23" s="32"/>
      <c r="AH23" s="29"/>
      <c r="AI23" s="29"/>
      <c r="AJ23" s="32"/>
      <c r="AK23" s="663"/>
      <c r="AL23" s="57"/>
      <c r="AM23" s="32"/>
      <c r="AN23" s="32"/>
      <c r="AO23" s="32"/>
      <c r="AP23" s="663"/>
      <c r="AQ23" s="29"/>
      <c r="AR23" s="663"/>
      <c r="AS23" s="29"/>
      <c r="AT23" s="29"/>
      <c r="AU23" s="29"/>
      <c r="AV23" s="32"/>
      <c r="AW23" s="102"/>
      <c r="AX23" s="663"/>
      <c r="AY23" s="663"/>
      <c r="AZ23" s="85"/>
      <c r="BA23" s="85"/>
      <c r="BB23" s="85"/>
      <c r="BC23" s="29"/>
      <c r="BD23" s="181"/>
      <c r="BE23" s="89"/>
      <c r="BF23" s="29"/>
      <c r="BG23" s="29"/>
      <c r="BH23" s="32"/>
      <c r="BI23" s="92"/>
      <c r="BJ23" s="29"/>
      <c r="BK23" s="29"/>
      <c r="BL23" s="684"/>
      <c r="BM23" s="57"/>
      <c r="BN23" s="29"/>
      <c r="BO23" s="186"/>
      <c r="BP23" s="57"/>
      <c r="BQ23" s="32"/>
      <c r="BR23" s="102"/>
      <c r="BS23" s="102"/>
      <c r="BT23" s="29"/>
      <c r="BU23" s="29"/>
      <c r="BV23" s="32"/>
      <c r="BW23" s="29"/>
      <c r="BX23" s="32"/>
      <c r="BY23" s="663"/>
      <c r="BZ23" s="663"/>
      <c r="CA23" s="32"/>
      <c r="CB23" s="48"/>
      <c r="CC23" s="29"/>
      <c r="CD23" s="32"/>
      <c r="CE23" s="32"/>
      <c r="CF23" s="29"/>
      <c r="CG23" s="662"/>
      <c r="CH23" s="29"/>
      <c r="CI23" s="32"/>
      <c r="CJ23" s="32"/>
      <c r="CK23" s="32"/>
      <c r="CL23" s="32"/>
      <c r="CM23" s="110"/>
      <c r="CN23" s="57"/>
      <c r="CO23" s="29"/>
      <c r="CP23" s="29"/>
      <c r="CQ23" s="29"/>
      <c r="CR23" s="686"/>
      <c r="CS23" s="29"/>
      <c r="CT23" s="29"/>
      <c r="CU23" s="29"/>
      <c r="CV23" s="663"/>
      <c r="CW23" s="54"/>
      <c r="CX23" s="687"/>
      <c r="CY23" s="57"/>
      <c r="CZ23" s="57"/>
      <c r="DA23" s="29"/>
      <c r="DB23" s="85"/>
      <c r="DC23" s="29"/>
      <c r="DD23" s="87"/>
      <c r="DE23" s="32"/>
      <c r="DF23" s="29"/>
      <c r="DG23" s="127"/>
      <c r="DH23" s="32"/>
      <c r="DI23" s="173"/>
      <c r="DJ23" s="689"/>
      <c r="DK23" s="667"/>
      <c r="DL23" s="127"/>
      <c r="DM23" s="127"/>
      <c r="DN23" s="29"/>
      <c r="DO23" s="29"/>
      <c r="DP23" s="57"/>
      <c r="DQ23" s="29"/>
      <c r="DR23" s="57"/>
      <c r="DS23" s="29"/>
      <c r="DT23" s="29"/>
      <c r="DU23" s="29"/>
      <c r="DV23" s="29"/>
      <c r="DW23" s="79"/>
      <c r="DX23" s="29"/>
      <c r="DY23" s="29"/>
      <c r="DZ23" s="29"/>
      <c r="EA23" s="57"/>
      <c r="EB23" s="29"/>
      <c r="EC23" s="29"/>
      <c r="ED23" s="32"/>
      <c r="EE23" s="57"/>
      <c r="EF23" s="32"/>
      <c r="EG23" s="663"/>
      <c r="EH23" s="186"/>
      <c r="EI23" s="172"/>
      <c r="EJ23" s="184"/>
      <c r="EK23" s="29"/>
      <c r="EL23" s="57"/>
      <c r="EM23" s="186"/>
      <c r="EN23" s="48"/>
      <c r="EO23" s="29"/>
      <c r="EP23" s="29"/>
      <c r="EQ23" s="29"/>
      <c r="ER23" s="29"/>
      <c r="ES23" s="663"/>
      <c r="ET23" s="29"/>
      <c r="EU23" s="173"/>
      <c r="EV23" s="694"/>
      <c r="EW23" s="32"/>
      <c r="EX23" s="32"/>
      <c r="EY23" s="29"/>
      <c r="EZ23" s="663"/>
      <c r="FA23" s="103"/>
    </row>
    <row r="24" spans="1:157" s="77" customFormat="1" ht="82" customHeight="1" x14ac:dyDescent="0.2">
      <c r="A24" s="696"/>
      <c r="B24" s="23"/>
      <c r="C24" s="25"/>
      <c r="D24" s="27"/>
      <c r="E24" s="697"/>
      <c r="F24" s="32"/>
      <c r="G24" s="29"/>
      <c r="H24" s="662"/>
      <c r="I24" s="29"/>
      <c r="J24" s="169"/>
      <c r="K24" s="32"/>
      <c r="L24" s="29"/>
      <c r="M24" s="32"/>
      <c r="N24" s="32"/>
      <c r="O24" s="32"/>
      <c r="P24" s="29"/>
      <c r="Q24" s="54"/>
      <c r="R24" s="29"/>
      <c r="S24" s="29"/>
      <c r="T24" s="29"/>
      <c r="U24" s="29"/>
      <c r="V24" s="29"/>
      <c r="W24" s="29"/>
      <c r="X24" s="29"/>
      <c r="Y24" s="29"/>
      <c r="Z24" s="32"/>
      <c r="AA24" s="29"/>
      <c r="AB24" s="32"/>
      <c r="AC24" s="32"/>
      <c r="AD24" s="29"/>
      <c r="AE24" s="682"/>
      <c r="AF24" s="32"/>
      <c r="AG24" s="32"/>
      <c r="AH24" s="29"/>
      <c r="AI24" s="29"/>
      <c r="AJ24" s="32"/>
      <c r="AK24" s="663"/>
      <c r="AL24" s="57"/>
      <c r="AM24" s="32"/>
      <c r="AN24" s="32"/>
      <c r="AO24" s="32"/>
      <c r="AP24" s="663"/>
      <c r="AQ24" s="29"/>
      <c r="AR24" s="663"/>
      <c r="AS24" s="29"/>
      <c r="AT24" s="29"/>
      <c r="AU24" s="29"/>
      <c r="AV24" s="32"/>
      <c r="AW24" s="102"/>
      <c r="AX24" s="663"/>
      <c r="AY24" s="663"/>
      <c r="AZ24" s="85"/>
      <c r="BA24" s="85"/>
      <c r="BB24" s="85"/>
      <c r="BC24" s="29"/>
      <c r="BD24" s="181"/>
      <c r="BE24" s="89"/>
      <c r="BF24" s="29"/>
      <c r="BG24" s="29"/>
      <c r="BH24" s="32"/>
      <c r="BI24" s="92"/>
      <c r="BJ24" s="29"/>
      <c r="BK24" s="29"/>
      <c r="BL24" s="684"/>
      <c r="BM24" s="57"/>
      <c r="BN24" s="29"/>
      <c r="BO24" s="186"/>
      <c r="BP24" s="57"/>
      <c r="BQ24" s="32"/>
      <c r="BR24" s="102"/>
      <c r="BS24" s="102"/>
      <c r="BT24" s="29"/>
      <c r="BU24" s="29"/>
      <c r="BV24" s="32"/>
      <c r="BW24" s="29"/>
      <c r="BX24" s="32"/>
      <c r="BY24" s="663"/>
      <c r="BZ24" s="663"/>
      <c r="CA24" s="32"/>
      <c r="CB24" s="48"/>
      <c r="CC24" s="29"/>
      <c r="CD24" s="32"/>
      <c r="CE24" s="32"/>
      <c r="CF24" s="29"/>
      <c r="CG24" s="662"/>
      <c r="CH24" s="29"/>
      <c r="CI24" s="32"/>
      <c r="CJ24" s="32"/>
      <c r="CK24" s="32"/>
      <c r="CL24" s="32"/>
      <c r="CM24" s="110"/>
      <c r="CN24" s="57"/>
      <c r="CO24" s="29"/>
      <c r="CP24" s="29"/>
      <c r="CQ24" s="29"/>
      <c r="CR24" s="686"/>
      <c r="CS24" s="29"/>
      <c r="CT24" s="29"/>
      <c r="CU24" s="29"/>
      <c r="CV24" s="663"/>
      <c r="CW24" s="54"/>
      <c r="CX24" s="687"/>
      <c r="CY24" s="57"/>
      <c r="CZ24" s="57"/>
      <c r="DA24" s="29"/>
      <c r="DB24" s="85"/>
      <c r="DC24" s="29"/>
      <c r="DD24" s="87"/>
      <c r="DE24" s="32"/>
      <c r="DF24" s="29"/>
      <c r="DG24" s="127"/>
      <c r="DH24" s="32"/>
      <c r="DI24" s="173"/>
      <c r="DJ24" s="689"/>
      <c r="DK24" s="667"/>
      <c r="DL24" s="127"/>
      <c r="DM24" s="127"/>
      <c r="DN24" s="29"/>
      <c r="DO24" s="29"/>
      <c r="DP24" s="57"/>
      <c r="DQ24" s="29"/>
      <c r="DR24" s="57"/>
      <c r="DS24" s="29"/>
      <c r="DT24" s="29"/>
      <c r="DU24" s="29"/>
      <c r="DV24" s="29"/>
      <c r="DW24" s="79"/>
      <c r="DX24" s="29"/>
      <c r="DY24" s="29"/>
      <c r="DZ24" s="29"/>
      <c r="EA24" s="57"/>
      <c r="EB24" s="29"/>
      <c r="EC24" s="29"/>
      <c r="ED24" s="32"/>
      <c r="EE24" s="57"/>
      <c r="EF24" s="32"/>
      <c r="EG24" s="663"/>
      <c r="EH24" s="186"/>
      <c r="EI24" s="172"/>
      <c r="EJ24" s="184"/>
      <c r="EK24" s="29"/>
      <c r="EL24" s="57"/>
      <c r="EM24" s="186"/>
      <c r="EN24" s="48"/>
      <c r="EO24" s="29"/>
      <c r="EP24" s="29"/>
      <c r="EQ24" s="29"/>
      <c r="ER24" s="29"/>
      <c r="ES24" s="663"/>
      <c r="ET24" s="29"/>
      <c r="EU24" s="173"/>
      <c r="EV24" s="694"/>
      <c r="EW24" s="32"/>
      <c r="EX24" s="32"/>
      <c r="EY24" s="29"/>
      <c r="EZ24" s="663"/>
      <c r="FA24" s="103"/>
    </row>
    <row r="25" spans="1:157" s="77" customFormat="1" ht="82" customHeight="1" x14ac:dyDescent="0.2">
      <c r="A25" s="696"/>
      <c r="B25" s="23"/>
      <c r="C25" s="25"/>
      <c r="D25" s="27"/>
      <c r="E25" s="697"/>
      <c r="F25" s="32"/>
      <c r="G25" s="29"/>
      <c r="H25" s="662"/>
      <c r="I25" s="29"/>
      <c r="J25" s="169"/>
      <c r="K25" s="32"/>
      <c r="L25" s="29"/>
      <c r="M25" s="32"/>
      <c r="N25" s="32"/>
      <c r="O25" s="32"/>
      <c r="P25" s="29"/>
      <c r="Q25" s="54"/>
      <c r="R25" s="29"/>
      <c r="S25" s="29"/>
      <c r="T25" s="29"/>
      <c r="U25" s="29"/>
      <c r="V25" s="29"/>
      <c r="W25" s="29"/>
      <c r="X25" s="29"/>
      <c r="Y25" s="29"/>
      <c r="Z25" s="32"/>
      <c r="AA25" s="29"/>
      <c r="AB25" s="32"/>
      <c r="AC25" s="32"/>
      <c r="AD25" s="29"/>
      <c r="AE25" s="682"/>
      <c r="AF25" s="32"/>
      <c r="AG25" s="32"/>
      <c r="AH25" s="29"/>
      <c r="AI25" s="29"/>
      <c r="AJ25" s="32"/>
      <c r="AK25" s="663"/>
      <c r="AL25" s="57"/>
      <c r="AM25" s="32"/>
      <c r="AN25" s="32"/>
      <c r="AO25" s="32"/>
      <c r="AP25" s="663"/>
      <c r="AQ25" s="29"/>
      <c r="AR25" s="663"/>
      <c r="AS25" s="29"/>
      <c r="AT25" s="29"/>
      <c r="AU25" s="29"/>
      <c r="AV25" s="32"/>
      <c r="AW25" s="102"/>
      <c r="AX25" s="663"/>
      <c r="AY25" s="663"/>
      <c r="AZ25" s="85"/>
      <c r="BA25" s="85"/>
      <c r="BB25" s="85"/>
      <c r="BC25" s="29"/>
      <c r="BD25" s="181"/>
      <c r="BE25" s="89"/>
      <c r="BF25" s="29"/>
      <c r="BG25" s="29"/>
      <c r="BH25" s="32"/>
      <c r="BI25" s="92"/>
      <c r="BJ25" s="29"/>
      <c r="BK25" s="29"/>
      <c r="BL25" s="684"/>
      <c r="BM25" s="57"/>
      <c r="BN25" s="29"/>
      <c r="BO25" s="186"/>
      <c r="BP25" s="57"/>
      <c r="BQ25" s="32"/>
      <c r="BR25" s="102"/>
      <c r="BS25" s="102"/>
      <c r="BT25" s="29"/>
      <c r="BU25" s="29"/>
      <c r="BV25" s="32"/>
      <c r="BW25" s="29"/>
      <c r="BX25" s="32"/>
      <c r="BY25" s="663"/>
      <c r="BZ25" s="663"/>
      <c r="CA25" s="32"/>
      <c r="CB25" s="48"/>
      <c r="CC25" s="29"/>
      <c r="CD25" s="32"/>
      <c r="CE25" s="32"/>
      <c r="CF25" s="29"/>
      <c r="CG25" s="662"/>
      <c r="CH25" s="29"/>
      <c r="CI25" s="32"/>
      <c r="CJ25" s="32"/>
      <c r="CK25" s="32"/>
      <c r="CL25" s="32"/>
      <c r="CM25" s="110"/>
      <c r="CN25" s="57"/>
      <c r="CO25" s="29"/>
      <c r="CP25" s="29"/>
      <c r="CQ25" s="29"/>
      <c r="CR25" s="686"/>
      <c r="CS25" s="29"/>
      <c r="CT25" s="29"/>
      <c r="CU25" s="29"/>
      <c r="CV25" s="663"/>
      <c r="CW25" s="54"/>
      <c r="CX25" s="687"/>
      <c r="CY25" s="57"/>
      <c r="CZ25" s="57"/>
      <c r="DA25" s="29"/>
      <c r="DB25" s="85"/>
      <c r="DC25" s="29"/>
      <c r="DD25" s="87"/>
      <c r="DE25" s="32"/>
      <c r="DF25" s="29"/>
      <c r="DG25" s="127"/>
      <c r="DH25" s="32"/>
      <c r="DI25" s="173"/>
      <c r="DJ25" s="689"/>
      <c r="DK25" s="667"/>
      <c r="DL25" s="127"/>
      <c r="DM25" s="127"/>
      <c r="DN25" s="29"/>
      <c r="DO25" s="29"/>
      <c r="DP25" s="57"/>
      <c r="DQ25" s="29"/>
      <c r="DR25" s="57"/>
      <c r="DS25" s="29"/>
      <c r="DT25" s="29"/>
      <c r="DU25" s="29"/>
      <c r="DV25" s="29"/>
      <c r="DW25" s="79"/>
      <c r="DX25" s="29"/>
      <c r="DY25" s="29"/>
      <c r="DZ25" s="29"/>
      <c r="EA25" s="57"/>
      <c r="EB25" s="29"/>
      <c r="EC25" s="29"/>
      <c r="ED25" s="32"/>
      <c r="EE25" s="57"/>
      <c r="EF25" s="32"/>
      <c r="EG25" s="663"/>
      <c r="EH25" s="186"/>
      <c r="EI25" s="172"/>
      <c r="EJ25" s="184"/>
      <c r="EK25" s="29"/>
      <c r="EL25" s="57"/>
      <c r="EM25" s="186"/>
      <c r="EN25" s="48"/>
      <c r="EO25" s="29"/>
      <c r="EP25" s="29"/>
      <c r="EQ25" s="29"/>
      <c r="ER25" s="29"/>
      <c r="ES25" s="663"/>
      <c r="ET25" s="29"/>
      <c r="EU25" s="173"/>
      <c r="EV25" s="694"/>
      <c r="EW25" s="32"/>
      <c r="EX25" s="32"/>
      <c r="EY25" s="29"/>
      <c r="EZ25" s="663"/>
      <c r="FA25" s="103"/>
    </row>
    <row r="26" spans="1:157" s="77" customFormat="1" ht="82" customHeight="1" x14ac:dyDescent="0.2">
      <c r="A26" s="696"/>
      <c r="B26" s="23"/>
      <c r="C26" s="25"/>
      <c r="D26" s="27"/>
      <c r="E26" s="697"/>
      <c r="F26" s="32"/>
      <c r="G26" s="29"/>
      <c r="H26" s="662"/>
      <c r="I26" s="29"/>
      <c r="J26" s="169"/>
      <c r="K26" s="32"/>
      <c r="L26" s="29"/>
      <c r="M26" s="32"/>
      <c r="N26" s="32"/>
      <c r="O26" s="32"/>
      <c r="P26" s="29"/>
      <c r="Q26" s="54"/>
      <c r="R26" s="29"/>
      <c r="S26" s="29"/>
      <c r="T26" s="29"/>
      <c r="U26" s="29"/>
      <c r="V26" s="29"/>
      <c r="W26" s="29"/>
      <c r="X26" s="29"/>
      <c r="Y26" s="29"/>
      <c r="Z26" s="32"/>
      <c r="AA26" s="29"/>
      <c r="AB26" s="32"/>
      <c r="AC26" s="32"/>
      <c r="AD26" s="29"/>
      <c r="AE26" s="682"/>
      <c r="AF26" s="32"/>
      <c r="AG26" s="32"/>
      <c r="AH26" s="29"/>
      <c r="AI26" s="29"/>
      <c r="AJ26" s="32"/>
      <c r="AK26" s="663"/>
      <c r="AL26" s="57"/>
      <c r="AM26" s="32"/>
      <c r="AN26" s="32"/>
      <c r="AO26" s="32"/>
      <c r="AP26" s="663"/>
      <c r="AQ26" s="29"/>
      <c r="AR26" s="663"/>
      <c r="AS26" s="29"/>
      <c r="AT26" s="29"/>
      <c r="AU26" s="29"/>
      <c r="AV26" s="32"/>
      <c r="AW26" s="102"/>
      <c r="AX26" s="663"/>
      <c r="AY26" s="663"/>
      <c r="AZ26" s="85"/>
      <c r="BA26" s="85"/>
      <c r="BB26" s="85"/>
      <c r="BC26" s="29"/>
      <c r="BD26" s="181"/>
      <c r="BE26" s="89"/>
      <c r="BF26" s="29"/>
      <c r="BG26" s="29"/>
      <c r="BH26" s="32"/>
      <c r="BI26" s="92"/>
      <c r="BJ26" s="29"/>
      <c r="BK26" s="29"/>
      <c r="BL26" s="684"/>
      <c r="BM26" s="57"/>
      <c r="BN26" s="29"/>
      <c r="BO26" s="186"/>
      <c r="BP26" s="57"/>
      <c r="BQ26" s="32"/>
      <c r="BR26" s="102"/>
      <c r="BS26" s="102"/>
      <c r="BT26" s="29"/>
      <c r="BU26" s="29"/>
      <c r="BV26" s="32"/>
      <c r="BW26" s="29"/>
      <c r="BX26" s="32"/>
      <c r="BY26" s="663"/>
      <c r="BZ26" s="663"/>
      <c r="CA26" s="32"/>
      <c r="CB26" s="48"/>
      <c r="CC26" s="29"/>
      <c r="CD26" s="32"/>
      <c r="CE26" s="32"/>
      <c r="CF26" s="29"/>
      <c r="CG26" s="662"/>
      <c r="CH26" s="29"/>
      <c r="CI26" s="32"/>
      <c r="CJ26" s="32"/>
      <c r="CK26" s="32"/>
      <c r="CL26" s="32"/>
      <c r="CM26" s="110"/>
      <c r="CN26" s="57"/>
      <c r="CO26" s="29"/>
      <c r="CP26" s="29"/>
      <c r="CQ26" s="29"/>
      <c r="CR26" s="686"/>
      <c r="CS26" s="29"/>
      <c r="CT26" s="29"/>
      <c r="CU26" s="29"/>
      <c r="CV26" s="663"/>
      <c r="CW26" s="54"/>
      <c r="CX26" s="687"/>
      <c r="CY26" s="57"/>
      <c r="CZ26" s="57"/>
      <c r="DA26" s="29"/>
      <c r="DB26" s="85"/>
      <c r="DC26" s="29"/>
      <c r="DD26" s="87"/>
      <c r="DE26" s="32"/>
      <c r="DF26" s="29"/>
      <c r="DG26" s="127"/>
      <c r="DH26" s="32"/>
      <c r="DI26" s="173"/>
      <c r="DJ26" s="689"/>
      <c r="DK26" s="667"/>
      <c r="DL26" s="127"/>
      <c r="DM26" s="127"/>
      <c r="DN26" s="29"/>
      <c r="DO26" s="29"/>
      <c r="DP26" s="57"/>
      <c r="DQ26" s="29"/>
      <c r="DR26" s="57"/>
      <c r="DS26" s="29"/>
      <c r="DT26" s="29"/>
      <c r="DU26" s="29"/>
      <c r="DV26" s="29"/>
      <c r="DW26" s="79"/>
      <c r="DX26" s="29"/>
      <c r="DY26" s="29"/>
      <c r="DZ26" s="29"/>
      <c r="EA26" s="57"/>
      <c r="EB26" s="29"/>
      <c r="EC26" s="29"/>
      <c r="ED26" s="32"/>
      <c r="EE26" s="57"/>
      <c r="EF26" s="32"/>
      <c r="EG26" s="663"/>
      <c r="EH26" s="186"/>
      <c r="EI26" s="172"/>
      <c r="EJ26" s="184"/>
      <c r="EK26" s="29"/>
      <c r="EL26" s="57"/>
      <c r="EM26" s="186"/>
      <c r="EN26" s="48"/>
      <c r="EO26" s="29"/>
      <c r="EP26" s="29"/>
      <c r="EQ26" s="29"/>
      <c r="ER26" s="29"/>
      <c r="ES26" s="663"/>
      <c r="ET26" s="29"/>
      <c r="EU26" s="173"/>
      <c r="EV26" s="694"/>
      <c r="EW26" s="32"/>
      <c r="EX26" s="32"/>
      <c r="EY26" s="29"/>
      <c r="EZ26" s="663"/>
      <c r="FA26" s="103"/>
    </row>
    <row r="27" spans="1:157" s="77" customFormat="1" ht="82" customHeight="1" x14ac:dyDescent="0.2">
      <c r="A27" s="696"/>
      <c r="B27" s="23"/>
      <c r="C27" s="25"/>
      <c r="D27" s="27"/>
      <c r="E27" s="697"/>
      <c r="F27" s="32"/>
      <c r="G27" s="29"/>
      <c r="H27" s="662"/>
      <c r="I27" s="29"/>
      <c r="J27" s="169"/>
      <c r="K27" s="32"/>
      <c r="L27" s="29"/>
      <c r="M27" s="32"/>
      <c r="N27" s="32"/>
      <c r="O27" s="32"/>
      <c r="P27" s="29"/>
      <c r="Q27" s="54"/>
      <c r="R27" s="29"/>
      <c r="S27" s="29"/>
      <c r="T27" s="29"/>
      <c r="U27" s="29"/>
      <c r="V27" s="29"/>
      <c r="W27" s="29"/>
      <c r="X27" s="29"/>
      <c r="Y27" s="29"/>
      <c r="Z27" s="32"/>
      <c r="AA27" s="29"/>
      <c r="AB27" s="32"/>
      <c r="AC27" s="32"/>
      <c r="AD27" s="29"/>
      <c r="AE27" s="682"/>
      <c r="AF27" s="32"/>
      <c r="AG27" s="32"/>
      <c r="AH27" s="29"/>
      <c r="AI27" s="29"/>
      <c r="AJ27" s="32"/>
      <c r="AK27" s="663"/>
      <c r="AL27" s="57"/>
      <c r="AM27" s="32"/>
      <c r="AN27" s="32"/>
      <c r="AO27" s="32"/>
      <c r="AP27" s="663"/>
      <c r="AQ27" s="29"/>
      <c r="AR27" s="663"/>
      <c r="AS27" s="29"/>
      <c r="AT27" s="29"/>
      <c r="AU27" s="29"/>
      <c r="AV27" s="32"/>
      <c r="AW27" s="102"/>
      <c r="AX27" s="663"/>
      <c r="AY27" s="663"/>
      <c r="AZ27" s="85"/>
      <c r="BA27" s="85"/>
      <c r="BB27" s="85"/>
      <c r="BC27" s="29"/>
      <c r="BD27" s="181"/>
      <c r="BE27" s="89"/>
      <c r="BF27" s="29"/>
      <c r="BG27" s="29"/>
      <c r="BH27" s="32"/>
      <c r="BI27" s="92"/>
      <c r="BJ27" s="29"/>
      <c r="BK27" s="29"/>
      <c r="BL27" s="684"/>
      <c r="BM27" s="57"/>
      <c r="BN27" s="29"/>
      <c r="BO27" s="186"/>
      <c r="BP27" s="57"/>
      <c r="BQ27" s="32"/>
      <c r="BR27" s="102"/>
      <c r="BS27" s="102"/>
      <c r="BT27" s="29"/>
      <c r="BU27" s="29"/>
      <c r="BV27" s="32"/>
      <c r="BW27" s="29"/>
      <c r="BX27" s="32"/>
      <c r="BY27" s="663"/>
      <c r="BZ27" s="663"/>
      <c r="CA27" s="32"/>
      <c r="CB27" s="48"/>
      <c r="CC27" s="29"/>
      <c r="CD27" s="32"/>
      <c r="CE27" s="32"/>
      <c r="CF27" s="29"/>
      <c r="CG27" s="662"/>
      <c r="CH27" s="29"/>
      <c r="CI27" s="32"/>
      <c r="CJ27" s="32"/>
      <c r="CK27" s="32"/>
      <c r="CL27" s="32"/>
      <c r="CM27" s="110"/>
      <c r="CN27" s="57"/>
      <c r="CO27" s="29"/>
      <c r="CP27" s="29"/>
      <c r="CQ27" s="29"/>
      <c r="CR27" s="686"/>
      <c r="CS27" s="29"/>
      <c r="CT27" s="29"/>
      <c r="CU27" s="29"/>
      <c r="CV27" s="663"/>
      <c r="CW27" s="54"/>
      <c r="CX27" s="687"/>
      <c r="CY27" s="57"/>
      <c r="CZ27" s="57"/>
      <c r="DA27" s="29"/>
      <c r="DB27" s="85"/>
      <c r="DC27" s="29"/>
      <c r="DD27" s="87"/>
      <c r="DE27" s="32"/>
      <c r="DF27" s="29"/>
      <c r="DG27" s="127"/>
      <c r="DH27" s="32"/>
      <c r="DI27" s="173"/>
      <c r="DJ27" s="689"/>
      <c r="DK27" s="667"/>
      <c r="DL27" s="127"/>
      <c r="DM27" s="127"/>
      <c r="DN27" s="29"/>
      <c r="DO27" s="29"/>
      <c r="DP27" s="57"/>
      <c r="DQ27" s="29"/>
      <c r="DR27" s="57"/>
      <c r="DS27" s="29"/>
      <c r="DT27" s="29"/>
      <c r="DU27" s="29"/>
      <c r="DV27" s="29"/>
      <c r="DW27" s="79"/>
      <c r="DX27" s="29"/>
      <c r="DY27" s="29"/>
      <c r="DZ27" s="29"/>
      <c r="EA27" s="57"/>
      <c r="EB27" s="29"/>
      <c r="EC27" s="29"/>
      <c r="ED27" s="32"/>
      <c r="EE27" s="57"/>
      <c r="EF27" s="32"/>
      <c r="EG27" s="663"/>
      <c r="EH27" s="186"/>
      <c r="EI27" s="172"/>
      <c r="EJ27" s="184"/>
      <c r="EK27" s="29"/>
      <c r="EL27" s="57"/>
      <c r="EM27" s="186"/>
      <c r="EN27" s="48"/>
      <c r="EO27" s="29"/>
      <c r="EP27" s="29"/>
      <c r="EQ27" s="29"/>
      <c r="ER27" s="29"/>
      <c r="ES27" s="663"/>
      <c r="ET27" s="29"/>
      <c r="EU27" s="173"/>
      <c r="EV27" s="694"/>
      <c r="EW27" s="32"/>
      <c r="EX27" s="32"/>
      <c r="EY27" s="29"/>
      <c r="EZ27" s="663"/>
      <c r="FA27" s="103"/>
    </row>
    <row r="28" spans="1:157" s="77" customFormat="1" ht="82" customHeight="1" x14ac:dyDescent="0.2">
      <c r="A28" s="696"/>
      <c r="B28" s="23"/>
      <c r="C28" s="25"/>
      <c r="D28" s="27"/>
      <c r="E28" s="697"/>
      <c r="F28" s="32"/>
      <c r="G28" s="29"/>
      <c r="H28" s="662"/>
      <c r="I28" s="29"/>
      <c r="J28" s="169"/>
      <c r="K28" s="32"/>
      <c r="L28" s="29"/>
      <c r="M28" s="32"/>
      <c r="N28" s="32"/>
      <c r="O28" s="32"/>
      <c r="P28" s="29"/>
      <c r="Q28" s="54"/>
      <c r="R28" s="29"/>
      <c r="S28" s="29"/>
      <c r="T28" s="29"/>
      <c r="U28" s="29"/>
      <c r="V28" s="29"/>
      <c r="W28" s="29"/>
      <c r="X28" s="29"/>
      <c r="Y28" s="29"/>
      <c r="Z28" s="32"/>
      <c r="AA28" s="29"/>
      <c r="AB28" s="32"/>
      <c r="AC28" s="32"/>
      <c r="AD28" s="29"/>
      <c r="AE28" s="682"/>
      <c r="AF28" s="32"/>
      <c r="AG28" s="32"/>
      <c r="AH28" s="29"/>
      <c r="AI28" s="29"/>
      <c r="AJ28" s="32"/>
      <c r="AK28" s="663"/>
      <c r="AL28" s="57"/>
      <c r="AM28" s="32"/>
      <c r="AN28" s="32"/>
      <c r="AO28" s="32"/>
      <c r="AP28" s="663"/>
      <c r="AQ28" s="29"/>
      <c r="AR28" s="663"/>
      <c r="AS28" s="29"/>
      <c r="AT28" s="29"/>
      <c r="AU28" s="29"/>
      <c r="AV28" s="32"/>
      <c r="AW28" s="102"/>
      <c r="AX28" s="663"/>
      <c r="AY28" s="663"/>
      <c r="AZ28" s="85"/>
      <c r="BA28" s="85"/>
      <c r="BB28" s="85"/>
      <c r="BC28" s="29"/>
      <c r="BD28" s="181"/>
      <c r="BE28" s="89"/>
      <c r="BF28" s="29"/>
      <c r="BG28" s="29"/>
      <c r="BH28" s="32"/>
      <c r="BI28" s="92"/>
      <c r="BJ28" s="29"/>
      <c r="BK28" s="29"/>
      <c r="BL28" s="684"/>
      <c r="BM28" s="57"/>
      <c r="BN28" s="29"/>
      <c r="BO28" s="186"/>
      <c r="BP28" s="57"/>
      <c r="BQ28" s="32"/>
      <c r="BR28" s="102"/>
      <c r="BS28" s="102"/>
      <c r="BT28" s="29"/>
      <c r="BU28" s="29"/>
      <c r="BV28" s="32"/>
      <c r="BW28" s="29"/>
      <c r="BX28" s="32"/>
      <c r="BY28" s="663"/>
      <c r="BZ28" s="663"/>
      <c r="CA28" s="32"/>
      <c r="CB28" s="48"/>
      <c r="CC28" s="29"/>
      <c r="CD28" s="32"/>
      <c r="CE28" s="32"/>
      <c r="CF28" s="29"/>
      <c r="CG28" s="662"/>
      <c r="CH28" s="29"/>
      <c r="CI28" s="32"/>
      <c r="CJ28" s="32"/>
      <c r="CK28" s="32"/>
      <c r="CL28" s="32"/>
      <c r="CM28" s="110"/>
      <c r="CN28" s="57"/>
      <c r="CO28" s="29"/>
      <c r="CP28" s="29"/>
      <c r="CQ28" s="29"/>
      <c r="CR28" s="686"/>
      <c r="CS28" s="29"/>
      <c r="CT28" s="29"/>
      <c r="CU28" s="29"/>
      <c r="CV28" s="663"/>
      <c r="CW28" s="54"/>
      <c r="CX28" s="687"/>
      <c r="CY28" s="57"/>
      <c r="CZ28" s="57"/>
      <c r="DA28" s="29"/>
      <c r="DB28" s="85"/>
      <c r="DC28" s="29"/>
      <c r="DD28" s="87"/>
      <c r="DE28" s="32"/>
      <c r="DF28" s="29"/>
      <c r="DG28" s="127"/>
      <c r="DH28" s="32"/>
      <c r="DI28" s="173"/>
      <c r="DJ28" s="689"/>
      <c r="DK28" s="667"/>
      <c r="DL28" s="127"/>
      <c r="DM28" s="127"/>
      <c r="DN28" s="29"/>
      <c r="DO28" s="29"/>
      <c r="DP28" s="57"/>
      <c r="DQ28" s="29"/>
      <c r="DR28" s="57"/>
      <c r="DS28" s="29"/>
      <c r="DT28" s="29"/>
      <c r="DU28" s="29"/>
      <c r="DV28" s="29"/>
      <c r="DW28" s="79"/>
      <c r="DX28" s="29"/>
      <c r="DY28" s="29"/>
      <c r="DZ28" s="29"/>
      <c r="EA28" s="57"/>
      <c r="EB28" s="29"/>
      <c r="EC28" s="29"/>
      <c r="ED28" s="32"/>
      <c r="EE28" s="57"/>
      <c r="EF28" s="32"/>
      <c r="EG28" s="663"/>
      <c r="EH28" s="186"/>
      <c r="EI28" s="172"/>
      <c r="EJ28" s="184"/>
      <c r="EK28" s="29"/>
      <c r="EL28" s="57"/>
      <c r="EM28" s="186"/>
      <c r="EN28" s="48"/>
      <c r="EO28" s="29"/>
      <c r="EP28" s="29"/>
      <c r="EQ28" s="29"/>
      <c r="ER28" s="29"/>
      <c r="ES28" s="663"/>
      <c r="ET28" s="29"/>
      <c r="EU28" s="173"/>
      <c r="EV28" s="694"/>
      <c r="EW28" s="32"/>
      <c r="EX28" s="32"/>
      <c r="EY28" s="29"/>
      <c r="EZ28" s="663"/>
      <c r="FA28" s="103"/>
    </row>
    <row r="29" spans="1:157" ht="135" customHeight="1" x14ac:dyDescent="0.2">
      <c r="A29" s="196" t="s">
        <v>9</v>
      </c>
      <c r="B29" s="165" t="s">
        <v>43</v>
      </c>
      <c r="C29" s="167" t="s">
        <v>44</v>
      </c>
      <c r="D29" s="168" t="s">
        <v>45</v>
      </c>
      <c r="E29" s="185" t="s">
        <v>15</v>
      </c>
      <c r="F29" s="29" t="s">
        <v>998</v>
      </c>
      <c r="G29" s="29" t="s">
        <v>1026</v>
      </c>
      <c r="H29" s="662" t="s">
        <v>3588</v>
      </c>
      <c r="I29" s="29" t="s">
        <v>3600</v>
      </c>
      <c r="J29" s="29" t="s">
        <v>2022</v>
      </c>
      <c r="K29" s="29" t="s">
        <v>3197</v>
      </c>
      <c r="L29" s="29" t="s">
        <v>679</v>
      </c>
      <c r="M29" s="29" t="s">
        <v>3291</v>
      </c>
      <c r="N29" s="29" t="s">
        <v>1868</v>
      </c>
      <c r="O29" s="54" t="s">
        <v>1476</v>
      </c>
      <c r="P29" s="29" t="s">
        <v>3226</v>
      </c>
      <c r="Q29" s="54" t="s">
        <v>1505</v>
      </c>
      <c r="R29" s="29" t="s">
        <v>3226</v>
      </c>
      <c r="S29" s="29" t="s">
        <v>1528</v>
      </c>
      <c r="T29" s="29" t="s">
        <v>1897</v>
      </c>
      <c r="U29" s="29" t="s">
        <v>1931</v>
      </c>
      <c r="V29" s="29" t="s">
        <v>1931</v>
      </c>
      <c r="W29" s="54" t="s">
        <v>534</v>
      </c>
      <c r="X29" s="29" t="s">
        <v>3619</v>
      </c>
      <c r="Y29" s="29" t="s">
        <v>844</v>
      </c>
      <c r="Z29" s="29" t="s">
        <v>871</v>
      </c>
      <c r="AA29" s="29" t="s">
        <v>899</v>
      </c>
      <c r="AB29" s="29" t="s">
        <v>1791</v>
      </c>
      <c r="AC29" s="29" t="s">
        <v>1791</v>
      </c>
      <c r="AD29" s="29" t="s">
        <v>657</v>
      </c>
      <c r="AE29" s="695" t="s">
        <v>768</v>
      </c>
      <c r="AF29" s="54" t="s">
        <v>768</v>
      </c>
      <c r="AG29" s="29" t="s">
        <v>768</v>
      </c>
      <c r="AH29" s="29" t="s">
        <v>913</v>
      </c>
      <c r="AI29" s="29" t="s">
        <v>932</v>
      </c>
      <c r="AJ29" s="29" t="s">
        <v>951</v>
      </c>
      <c r="AK29" s="663"/>
      <c r="AL29" s="29" t="s">
        <v>3467</v>
      </c>
      <c r="AM29" s="29" t="s">
        <v>3491</v>
      </c>
      <c r="AN29" s="29" t="s">
        <v>3517</v>
      </c>
      <c r="AO29" s="29" t="s">
        <v>1356</v>
      </c>
      <c r="AP29" s="663"/>
      <c r="AQ29" s="48" t="s">
        <v>632</v>
      </c>
      <c r="AR29" s="663"/>
      <c r="AS29" s="29" t="s">
        <v>1962</v>
      </c>
      <c r="AT29" s="29" t="s">
        <v>1982</v>
      </c>
      <c r="AU29" s="29" t="s">
        <v>2003</v>
      </c>
      <c r="AV29" s="29" t="s">
        <v>721</v>
      </c>
      <c r="AW29" s="29" t="s">
        <v>2056</v>
      </c>
      <c r="AX29" s="663"/>
      <c r="AY29" s="663"/>
      <c r="AZ29" s="29" t="s">
        <v>1739</v>
      </c>
      <c r="BA29" s="29" t="s">
        <v>1739</v>
      </c>
      <c r="BB29" s="29" t="s">
        <v>1739</v>
      </c>
      <c r="BC29" s="29" t="s">
        <v>973</v>
      </c>
      <c r="BD29" s="29" t="s">
        <v>1809</v>
      </c>
      <c r="BE29" s="29" t="s">
        <v>1834</v>
      </c>
      <c r="BF29" s="29" t="s">
        <v>1679</v>
      </c>
      <c r="BG29" s="29" t="s">
        <v>1048</v>
      </c>
      <c r="BH29" s="29" t="s">
        <v>1070</v>
      </c>
      <c r="BI29" s="29" t="s">
        <v>1089</v>
      </c>
      <c r="BJ29" s="29" t="s">
        <v>1108</v>
      </c>
      <c r="BK29" s="29" t="s">
        <v>1712</v>
      </c>
      <c r="BL29" s="101" t="s">
        <v>2102</v>
      </c>
      <c r="BM29" s="29" t="s">
        <v>3538</v>
      </c>
      <c r="BN29" s="54" t="s">
        <v>3560</v>
      </c>
      <c r="BO29" s="186" t="s">
        <v>3550</v>
      </c>
      <c r="BP29" s="29" t="s">
        <v>559</v>
      </c>
      <c r="BQ29" s="29" t="s">
        <v>3031</v>
      </c>
      <c r="BR29" s="102" t="s">
        <v>2131</v>
      </c>
      <c r="BS29" s="29" t="s">
        <v>2134</v>
      </c>
      <c r="BT29" s="29" t="s">
        <v>3573</v>
      </c>
      <c r="BU29" s="29" t="s">
        <v>614</v>
      </c>
      <c r="BV29" s="29" t="s">
        <v>2944</v>
      </c>
      <c r="BW29" s="29" t="s">
        <v>3002</v>
      </c>
      <c r="BX29" s="29" t="s">
        <v>2976</v>
      </c>
      <c r="BY29" s="663"/>
      <c r="BZ29" s="663"/>
      <c r="CA29" s="29" t="s">
        <v>3269</v>
      </c>
      <c r="CB29" s="48" t="s">
        <v>1122</v>
      </c>
      <c r="CC29" s="29" t="s">
        <v>1151</v>
      </c>
      <c r="CD29" s="29" t="s">
        <v>2185</v>
      </c>
      <c r="CE29" s="29" t="s">
        <v>1203</v>
      </c>
      <c r="CF29" s="54" t="s">
        <v>1236</v>
      </c>
      <c r="CG29" s="695" t="s">
        <v>1236</v>
      </c>
      <c r="CH29" s="29" t="s">
        <v>1262</v>
      </c>
      <c r="CI29" s="29" t="s">
        <v>1284</v>
      </c>
      <c r="CJ29" s="29" t="s">
        <v>1284</v>
      </c>
      <c r="CK29" s="29" t="s">
        <v>1284</v>
      </c>
      <c r="CL29" s="29" t="s">
        <v>1332</v>
      </c>
      <c r="CM29" s="110" t="s">
        <v>1173</v>
      </c>
      <c r="CN29" s="29" t="s">
        <v>3149</v>
      </c>
      <c r="CO29" s="29" t="s">
        <v>3394</v>
      </c>
      <c r="CP29" s="29" t="s">
        <v>3394</v>
      </c>
      <c r="CQ29" s="29" t="s">
        <v>3174</v>
      </c>
      <c r="CR29" s="127" t="s">
        <v>1389</v>
      </c>
      <c r="CS29" s="29" t="s">
        <v>3094</v>
      </c>
      <c r="CT29" s="29" t="s">
        <v>3127</v>
      </c>
      <c r="CU29" s="29" t="s">
        <v>3112</v>
      </c>
      <c r="CV29" s="663"/>
      <c r="CW29" s="54" t="s">
        <v>3065</v>
      </c>
      <c r="CX29" s="664" t="s">
        <v>3243</v>
      </c>
      <c r="CY29" s="29" t="s">
        <v>1453</v>
      </c>
      <c r="CZ29" s="29" t="s">
        <v>1453</v>
      </c>
      <c r="DA29" s="29" t="s">
        <v>2886</v>
      </c>
      <c r="DB29" s="29" t="s">
        <v>2841</v>
      </c>
      <c r="DC29" s="29" t="s">
        <v>3637</v>
      </c>
      <c r="DD29" s="54" t="s">
        <v>2864</v>
      </c>
      <c r="DE29" s="29" t="s">
        <v>2613</v>
      </c>
      <c r="DF29" s="29" t="s">
        <v>3316</v>
      </c>
      <c r="DG29" s="127" t="s">
        <v>2691</v>
      </c>
      <c r="DH29" s="665" t="s">
        <v>2750</v>
      </c>
      <c r="DI29" s="127" t="s">
        <v>2691</v>
      </c>
      <c r="DJ29" s="666" t="s">
        <v>2780</v>
      </c>
      <c r="DK29" s="29" t="s">
        <v>2822</v>
      </c>
      <c r="DL29" s="128"/>
      <c r="DM29" s="127" t="s">
        <v>582</v>
      </c>
      <c r="DN29" s="29" t="s">
        <v>2651</v>
      </c>
      <c r="DO29" s="29" t="s">
        <v>2651</v>
      </c>
      <c r="DP29" s="54" t="s">
        <v>2518</v>
      </c>
      <c r="DQ29" s="29" t="s">
        <v>2587</v>
      </c>
      <c r="DR29" s="29" t="s">
        <v>2553</v>
      </c>
      <c r="DS29" s="29" t="s">
        <v>702</v>
      </c>
      <c r="DT29" s="29" t="s">
        <v>2911</v>
      </c>
      <c r="DU29" s="29" t="s">
        <v>476</v>
      </c>
      <c r="DV29" s="29" t="s">
        <v>2485</v>
      </c>
      <c r="DW29" s="54" t="s">
        <v>2410</v>
      </c>
      <c r="DX29" s="29" t="s">
        <v>2444</v>
      </c>
      <c r="DY29" s="29" t="s">
        <v>2466</v>
      </c>
      <c r="DZ29" s="29" t="s">
        <v>2444</v>
      </c>
      <c r="EA29" s="54" t="s">
        <v>2410</v>
      </c>
      <c r="EB29" s="29" t="s">
        <v>2929</v>
      </c>
      <c r="EC29" s="29" t="s">
        <v>3416</v>
      </c>
      <c r="ED29" s="29" t="s">
        <v>3446</v>
      </c>
      <c r="EE29" s="54" t="s">
        <v>503</v>
      </c>
      <c r="EF29" s="29" t="s">
        <v>3649</v>
      </c>
      <c r="EG29" s="663"/>
      <c r="EH29" s="184" t="s">
        <v>2346</v>
      </c>
      <c r="EI29" s="675" t="s">
        <v>2392</v>
      </c>
      <c r="EJ29" s="675" t="s">
        <v>2368</v>
      </c>
      <c r="EK29" s="29" t="s">
        <v>2296</v>
      </c>
      <c r="EL29" s="54" t="s">
        <v>2296</v>
      </c>
      <c r="EM29" s="186" t="s">
        <v>2208</v>
      </c>
      <c r="EN29" s="29" t="s">
        <v>2235</v>
      </c>
      <c r="EO29" s="29" t="s">
        <v>2264</v>
      </c>
      <c r="EP29" s="29" t="s">
        <v>1552</v>
      </c>
      <c r="EQ29" s="29" t="s">
        <v>1649</v>
      </c>
      <c r="ER29" s="29" t="s">
        <v>3680</v>
      </c>
      <c r="ES29" s="663"/>
      <c r="ET29" s="29" t="s">
        <v>3342</v>
      </c>
      <c r="EU29" s="127" t="s">
        <v>3370</v>
      </c>
      <c r="EV29" s="662" t="s">
        <v>1585</v>
      </c>
      <c r="EW29" s="29" t="s">
        <v>743</v>
      </c>
      <c r="EX29" s="29" t="s">
        <v>1424</v>
      </c>
      <c r="EY29" s="29" t="s">
        <v>2080</v>
      </c>
      <c r="EZ29" s="663"/>
      <c r="FA29" s="29" t="s">
        <v>1616</v>
      </c>
    </row>
    <row r="30" spans="1:157" ht="156" customHeight="1" x14ac:dyDescent="0.2">
      <c r="A30" s="1205" t="s">
        <v>10</v>
      </c>
      <c r="B30" s="1206" t="s">
        <v>46</v>
      </c>
      <c r="C30" s="167" t="s">
        <v>47</v>
      </c>
      <c r="D30" s="168" t="s">
        <v>48</v>
      </c>
      <c r="E30" s="185" t="s">
        <v>15</v>
      </c>
      <c r="F30" s="29" t="s">
        <v>998</v>
      </c>
      <c r="G30" s="29" t="s">
        <v>1026</v>
      </c>
      <c r="H30" s="662" t="s">
        <v>3588</v>
      </c>
      <c r="I30" s="29" t="s">
        <v>3600</v>
      </c>
      <c r="J30" s="29" t="s">
        <v>2022</v>
      </c>
      <c r="K30" s="29" t="s">
        <v>3197</v>
      </c>
      <c r="L30" s="29" t="s">
        <v>679</v>
      </c>
      <c r="M30" s="29" t="s">
        <v>3291</v>
      </c>
      <c r="N30" s="29" t="s">
        <v>1869</v>
      </c>
      <c r="O30" s="54" t="s">
        <v>1477</v>
      </c>
      <c r="P30" s="29" t="s">
        <v>3226</v>
      </c>
      <c r="Q30" s="54" t="s">
        <v>1505</v>
      </c>
      <c r="R30" s="29" t="s">
        <v>3226</v>
      </c>
      <c r="S30" s="29" t="s">
        <v>1477</v>
      </c>
      <c r="T30" s="29" t="s">
        <v>1897</v>
      </c>
      <c r="U30" s="29" t="s">
        <v>1931</v>
      </c>
      <c r="V30" s="29" t="s">
        <v>1931</v>
      </c>
      <c r="W30" s="54" t="s">
        <v>534</v>
      </c>
      <c r="X30" s="29" t="s">
        <v>3620</v>
      </c>
      <c r="Y30" s="29" t="s">
        <v>844</v>
      </c>
      <c r="Z30" s="29" t="s">
        <v>871</v>
      </c>
      <c r="AA30" s="29" t="s">
        <v>899</v>
      </c>
      <c r="AB30" s="29" t="s">
        <v>1791</v>
      </c>
      <c r="AC30" s="29" t="s">
        <v>1791</v>
      </c>
      <c r="AD30" s="54" t="s">
        <v>658</v>
      </c>
      <c r="AE30" s="695" t="s">
        <v>768</v>
      </c>
      <c r="AF30" s="54" t="s">
        <v>768</v>
      </c>
      <c r="AG30" s="29" t="s">
        <v>768</v>
      </c>
      <c r="AH30" s="29" t="s">
        <v>913</v>
      </c>
      <c r="AI30" s="29" t="s">
        <v>932</v>
      </c>
      <c r="AJ30" s="29" t="s">
        <v>952</v>
      </c>
      <c r="AK30" s="663"/>
      <c r="AL30" s="29" t="s">
        <v>3467</v>
      </c>
      <c r="AM30" s="29" t="s">
        <v>3491</v>
      </c>
      <c r="AN30" s="29" t="s">
        <v>3517</v>
      </c>
      <c r="AO30" s="29" t="s">
        <v>1356</v>
      </c>
      <c r="AP30" s="663"/>
      <c r="AQ30" s="48" t="s">
        <v>632</v>
      </c>
      <c r="AR30" s="663"/>
      <c r="AS30" s="29" t="s">
        <v>1962</v>
      </c>
      <c r="AT30" s="29" t="s">
        <v>1982</v>
      </c>
      <c r="AU30" s="29" t="s">
        <v>2003</v>
      </c>
      <c r="AV30" s="29" t="s">
        <v>721</v>
      </c>
      <c r="AW30" s="29" t="s">
        <v>2056</v>
      </c>
      <c r="AX30" s="663"/>
      <c r="AY30" s="663"/>
      <c r="AZ30" s="29" t="s">
        <v>1739</v>
      </c>
      <c r="BA30" s="29" t="s">
        <v>1739</v>
      </c>
      <c r="BB30" s="29" t="s">
        <v>1739</v>
      </c>
      <c r="BC30" s="29" t="s">
        <v>973</v>
      </c>
      <c r="BD30" s="29" t="s">
        <v>1809</v>
      </c>
      <c r="BE30" s="29" t="s">
        <v>1834</v>
      </c>
      <c r="BF30" s="29" t="s">
        <v>1680</v>
      </c>
      <c r="BG30" s="29" t="s">
        <v>1048</v>
      </c>
      <c r="BH30" s="29" t="s">
        <v>1070</v>
      </c>
      <c r="BI30" s="29" t="s">
        <v>1089</v>
      </c>
      <c r="BJ30" s="29" t="s">
        <v>1108</v>
      </c>
      <c r="BK30" s="29" t="s">
        <v>1713</v>
      </c>
      <c r="BL30" s="101" t="s">
        <v>2102</v>
      </c>
      <c r="BM30" s="29" t="s">
        <v>3538</v>
      </c>
      <c r="BN30" s="54" t="s">
        <v>3560</v>
      </c>
      <c r="BO30" s="186" t="s">
        <v>3550</v>
      </c>
      <c r="BP30" s="29" t="s">
        <v>560</v>
      </c>
      <c r="BQ30" s="29" t="s">
        <v>3032</v>
      </c>
      <c r="BR30" s="29" t="s">
        <v>2134</v>
      </c>
      <c r="BS30" s="29" t="s">
        <v>2134</v>
      </c>
      <c r="BT30" s="29" t="s">
        <v>3573</v>
      </c>
      <c r="BU30" s="29" t="s">
        <v>614</v>
      </c>
      <c r="BV30" s="29" t="s">
        <v>2944</v>
      </c>
      <c r="BW30" s="29" t="s">
        <v>3003</v>
      </c>
      <c r="BX30" s="29" t="s">
        <v>2976</v>
      </c>
      <c r="BY30" s="663"/>
      <c r="BZ30" s="663"/>
      <c r="CA30" s="29" t="s">
        <v>3269</v>
      </c>
      <c r="CB30" s="48" t="s">
        <v>1123</v>
      </c>
      <c r="CC30" s="29" t="s">
        <v>1151</v>
      </c>
      <c r="CD30" s="29" t="s">
        <v>2185</v>
      </c>
      <c r="CE30" s="29" t="s">
        <v>1204</v>
      </c>
      <c r="CF30" s="54" t="s">
        <v>1236</v>
      </c>
      <c r="CG30" s="695" t="s">
        <v>1236</v>
      </c>
      <c r="CH30" s="29" t="s">
        <v>1262</v>
      </c>
      <c r="CI30" s="29" t="s">
        <v>1284</v>
      </c>
      <c r="CJ30" s="29" t="s">
        <v>1284</v>
      </c>
      <c r="CK30" s="29" t="s">
        <v>1284</v>
      </c>
      <c r="CL30" s="29" t="s">
        <v>1332</v>
      </c>
      <c r="CM30" s="110" t="s">
        <v>1173</v>
      </c>
      <c r="CN30" s="29" t="s">
        <v>3150</v>
      </c>
      <c r="CO30" s="29" t="s">
        <v>3394</v>
      </c>
      <c r="CP30" s="29" t="s">
        <v>3394</v>
      </c>
      <c r="CQ30" s="29" t="s">
        <v>3174</v>
      </c>
      <c r="CR30" s="127" t="s">
        <v>1390</v>
      </c>
      <c r="CS30" s="29" t="s">
        <v>3094</v>
      </c>
      <c r="CT30" s="29" t="s">
        <v>3127</v>
      </c>
      <c r="CU30" s="29" t="s">
        <v>3113</v>
      </c>
      <c r="CV30" s="663"/>
      <c r="CW30" s="54" t="s">
        <v>3065</v>
      </c>
      <c r="CX30" s="664" t="s">
        <v>3243</v>
      </c>
      <c r="CY30" s="29" t="s">
        <v>1453</v>
      </c>
      <c r="CZ30" s="29" t="s">
        <v>1453</v>
      </c>
      <c r="DA30" s="29" t="s">
        <v>2887</v>
      </c>
      <c r="DB30" s="29" t="s">
        <v>2841</v>
      </c>
      <c r="DC30" s="29" t="s">
        <v>3637</v>
      </c>
      <c r="DD30" s="54" t="s">
        <v>2864</v>
      </c>
      <c r="DE30" s="29" t="s">
        <v>2614</v>
      </c>
      <c r="DF30" s="29" t="s">
        <v>3316</v>
      </c>
      <c r="DG30" s="127" t="s">
        <v>2692</v>
      </c>
      <c r="DH30" s="665" t="s">
        <v>2750</v>
      </c>
      <c r="DI30" s="127" t="s">
        <v>2719</v>
      </c>
      <c r="DJ30" s="666" t="s">
        <v>2781</v>
      </c>
      <c r="DK30" s="667" t="s">
        <v>2822</v>
      </c>
      <c r="DL30" s="127" t="s">
        <v>2803</v>
      </c>
      <c r="DM30" s="127" t="s">
        <v>582</v>
      </c>
      <c r="DN30" s="29" t="s">
        <v>2651</v>
      </c>
      <c r="DO30" s="29" t="s">
        <v>2651</v>
      </c>
      <c r="DP30" s="54" t="s">
        <v>2518</v>
      </c>
      <c r="DQ30" s="29" t="s">
        <v>2587</v>
      </c>
      <c r="DR30" s="29" t="s">
        <v>2553</v>
      </c>
      <c r="DS30" s="29" t="s">
        <v>703</v>
      </c>
      <c r="DT30" s="29" t="s">
        <v>2911</v>
      </c>
      <c r="DU30" s="29" t="s">
        <v>476</v>
      </c>
      <c r="DV30" s="29" t="s">
        <v>2485</v>
      </c>
      <c r="DW30" s="54" t="s">
        <v>2411</v>
      </c>
      <c r="DX30" s="29" t="s">
        <v>2444</v>
      </c>
      <c r="DY30" s="29" t="s">
        <v>2467</v>
      </c>
      <c r="DZ30" s="29" t="s">
        <v>2444</v>
      </c>
      <c r="EA30" s="54" t="s">
        <v>2411</v>
      </c>
      <c r="EB30" s="29" t="s">
        <v>2929</v>
      </c>
      <c r="EC30" s="29" t="s">
        <v>3416</v>
      </c>
      <c r="ED30" s="29" t="s">
        <v>3446</v>
      </c>
      <c r="EE30" s="54" t="s">
        <v>503</v>
      </c>
      <c r="EF30" s="29" t="s">
        <v>3650</v>
      </c>
      <c r="EG30" s="663"/>
      <c r="EH30" s="186" t="s">
        <v>2346</v>
      </c>
      <c r="EI30" s="675" t="s">
        <v>2392</v>
      </c>
      <c r="EJ30" s="675" t="s">
        <v>2368</v>
      </c>
      <c r="EK30" s="29" t="s">
        <v>2296</v>
      </c>
      <c r="EL30" s="54" t="s">
        <v>2296</v>
      </c>
      <c r="EM30" s="186" t="s">
        <v>2208</v>
      </c>
      <c r="EN30" s="29" t="s">
        <v>2236</v>
      </c>
      <c r="EO30" s="29" t="s">
        <v>2264</v>
      </c>
      <c r="EP30" s="29" t="s">
        <v>1552</v>
      </c>
      <c r="EQ30" s="29" t="s">
        <v>1649</v>
      </c>
      <c r="ER30" s="29" t="s">
        <v>3681</v>
      </c>
      <c r="ES30" s="663"/>
      <c r="ET30" s="29" t="s">
        <v>3342</v>
      </c>
      <c r="EU30" s="127" t="s">
        <v>3370</v>
      </c>
      <c r="EV30" s="662" t="s">
        <v>1585</v>
      </c>
      <c r="EW30" s="29" t="s">
        <v>743</v>
      </c>
      <c r="EX30" s="29" t="s">
        <v>1425</v>
      </c>
      <c r="EY30" s="29" t="s">
        <v>2080</v>
      </c>
      <c r="EZ30" s="663"/>
      <c r="FA30" s="29" t="s">
        <v>1617</v>
      </c>
    </row>
    <row r="31" spans="1:157" ht="404" x14ac:dyDescent="0.2">
      <c r="A31" s="1205"/>
      <c r="B31" s="1206"/>
      <c r="C31" s="167" t="s">
        <v>49</v>
      </c>
      <c r="D31" s="168" t="s">
        <v>50</v>
      </c>
      <c r="E31" s="185" t="s">
        <v>15</v>
      </c>
      <c r="F31" s="29" t="s">
        <v>999</v>
      </c>
      <c r="G31" s="29" t="s">
        <v>633</v>
      </c>
      <c r="H31" s="662" t="s">
        <v>477</v>
      </c>
      <c r="I31" s="29" t="s">
        <v>633</v>
      </c>
      <c r="J31" s="29" t="s">
        <v>615</v>
      </c>
      <c r="K31" s="29" t="s">
        <v>3198</v>
      </c>
      <c r="L31" s="29" t="s">
        <v>680</v>
      </c>
      <c r="M31" s="29" t="s">
        <v>2328</v>
      </c>
      <c r="N31" s="29" t="s">
        <v>1870</v>
      </c>
      <c r="O31" s="54" t="s">
        <v>504</v>
      </c>
      <c r="P31" s="29" t="s">
        <v>504</v>
      </c>
      <c r="Q31" s="29" t="s">
        <v>504</v>
      </c>
      <c r="R31" s="29" t="s">
        <v>504</v>
      </c>
      <c r="S31" s="29" t="s">
        <v>504</v>
      </c>
      <c r="T31" s="29" t="s">
        <v>504</v>
      </c>
      <c r="U31" s="29" t="s">
        <v>477</v>
      </c>
      <c r="V31" s="29" t="s">
        <v>477</v>
      </c>
      <c r="W31" s="29" t="s">
        <v>477</v>
      </c>
      <c r="X31" s="29" t="s">
        <v>2328</v>
      </c>
      <c r="Y31" s="29" t="s">
        <v>504</v>
      </c>
      <c r="Z31" s="29" t="s">
        <v>504</v>
      </c>
      <c r="AA31" s="29" t="s">
        <v>900</v>
      </c>
      <c r="AB31" s="29" t="s">
        <v>1792</v>
      </c>
      <c r="AC31" s="29" t="s">
        <v>1792</v>
      </c>
      <c r="AD31" s="29" t="s">
        <v>659</v>
      </c>
      <c r="AE31" s="695" t="s">
        <v>477</v>
      </c>
      <c r="AF31" s="54" t="s">
        <v>794</v>
      </c>
      <c r="AG31" s="29" t="s">
        <v>477</v>
      </c>
      <c r="AH31" s="29" t="s">
        <v>504</v>
      </c>
      <c r="AI31" s="29" t="s">
        <v>504</v>
      </c>
      <c r="AJ31" s="29" t="s">
        <v>504</v>
      </c>
      <c r="AK31" s="663"/>
      <c r="AL31" s="29" t="s">
        <v>3468</v>
      </c>
      <c r="AM31" s="29" t="s">
        <v>3492</v>
      </c>
      <c r="AN31" s="29" t="s">
        <v>615</v>
      </c>
      <c r="AO31" s="29" t="s">
        <v>1357</v>
      </c>
      <c r="AP31" s="663"/>
      <c r="AQ31" s="48" t="s">
        <v>633</v>
      </c>
      <c r="AR31" s="663"/>
      <c r="AS31" s="29" t="s">
        <v>504</v>
      </c>
      <c r="AT31" s="29" t="s">
        <v>1983</v>
      </c>
      <c r="AU31" s="29" t="s">
        <v>2004</v>
      </c>
      <c r="AV31" s="29" t="s">
        <v>504</v>
      </c>
      <c r="AW31" s="29" t="s">
        <v>477</v>
      </c>
      <c r="AX31" s="663"/>
      <c r="AY31" s="663"/>
      <c r="AZ31" s="29" t="s">
        <v>477</v>
      </c>
      <c r="BA31" s="29" t="s">
        <v>1763</v>
      </c>
      <c r="BB31" s="29" t="s">
        <v>1763</v>
      </c>
      <c r="BC31" s="29" t="s">
        <v>504</v>
      </c>
      <c r="BD31" s="29" t="s">
        <v>1810</v>
      </c>
      <c r="BE31" s="29" t="s">
        <v>1835</v>
      </c>
      <c r="BF31" s="29" t="s">
        <v>477</v>
      </c>
      <c r="BG31" s="29" t="s">
        <v>504</v>
      </c>
      <c r="BH31" s="29" t="s">
        <v>504</v>
      </c>
      <c r="BI31" s="29" t="s">
        <v>504</v>
      </c>
      <c r="BJ31" s="29" t="s">
        <v>504</v>
      </c>
      <c r="BK31" s="29" t="s">
        <v>1714</v>
      </c>
      <c r="BL31" s="29" t="s">
        <v>1763</v>
      </c>
      <c r="BM31" s="29" t="s">
        <v>3539</v>
      </c>
      <c r="BN31" s="29" t="s">
        <v>477</v>
      </c>
      <c r="BO31" s="186" t="s">
        <v>477</v>
      </c>
      <c r="BP31" s="29" t="s">
        <v>477</v>
      </c>
      <c r="BQ31" s="29" t="s">
        <v>504</v>
      </c>
      <c r="BR31" s="29" t="s">
        <v>615</v>
      </c>
      <c r="BS31" s="29" t="s">
        <v>615</v>
      </c>
      <c r="BT31" s="54" t="s">
        <v>504</v>
      </c>
      <c r="BU31" s="29" t="s">
        <v>615</v>
      </c>
      <c r="BV31" s="29" t="s">
        <v>504</v>
      </c>
      <c r="BW31" s="29" t="s">
        <v>477</v>
      </c>
      <c r="BX31" s="29" t="s">
        <v>477</v>
      </c>
      <c r="BY31" s="663"/>
      <c r="BZ31" s="663"/>
      <c r="CA31" s="29" t="s">
        <v>504</v>
      </c>
      <c r="CB31" s="48" t="s">
        <v>477</v>
      </c>
      <c r="CC31" s="29" t="s">
        <v>477</v>
      </c>
      <c r="CD31" s="29" t="s">
        <v>504</v>
      </c>
      <c r="CE31" s="29" t="s">
        <v>1205</v>
      </c>
      <c r="CF31" s="29" t="s">
        <v>1237</v>
      </c>
      <c r="CG31" s="662" t="s">
        <v>633</v>
      </c>
      <c r="CH31" s="29" t="s">
        <v>1263</v>
      </c>
      <c r="CI31" s="29" t="s">
        <v>1263</v>
      </c>
      <c r="CJ31" s="29" t="s">
        <v>1301</v>
      </c>
      <c r="CK31" s="29" t="s">
        <v>1316</v>
      </c>
      <c r="CL31" s="29" t="s">
        <v>1316</v>
      </c>
      <c r="CM31" s="110" t="s">
        <v>615</v>
      </c>
      <c r="CN31" s="29" t="s">
        <v>3151</v>
      </c>
      <c r="CO31" s="29" t="s">
        <v>477</v>
      </c>
      <c r="CP31" s="29" t="s">
        <v>477</v>
      </c>
      <c r="CQ31" s="29" t="s">
        <v>504</v>
      </c>
      <c r="CR31" s="127" t="s">
        <v>633</v>
      </c>
      <c r="CS31" s="29" t="s">
        <v>680</v>
      </c>
      <c r="CT31" s="29" t="s">
        <v>3128</v>
      </c>
      <c r="CU31" s="29" t="s">
        <v>3114</v>
      </c>
      <c r="CV31" s="663"/>
      <c r="CW31" s="54" t="s">
        <v>615</v>
      </c>
      <c r="CX31" s="664" t="s">
        <v>3244</v>
      </c>
      <c r="CY31" s="29" t="s">
        <v>477</v>
      </c>
      <c r="CZ31" s="29" t="s">
        <v>477</v>
      </c>
      <c r="DA31" s="29" t="s">
        <v>477</v>
      </c>
      <c r="DB31" s="29" t="s">
        <v>477</v>
      </c>
      <c r="DC31" s="29" t="s">
        <v>477</v>
      </c>
      <c r="DD31" s="56" t="s">
        <v>504</v>
      </c>
      <c r="DE31" s="29" t="s">
        <v>504</v>
      </c>
      <c r="DF31" s="29" t="s">
        <v>477</v>
      </c>
      <c r="DG31" s="127" t="s">
        <v>2693</v>
      </c>
      <c r="DH31" s="665" t="s">
        <v>2751</v>
      </c>
      <c r="DI31" s="127" t="s">
        <v>2720</v>
      </c>
      <c r="DJ31" s="666" t="s">
        <v>633</v>
      </c>
      <c r="DK31" s="29" t="s">
        <v>633</v>
      </c>
      <c r="DL31" s="127" t="s">
        <v>2804</v>
      </c>
      <c r="DM31" s="127" t="s">
        <v>504</v>
      </c>
      <c r="DN31" s="29" t="s">
        <v>2652</v>
      </c>
      <c r="DO31" s="29" t="s">
        <v>2652</v>
      </c>
      <c r="DP31" s="54" t="s">
        <v>477</v>
      </c>
      <c r="DQ31" s="29" t="s">
        <v>633</v>
      </c>
      <c r="DR31" s="29" t="s">
        <v>477</v>
      </c>
      <c r="DS31" s="29" t="s">
        <v>504</v>
      </c>
      <c r="DT31" s="29" t="s">
        <v>1763</v>
      </c>
      <c r="DU31" s="29" t="s">
        <v>477</v>
      </c>
      <c r="DV31" s="29" t="s">
        <v>504</v>
      </c>
      <c r="DW31" s="54" t="s">
        <v>504</v>
      </c>
      <c r="DX31" s="29" t="s">
        <v>504</v>
      </c>
      <c r="DY31" s="29" t="s">
        <v>477</v>
      </c>
      <c r="DZ31" s="29" t="s">
        <v>504</v>
      </c>
      <c r="EA31" s="54" t="s">
        <v>504</v>
      </c>
      <c r="EB31" s="29" t="s">
        <v>2328</v>
      </c>
      <c r="EC31" s="29" t="s">
        <v>3417</v>
      </c>
      <c r="ED31" s="29" t="s">
        <v>3447</v>
      </c>
      <c r="EE31" s="54" t="s">
        <v>504</v>
      </c>
      <c r="EF31" s="29" t="s">
        <v>504</v>
      </c>
      <c r="EG31" s="663"/>
      <c r="EH31" s="186" t="s">
        <v>633</v>
      </c>
      <c r="EI31" s="184" t="s">
        <v>504</v>
      </c>
      <c r="EJ31" s="184" t="s">
        <v>477</v>
      </c>
      <c r="EK31" s="29" t="s">
        <v>2297</v>
      </c>
      <c r="EL31" s="54" t="s">
        <v>2328</v>
      </c>
      <c r="EM31" s="186" t="s">
        <v>477</v>
      </c>
      <c r="EN31" s="29" t="s">
        <v>2237</v>
      </c>
      <c r="EO31" s="29" t="s">
        <v>2265</v>
      </c>
      <c r="EP31" s="29" t="s">
        <v>1553</v>
      </c>
      <c r="EQ31" s="29" t="s">
        <v>1650</v>
      </c>
      <c r="ER31" s="29" t="s">
        <v>477</v>
      </c>
      <c r="ES31" s="663"/>
      <c r="ET31" s="29" t="s">
        <v>3151</v>
      </c>
      <c r="EU31" s="127" t="s">
        <v>477</v>
      </c>
      <c r="EV31" s="662" t="s">
        <v>504</v>
      </c>
      <c r="EW31" s="29" t="s">
        <v>477</v>
      </c>
      <c r="EX31" s="54" t="s">
        <v>1426</v>
      </c>
      <c r="EY31" s="29" t="s">
        <v>504</v>
      </c>
      <c r="EZ31" s="663"/>
      <c r="FA31" s="29" t="s">
        <v>1618</v>
      </c>
    </row>
    <row r="32" spans="1:157" ht="409.6" x14ac:dyDescent="0.2">
      <c r="A32" s="1205"/>
      <c r="B32" s="1206"/>
      <c r="C32" s="167" t="s">
        <v>51</v>
      </c>
      <c r="D32" s="168" t="s">
        <v>52</v>
      </c>
      <c r="E32" s="185" t="s">
        <v>15</v>
      </c>
      <c r="F32" s="29" t="s">
        <v>1000</v>
      </c>
      <c r="G32" s="29" t="s">
        <v>1027</v>
      </c>
      <c r="H32" s="662" t="s">
        <v>3589</v>
      </c>
      <c r="I32" s="29" t="s">
        <v>1027</v>
      </c>
      <c r="J32" s="29" t="s">
        <v>2023</v>
      </c>
      <c r="K32" s="29" t="s">
        <v>3199</v>
      </c>
      <c r="L32" s="29" t="s">
        <v>681</v>
      </c>
      <c r="M32" s="29" t="s">
        <v>3292</v>
      </c>
      <c r="N32" s="29" t="s">
        <v>1871</v>
      </c>
      <c r="O32" s="54" t="s">
        <v>1478</v>
      </c>
      <c r="P32" s="29" t="s">
        <v>1478</v>
      </c>
      <c r="Q32" s="29" t="s">
        <v>1478</v>
      </c>
      <c r="R32" s="29" t="s">
        <v>1478</v>
      </c>
      <c r="S32" s="29" t="s">
        <v>1478</v>
      </c>
      <c r="T32" s="29" t="s">
        <v>1898</v>
      </c>
      <c r="U32" s="29" t="s">
        <v>1090</v>
      </c>
      <c r="V32" s="29" t="s">
        <v>1090</v>
      </c>
      <c r="W32" s="29" t="s">
        <v>535</v>
      </c>
      <c r="X32" s="29" t="s">
        <v>3621</v>
      </c>
      <c r="Y32" s="29" t="s">
        <v>845</v>
      </c>
      <c r="Z32" s="29" t="s">
        <v>872</v>
      </c>
      <c r="AA32" s="29" t="s">
        <v>901</v>
      </c>
      <c r="AB32" s="29" t="s">
        <v>1793</v>
      </c>
      <c r="AC32" s="29" t="s">
        <v>1793</v>
      </c>
      <c r="AD32" s="29" t="s">
        <v>660</v>
      </c>
      <c r="AE32" s="695" t="s">
        <v>769</v>
      </c>
      <c r="AF32" s="54" t="s">
        <v>795</v>
      </c>
      <c r="AG32" s="29" t="s">
        <v>769</v>
      </c>
      <c r="AH32" s="29" t="s">
        <v>914</v>
      </c>
      <c r="AI32" s="29" t="s">
        <v>933</v>
      </c>
      <c r="AJ32" s="29" t="s">
        <v>583</v>
      </c>
      <c r="AK32" s="663"/>
      <c r="AL32" s="29" t="s">
        <v>3469</v>
      </c>
      <c r="AM32" s="29" t="s">
        <v>3493</v>
      </c>
      <c r="AN32" s="29" t="s">
        <v>3518</v>
      </c>
      <c r="AO32" s="29" t="s">
        <v>1358</v>
      </c>
      <c r="AP32" s="663"/>
      <c r="AQ32" s="48" t="s">
        <v>634</v>
      </c>
      <c r="AR32" s="663"/>
      <c r="AS32" s="29" t="s">
        <v>1963</v>
      </c>
      <c r="AT32" s="29" t="s">
        <v>1963</v>
      </c>
      <c r="AU32" s="29" t="s">
        <v>2005</v>
      </c>
      <c r="AV32" s="29" t="s">
        <v>722</v>
      </c>
      <c r="AW32" s="29" t="s">
        <v>2057</v>
      </c>
      <c r="AX32" s="663"/>
      <c r="AY32" s="663"/>
      <c r="AZ32" s="29" t="s">
        <v>1740</v>
      </c>
      <c r="BA32" s="29" t="s">
        <v>1740</v>
      </c>
      <c r="BB32" s="29" t="s">
        <v>1740</v>
      </c>
      <c r="BC32" s="29" t="s">
        <v>974</v>
      </c>
      <c r="BD32" s="54" t="s">
        <v>1811</v>
      </c>
      <c r="BE32" s="29" t="s">
        <v>1836</v>
      </c>
      <c r="BF32" s="29" t="s">
        <v>1681</v>
      </c>
      <c r="BG32" s="29" t="s">
        <v>1049</v>
      </c>
      <c r="BH32" s="29" t="s">
        <v>1071</v>
      </c>
      <c r="BI32" s="29" t="s">
        <v>1090</v>
      </c>
      <c r="BJ32" s="29" t="s">
        <v>1071</v>
      </c>
      <c r="BK32" s="29" t="s">
        <v>1715</v>
      </c>
      <c r="BL32" s="101" t="s">
        <v>2103</v>
      </c>
      <c r="BM32" s="29" t="s">
        <v>3540</v>
      </c>
      <c r="BN32" s="29" t="s">
        <v>3540</v>
      </c>
      <c r="BO32" s="186" t="s">
        <v>3551</v>
      </c>
      <c r="BP32" s="29" t="s">
        <v>561</v>
      </c>
      <c r="BQ32" s="29" t="s">
        <v>3033</v>
      </c>
      <c r="BR32" s="29" t="s">
        <v>2135</v>
      </c>
      <c r="BS32" s="29" t="s">
        <v>2164</v>
      </c>
      <c r="BT32" s="54" t="s">
        <v>3574</v>
      </c>
      <c r="BU32" s="29" t="s">
        <v>616</v>
      </c>
      <c r="BV32" s="29" t="s">
        <v>2945</v>
      </c>
      <c r="BW32" s="29" t="s">
        <v>2945</v>
      </c>
      <c r="BX32" s="29" t="s">
        <v>2977</v>
      </c>
      <c r="BY32" s="663"/>
      <c r="BZ32" s="663"/>
      <c r="CA32" s="29" t="s">
        <v>3270</v>
      </c>
      <c r="CB32" s="48" t="s">
        <v>1124</v>
      </c>
      <c r="CC32" s="29" t="s">
        <v>1152</v>
      </c>
      <c r="CD32" s="29" t="s">
        <v>2186</v>
      </c>
      <c r="CE32" s="29" t="s">
        <v>1206</v>
      </c>
      <c r="CF32" s="54" t="s">
        <v>1238</v>
      </c>
      <c r="CG32" s="695" t="s">
        <v>1238</v>
      </c>
      <c r="CH32" s="54" t="s">
        <v>1264</v>
      </c>
      <c r="CI32" s="29" t="s">
        <v>1285</v>
      </c>
      <c r="CJ32" s="29" t="s">
        <v>1302</v>
      </c>
      <c r="CK32" s="29" t="s">
        <v>1317</v>
      </c>
      <c r="CL32" s="29" t="s">
        <v>1333</v>
      </c>
      <c r="CM32" s="110" t="s">
        <v>1174</v>
      </c>
      <c r="CN32" s="29" t="s">
        <v>3152</v>
      </c>
      <c r="CO32" s="29" t="s">
        <v>3395</v>
      </c>
      <c r="CP32" s="29" t="s">
        <v>3395</v>
      </c>
      <c r="CQ32" s="29" t="s">
        <v>3175</v>
      </c>
      <c r="CR32" s="127" t="s">
        <v>1391</v>
      </c>
      <c r="CS32" s="29" t="s">
        <v>3095</v>
      </c>
      <c r="CT32" s="29" t="s">
        <v>3129</v>
      </c>
      <c r="CU32" s="29" t="s">
        <v>3115</v>
      </c>
      <c r="CV32" s="663"/>
      <c r="CW32" s="54" t="s">
        <v>9517</v>
      </c>
      <c r="CX32" s="664" t="s">
        <v>3245</v>
      </c>
      <c r="CY32" s="29" t="s">
        <v>1124</v>
      </c>
      <c r="CZ32" s="29" t="s">
        <v>1124</v>
      </c>
      <c r="DA32" s="29" t="s">
        <v>2888</v>
      </c>
      <c r="DB32" s="29" t="s">
        <v>2842</v>
      </c>
      <c r="DC32" s="29" t="s">
        <v>3638</v>
      </c>
      <c r="DD32" s="56" t="s">
        <v>2865</v>
      </c>
      <c r="DE32" s="29" t="s">
        <v>2615</v>
      </c>
      <c r="DF32" s="29" t="s">
        <v>3317</v>
      </c>
      <c r="DG32" s="127" t="s">
        <v>2694</v>
      </c>
      <c r="DH32" s="665" t="s">
        <v>2752</v>
      </c>
      <c r="DI32" s="127" t="s">
        <v>2721</v>
      </c>
      <c r="DJ32" s="666" t="s">
        <v>2782</v>
      </c>
      <c r="DK32" s="29" t="s">
        <v>2782</v>
      </c>
      <c r="DL32" s="127" t="s">
        <v>2805</v>
      </c>
      <c r="DM32" s="127" t="s">
        <v>583</v>
      </c>
      <c r="DN32" s="29" t="s">
        <v>2653</v>
      </c>
      <c r="DO32" s="29" t="s">
        <v>2653</v>
      </c>
      <c r="DP32" s="54" t="s">
        <v>2519</v>
      </c>
      <c r="DQ32" s="29" t="s">
        <v>2588</v>
      </c>
      <c r="DR32" s="29" t="s">
        <v>2519</v>
      </c>
      <c r="DS32" s="29" t="s">
        <v>704</v>
      </c>
      <c r="DT32" s="60" t="s">
        <v>2912</v>
      </c>
      <c r="DU32" s="29" t="s">
        <v>478</v>
      </c>
      <c r="DV32" s="29" t="s">
        <v>2486</v>
      </c>
      <c r="DW32" s="54" t="s">
        <v>2412</v>
      </c>
      <c r="DX32" s="29" t="s">
        <v>2445</v>
      </c>
      <c r="DY32" s="29" t="s">
        <v>2412</v>
      </c>
      <c r="DZ32" s="29" t="s">
        <v>2457</v>
      </c>
      <c r="EA32" s="54" t="s">
        <v>2431</v>
      </c>
      <c r="EB32" s="29" t="s">
        <v>2930</v>
      </c>
      <c r="EC32" s="29" t="s">
        <v>3418</v>
      </c>
      <c r="ED32" s="29" t="s">
        <v>3448</v>
      </c>
      <c r="EE32" s="54" t="s">
        <v>505</v>
      </c>
      <c r="EF32" s="29" t="s">
        <v>3651</v>
      </c>
      <c r="EG32" s="663"/>
      <c r="EH32" s="698" t="s">
        <v>2347</v>
      </c>
      <c r="EI32" s="184" t="s">
        <v>2393</v>
      </c>
      <c r="EJ32" s="184" t="s">
        <v>2369</v>
      </c>
      <c r="EK32" s="29" t="s">
        <v>2298</v>
      </c>
      <c r="EL32" s="54" t="s">
        <v>2298</v>
      </c>
      <c r="EM32" s="186" t="s">
        <v>2209</v>
      </c>
      <c r="EN32" s="29" t="s">
        <v>2238</v>
      </c>
      <c r="EO32" s="29" t="s">
        <v>2266</v>
      </c>
      <c r="EP32" s="29" t="s">
        <v>1554</v>
      </c>
      <c r="EQ32" s="29" t="s">
        <v>1651</v>
      </c>
      <c r="ER32" s="29" t="s">
        <v>3682</v>
      </c>
      <c r="ES32" s="663"/>
      <c r="ET32" s="29" t="s">
        <v>3343</v>
      </c>
      <c r="EU32" s="127" t="s">
        <v>3371</v>
      </c>
      <c r="EV32" s="662" t="s">
        <v>1586</v>
      </c>
      <c r="EW32" s="29" t="s">
        <v>744</v>
      </c>
      <c r="EX32" s="54" t="s">
        <v>1427</v>
      </c>
      <c r="EY32" s="29" t="s">
        <v>583</v>
      </c>
      <c r="EZ32" s="663"/>
      <c r="FA32" s="29" t="s">
        <v>1619</v>
      </c>
    </row>
    <row r="33" spans="1:157" ht="163" customHeight="1" x14ac:dyDescent="0.2">
      <c r="A33" s="196" t="s">
        <v>53</v>
      </c>
      <c r="B33" s="24" t="s">
        <v>54</v>
      </c>
      <c r="C33" s="167" t="s">
        <v>55</v>
      </c>
      <c r="D33" s="168" t="s">
        <v>56</v>
      </c>
      <c r="E33" s="699" t="s">
        <v>57</v>
      </c>
      <c r="F33" s="37">
        <f t="shared" ref="F33:L33" si="0">SUM(F34,F37,F40,F42,F44,F46)</f>
        <v>24.073999999999998</v>
      </c>
      <c r="G33" s="37">
        <f t="shared" si="0"/>
        <v>4.4118500000000003</v>
      </c>
      <c r="H33" s="37">
        <f t="shared" si="0"/>
        <v>3.407</v>
      </c>
      <c r="I33" s="37">
        <f t="shared" si="0"/>
        <v>62.279591919999994</v>
      </c>
      <c r="J33" s="37">
        <f t="shared" si="0"/>
        <v>553.66754016000004</v>
      </c>
      <c r="K33" s="37">
        <f t="shared" si="0"/>
        <v>35.874516990000004</v>
      </c>
      <c r="L33" s="37">
        <f t="shared" si="0"/>
        <v>236.44900000000001</v>
      </c>
      <c r="M33" s="52">
        <f>M34+M37+M40+M42</f>
        <v>38.980000000000004</v>
      </c>
      <c r="N33" s="37">
        <f t="shared" ref="N33" si="1">SUM(N34,N37,N40,N42,N44,N46)</f>
        <v>27.678000000000001</v>
      </c>
      <c r="O33" s="37">
        <f t="shared" ref="O33:V33" si="2">SUM(O34,O37,O40,O42,O44,O46)</f>
        <v>256.07900000000001</v>
      </c>
      <c r="P33" s="37">
        <f t="shared" si="2"/>
        <v>15.981000000000002</v>
      </c>
      <c r="Q33" s="37">
        <f t="shared" si="2"/>
        <v>1060</v>
      </c>
      <c r="R33" s="37">
        <f t="shared" si="2"/>
        <v>41.504999999999995</v>
      </c>
      <c r="S33" s="37">
        <f t="shared" si="2"/>
        <v>705.88397700000007</v>
      </c>
      <c r="T33" s="37">
        <f t="shared" si="2"/>
        <v>2237.502</v>
      </c>
      <c r="U33" s="37">
        <f t="shared" si="2"/>
        <v>13.638</v>
      </c>
      <c r="V33" s="37">
        <f t="shared" si="2"/>
        <v>51.43</v>
      </c>
      <c r="W33" s="37">
        <f>SUM(W34,W37,W40,W42,W44,W46)</f>
        <v>155.47900000000001</v>
      </c>
      <c r="X33" s="37">
        <f>SUM(X34,X37,X40,X42,X44,X46)</f>
        <v>70</v>
      </c>
      <c r="Y33" s="37">
        <f t="shared" ref="Y33:AA33" si="3">SUM(Y34,Y37,Y40,Y42,Y44,Y46)</f>
        <v>852</v>
      </c>
      <c r="Z33" s="37">
        <f t="shared" si="3"/>
        <v>82.090999999999994</v>
      </c>
      <c r="AA33" s="37">
        <f t="shared" si="3"/>
        <v>167.43259999999998</v>
      </c>
      <c r="AB33" s="37"/>
      <c r="AC33" s="37"/>
      <c r="AD33" s="37">
        <f t="shared" ref="AD33" si="4">SUM(AD34,AD37,AD40,AD42,AD44,AD46)</f>
        <v>569.38200000000006</v>
      </c>
      <c r="AE33" s="37">
        <f t="shared" ref="AE33:AG33" si="5">SUM(AE34,AE37,AE40,AE42,AE44,AE46)</f>
        <v>221.93</v>
      </c>
      <c r="AF33" s="37">
        <f t="shared" si="5"/>
        <v>166.869</v>
      </c>
      <c r="AG33" s="37">
        <f t="shared" si="5"/>
        <v>205.21999999999997</v>
      </c>
      <c r="AH33" s="37">
        <f t="shared" ref="AH33:AN33" si="6">SUM(AH34,AH37,AH40,AH42,AH44,AH46)</f>
        <v>71.087000000000003</v>
      </c>
      <c r="AI33" s="37">
        <f t="shared" si="6"/>
        <v>868.31500000000005</v>
      </c>
      <c r="AJ33" s="37">
        <f t="shared" si="6"/>
        <v>11.039</v>
      </c>
      <c r="AK33" s="37">
        <f t="shared" si="6"/>
        <v>0</v>
      </c>
      <c r="AL33" s="37">
        <f t="shared" si="6"/>
        <v>3.85</v>
      </c>
      <c r="AM33" s="37">
        <f t="shared" si="6"/>
        <v>1332.048</v>
      </c>
      <c r="AN33" s="37">
        <f t="shared" si="6"/>
        <v>9.0571057003585018</v>
      </c>
      <c r="AO33" s="37">
        <f t="shared" ref="AO33" si="7">SUM(AO34,AO37,AO40,AO42,AO44,AO46)</f>
        <v>130.9872</v>
      </c>
      <c r="AP33" s="37">
        <f t="shared" ref="AP33" si="8">SUM(AP34,AP37,AP40,AP42,AP44,AP46)</f>
        <v>0</v>
      </c>
      <c r="AQ33" s="37">
        <f t="shared" ref="AQ33" si="9">SUM(AQ34,AQ37,AQ40,AQ42,AQ44,AQ46)</f>
        <v>946</v>
      </c>
      <c r="AR33" s="37">
        <f t="shared" ref="AR33" si="10">SUM(AR34,AR37,AR40,AR42,AR44,AR46)</f>
        <v>0</v>
      </c>
      <c r="AS33" s="37">
        <f t="shared" ref="AS33:AU33" si="11">SUM(AS34,AS37,AS40,AS42,AS44,AS46)</f>
        <v>30.884</v>
      </c>
      <c r="AT33" s="37">
        <f t="shared" si="11"/>
        <v>652.36330096000006</v>
      </c>
      <c r="AU33" s="37">
        <f t="shared" si="11"/>
        <v>659.28399999999999</v>
      </c>
      <c r="AV33" s="37">
        <f t="shared" ref="AV33" si="12">SUM(AV34,AV37,AV40,AV42,AV44,AV46)</f>
        <v>18.273</v>
      </c>
      <c r="AW33" s="37">
        <f t="shared" ref="AW33" si="13">SUM(AW34,AW37,AW40,AW42,AW44,AW46)</f>
        <v>288.017</v>
      </c>
      <c r="AX33" s="37">
        <f t="shared" ref="AX33" si="14">SUM(AX34,AX37,AX40,AX42,AX44,AX46)</f>
        <v>0</v>
      </c>
      <c r="AY33" s="37">
        <f t="shared" ref="AY33" si="15">SUM(AY34,AY37,AY40,AY42,AY44,AY46)</f>
        <v>0</v>
      </c>
      <c r="AZ33" s="37">
        <f t="shared" ref="AZ33:BB33" si="16">SUM(AZ34,AZ37,AZ40,AZ42,AZ44,AZ46)</f>
        <v>162.10999999999999</v>
      </c>
      <c r="BA33" s="37">
        <f t="shared" si="16"/>
        <v>126.857</v>
      </c>
      <c r="BB33" s="37">
        <f t="shared" ca="1" si="16"/>
        <v>133.524</v>
      </c>
      <c r="BC33" s="37">
        <f t="shared" ref="BC33" si="17">SUM(BC34,BC37,BC40,BC42,BC44,BC46)</f>
        <v>207.423</v>
      </c>
      <c r="BD33" s="37">
        <f t="shared" ref="BD33:BE33" si="18">SUM(BD34,BD37,BD40,BD42,BD44,BD46)</f>
        <v>33.441000000000003</v>
      </c>
      <c r="BE33" s="37">
        <f t="shared" si="18"/>
        <v>349.74700000000001</v>
      </c>
      <c r="BF33" s="37">
        <f t="shared" ref="BF33" si="19">SUM(BF34,BF37,BF40,BF42,BF44,BF46)</f>
        <v>391252.91600000003</v>
      </c>
      <c r="BG33" s="37">
        <f t="shared" ref="BG33" si="20">SUM(BG34,BG37,BG40,BG42,BG44,BG46)</f>
        <v>6.7128479999999993</v>
      </c>
      <c r="BH33" s="37">
        <f t="shared" ref="BH33:BK33" si="21">SUM(BH34,BH37,BH40,BH42,BH44,BH46)</f>
        <v>140</v>
      </c>
      <c r="BI33" s="37">
        <f t="shared" si="21"/>
        <v>176.4</v>
      </c>
      <c r="BJ33" s="37">
        <f t="shared" si="21"/>
        <v>259.23</v>
      </c>
      <c r="BK33" s="37">
        <f t="shared" si="21"/>
        <v>300</v>
      </c>
      <c r="BL33" s="37">
        <f t="shared" ref="BL33:BO33" si="22">SUM(BL34,BL37,BL40,BL42,BL44,BL46)</f>
        <v>334.54800000000006</v>
      </c>
      <c r="BM33" s="37">
        <f t="shared" si="22"/>
        <v>0.47545234000000003</v>
      </c>
      <c r="BN33" s="37">
        <f t="shared" si="22"/>
        <v>299.37200000000001</v>
      </c>
      <c r="BO33" s="37">
        <f t="shared" si="22"/>
        <v>3.3284699999999998</v>
      </c>
      <c r="BP33" s="37">
        <f t="shared" ref="BP33" si="23">SUM(BP34,BP37,BP40,BP42,BP44,BP46)</f>
        <v>819.68</v>
      </c>
      <c r="BQ33" s="37">
        <f t="shared" ref="BQ33" si="24">SUM(BQ34,BQ37,BQ40,BQ42,BQ44,BQ46)</f>
        <v>73.100000000000009</v>
      </c>
      <c r="BR33" s="37">
        <f t="shared" ref="BR33:BT33" si="25">SUM(BR34,BR37,BR40,BR42,BR44,BR46)</f>
        <v>262.53700000000003</v>
      </c>
      <c r="BS33" s="37">
        <f t="shared" si="25"/>
        <v>313.90000000000003</v>
      </c>
      <c r="BT33" s="37">
        <f t="shared" si="25"/>
        <v>66.525824260000007</v>
      </c>
      <c r="BU33" s="37">
        <f t="shared" ref="BU33" si="26">SUM(BU34,BU37,BU40,BU42,BU44,BU46)</f>
        <v>9.6476499999999987</v>
      </c>
      <c r="BV33" s="37">
        <f t="shared" ref="BV33:BX33" si="27">SUM(BV34,BV37,BV40,BV42,BV44,BV46)</f>
        <v>193.0265</v>
      </c>
      <c r="BW33" s="37">
        <f t="shared" si="27"/>
        <v>38.470970600000001</v>
      </c>
      <c r="BX33" s="37">
        <f t="shared" si="27"/>
        <v>5.2279817</v>
      </c>
      <c r="BY33" s="37">
        <f t="shared" ref="BY33" si="28">SUM(BY34,BY37,BY40,BY42,BY44,BY46)</f>
        <v>0</v>
      </c>
      <c r="BZ33" s="37">
        <f t="shared" ref="BZ33" si="29">SUM(BZ34,BZ37,BZ40,BZ42,BZ44,BZ46)</f>
        <v>0</v>
      </c>
      <c r="CA33" s="37">
        <f t="shared" ref="CA33" si="30">SUM(CA34,CA37,CA40,CA42,CA44,CA46)</f>
        <v>659.12049999999999</v>
      </c>
      <c r="CB33" s="37">
        <f t="shared" ref="CB33" si="31">SUM(CB34,CB37,CB40,CB42,CB44,CB46)</f>
        <v>111.84599999999999</v>
      </c>
      <c r="CC33" s="37">
        <f t="shared" ref="CC33" si="32">SUM(CC34,CC37,CC40,CC42,CC44,CC46)</f>
        <v>31.447000000000003</v>
      </c>
      <c r="CD33" s="37">
        <f t="shared" ref="CD33" si="33">SUM(CD34,CD37,CD40,CD42,CD44,CD46)</f>
        <v>1089.098</v>
      </c>
      <c r="CE33" s="37">
        <f t="shared" ref="CE33:CL33" si="34">SUM(CE34,CE37,CE40,CE42,CE44,CE46)</f>
        <v>353.73689968999997</v>
      </c>
      <c r="CF33" s="37">
        <f t="shared" si="34"/>
        <v>41.073000000000008</v>
      </c>
      <c r="CG33" s="37">
        <f t="shared" si="34"/>
        <v>141.51500000000001</v>
      </c>
      <c r="CH33" s="37">
        <f t="shared" si="34"/>
        <v>32.441964999999996</v>
      </c>
      <c r="CI33" s="37">
        <f t="shared" si="34"/>
        <v>42.657902000000007</v>
      </c>
      <c r="CJ33" s="37">
        <f t="shared" si="34"/>
        <v>56.619303059999993</v>
      </c>
      <c r="CK33" s="37">
        <f t="shared" si="34"/>
        <v>29.944157000000001</v>
      </c>
      <c r="CL33" s="37">
        <f t="shared" si="34"/>
        <v>200.2</v>
      </c>
      <c r="CM33" s="37">
        <f t="shared" ref="CM33:CP33" si="35">SUM(CM34,CM37,CM40,CM42,CM44,CM46)</f>
        <v>281.29000000000002</v>
      </c>
      <c r="CN33" s="37">
        <f t="shared" si="35"/>
        <v>99.989999999999981</v>
      </c>
      <c r="CO33" s="37">
        <f t="shared" si="35"/>
        <v>587.72396477000007</v>
      </c>
      <c r="CP33" s="37">
        <f t="shared" si="35"/>
        <v>286.28875637000004</v>
      </c>
      <c r="CQ33" s="37">
        <f>SUM(CQ34,CQ37,CQ40,CQ42,CQ46)</f>
        <v>1.944</v>
      </c>
      <c r="CR33" s="37">
        <f t="shared" ref="CR33" si="36">SUM(CR34,CR37,CR40,CR42,CR44,CR46)</f>
        <v>230.79090000000002</v>
      </c>
      <c r="CS33" s="37">
        <f t="shared" ref="CS33:CU33" si="37">SUM(CS34,CS37,CS40,CS42,CS44,CS46)</f>
        <v>2.5455000000000001</v>
      </c>
      <c r="CT33" s="37">
        <f t="shared" si="37"/>
        <v>588.52497223626256</v>
      </c>
      <c r="CU33" s="37">
        <f t="shared" si="37"/>
        <v>22.401120049999996</v>
      </c>
      <c r="CV33" s="37">
        <f t="shared" ref="CV33" si="38">SUM(CV34,CV37,CV40,CV42,CV44,CV46)</f>
        <v>0</v>
      </c>
      <c r="CW33" s="37">
        <f t="shared" ref="CW33" si="39">SUM(CW34,CW37,CW40,CW42,CW44,CW46)</f>
        <v>337.36191697000004</v>
      </c>
      <c r="CX33" s="37">
        <f t="shared" ref="CX33" si="40">SUM(CX34,CX37,CX40,CX42,CX44,CX46)</f>
        <v>231.00200000000001</v>
      </c>
      <c r="CY33" s="37">
        <f t="shared" ref="CY33" si="41">SUM(CY34,CY37,CY40,CY42,CY44,CY46)</f>
        <v>31.251659999999998</v>
      </c>
      <c r="CZ33" s="37">
        <f t="shared" ref="CZ33:DA33" si="42">SUM(CZ34,CZ37,CZ40,CZ42,CZ44,CZ46)</f>
        <v>47.81</v>
      </c>
      <c r="DA33" s="37">
        <f t="shared" si="42"/>
        <v>372.78143</v>
      </c>
      <c r="DB33" s="37">
        <f t="shared" ref="DB33:DD33" si="43">SUM(DB34,DB37,DB40,DB42,DB44,DB46)</f>
        <v>414.31280432000005</v>
      </c>
      <c r="DC33" s="37">
        <f t="shared" si="43"/>
        <v>335.60190847000001</v>
      </c>
      <c r="DD33" s="37">
        <f t="shared" si="43"/>
        <v>6.5660820299999987</v>
      </c>
      <c r="DE33" s="37">
        <f t="shared" ref="DE33:DG33" si="44">SUM(DE34,DE37,DE40,DE42,DE44,DE46)</f>
        <v>340.75000000000006</v>
      </c>
      <c r="DF33" s="37">
        <f t="shared" si="44"/>
        <v>76.11777201000001</v>
      </c>
      <c r="DG33" s="37">
        <f t="shared" si="44"/>
        <v>248.477</v>
      </c>
      <c r="DH33" s="37">
        <f t="shared" ref="DH33:DL33" si="45">SUM(DH34,DH37,DH40,DH42,DH44,DH46)</f>
        <v>5.3</v>
      </c>
      <c r="DI33" s="37">
        <f t="shared" si="45"/>
        <v>58.042999999999999</v>
      </c>
      <c r="DJ33" s="37">
        <f t="shared" si="45"/>
        <v>234.80300000000003</v>
      </c>
      <c r="DK33" s="37">
        <f t="shared" si="45"/>
        <v>9.6508000000000003</v>
      </c>
      <c r="DL33" s="37">
        <f t="shared" si="45"/>
        <v>1060.2719999999999</v>
      </c>
      <c r="DM33" s="37">
        <f t="shared" ref="DM33" si="46">SUM(DM34,DM37,DM40,DM42,DM44,DM46)</f>
        <v>798.6</v>
      </c>
      <c r="DN33" s="37">
        <f t="shared" ref="DN33:DO33" si="47">SUM(DN34,DN37,DN40,DN42,DN44,DN46)</f>
        <v>311.8</v>
      </c>
      <c r="DO33" s="37">
        <f t="shared" si="47"/>
        <v>166</v>
      </c>
      <c r="DP33" s="37">
        <f t="shared" ref="DP33:DR33" si="48">SUM(DP34,DP37,DP40,DP42,DP44,DP46)</f>
        <v>86.712866419999997</v>
      </c>
      <c r="DQ33" s="37">
        <f t="shared" si="48"/>
        <v>2.1272179099999997</v>
      </c>
      <c r="DR33" s="37">
        <f t="shared" si="48"/>
        <v>1828.4</v>
      </c>
      <c r="DS33" s="37">
        <f t="shared" ref="DS33" si="49">SUM(DS34,DS37,DS40,DS42,DS44,DS46)</f>
        <v>42.579000000000001</v>
      </c>
      <c r="DT33" s="37">
        <f t="shared" ref="DT33" si="50">SUM(DT34,DT37,DT40,DT42,DT44,DT46)</f>
        <v>3</v>
      </c>
      <c r="DU33" s="37">
        <f t="shared" ref="DU33" si="51">SUM(DU34,DU37,DU40,DU42,DU44,DU46)</f>
        <v>5.8369999999999997</v>
      </c>
      <c r="DV33" s="37">
        <f t="shared" ref="DV33" si="52">SUM(DV34,DV37,DV40,DV42,DV44,DV46)</f>
        <v>439.24599999999998</v>
      </c>
      <c r="DW33" s="37">
        <f t="shared" ref="DW33:EB33" si="53">SUM(DW34,DW37,DW40,DW42,DW44,DW46)</f>
        <v>322.12200000000001</v>
      </c>
      <c r="DX33" s="37">
        <f t="shared" si="53"/>
        <v>6.2629999999999999</v>
      </c>
      <c r="DY33" s="37">
        <f t="shared" si="53"/>
        <v>776.93999999999994</v>
      </c>
      <c r="DZ33" s="37">
        <f t="shared" si="53"/>
        <v>136.21818296000001</v>
      </c>
      <c r="EA33" s="37">
        <f t="shared" si="53"/>
        <v>36.07</v>
      </c>
      <c r="EB33" s="37">
        <f t="shared" si="53"/>
        <v>1707.3300000000002</v>
      </c>
      <c r="EC33" s="37">
        <f t="shared" ref="EC33:ED33" si="54">SUM(EC34,EC37,EC40,EC42,EC44,EC46)</f>
        <v>332.97299999999996</v>
      </c>
      <c r="ED33" s="37">
        <f t="shared" si="54"/>
        <v>14.248000000000001</v>
      </c>
      <c r="EE33" s="37">
        <f t="shared" ref="EE33" si="55">SUM(EE34,EE37,EE40,EE42,EE44,EE46)</f>
        <v>60.58984684</v>
      </c>
      <c r="EF33" s="37">
        <f>SUM(EF34,EF37,EF40,EF42,EF46)</f>
        <v>668.245</v>
      </c>
      <c r="EG33" s="37">
        <f t="shared" ref="EG33" si="56">SUM(EG34,EG37,EG40,EG42,EG44,EG46)</f>
        <v>0</v>
      </c>
      <c r="EH33" s="37">
        <f t="shared" ref="EH33:EJ33" si="57">SUM(EH34,EH37,EH40,EH42,EH44,EH46)</f>
        <v>6.3792219999999995</v>
      </c>
      <c r="EI33" s="37">
        <f t="shared" si="57"/>
        <v>74.317000000000007</v>
      </c>
      <c r="EJ33" s="37">
        <f t="shared" si="57"/>
        <v>549.42181000000005</v>
      </c>
      <c r="EK33" s="37">
        <f t="shared" ref="EK33:EL33" si="58">SUM(EK34,EK37,EK40,EK42,EK44,EK46)</f>
        <v>158250.29513000001</v>
      </c>
      <c r="EL33" s="37">
        <f t="shared" si="58"/>
        <v>39209</v>
      </c>
      <c r="EM33" s="37">
        <f t="shared" ref="EM33:EO33" si="59">SUM(EM34,EM37,EM40,EM42,EM44,EM46)</f>
        <v>659.37199999999996</v>
      </c>
      <c r="EN33" s="37">
        <f t="shared" si="59"/>
        <v>470.56766012000003</v>
      </c>
      <c r="EO33" s="37">
        <f t="shared" si="59"/>
        <v>88.233999999999995</v>
      </c>
      <c r="EP33" s="37">
        <f t="shared" ref="EP33:ER33" si="60">SUM(EP34,EP37,EP40,EP42,EP44,EP46)</f>
        <v>60.838000000000001</v>
      </c>
      <c r="EQ33" s="37">
        <f t="shared" si="60"/>
        <v>335.13799999999998</v>
      </c>
      <c r="ER33" s="37">
        <f t="shared" si="60"/>
        <v>374.2771403699997</v>
      </c>
      <c r="ES33" s="37">
        <f t="shared" ref="ES33" si="61">SUM(ES34,ES37,ES40,ES42,ES44,ES46)</f>
        <v>0</v>
      </c>
      <c r="ET33" s="37">
        <f t="shared" ref="ET33" si="62">SUM(ET34,ET37,ET40,ET42,ET44,ET46)</f>
        <v>889</v>
      </c>
      <c r="EU33" s="131">
        <f>EU34+EU37+EU40+EU42+EU46</f>
        <v>224.05045000000001</v>
      </c>
      <c r="EV33" s="37">
        <v>1329.05000092</v>
      </c>
      <c r="EW33" s="37">
        <f t="shared" ref="EW33" si="63">SUM(EW34,EW37,EW40,EW42,EW44,EW46)</f>
        <v>30.079000000000004</v>
      </c>
      <c r="EX33" s="37">
        <f t="shared" ref="EX33" si="64">SUM(EX34,EX37,EX40,EX42,EX44,EX46)</f>
        <v>1177.0461422600001</v>
      </c>
      <c r="EY33" s="37">
        <f t="shared" ref="EY33" si="65">SUM(EY34,EY37,EY40,EY42,EY44,EY46)</f>
        <v>72.599999999999994</v>
      </c>
      <c r="EZ33" s="37">
        <f t="shared" ref="EZ33" si="66">SUM(EZ34,EZ37,EZ40,EZ42,EZ44,EZ46)</f>
        <v>0</v>
      </c>
      <c r="FA33" s="37">
        <f t="shared" ref="FA33" si="67">SUM(FA34,FA37,FA40,FA42,FA44,FA46)</f>
        <v>778.57300000000009</v>
      </c>
    </row>
    <row r="34" spans="1:157" ht="145" customHeight="1" x14ac:dyDescent="0.2">
      <c r="A34" s="1205" t="s">
        <v>58</v>
      </c>
      <c r="B34" s="1206" t="s">
        <v>59</v>
      </c>
      <c r="C34" s="167" t="s">
        <v>60</v>
      </c>
      <c r="D34" s="168" t="s">
        <v>61</v>
      </c>
      <c r="E34" s="699" t="s">
        <v>57</v>
      </c>
      <c r="F34" s="37">
        <v>13.35</v>
      </c>
      <c r="G34" s="37">
        <v>2.6388500000000001</v>
      </c>
      <c r="H34" s="159">
        <v>1.7000000000000001E-2</v>
      </c>
      <c r="I34" s="37">
        <v>0.58559192000000004</v>
      </c>
      <c r="J34" s="37">
        <v>366.7368199</v>
      </c>
      <c r="K34" s="37">
        <v>31.233975000000001</v>
      </c>
      <c r="L34" s="37">
        <v>199.19200000000001</v>
      </c>
      <c r="M34" s="52">
        <v>30</v>
      </c>
      <c r="N34" s="37">
        <v>25.016999999999999</v>
      </c>
      <c r="O34" s="37">
        <v>224.024</v>
      </c>
      <c r="P34" s="37">
        <v>10</v>
      </c>
      <c r="Q34" s="37">
        <v>1000</v>
      </c>
      <c r="R34" s="37">
        <v>29.785</v>
      </c>
      <c r="S34" s="37">
        <v>475.53</v>
      </c>
      <c r="T34" s="37">
        <v>2125.627</v>
      </c>
      <c r="U34" s="37">
        <v>10.244</v>
      </c>
      <c r="V34" s="37">
        <v>38.618000000000002</v>
      </c>
      <c r="W34" s="37">
        <v>137.4</v>
      </c>
      <c r="X34" s="37">
        <v>70</v>
      </c>
      <c r="Y34" s="37">
        <v>227.7</v>
      </c>
      <c r="Z34" s="37">
        <v>52.982999999999997</v>
      </c>
      <c r="AA34" s="37">
        <v>83.7166</v>
      </c>
      <c r="AB34" s="37"/>
      <c r="AC34" s="37"/>
      <c r="AD34" s="37">
        <v>394.69400000000002</v>
      </c>
      <c r="AE34" s="159">
        <v>153.74100000000001</v>
      </c>
      <c r="AF34" s="37">
        <v>118.83</v>
      </c>
      <c r="AG34" s="37">
        <v>178.23</v>
      </c>
      <c r="AH34" s="68">
        <v>59.436</v>
      </c>
      <c r="AI34" s="37">
        <v>599.66800000000001</v>
      </c>
      <c r="AJ34" s="37">
        <v>8.5000000000000006E-2</v>
      </c>
      <c r="AK34" s="663"/>
      <c r="AL34" s="37">
        <v>3.85</v>
      </c>
      <c r="AM34" s="37">
        <v>11.207000000000001</v>
      </c>
      <c r="AN34" s="37">
        <v>0.14271633035850201</v>
      </c>
      <c r="AO34" s="37">
        <v>97.435299999999998</v>
      </c>
      <c r="AP34" s="663"/>
      <c r="AQ34" s="74">
        <v>850</v>
      </c>
      <c r="AR34" s="663"/>
      <c r="AS34" s="37">
        <v>15.802</v>
      </c>
      <c r="AT34" s="37">
        <v>282.79620233999998</v>
      </c>
      <c r="AU34" s="37">
        <v>594.39400000000001</v>
      </c>
      <c r="AV34" s="68">
        <v>13.734999999999999</v>
      </c>
      <c r="AW34" s="37">
        <v>208.37700000000001</v>
      </c>
      <c r="AX34" s="663"/>
      <c r="AY34" s="663"/>
      <c r="AZ34" s="37">
        <v>117.28</v>
      </c>
      <c r="BA34" s="37">
        <v>97.340999999999994</v>
      </c>
      <c r="BB34" s="37">
        <v>129.37700000000001</v>
      </c>
      <c r="BC34" s="37">
        <v>120.364</v>
      </c>
      <c r="BD34" s="37">
        <v>17.658000000000001</v>
      </c>
      <c r="BE34" s="37">
        <v>231.50200000000001</v>
      </c>
      <c r="BF34" s="37">
        <v>306891.11200000002</v>
      </c>
      <c r="BG34" s="37">
        <v>2.1999999999999999E-2</v>
      </c>
      <c r="BH34" s="52">
        <v>70</v>
      </c>
      <c r="BI34" s="37">
        <v>80</v>
      </c>
      <c r="BJ34" s="38">
        <v>1.8979999999999999</v>
      </c>
      <c r="BK34" s="37">
        <v>300</v>
      </c>
      <c r="BL34" s="37">
        <v>245.285</v>
      </c>
      <c r="BM34" s="37">
        <v>0.23024</v>
      </c>
      <c r="BN34" s="37">
        <v>27.945</v>
      </c>
      <c r="BO34" s="675">
        <v>4.657E-2</v>
      </c>
      <c r="BP34" s="37">
        <v>382.92599999999999</v>
      </c>
      <c r="BQ34" s="37">
        <v>52.3</v>
      </c>
      <c r="BR34" s="37">
        <v>207.631</v>
      </c>
      <c r="BS34" s="37">
        <v>249.56800000000001</v>
      </c>
      <c r="BT34" s="37">
        <v>56.912300000000002</v>
      </c>
      <c r="BU34" s="37">
        <f>8616438/1000000</f>
        <v>8.6164380000000005</v>
      </c>
      <c r="BV34" s="37">
        <v>3.5796999999999999</v>
      </c>
      <c r="BW34" s="37">
        <v>23.796850599999999</v>
      </c>
      <c r="BX34" s="37">
        <v>7.0493879999999995E-2</v>
      </c>
      <c r="BY34" s="663"/>
      <c r="BZ34" s="663"/>
      <c r="CA34" s="37">
        <v>493.995</v>
      </c>
      <c r="CB34" s="68">
        <v>41.701000000000001</v>
      </c>
      <c r="CC34" s="37">
        <v>22</v>
      </c>
      <c r="CD34" s="37">
        <v>729.96900000000005</v>
      </c>
      <c r="CE34" s="37">
        <v>326.62029131999998</v>
      </c>
      <c r="CF34" s="37">
        <v>27.018000000000001</v>
      </c>
      <c r="CG34" s="159">
        <v>18.292999999999999</v>
      </c>
      <c r="CH34" s="37">
        <v>14.965899</v>
      </c>
      <c r="CI34" s="37">
        <v>26.561</v>
      </c>
      <c r="CJ34" s="37">
        <v>35.588700000000003</v>
      </c>
      <c r="CK34" s="37">
        <v>22.776059</v>
      </c>
      <c r="CL34" s="37">
        <v>4.8</v>
      </c>
      <c r="CM34" s="116">
        <v>177.82</v>
      </c>
      <c r="CN34" s="37">
        <v>62.210999999999999</v>
      </c>
      <c r="CO34" s="37">
        <f>274.934-250</f>
        <v>24.934000000000026</v>
      </c>
      <c r="CP34" s="37">
        <v>250</v>
      </c>
      <c r="CQ34" s="37">
        <v>2.5000000000000001E-2</v>
      </c>
      <c r="CR34" s="131">
        <v>131.2106</v>
      </c>
      <c r="CS34" s="37">
        <v>1.78E-2</v>
      </c>
      <c r="CT34" s="37">
        <v>193.184</v>
      </c>
      <c r="CU34" s="35">
        <v>14.075053049999999</v>
      </c>
      <c r="CV34" s="663"/>
      <c r="CW34" s="37">
        <v>239.85445482</v>
      </c>
      <c r="CX34" s="700">
        <v>210.41</v>
      </c>
      <c r="CY34" s="37">
        <v>24.716999999999999</v>
      </c>
      <c r="CZ34" s="37">
        <v>39.994</v>
      </c>
      <c r="DA34" s="52">
        <v>277.5</v>
      </c>
      <c r="DB34" s="138">
        <v>261.46567191000003</v>
      </c>
      <c r="DC34" s="139">
        <v>29.11941856</v>
      </c>
      <c r="DD34" s="139">
        <v>1.9916927099999999</v>
      </c>
      <c r="DE34" s="37">
        <v>231.5</v>
      </c>
      <c r="DF34" s="37">
        <f>(5409274.42+11584624.66)/1000000</f>
        <v>16.993899079999998</v>
      </c>
      <c r="DG34" s="131">
        <v>248.477</v>
      </c>
      <c r="DH34" s="37">
        <v>5.3</v>
      </c>
      <c r="DI34" s="131">
        <v>58.042999999999999</v>
      </c>
      <c r="DJ34" s="701">
        <v>138.47300000000001</v>
      </c>
      <c r="DK34" s="702">
        <v>0.1128</v>
      </c>
      <c r="DL34" s="131">
        <v>13.867000000000001</v>
      </c>
      <c r="DM34" s="131">
        <v>500</v>
      </c>
      <c r="DN34" s="37">
        <v>308.7</v>
      </c>
      <c r="DO34" s="37">
        <v>156.4</v>
      </c>
      <c r="DP34" s="37">
        <v>37.212876139999999</v>
      </c>
      <c r="DQ34" s="139">
        <v>7.5768479999999999E-2</v>
      </c>
      <c r="DR34" s="38">
        <v>115.3</v>
      </c>
      <c r="DS34" s="37">
        <v>42.579000000000001</v>
      </c>
      <c r="DT34" s="37">
        <v>2.7</v>
      </c>
      <c r="DU34" s="37">
        <v>4.5</v>
      </c>
      <c r="DV34" s="37">
        <v>244.63</v>
      </c>
      <c r="DW34" s="37">
        <v>321.8</v>
      </c>
      <c r="DX34" s="37">
        <v>0.125</v>
      </c>
      <c r="DY34" s="52">
        <v>15.47</v>
      </c>
      <c r="DZ34" s="37">
        <v>4.6591705299999999</v>
      </c>
      <c r="EA34" s="37">
        <v>29</v>
      </c>
      <c r="EB34" s="37">
        <v>1352.0630000000001</v>
      </c>
      <c r="EC34" s="37">
        <v>192.86099999999999</v>
      </c>
      <c r="ED34" s="37">
        <v>9.2940000000000005</v>
      </c>
      <c r="EE34" s="37">
        <v>39.057578550000002</v>
      </c>
      <c r="EF34" s="37">
        <v>480.9</v>
      </c>
      <c r="EG34" s="663"/>
      <c r="EH34" s="703">
        <v>3.1776019999999998</v>
      </c>
      <c r="EI34" s="675">
        <v>68.459999999999994</v>
      </c>
      <c r="EJ34" s="675">
        <v>342.46699999999998</v>
      </c>
      <c r="EK34" s="37">
        <v>158176</v>
      </c>
      <c r="EL34" s="37">
        <v>31868</v>
      </c>
      <c r="EM34" s="675">
        <v>172.20699999999999</v>
      </c>
      <c r="EN34" s="156">
        <v>68.910603870000003</v>
      </c>
      <c r="EO34" s="37">
        <v>62.734999999999999</v>
      </c>
      <c r="EP34" s="37">
        <v>40.338000000000001</v>
      </c>
      <c r="EQ34" s="37">
        <v>200</v>
      </c>
      <c r="ER34" s="37">
        <v>10.3362402549887</v>
      </c>
      <c r="ES34" s="663"/>
      <c r="ET34" s="37">
        <v>438</v>
      </c>
      <c r="EU34" s="169">
        <v>218.16300000000001</v>
      </c>
      <c r="EV34" s="159">
        <v>1320.546</v>
      </c>
      <c r="EW34" s="37">
        <v>26.899000000000001</v>
      </c>
      <c r="EX34" s="37">
        <f>666.749+22.02</f>
        <v>688.76900000000001</v>
      </c>
      <c r="EY34" s="37">
        <v>50</v>
      </c>
      <c r="EZ34" s="663"/>
      <c r="FA34" s="37">
        <v>251.93600000000001</v>
      </c>
    </row>
    <row r="35" spans="1:157" ht="51" x14ac:dyDescent="0.2">
      <c r="A35" s="1205"/>
      <c r="B35" s="1206"/>
      <c r="C35" s="167" t="s">
        <v>62</v>
      </c>
      <c r="D35" s="168" t="s">
        <v>63</v>
      </c>
      <c r="E35" s="185" t="s">
        <v>64</v>
      </c>
      <c r="F35" s="34">
        <v>0.62360000000000004</v>
      </c>
      <c r="G35" s="34">
        <f>G34/G33</f>
        <v>0.59812776952978908</v>
      </c>
      <c r="H35" s="160">
        <v>4.8999999999999998E-3</v>
      </c>
      <c r="I35" s="34">
        <f>I34/I33</f>
        <v>9.4026293677744455E-3</v>
      </c>
      <c r="J35" s="34">
        <v>0.73250000000000004</v>
      </c>
      <c r="K35" s="34">
        <f>K34/K33</f>
        <v>0.87064517157698451</v>
      </c>
      <c r="L35" s="34">
        <v>0.85399999999999998</v>
      </c>
      <c r="M35" s="34">
        <f>M34/M33</f>
        <v>0.76962544894817853</v>
      </c>
      <c r="N35" s="34">
        <v>0.90380000000000005</v>
      </c>
      <c r="O35" s="34">
        <f>O34/O33</f>
        <v>0.87482378484764467</v>
      </c>
      <c r="P35" s="34">
        <f>P34/P33</f>
        <v>0.62574306989550088</v>
      </c>
      <c r="Q35" s="34">
        <f>Q34/Q33</f>
        <v>0.94339622641509435</v>
      </c>
      <c r="R35" s="34">
        <f>R34/R33</f>
        <v>0.71762438260450556</v>
      </c>
      <c r="S35" s="34">
        <f>S34/S33</f>
        <v>0.67366595006306529</v>
      </c>
      <c r="T35" s="34">
        <v>0.94272699999999998</v>
      </c>
      <c r="U35" s="37">
        <v>0.75</v>
      </c>
      <c r="V35" s="34">
        <v>0.75</v>
      </c>
      <c r="W35" s="34">
        <v>0.88400000000000001</v>
      </c>
      <c r="X35" s="34">
        <v>1</v>
      </c>
      <c r="Y35" s="34">
        <f>Y34/Y33</f>
        <v>0.26725352112676054</v>
      </c>
      <c r="Z35" s="34">
        <f>Z34/Z33</f>
        <v>0.64541788990266902</v>
      </c>
      <c r="AA35" s="34">
        <v>0.5</v>
      </c>
      <c r="AB35" s="34"/>
      <c r="AC35" s="34"/>
      <c r="AD35" s="34">
        <f>AD34/AD33</f>
        <v>0.69319718572065847</v>
      </c>
      <c r="AE35" s="160">
        <v>0.74350000000000005</v>
      </c>
      <c r="AF35" s="34">
        <f>AF34/AF33</f>
        <v>0.7121154917929633</v>
      </c>
      <c r="AG35" s="34">
        <f>AG34/AG33</f>
        <v>0.86848260403469457</v>
      </c>
      <c r="AH35" s="49" t="s">
        <v>915</v>
      </c>
      <c r="AI35" s="34">
        <v>0.69</v>
      </c>
      <c r="AJ35" s="34">
        <v>1.0000000000000001E-5</v>
      </c>
      <c r="AK35" s="663"/>
      <c r="AL35" s="34">
        <v>1</v>
      </c>
      <c r="AM35" s="34">
        <v>8.3999999999999995E-3</v>
      </c>
      <c r="AN35" s="34">
        <f>AN34/AN33</f>
        <v>1.5757388185593656E-2</v>
      </c>
      <c r="AO35" s="34">
        <v>0.78800000000000003</v>
      </c>
      <c r="AP35" s="663"/>
      <c r="AQ35" s="49">
        <v>0.89900000000000002</v>
      </c>
      <c r="AR35" s="663"/>
      <c r="AS35" s="34">
        <f>15.802/30.883</f>
        <v>0.51167308875433082</v>
      </c>
      <c r="AT35" s="34">
        <f>AT34/AT33</f>
        <v>0.43349495890379608</v>
      </c>
      <c r="AU35" s="34">
        <v>0.90159999999999996</v>
      </c>
      <c r="AV35" s="49">
        <f>AV34/AV33</f>
        <v>0.75165544792863781</v>
      </c>
      <c r="AW35" s="34">
        <v>0.72350000000000003</v>
      </c>
      <c r="AX35" s="663"/>
      <c r="AY35" s="663"/>
      <c r="AZ35" s="34">
        <f>AZ34/AZ33</f>
        <v>0.72345937943371796</v>
      </c>
      <c r="BA35" s="34">
        <f>BA34/BA33</f>
        <v>0.76732856681144912</v>
      </c>
      <c r="BB35" s="34">
        <f ca="1">BB34/BB33</f>
        <v>0.96894191306431809</v>
      </c>
      <c r="BC35" s="45">
        <f>BC34/BC33</f>
        <v>0.58028280373921892</v>
      </c>
      <c r="BD35" s="34">
        <v>0.52800000000000002</v>
      </c>
      <c r="BE35" s="34">
        <v>0.66190000000000004</v>
      </c>
      <c r="BF35" s="34">
        <v>0.78439999999999999</v>
      </c>
      <c r="BG35" s="34">
        <f>BG34/BG33</f>
        <v>3.2772975047252674E-3</v>
      </c>
      <c r="BH35" s="34">
        <v>0.5</v>
      </c>
      <c r="BI35" s="34">
        <f>BI34/BI33</f>
        <v>0.45351473922902491</v>
      </c>
      <c r="BJ35" s="34">
        <f>BJ34/BJ33</f>
        <v>7.3216834471318895E-3</v>
      </c>
      <c r="BK35" s="34">
        <v>1</v>
      </c>
      <c r="BL35" s="34">
        <v>0.81299999999999994</v>
      </c>
      <c r="BM35" s="34">
        <f>BM34/BM33</f>
        <v>0.48425463633221361</v>
      </c>
      <c r="BN35" s="34">
        <f>BN34/BN33</f>
        <v>9.3345403043704825E-2</v>
      </c>
      <c r="BO35" s="704">
        <v>1.4E-2</v>
      </c>
      <c r="BP35" s="34">
        <v>0.48799999999999999</v>
      </c>
      <c r="BQ35" s="34">
        <f>BQ34/BQ33</f>
        <v>0.71545827633378922</v>
      </c>
      <c r="BR35" s="34">
        <f>BR34/BR33</f>
        <v>0.79086376396469815</v>
      </c>
      <c r="BS35" s="34">
        <f>BS34/BS33</f>
        <v>0.79505575023892949</v>
      </c>
      <c r="BT35" s="44">
        <f>BT34/BT33*100</f>
        <v>85.549184295067306</v>
      </c>
      <c r="BU35" s="34">
        <v>0.90600000000000003</v>
      </c>
      <c r="BV35" s="34">
        <f>BV34/BV33</f>
        <v>1.8545122042828315E-2</v>
      </c>
      <c r="BW35" s="34">
        <v>0.71330000000000005</v>
      </c>
      <c r="BX35" s="34">
        <f>BX34/BX33</f>
        <v>1.3483956915916518E-2</v>
      </c>
      <c r="BY35" s="663"/>
      <c r="BZ35" s="663"/>
      <c r="CA35" s="34">
        <v>0.74950000000000006</v>
      </c>
      <c r="CB35" s="49">
        <v>0.45079999999999998</v>
      </c>
      <c r="CC35" s="34">
        <v>0.68669999999999998</v>
      </c>
      <c r="CD35" s="34">
        <v>0.67030000000000001</v>
      </c>
      <c r="CE35" s="34">
        <v>0.92334135247737004</v>
      </c>
      <c r="CF35" s="34">
        <v>0.65800000000000003</v>
      </c>
      <c r="CG35" s="160">
        <v>0.129</v>
      </c>
      <c r="CH35" s="34">
        <v>0.46129999999999999</v>
      </c>
      <c r="CI35" s="34">
        <v>0.62260000000000004</v>
      </c>
      <c r="CJ35" s="34">
        <v>0.62849999999999995</v>
      </c>
      <c r="CK35" s="34">
        <v>0.76061982367080005</v>
      </c>
      <c r="CL35" s="34">
        <v>2.4E-2</v>
      </c>
      <c r="CM35" s="113">
        <v>0.66210000000000002</v>
      </c>
      <c r="CN35" s="34">
        <f t="shared" ref="CN35:CU35" si="68">CN34/CN33</f>
        <v>0.62217221722172222</v>
      </c>
      <c r="CO35" s="34">
        <f t="shared" si="68"/>
        <v>4.2424678071035775E-2</v>
      </c>
      <c r="CP35" s="34">
        <f t="shared" si="68"/>
        <v>0.87324421388348061</v>
      </c>
      <c r="CQ35" s="34">
        <f t="shared" si="68"/>
        <v>1.2860082304526749E-2</v>
      </c>
      <c r="CR35" s="130">
        <f t="shared" si="68"/>
        <v>0.5685258820863387</v>
      </c>
      <c r="CS35" s="34">
        <f t="shared" si="68"/>
        <v>6.9927322726379883E-3</v>
      </c>
      <c r="CT35" s="34">
        <f t="shared" si="68"/>
        <v>0.32825115180065212</v>
      </c>
      <c r="CU35" s="34">
        <f t="shared" si="68"/>
        <v>0.62831916522852627</v>
      </c>
      <c r="CV35" s="663"/>
      <c r="CW35" s="34">
        <f>CW34/CW33</f>
        <v>0.71097074908229518</v>
      </c>
      <c r="CX35" s="705">
        <v>0.91090000000000004</v>
      </c>
      <c r="CY35" s="34">
        <v>0.79579999999999995</v>
      </c>
      <c r="CZ35" s="34">
        <v>0.83650000000000002</v>
      </c>
      <c r="DA35" s="34">
        <f>SUM(DA34/DA33)</f>
        <v>0.74440403321592497</v>
      </c>
      <c r="DB35" s="706">
        <v>0.71789999999999998</v>
      </c>
      <c r="DC35" s="34">
        <v>8.6800000000000002E-2</v>
      </c>
      <c r="DD35" s="34">
        <v>0.32650000000000001</v>
      </c>
      <c r="DE35" s="34">
        <f>DE34/$F$34</f>
        <v>17.340823970037455</v>
      </c>
      <c r="DF35" s="34">
        <f>(DF34/((59568308.21+16549463.8)/1000000))</f>
        <v>0.22325796763688008</v>
      </c>
      <c r="DG35" s="130">
        <v>1</v>
      </c>
      <c r="DH35" s="34">
        <v>1</v>
      </c>
      <c r="DI35" s="130">
        <v>1</v>
      </c>
      <c r="DJ35" s="707">
        <v>0.6825</v>
      </c>
      <c r="DK35" s="708">
        <v>1.1699999999999999E-2</v>
      </c>
      <c r="DL35" s="130">
        <v>1.307E-2</v>
      </c>
      <c r="DM35" s="130">
        <v>0.499</v>
      </c>
      <c r="DN35" s="34">
        <v>0.99</v>
      </c>
      <c r="DO35" s="34">
        <v>0.94199999999999995</v>
      </c>
      <c r="DP35" s="86">
        <f>DP34/DP33</f>
        <v>0.42915057103240895</v>
      </c>
      <c r="DQ35" s="86">
        <f>DQ34/DQ33</f>
        <v>3.5618579386631814E-2</v>
      </c>
      <c r="DR35" s="34">
        <f>DR34/DR33</f>
        <v>6.3060599431196671E-2</v>
      </c>
      <c r="DS35" s="34">
        <v>1</v>
      </c>
      <c r="DT35" s="34">
        <v>0.9</v>
      </c>
      <c r="DU35" s="34">
        <v>0.77090000000000003</v>
      </c>
      <c r="DV35" s="34">
        <f>DV34/DV33</f>
        <v>0.55693165105658338</v>
      </c>
      <c r="DW35" s="34">
        <v>0.999</v>
      </c>
      <c r="DX35" s="34">
        <v>0.02</v>
      </c>
      <c r="DY35" s="34">
        <v>0.02</v>
      </c>
      <c r="DZ35" s="34">
        <f>DZ34/DZ33</f>
        <v>3.4203734250134205E-2</v>
      </c>
      <c r="EA35" s="38">
        <v>80.400000000000006</v>
      </c>
      <c r="EB35" s="34">
        <v>0.79200000000000004</v>
      </c>
      <c r="EC35" s="34">
        <f>EC34/EC33</f>
        <v>0.57920912506419442</v>
      </c>
      <c r="ED35" s="34">
        <f>ED34/ED33</f>
        <v>0.65230207748455926</v>
      </c>
      <c r="EE35" s="34">
        <f>EE34/EE33</f>
        <v>0.64462250008882849</v>
      </c>
      <c r="EF35" s="34">
        <v>0.73</v>
      </c>
      <c r="EG35" s="663"/>
      <c r="EH35" s="709">
        <f>EH34/EH33</f>
        <v>0.49811748203777828</v>
      </c>
      <c r="EI35" s="704">
        <f>EI34/EI33</f>
        <v>0.92118896080304624</v>
      </c>
      <c r="EJ35" s="704">
        <f>EJ34/EJ33</f>
        <v>0.62332254338428972</v>
      </c>
      <c r="EK35" s="34">
        <v>0.68169999999999997</v>
      </c>
      <c r="EL35" s="34">
        <v>0.81269999999999998</v>
      </c>
      <c r="EM35" s="704">
        <v>0.25800000000000001</v>
      </c>
      <c r="EN35" s="49">
        <v>0.14644143597209172</v>
      </c>
      <c r="EO35" s="34">
        <v>0.77700000000000002</v>
      </c>
      <c r="EP35" s="34">
        <f>EP34/EP33</f>
        <v>0.66303954765113915</v>
      </c>
      <c r="EQ35" s="34">
        <v>0.59670000000000001</v>
      </c>
      <c r="ER35" s="34">
        <f>ER34/ER33</f>
        <v>2.7616541701613376E-2</v>
      </c>
      <c r="ES35" s="663"/>
      <c r="ET35" s="34">
        <f>ET34/ET33</f>
        <v>0.49268841394825647</v>
      </c>
      <c r="EU35" s="130">
        <f>EU34/EU33</f>
        <v>0.97372265933855517</v>
      </c>
      <c r="EV35" s="160">
        <v>0.99360144395311445</v>
      </c>
      <c r="EW35" s="34">
        <v>0.93700000000000006</v>
      </c>
      <c r="EX35" s="34">
        <f>EX34/EX33</f>
        <v>0.585167373878412</v>
      </c>
      <c r="EY35" s="34">
        <f>EY34/EY33*100%</f>
        <v>0.68870523415977969</v>
      </c>
      <c r="EZ35" s="663"/>
      <c r="FA35" s="34">
        <f>FA34/FA33</f>
        <v>0.32358686982466639</v>
      </c>
    </row>
    <row r="36" spans="1:157" ht="106" customHeight="1" x14ac:dyDescent="0.2">
      <c r="A36" s="1205"/>
      <c r="B36" s="1206"/>
      <c r="C36" s="167" t="s">
        <v>65</v>
      </c>
      <c r="D36" s="168" t="s">
        <v>66</v>
      </c>
      <c r="E36" s="185" t="s">
        <v>64</v>
      </c>
      <c r="F36" s="34">
        <v>2.9999999999999997E-4</v>
      </c>
      <c r="G36" s="39">
        <v>8.3895921384368496E-5</v>
      </c>
      <c r="H36" s="710">
        <v>9.9999999999999995E-7</v>
      </c>
      <c r="I36" s="39">
        <v>1.8630469719923001E-5</v>
      </c>
      <c r="J36" s="34">
        <v>2.0315699999999999E-3</v>
      </c>
      <c r="K36" s="34">
        <v>1.73E-4</v>
      </c>
      <c r="L36" s="34">
        <v>1.6999999999999999E-3</v>
      </c>
      <c r="M36" s="34">
        <f>M34/143409.8</f>
        <v>2.0919072476218502E-4</v>
      </c>
      <c r="N36" s="34">
        <v>2.9999999999999997E-4</v>
      </c>
      <c r="O36" s="34">
        <f>O34/295291.1</f>
        <v>7.5865476473893059E-4</v>
      </c>
      <c r="P36" s="39">
        <f>P34/295291.1</f>
        <v>3.3864887902141317E-5</v>
      </c>
      <c r="Q36" s="34">
        <f>Q34/295291.1</f>
        <v>3.3864887902141315E-3</v>
      </c>
      <c r="R36" s="34">
        <f>R34/295291.1</f>
        <v>1.0086656861652791E-4</v>
      </c>
      <c r="S36" s="34">
        <f>S34/295291.1</f>
        <v>1.6103770144105258E-3</v>
      </c>
      <c r="T36" s="34">
        <f>T34/169378.765</f>
        <v>1.2549548345095089E-2</v>
      </c>
      <c r="U36" s="37">
        <v>2.9999999999999997E-4</v>
      </c>
      <c r="V36" s="34">
        <v>2.9999999999999997E-4</v>
      </c>
      <c r="W36" s="34">
        <v>1.5E-3</v>
      </c>
      <c r="X36" s="34">
        <v>5.9999999999999995E-4</v>
      </c>
      <c r="Y36" s="34">
        <v>1.9E-3</v>
      </c>
      <c r="Z36" s="34">
        <v>6.9999999999999999E-4</v>
      </c>
      <c r="AA36" s="34">
        <v>6.9999999999999999E-4</v>
      </c>
      <c r="AB36" s="34"/>
      <c r="AC36" s="34"/>
      <c r="AD36" s="34">
        <f>AD34/123237.8</f>
        <v>3.2027024176023914E-3</v>
      </c>
      <c r="AE36" s="711">
        <v>7.8000000000000005E-7</v>
      </c>
      <c r="AF36" s="34">
        <f>AF34/147618.3</f>
        <v>8.0498149619660981E-4</v>
      </c>
      <c r="AG36" s="34">
        <v>9.7000000000000005E-4</v>
      </c>
      <c r="AH36" s="49" t="s">
        <v>656</v>
      </c>
      <c r="AI36" s="34"/>
      <c r="AJ36" s="34">
        <v>0</v>
      </c>
      <c r="AK36" s="663"/>
      <c r="AL36" s="34">
        <v>3.0000000000000001E-5</v>
      </c>
      <c r="AM36" s="34">
        <v>1E-4</v>
      </c>
      <c r="AN36" s="34">
        <v>1.0000000000000001E-5</v>
      </c>
      <c r="AO36" s="34">
        <v>1.5E-3</v>
      </c>
      <c r="AP36" s="663"/>
      <c r="AQ36" s="49">
        <v>3.0999999999999999E-3</v>
      </c>
      <c r="AR36" s="663"/>
      <c r="AS36" s="34">
        <f>15.802/117498</f>
        <v>1.3448739553013667E-4</v>
      </c>
      <c r="AT36" s="34">
        <f>AT34/117498</f>
        <v>2.4068171572282078E-3</v>
      </c>
      <c r="AU36" s="34">
        <f>AU34/117498</f>
        <v>5.0587584469522886E-3</v>
      </c>
      <c r="AV36" s="49">
        <f>AV34/24941.7</f>
        <v>5.5068419554400857E-4</v>
      </c>
      <c r="AW36" s="34">
        <v>2.2000000000000001E-3</v>
      </c>
      <c r="AX36" s="663"/>
      <c r="AY36" s="663"/>
      <c r="AZ36" s="34">
        <v>1.4E-3</v>
      </c>
      <c r="BA36" s="34">
        <v>1.1999999999999999E-3</v>
      </c>
      <c r="BB36" s="34">
        <v>1.6000000000000001E-3</v>
      </c>
      <c r="BC36" s="86">
        <f>BC33/283185.552</f>
        <v>7.3246321549624816E-4</v>
      </c>
      <c r="BD36" s="34">
        <v>2.0000000000000001E-4</v>
      </c>
      <c r="BE36" s="34">
        <v>2.3999999999999998E-3</v>
      </c>
      <c r="BF36" s="34">
        <v>2.3999999999999998E-3</v>
      </c>
      <c r="BG36" s="34">
        <f>BG34/52366.57</f>
        <v>4.2011535221802761E-7</v>
      </c>
      <c r="BH36" s="34">
        <f>BH34/52366.57</f>
        <v>1.3367306661482697E-3</v>
      </c>
      <c r="BI36" s="34">
        <f>BI34/52366.57</f>
        <v>1.527692189883737E-3</v>
      </c>
      <c r="BJ36" s="39">
        <f>BJ34/52366.57</f>
        <v>3.6244497204991657E-5</v>
      </c>
      <c r="BK36" s="34">
        <v>6.9999999999999999E-4</v>
      </c>
      <c r="BL36" s="34">
        <f>BL34/376231.567</f>
        <v>6.5195220580733463E-4</v>
      </c>
      <c r="BM36" s="34">
        <f>BM34/28.222</f>
        <v>8.1581744738147537E-3</v>
      </c>
      <c r="BN36" s="34">
        <f>BN34/28.222</f>
        <v>0.99018496208631557</v>
      </c>
      <c r="BO36" s="712">
        <f>BO34/28.222</f>
        <v>1.6501311033945149E-3</v>
      </c>
      <c r="BP36" s="34">
        <v>3.5999999999999999E-3</v>
      </c>
      <c r="BQ36" s="34">
        <v>2.009267988711218E-4</v>
      </c>
      <c r="BR36" s="34">
        <f>BR34/196774</f>
        <v>1.0551749723032515E-3</v>
      </c>
      <c r="BS36" s="34">
        <f>BS34/196774</f>
        <v>1.2682976409484994E-3</v>
      </c>
      <c r="BT36" s="105">
        <f>BT34/106844.277*100</f>
        <v>5.3266587222074613E-2</v>
      </c>
      <c r="BU36" s="34">
        <v>0.47299999999999998</v>
      </c>
      <c r="BV36" s="34">
        <f>3.5797/52631.00457579</f>
        <v>6.8015042252236315E-5</v>
      </c>
      <c r="BW36" s="34">
        <f>23.7968506/5263100.457579%</f>
        <v>4.521450956865534E-4</v>
      </c>
      <c r="BX36" s="34">
        <f>3.52469388/51226.69601658</f>
        <v>6.8805801546506146E-5</v>
      </c>
      <c r="BY36" s="663"/>
      <c r="BZ36" s="663"/>
      <c r="CA36" s="34">
        <v>5.0000000000000001E-4</v>
      </c>
      <c r="CB36" s="49">
        <v>2.9999999999999997E-4</v>
      </c>
      <c r="CC36" s="34">
        <v>6.9999999999999999E-4</v>
      </c>
      <c r="CD36" s="34">
        <v>2.3999999999999998E-3</v>
      </c>
      <c r="CE36" s="34">
        <v>5.6669275559999999E-3</v>
      </c>
      <c r="CF36" s="34">
        <v>5.0000000000000001E-4</v>
      </c>
      <c r="CG36" s="160"/>
      <c r="CH36" s="34">
        <v>2.5900000000000001E-4</v>
      </c>
      <c r="CI36" s="34">
        <v>4.6000000000000001E-4</v>
      </c>
      <c r="CJ36" s="34">
        <v>6.0999999999999997E-4</v>
      </c>
      <c r="CK36" s="34">
        <v>3.9516851999999998E-4</v>
      </c>
      <c r="CL36" s="34">
        <v>1E-4</v>
      </c>
      <c r="CM36" s="113">
        <v>5.9999999999999995E-4</v>
      </c>
      <c r="CN36" s="34">
        <v>4.4000000000000002E-4</v>
      </c>
      <c r="CO36" s="34">
        <f>CO34/142317.57</f>
        <v>1.7519973113650004E-4</v>
      </c>
      <c r="CP36" s="34">
        <f>CP34/142317.57</f>
        <v>1.7566348273090947E-3</v>
      </c>
      <c r="CQ36" s="122">
        <v>1.7599999999999999E-7</v>
      </c>
      <c r="CR36" s="130">
        <f>CR34/139092.642</f>
        <v>9.4333243019425865E-4</v>
      </c>
      <c r="CS36" s="34">
        <f>CS34/52709.8468</f>
        <v>3.3769781322908342E-7</v>
      </c>
      <c r="CT36" s="34">
        <f>CT34/52709.8468</f>
        <v>3.6650457500475983E-3</v>
      </c>
      <c r="CU36" s="34">
        <f>CU34/52709.8468</f>
        <v>2.6702891213867085E-4</v>
      </c>
      <c r="CV36" s="663"/>
      <c r="CW36" s="34">
        <f>CW34/176879.055</f>
        <v>1.356036500873436E-3</v>
      </c>
      <c r="CX36" s="705">
        <f>210.41/200939.32</f>
        <v>1.047132039662521E-3</v>
      </c>
      <c r="CY36" s="34">
        <v>4.2999999999999999E-4</v>
      </c>
      <c r="CZ36" s="34">
        <v>6.9999999999999999E-4</v>
      </c>
      <c r="DA36" s="69">
        <v>1.2999999999999999E-3</v>
      </c>
      <c r="DB36" s="34">
        <v>2.8838725899999998E-3</v>
      </c>
      <c r="DC36" s="34">
        <v>3.7000000000000002E-3</v>
      </c>
      <c r="DD36" s="34">
        <v>2.2000000000000001E-4</v>
      </c>
      <c r="DE36" s="34">
        <f>DE34/333467.979</f>
        <v>6.9421957902590702E-4</v>
      </c>
      <c r="DF36" s="39">
        <f>DF34/322607.16</f>
        <v>5.2676757329254567E-5</v>
      </c>
      <c r="DG36" s="143">
        <v>2.3800000000000001E-4</v>
      </c>
      <c r="DH36" s="144">
        <v>5.0804728626114041E-4</v>
      </c>
      <c r="DI36" s="143">
        <v>5.5999999999999999E-5</v>
      </c>
      <c r="DJ36" s="707">
        <v>8.0000000000000004E-4</v>
      </c>
      <c r="DK36" s="708">
        <v>0</v>
      </c>
      <c r="DL36" s="130">
        <v>8.0000000000000007E-5</v>
      </c>
      <c r="DM36" s="130">
        <v>1.6000000000000001E-3</v>
      </c>
      <c r="DN36" s="34">
        <v>1.5E-3</v>
      </c>
      <c r="DO36" s="34">
        <v>8.0000000000000004E-4</v>
      </c>
      <c r="DP36" s="34">
        <f>DP34/386364.9198</f>
        <v>9.6315359477415989E-5</v>
      </c>
      <c r="DQ36" s="149">
        <f>DQ34/386364.9198</f>
        <v>1.9610600268580597E-7</v>
      </c>
      <c r="DR36" s="34">
        <f>DR34/386364.9198</f>
        <v>2.984225381012451E-4</v>
      </c>
      <c r="DS36" s="34">
        <v>5.0000000000000001E-4</v>
      </c>
      <c r="DT36" s="152">
        <f>DT34/29601.3*100</f>
        <v>9.1212210274548757E-3</v>
      </c>
      <c r="DU36" s="34">
        <v>6.9999999999999994E-5</v>
      </c>
      <c r="DV36" s="34">
        <f>DV34/179007.82582</f>
        <v>1.366588297910427E-3</v>
      </c>
      <c r="DW36" s="34">
        <v>4.7000000000000002E-3</v>
      </c>
      <c r="DX36" s="34">
        <v>0</v>
      </c>
      <c r="DY36" s="34">
        <v>2.0000000000000001E-4</v>
      </c>
      <c r="DZ36" s="34">
        <v>1E-4</v>
      </c>
      <c r="EA36" s="52">
        <v>0.04</v>
      </c>
      <c r="EB36" s="34">
        <v>2.8999999999999998E-3</v>
      </c>
      <c r="EC36" s="34">
        <f>EC34/104467.2</f>
        <v>1.8461392666789193E-3</v>
      </c>
      <c r="ED36" s="34">
        <f>ED33/104467.2</f>
        <v>1.3638730625497764E-4</v>
      </c>
      <c r="EE36" s="34">
        <f>EE34/ 93339.6199</f>
        <v>4.1844587102287951E-4</v>
      </c>
      <c r="EF36" s="34">
        <v>3.8999999999999998E-3</v>
      </c>
      <c r="EG36" s="663"/>
      <c r="EH36" s="713">
        <f>EH34/293924</f>
        <v>1.0810964739184278E-5</v>
      </c>
      <c r="EI36" s="704">
        <f>EI34/293924</f>
        <v>2.3291735278507366E-4</v>
      </c>
      <c r="EJ36" s="704">
        <f>EJ34/293924</f>
        <v>1.1651549380111866E-3</v>
      </c>
      <c r="EK36" s="34">
        <v>0.15</v>
      </c>
      <c r="EL36" s="34">
        <v>2.9999999999999997E-4</v>
      </c>
      <c r="EM36" s="704"/>
      <c r="EN36" s="49">
        <v>0.14644143597209172</v>
      </c>
      <c r="EO36" s="34">
        <v>6.7999999999999996E-3</v>
      </c>
      <c r="EP36" s="34" t="s">
        <v>656</v>
      </c>
      <c r="EQ36" s="34">
        <v>1.56E-3</v>
      </c>
      <c r="ER36" s="34"/>
      <c r="ES36" s="663"/>
      <c r="ET36" s="34">
        <v>2.7000000000000001E-3</v>
      </c>
      <c r="EU36" s="714">
        <v>0.13</v>
      </c>
      <c r="EV36" s="160">
        <v>4.5999999999999999E-3</v>
      </c>
      <c r="EW36" s="34" t="s">
        <v>745</v>
      </c>
      <c r="EX36" s="34">
        <f>EX34/80427.6716108</f>
        <v>8.5638311566825307E-3</v>
      </c>
      <c r="EY36" s="34">
        <v>1.1999999999999999E-3</v>
      </c>
      <c r="EZ36" s="663"/>
      <c r="FA36" s="34">
        <v>2.3999999999999998E-3</v>
      </c>
    </row>
    <row r="37" spans="1:157" ht="172" customHeight="1" x14ac:dyDescent="0.2">
      <c r="A37" s="1205" t="s">
        <v>67</v>
      </c>
      <c r="B37" s="1206" t="s">
        <v>68</v>
      </c>
      <c r="C37" s="167" t="s">
        <v>69</v>
      </c>
      <c r="D37" s="168" t="s">
        <v>70</v>
      </c>
      <c r="E37" s="699" t="s">
        <v>57</v>
      </c>
      <c r="F37" s="37">
        <v>5.39</v>
      </c>
      <c r="G37" s="37">
        <v>0.755</v>
      </c>
      <c r="H37" s="159">
        <v>1.1879999999999999</v>
      </c>
      <c r="I37" s="37">
        <v>0.59099999999999997</v>
      </c>
      <c r="J37" s="37">
        <v>80.900163259999999</v>
      </c>
      <c r="K37" s="37">
        <v>0.38018099999999999</v>
      </c>
      <c r="L37" s="37">
        <v>26.111999999999998</v>
      </c>
      <c r="M37" s="37">
        <v>5.3419999999999996</v>
      </c>
      <c r="N37" s="37">
        <v>1.7290000000000001</v>
      </c>
      <c r="O37" s="37">
        <v>29.824000000000002</v>
      </c>
      <c r="P37" s="715">
        <v>1.111</v>
      </c>
      <c r="Q37" s="37">
        <v>50</v>
      </c>
      <c r="R37" s="37">
        <v>3.8559999999999999</v>
      </c>
      <c r="S37" s="37">
        <v>108.833055</v>
      </c>
      <c r="T37" s="37">
        <v>111.875</v>
      </c>
      <c r="U37" s="37">
        <v>3.3940000000000001</v>
      </c>
      <c r="V37" s="37">
        <v>12.811999999999999</v>
      </c>
      <c r="W37" s="37">
        <v>10.1</v>
      </c>
      <c r="X37" s="37">
        <v>0</v>
      </c>
      <c r="Y37" s="37">
        <v>52.2</v>
      </c>
      <c r="Z37" s="37">
        <v>3.032</v>
      </c>
      <c r="AA37" s="37"/>
      <c r="AB37" s="37"/>
      <c r="AC37" s="37"/>
      <c r="AD37" s="37">
        <v>117.854</v>
      </c>
      <c r="AE37" s="159">
        <v>37.878999999999998</v>
      </c>
      <c r="AF37" s="37">
        <v>19.649999999999999</v>
      </c>
      <c r="AG37" s="37">
        <v>23.07</v>
      </c>
      <c r="AH37" s="68">
        <v>4.97</v>
      </c>
      <c r="AI37" s="37">
        <v>102.474</v>
      </c>
      <c r="AJ37" s="37">
        <v>2.5369999999999999</v>
      </c>
      <c r="AK37" s="663"/>
      <c r="AL37" s="37">
        <v>0</v>
      </c>
      <c r="AM37" s="37">
        <v>23.686</v>
      </c>
      <c r="AN37" s="37">
        <v>1.5833893699999999</v>
      </c>
      <c r="AO37" s="37">
        <v>18.633099999999999</v>
      </c>
      <c r="AP37" s="663"/>
      <c r="AQ37" s="74">
        <v>96</v>
      </c>
      <c r="AR37" s="663"/>
      <c r="AS37" s="37">
        <v>12.695</v>
      </c>
      <c r="AT37" s="37">
        <v>80.209949710000004</v>
      </c>
      <c r="AU37" s="37">
        <v>64.89</v>
      </c>
      <c r="AV37" s="68">
        <v>2.4020000000000001</v>
      </c>
      <c r="AW37" s="37">
        <v>63.497999999999998</v>
      </c>
      <c r="AX37" s="663"/>
      <c r="AY37" s="663"/>
      <c r="AZ37" s="37">
        <v>33.597999999999999</v>
      </c>
      <c r="BA37" s="37">
        <v>4.7720000000000002</v>
      </c>
      <c r="BB37" s="37">
        <f ca="1">BB33-BB34</f>
        <v>4.1469999999999914</v>
      </c>
      <c r="BC37" s="37">
        <v>66.650999999999996</v>
      </c>
      <c r="BD37" s="37">
        <v>15.782999999999999</v>
      </c>
      <c r="BE37" s="37">
        <v>55.689</v>
      </c>
      <c r="BF37" s="37">
        <v>59209.79</v>
      </c>
      <c r="BG37" s="37">
        <v>4.0825480000000001</v>
      </c>
      <c r="BH37" s="52">
        <v>70</v>
      </c>
      <c r="BI37" s="37">
        <v>74</v>
      </c>
      <c r="BJ37" s="38">
        <v>66.86</v>
      </c>
      <c r="BK37" s="37"/>
      <c r="BL37" s="37">
        <v>23.337</v>
      </c>
      <c r="BM37" s="37" t="s">
        <v>656</v>
      </c>
      <c r="BN37" s="37">
        <v>27.867000000000001</v>
      </c>
      <c r="BO37" s="675">
        <v>0.495</v>
      </c>
      <c r="BP37" s="37">
        <v>367.125</v>
      </c>
      <c r="BQ37" s="37">
        <v>8.6</v>
      </c>
      <c r="BR37" s="37">
        <f>54.906-BR40-BR42</f>
        <v>54.713999999999999</v>
      </c>
      <c r="BS37" s="37">
        <f>64.332-BS40-BS42</f>
        <v>64.152000000000001</v>
      </c>
      <c r="BT37" s="37">
        <v>5.6494501799999997</v>
      </c>
      <c r="BU37" s="37">
        <f>753544/1000000</f>
        <v>0.75354399999999999</v>
      </c>
      <c r="BV37" s="37">
        <v>12.944699999999999</v>
      </c>
      <c r="BW37" s="37">
        <v>5.2129339999999997</v>
      </c>
      <c r="BX37" s="37">
        <v>1.3305</v>
      </c>
      <c r="BY37" s="663"/>
      <c r="BZ37" s="663"/>
      <c r="CA37" s="37">
        <v>154.14147</v>
      </c>
      <c r="CB37" s="68">
        <v>31.45</v>
      </c>
      <c r="CC37" s="37">
        <v>7.9779999999999998</v>
      </c>
      <c r="CD37" s="37">
        <v>337.59</v>
      </c>
      <c r="CE37" s="37">
        <v>27.116608370000002</v>
      </c>
      <c r="CF37" s="37">
        <v>8.6</v>
      </c>
      <c r="CG37" s="159">
        <v>7.3</v>
      </c>
      <c r="CH37" s="37">
        <v>17.476065999999999</v>
      </c>
      <c r="CI37" s="37">
        <v>10.52224</v>
      </c>
      <c r="CJ37" s="37">
        <v>12.42105389</v>
      </c>
      <c r="CK37" s="37">
        <v>7.1680979999999996</v>
      </c>
      <c r="CL37" s="37">
        <v>40</v>
      </c>
      <c r="CM37" s="116">
        <v>62.9</v>
      </c>
      <c r="CN37" s="37">
        <v>16.835000000000001</v>
      </c>
      <c r="CO37" s="37">
        <f>68.35146477</f>
        <v>68.351464770000007</v>
      </c>
      <c r="CP37" s="37">
        <v>33.445999999999998</v>
      </c>
      <c r="CQ37" s="37">
        <v>0.60599999999999998</v>
      </c>
      <c r="CR37" s="131">
        <v>60.366700000000002</v>
      </c>
      <c r="CS37" s="37">
        <v>1.8800000000000001E-2</v>
      </c>
      <c r="CT37" s="37">
        <v>15.718815656262599</v>
      </c>
      <c r="CU37" s="37">
        <v>4.3534829999999998</v>
      </c>
      <c r="CV37" s="663"/>
      <c r="CW37" s="37">
        <v>29.30302343</v>
      </c>
      <c r="CX37" s="700">
        <v>20.591999999999999</v>
      </c>
      <c r="CY37" s="37">
        <v>5.3789999999999996</v>
      </c>
      <c r="CZ37" s="37">
        <v>7.8159999999999998</v>
      </c>
      <c r="DA37" s="52">
        <v>57.277799999999999</v>
      </c>
      <c r="DB37" s="138">
        <v>52.632916549999997</v>
      </c>
      <c r="DC37" s="139">
        <v>21.321289910000001</v>
      </c>
      <c r="DD37" s="139">
        <v>1.2500783499999999</v>
      </c>
      <c r="DE37" s="37">
        <v>59.3</v>
      </c>
      <c r="DF37" s="37">
        <f>(627010.67+165494.64)/1000000</f>
        <v>0.79250531000000002</v>
      </c>
      <c r="DG37" s="131" t="s">
        <v>470</v>
      </c>
      <c r="DH37" s="37">
        <v>0</v>
      </c>
      <c r="DI37" s="714">
        <v>0</v>
      </c>
      <c r="DJ37" s="701">
        <v>32.484999999999999</v>
      </c>
      <c r="DK37" s="702">
        <v>2.875</v>
      </c>
      <c r="DL37" s="131">
        <v>0</v>
      </c>
      <c r="DM37" s="131">
        <v>216</v>
      </c>
      <c r="DN37" s="37">
        <v>3.1</v>
      </c>
      <c r="DO37" s="37">
        <v>5.4</v>
      </c>
      <c r="DP37" s="37">
        <v>29.618244099999998</v>
      </c>
      <c r="DQ37" s="139">
        <v>0.71501232999999997</v>
      </c>
      <c r="DR37" s="38">
        <v>148.5</v>
      </c>
      <c r="DS37" s="37" t="s">
        <v>656</v>
      </c>
      <c r="DT37" s="37">
        <v>0.2</v>
      </c>
      <c r="DU37" s="37">
        <v>1.337</v>
      </c>
      <c r="DV37" s="37">
        <v>133.98500000000001</v>
      </c>
      <c r="DW37" s="37">
        <v>0.32200000000000001</v>
      </c>
      <c r="DX37" s="37">
        <v>6.0000000000000001E-3</v>
      </c>
      <c r="DY37" s="52">
        <v>3.08</v>
      </c>
      <c r="DZ37" s="37">
        <v>0.13211147000000001</v>
      </c>
      <c r="EA37" s="37">
        <v>3.07</v>
      </c>
      <c r="EB37" s="37"/>
      <c r="EC37" s="37">
        <v>72.203000000000003</v>
      </c>
      <c r="ED37" s="37">
        <v>3.2770000000000001</v>
      </c>
      <c r="EE37" s="37">
        <v>12.92584564</v>
      </c>
      <c r="EF37" s="37">
        <v>129.63999999999999</v>
      </c>
      <c r="EG37" s="663"/>
      <c r="EH37" s="703">
        <v>1.48315</v>
      </c>
      <c r="EI37" s="675">
        <v>4.1849999999999996</v>
      </c>
      <c r="EJ37" s="675">
        <v>4.7632099999999999</v>
      </c>
      <c r="EK37" s="37">
        <v>26.306999999999999</v>
      </c>
      <c r="EL37" s="37">
        <v>7341</v>
      </c>
      <c r="EM37" s="675">
        <v>6.5140000000000002</v>
      </c>
      <c r="EN37" s="68">
        <v>20.332756249999999</v>
      </c>
      <c r="EO37" s="37">
        <v>9.9570000000000007</v>
      </c>
      <c r="EP37" s="37">
        <v>7.0410000000000004</v>
      </c>
      <c r="EQ37" s="37">
        <v>22.029</v>
      </c>
      <c r="ER37" s="37">
        <v>29.73744756</v>
      </c>
      <c r="ES37" s="663"/>
      <c r="ET37" s="37">
        <v>88</v>
      </c>
      <c r="EU37" s="37">
        <f>[1]Югорск!HU27+[1]Радужный!HU28+[1]Ханты!HU28+[1]Октяб!HU28+[1]Урай!HU28+[1]Совет!HU28+[1]Лангепас!HU28+'[1]НЮг рн'!HU28+[1]Березово!HU28+[1]Сургут!HU28+[1]НВарт!HU28+[1]Когалым!HU28+[1]Конда!HU28+[1]НЮГ!HU28+'[1]Сур рн'!HU28+[1]Белояр!HU28+'[1]Нижневар рн'!HU28+[1]Когалым!HU28+[1]Конда!HU28+[1]НЮГ!HU28+'[1]Сур рн'!HU28+[1]Белояр!HU28+'[1]Нижневар рн'!HU28+'[1]ХМ рн'!HU28</f>
        <v>0</v>
      </c>
      <c r="EV37" s="159">
        <v>1.321</v>
      </c>
      <c r="EW37" s="37">
        <v>0.498</v>
      </c>
      <c r="EX37" s="37">
        <f>187.5964+31.327</f>
        <v>218.92339999999999</v>
      </c>
      <c r="EY37" s="37">
        <v>22.5</v>
      </c>
      <c r="EZ37" s="663"/>
      <c r="FA37" s="37">
        <v>73.364999999999995</v>
      </c>
    </row>
    <row r="38" spans="1:157" ht="51" x14ac:dyDescent="0.2">
      <c r="A38" s="1205"/>
      <c r="B38" s="1206"/>
      <c r="C38" s="167" t="s">
        <v>71</v>
      </c>
      <c r="D38" s="168" t="s">
        <v>63</v>
      </c>
      <c r="E38" s="185" t="s">
        <v>64</v>
      </c>
      <c r="F38" s="34">
        <v>0.25169999999999998</v>
      </c>
      <c r="G38" s="34">
        <f>G37/G33</f>
        <v>0.17113002481952014</v>
      </c>
      <c r="H38" s="160">
        <v>0.34870000000000001</v>
      </c>
      <c r="I38" s="34">
        <f>I37/I33</f>
        <v>9.489464875735815E-3</v>
      </c>
      <c r="J38" s="34">
        <v>0.16159999999999999</v>
      </c>
      <c r="K38" s="34">
        <f>K37/K33</f>
        <v>1.0597522472733923E-2</v>
      </c>
      <c r="L38" s="34">
        <v>0.1119</v>
      </c>
      <c r="M38" s="86">
        <f>M37/M33</f>
        <v>0.13704463827603897</v>
      </c>
      <c r="N38" s="34">
        <v>6.25E-2</v>
      </c>
      <c r="O38" s="34">
        <f>O37/O33</f>
        <v>0.11646405991900938</v>
      </c>
      <c r="P38" s="34">
        <f>P37/P33</f>
        <v>6.9520055065390149E-2</v>
      </c>
      <c r="Q38" s="34">
        <f>Q37/Q33</f>
        <v>4.716981132075472E-2</v>
      </c>
      <c r="R38" s="34">
        <f>R37/R33</f>
        <v>9.2904469341043253E-2</v>
      </c>
      <c r="S38" s="34">
        <f>S37/S33</f>
        <v>0.15417980652081015</v>
      </c>
      <c r="T38" s="34">
        <v>5.7227E-2</v>
      </c>
      <c r="U38" s="37">
        <v>0.25</v>
      </c>
      <c r="V38" s="34">
        <v>0.25</v>
      </c>
      <c r="W38" s="34">
        <v>6.5000000000000002E-2</v>
      </c>
      <c r="X38" s="34">
        <v>0</v>
      </c>
      <c r="Y38" s="34">
        <f>Y37/Y33</f>
        <v>6.1267605633802819E-2</v>
      </c>
      <c r="Z38" s="34">
        <f>Z37/Z33</f>
        <v>3.6934621334860099E-2</v>
      </c>
      <c r="AA38" s="34"/>
      <c r="AB38" s="34"/>
      <c r="AC38" s="34"/>
      <c r="AD38" s="34">
        <f>AD37/AD33</f>
        <v>0.20698581971330318</v>
      </c>
      <c r="AE38" s="160">
        <v>0.1832</v>
      </c>
      <c r="AF38" s="34">
        <f>AF37/AF33</f>
        <v>0.11775704294985886</v>
      </c>
      <c r="AG38" s="34">
        <f>AG37/AG33</f>
        <v>0.11241594386512038</v>
      </c>
      <c r="AH38" s="49">
        <v>7.0000000000000007E-2</v>
      </c>
      <c r="AI38" s="34">
        <v>0.12</v>
      </c>
      <c r="AJ38" s="34">
        <v>0.1948</v>
      </c>
      <c r="AK38" s="663"/>
      <c r="AL38" s="34">
        <v>3.0000000000000001E-6</v>
      </c>
      <c r="AM38" s="34">
        <v>1.78E-2</v>
      </c>
      <c r="AN38" s="34">
        <f>AN37/AN33</f>
        <v>0.1748228873973863</v>
      </c>
      <c r="AO38" s="34">
        <v>0.151</v>
      </c>
      <c r="AP38" s="663"/>
      <c r="AQ38" s="49">
        <v>0.10100000000000001</v>
      </c>
      <c r="AR38" s="663"/>
      <c r="AS38" s="34">
        <f>12.695/30.883</f>
        <v>0.41106757763170676</v>
      </c>
      <c r="AT38" s="34">
        <f>AT37/AT33</f>
        <v>0.12295288467632258</v>
      </c>
      <c r="AU38" s="34">
        <v>9.8400000000000001E-2</v>
      </c>
      <c r="AV38" s="49">
        <f>AV37/AV33</f>
        <v>0.13145077436655175</v>
      </c>
      <c r="AW38" s="34">
        <v>0.22045999999999999</v>
      </c>
      <c r="AX38" s="663"/>
      <c r="AY38" s="663"/>
      <c r="AZ38" s="34">
        <f>AZ37/AZ33</f>
        <v>0.20725433347726854</v>
      </c>
      <c r="BA38" s="34">
        <f>BA37/BA33</f>
        <v>3.7617159478783198E-2</v>
      </c>
      <c r="BB38" s="34">
        <f ca="1">BB37/BB33</f>
        <v>3.1058086935681909E-2</v>
      </c>
      <c r="BC38" s="45">
        <f>BC37/BC33</f>
        <v>0.32132887866822868</v>
      </c>
      <c r="BD38" s="34">
        <v>0.47199999999999998</v>
      </c>
      <c r="BE38" s="34">
        <v>0.15920000000000001</v>
      </c>
      <c r="BF38" s="34">
        <v>0.15129999999999999</v>
      </c>
      <c r="BG38" s="34">
        <f>BG37/BG33</f>
        <v>0.60816928969641504</v>
      </c>
      <c r="BH38" s="34">
        <v>0.5</v>
      </c>
      <c r="BI38" s="34">
        <f>BI37/BI33</f>
        <v>0.41950113378684806</v>
      </c>
      <c r="BJ38" s="34">
        <f>BJ37/BJ33</f>
        <v>0.25791767928094739</v>
      </c>
      <c r="BK38" s="34"/>
      <c r="BL38" s="34">
        <v>7.6999999999999999E-2</v>
      </c>
      <c r="BM38" s="34" t="s">
        <v>656</v>
      </c>
      <c r="BN38" s="34">
        <f>BN37/BN33</f>
        <v>9.3084857635316598E-2</v>
      </c>
      <c r="BO38" s="704">
        <v>0.15</v>
      </c>
      <c r="BP38" s="34">
        <v>0.46789999999999998</v>
      </c>
      <c r="BQ38" s="34">
        <f>BQ37/BQ33</f>
        <v>0.1176470588235294</v>
      </c>
      <c r="BR38" s="34">
        <f>BR37/BR33</f>
        <v>0.20840491054594207</v>
      </c>
      <c r="BS38" s="34">
        <f>BS37/BS33</f>
        <v>0.20437081873208027</v>
      </c>
      <c r="BT38" s="44">
        <f>BT37/BT33*100</f>
        <v>8.4921160208710802</v>
      </c>
      <c r="BU38" s="34">
        <v>7.9299999999999995E-2</v>
      </c>
      <c r="BV38" s="34">
        <f>BV37/BV33</f>
        <v>6.7061776491828845E-2</v>
      </c>
      <c r="BW38" s="34">
        <v>0.15620000000000001</v>
      </c>
      <c r="BX38" s="34">
        <f>BX37/BX33</f>
        <v>0.25449591761195339</v>
      </c>
      <c r="BY38" s="663"/>
      <c r="BZ38" s="663"/>
      <c r="CA38" s="34">
        <v>0.23380000000000001</v>
      </c>
      <c r="CB38" s="49">
        <v>0.34</v>
      </c>
      <c r="CC38" s="34">
        <v>0.249</v>
      </c>
      <c r="CD38" s="34">
        <v>0.31</v>
      </c>
      <c r="CE38" s="34">
        <v>7.6658647526199997E-2</v>
      </c>
      <c r="CF38" s="34">
        <v>0.20899999999999999</v>
      </c>
      <c r="CG38" s="160">
        <v>5.1999999999999998E-2</v>
      </c>
      <c r="CH38" s="34">
        <v>0.53869999999999996</v>
      </c>
      <c r="CI38" s="34">
        <v>0.2467</v>
      </c>
      <c r="CJ38" s="34">
        <v>0.21937000000000001</v>
      </c>
      <c r="CK38" s="34">
        <v>0.2393801763291</v>
      </c>
      <c r="CL38" s="34">
        <v>0.2</v>
      </c>
      <c r="CM38" s="113">
        <v>0.23419999999999999</v>
      </c>
      <c r="CN38" s="34">
        <f t="shared" ref="CN38:CU38" si="69">CN37/CN33</f>
        <v>0.16836683668366842</v>
      </c>
      <c r="CO38" s="34">
        <f t="shared" si="69"/>
        <v>0.11629858380328029</v>
      </c>
      <c r="CP38" s="34">
        <f t="shared" si="69"/>
        <v>0.11682610391018756</v>
      </c>
      <c r="CQ38" s="34">
        <f t="shared" si="69"/>
        <v>0.31172839506172839</v>
      </c>
      <c r="CR38" s="130">
        <f t="shared" si="69"/>
        <v>0.2615644724293722</v>
      </c>
      <c r="CS38" s="34">
        <f t="shared" si="69"/>
        <v>7.3855824003142799E-3</v>
      </c>
      <c r="CT38" s="34">
        <f t="shared" si="69"/>
        <v>2.6708833775624906E-2</v>
      </c>
      <c r="CU38" s="34">
        <f t="shared" si="69"/>
        <v>0.19434220209895267</v>
      </c>
      <c r="CV38" s="663"/>
      <c r="CW38" s="34">
        <f>CW37/CW33</f>
        <v>8.6859310301481876E-2</v>
      </c>
      <c r="CX38" s="705">
        <v>8.9099999999999999E-2</v>
      </c>
      <c r="CY38" s="34">
        <v>0.16800000000000001</v>
      </c>
      <c r="CZ38" s="34">
        <v>0.16339999999999999</v>
      </c>
      <c r="DA38" s="34">
        <f>SUM(DA37/DA33)</f>
        <v>0.15364982102246885</v>
      </c>
      <c r="DB38" s="34">
        <v>0.14449999999999999</v>
      </c>
      <c r="DC38" s="34">
        <v>6.2700000000000006E-2</v>
      </c>
      <c r="DD38" s="34">
        <v>0.2051</v>
      </c>
      <c r="DE38" s="34">
        <f>DE37/$F$34</f>
        <v>4.4419475655430709</v>
      </c>
      <c r="DF38" s="34">
        <f>DF37/((59568308.21+16549463.8)/1000000)</f>
        <v>1.0411567352442794E-2</v>
      </c>
      <c r="DG38" s="130"/>
      <c r="DH38" s="34"/>
      <c r="DI38" s="130"/>
      <c r="DJ38" s="707">
        <v>0.16010000000000002</v>
      </c>
      <c r="DK38" s="708">
        <v>0.2979</v>
      </c>
      <c r="DL38" s="130"/>
      <c r="DM38" s="130">
        <v>0.216</v>
      </c>
      <c r="DN38" s="34">
        <v>0.01</v>
      </c>
      <c r="DO38" s="34">
        <v>3.2500000000000001E-2</v>
      </c>
      <c r="DP38" s="86">
        <f>DP37/DP33</f>
        <v>0.3415668899300584</v>
      </c>
      <c r="DQ38" s="86">
        <f>DQ37/DQ33</f>
        <v>0.33612556881866423</v>
      </c>
      <c r="DR38" s="34">
        <f>DR37/DR33</f>
        <v>8.1218551739225542E-2</v>
      </c>
      <c r="DS38" s="34" t="s">
        <v>656</v>
      </c>
      <c r="DT38" s="152">
        <v>6.6699999999999995E-2</v>
      </c>
      <c r="DU38" s="34">
        <v>0.2291</v>
      </c>
      <c r="DV38" s="34">
        <f>DV37/DV33</f>
        <v>0.30503408112993635</v>
      </c>
      <c r="DW38" s="34">
        <v>1E-3</v>
      </c>
      <c r="DX38" s="34">
        <v>1E-3</v>
      </c>
      <c r="DY38" s="34">
        <v>4.0000000000000001E-3</v>
      </c>
      <c r="DZ38" s="34">
        <f>DZ37/DZ33</f>
        <v>9.6985194728954854E-4</v>
      </c>
      <c r="EA38" s="38">
        <v>8.5</v>
      </c>
      <c r="EB38" s="34"/>
      <c r="EC38" s="34">
        <f>EC37/EC33</f>
        <v>0.21684340772374941</v>
      </c>
      <c r="ED38" s="34">
        <f>ED37/ED33</f>
        <v>0.22999719258843346</v>
      </c>
      <c r="EE38" s="34">
        <f>EE37/EE33</f>
        <v>0.21333352556796131</v>
      </c>
      <c r="EF38" s="34">
        <v>0.19</v>
      </c>
      <c r="EG38" s="663"/>
      <c r="EH38" s="709">
        <f>EH37/EH33</f>
        <v>0.23249700355309788</v>
      </c>
      <c r="EI38" s="704">
        <f>EI37/EI33</f>
        <v>5.631282209992329E-2</v>
      </c>
      <c r="EJ38" s="704">
        <f>EJ37/EJ33</f>
        <v>8.669495664906348E-3</v>
      </c>
      <c r="EK38" s="34">
        <v>0.1134</v>
      </c>
      <c r="EL38" s="34">
        <v>0.18729999999999999</v>
      </c>
      <c r="EM38" s="704">
        <v>9.7999999999999997E-3</v>
      </c>
      <c r="EN38" s="49">
        <v>4.3208996225569174E-2</v>
      </c>
      <c r="EO38" s="34">
        <v>0.1242</v>
      </c>
      <c r="EP38" s="34">
        <f>EP37/EP33</f>
        <v>0.11573358756040633</v>
      </c>
      <c r="EQ38" s="34">
        <v>0.1101</v>
      </c>
      <c r="ER38" s="34">
        <f>ER37/ER33</f>
        <v>7.9453015833674506E-2</v>
      </c>
      <c r="ES38" s="663"/>
      <c r="ET38" s="34">
        <f>ET37/ET33</f>
        <v>9.8987626546681667E-2</v>
      </c>
      <c r="EU38" s="34">
        <f>EU37/EU33</f>
        <v>0</v>
      </c>
      <c r="EV38" s="160">
        <v>9.9394304133446619E-4</v>
      </c>
      <c r="EW38" s="34">
        <v>1.7000000000000001E-2</v>
      </c>
      <c r="EX38" s="34">
        <f>EX37/EX33</f>
        <v>0.18599389789397189</v>
      </c>
      <c r="EY38" s="34">
        <f>EY37/EY33*100%</f>
        <v>0.30991735537190085</v>
      </c>
      <c r="EZ38" s="663"/>
      <c r="FA38" s="34">
        <f>FA37/FA33</f>
        <v>9.4230085040195311E-2</v>
      </c>
    </row>
    <row r="39" spans="1:157" s="77" customFormat="1" ht="37" customHeight="1" x14ac:dyDescent="0.2">
      <c r="A39" s="696"/>
      <c r="B39" s="716"/>
      <c r="C39" s="25"/>
      <c r="D39" s="27"/>
      <c r="E39" s="697"/>
      <c r="F39" s="34"/>
      <c r="G39" s="34"/>
      <c r="H39" s="160"/>
      <c r="I39" s="34"/>
      <c r="J39" s="34"/>
      <c r="K39" s="34"/>
      <c r="L39" s="34"/>
      <c r="M39" s="86"/>
      <c r="N39" s="34"/>
      <c r="O39" s="34"/>
      <c r="P39" s="34"/>
      <c r="Q39" s="34"/>
      <c r="R39" s="34"/>
      <c r="S39" s="34"/>
      <c r="T39" s="34"/>
      <c r="U39" s="37"/>
      <c r="V39" s="34"/>
      <c r="W39" s="34"/>
      <c r="X39" s="34"/>
      <c r="Y39" s="34"/>
      <c r="Z39" s="34"/>
      <c r="AA39" s="34"/>
      <c r="AB39" s="34"/>
      <c r="AC39" s="34"/>
      <c r="AD39" s="34"/>
      <c r="AE39" s="160"/>
      <c r="AF39" s="34"/>
      <c r="AG39" s="34"/>
      <c r="AH39" s="49"/>
      <c r="AI39" s="34"/>
      <c r="AJ39" s="34"/>
      <c r="AK39" s="663"/>
      <c r="AL39" s="34"/>
      <c r="AM39" s="34"/>
      <c r="AN39" s="34"/>
      <c r="AO39" s="34"/>
      <c r="AP39" s="663"/>
      <c r="AQ39" s="49"/>
      <c r="AR39" s="663"/>
      <c r="AS39" s="34"/>
      <c r="AT39" s="34"/>
      <c r="AU39" s="34"/>
      <c r="AV39" s="49"/>
      <c r="AW39" s="34"/>
      <c r="AX39" s="663"/>
      <c r="AY39" s="663"/>
      <c r="AZ39" s="34"/>
      <c r="BA39" s="34"/>
      <c r="BB39" s="34"/>
      <c r="BC39" s="45"/>
      <c r="BD39" s="34"/>
      <c r="BE39" s="34"/>
      <c r="BF39" s="34"/>
      <c r="BG39" s="34"/>
      <c r="BH39" s="34"/>
      <c r="BI39" s="34"/>
      <c r="BJ39" s="34"/>
      <c r="BK39" s="34"/>
      <c r="BL39" s="34"/>
      <c r="BM39" s="34"/>
      <c r="BN39" s="34"/>
      <c r="BO39" s="704"/>
      <c r="BP39" s="34"/>
      <c r="BQ39" s="34"/>
      <c r="BR39" s="34"/>
      <c r="BS39" s="34"/>
      <c r="BT39" s="44"/>
      <c r="BU39" s="34"/>
      <c r="BV39" s="34"/>
      <c r="BW39" s="34"/>
      <c r="BX39" s="34"/>
      <c r="BY39" s="663"/>
      <c r="BZ39" s="663"/>
      <c r="CA39" s="34"/>
      <c r="CB39" s="49"/>
      <c r="CC39" s="34"/>
      <c r="CD39" s="34"/>
      <c r="CE39" s="34"/>
      <c r="CF39" s="34"/>
      <c r="CG39" s="160"/>
      <c r="CH39" s="34"/>
      <c r="CI39" s="34"/>
      <c r="CJ39" s="34"/>
      <c r="CK39" s="34"/>
      <c r="CL39" s="34"/>
      <c r="CM39" s="113"/>
      <c r="CN39" s="34"/>
      <c r="CO39" s="34"/>
      <c r="CP39" s="34"/>
      <c r="CQ39" s="34"/>
      <c r="CR39" s="130"/>
      <c r="CS39" s="34"/>
      <c r="CT39" s="34"/>
      <c r="CU39" s="34"/>
      <c r="CV39" s="663"/>
      <c r="CW39" s="34"/>
      <c r="CX39" s="705"/>
      <c r="CY39" s="34"/>
      <c r="CZ39" s="34"/>
      <c r="DA39" s="34"/>
      <c r="DB39" s="34"/>
      <c r="DC39" s="34"/>
      <c r="DD39" s="34"/>
      <c r="DE39" s="34"/>
      <c r="DF39" s="34"/>
      <c r="DG39" s="130"/>
      <c r="DH39" s="34"/>
      <c r="DI39" s="130"/>
      <c r="DJ39" s="707"/>
      <c r="DK39" s="708"/>
      <c r="DL39" s="130"/>
      <c r="DM39" s="130"/>
      <c r="DN39" s="34"/>
      <c r="DO39" s="34"/>
      <c r="DP39" s="86"/>
      <c r="DQ39" s="86"/>
      <c r="DR39" s="34"/>
      <c r="DS39" s="34"/>
      <c r="DT39" s="152"/>
      <c r="DU39" s="34"/>
      <c r="DV39" s="34"/>
      <c r="DW39" s="34"/>
      <c r="DX39" s="34"/>
      <c r="DY39" s="34"/>
      <c r="DZ39" s="34"/>
      <c r="EA39" s="38"/>
      <c r="EB39" s="34"/>
      <c r="EC39" s="34"/>
      <c r="ED39" s="34"/>
      <c r="EE39" s="34"/>
      <c r="EF39" s="34"/>
      <c r="EG39" s="663"/>
      <c r="EH39" s="709"/>
      <c r="EI39" s="704"/>
      <c r="EJ39" s="704"/>
      <c r="EK39" s="34"/>
      <c r="EL39" s="34"/>
      <c r="EM39" s="704"/>
      <c r="EN39" s="49"/>
      <c r="EO39" s="34"/>
      <c r="EP39" s="34"/>
      <c r="EQ39" s="34"/>
      <c r="ER39" s="34"/>
      <c r="ES39" s="663"/>
      <c r="ET39" s="34"/>
      <c r="EU39" s="34"/>
      <c r="EV39" s="160"/>
      <c r="EW39" s="34"/>
      <c r="EX39" s="34"/>
      <c r="EY39" s="34"/>
      <c r="EZ39" s="663"/>
      <c r="FA39" s="34"/>
    </row>
    <row r="40" spans="1:157" ht="146" customHeight="1" x14ac:dyDescent="0.2">
      <c r="A40" s="1205" t="s">
        <v>72</v>
      </c>
      <c r="B40" s="1206" t="s">
        <v>73</v>
      </c>
      <c r="C40" s="167" t="s">
        <v>74</v>
      </c>
      <c r="D40" s="168" t="s">
        <v>75</v>
      </c>
      <c r="E40" s="699" t="s">
        <v>57</v>
      </c>
      <c r="F40" s="37">
        <v>1.702</v>
      </c>
      <c r="G40" s="37">
        <v>0.39300000000000002</v>
      </c>
      <c r="H40" s="159">
        <v>0</v>
      </c>
      <c r="I40" s="37">
        <v>3.129</v>
      </c>
      <c r="J40" s="37">
        <v>30.943431</v>
      </c>
      <c r="K40" s="37">
        <v>0.64426700000000003</v>
      </c>
      <c r="L40" s="37">
        <v>2.7930000000000001</v>
      </c>
      <c r="M40" s="37">
        <v>1.1180000000000001</v>
      </c>
      <c r="N40" s="37">
        <v>0.38200000000000001</v>
      </c>
      <c r="O40" s="37">
        <v>2.2309999999999999</v>
      </c>
      <c r="P40" s="37">
        <v>0</v>
      </c>
      <c r="Q40" s="37">
        <v>10</v>
      </c>
      <c r="R40" s="37">
        <v>0</v>
      </c>
      <c r="S40" s="37">
        <v>59.087975999999998</v>
      </c>
      <c r="T40" s="37" t="s">
        <v>656</v>
      </c>
      <c r="U40" s="37">
        <v>0</v>
      </c>
      <c r="V40" s="37">
        <v>0</v>
      </c>
      <c r="W40" s="37">
        <v>7.9</v>
      </c>
      <c r="X40" s="37">
        <v>0</v>
      </c>
      <c r="Y40" s="37">
        <f>8.2+4.7</f>
        <v>12.899999999999999</v>
      </c>
      <c r="Z40" s="37">
        <v>8.0649999999999995</v>
      </c>
      <c r="AA40" s="37">
        <v>65.025999999999996</v>
      </c>
      <c r="AB40" s="37"/>
      <c r="AC40" s="37"/>
      <c r="AD40" s="37">
        <v>33.671999999999997</v>
      </c>
      <c r="AE40" s="159">
        <v>7.8209999999999997</v>
      </c>
      <c r="AF40" s="37">
        <v>16.059999999999999</v>
      </c>
      <c r="AG40" s="37" t="s">
        <v>824</v>
      </c>
      <c r="AH40" s="68">
        <v>6.681</v>
      </c>
      <c r="AI40" s="37">
        <v>166.173</v>
      </c>
      <c r="AJ40" s="37"/>
      <c r="AK40" s="663"/>
      <c r="AL40" s="37">
        <v>0</v>
      </c>
      <c r="AM40" s="37">
        <v>0</v>
      </c>
      <c r="AN40" s="37">
        <v>0.1525</v>
      </c>
      <c r="AO40" s="37">
        <v>3.4973000000000001</v>
      </c>
      <c r="AP40" s="663"/>
      <c r="AQ40" s="74">
        <v>0</v>
      </c>
      <c r="AR40" s="663"/>
      <c r="AS40" s="37">
        <v>0.219</v>
      </c>
      <c r="AT40" s="37">
        <v>15.044748909999999</v>
      </c>
      <c r="AU40" s="37">
        <v>0</v>
      </c>
      <c r="AV40" s="68">
        <v>0</v>
      </c>
      <c r="AW40" s="37">
        <v>13.364000000000001</v>
      </c>
      <c r="AX40" s="663"/>
      <c r="AY40" s="663"/>
      <c r="AZ40" s="37" t="s">
        <v>1741</v>
      </c>
      <c r="BA40" s="37">
        <v>8.0570000000000004</v>
      </c>
      <c r="BB40" s="717" t="s">
        <v>656</v>
      </c>
      <c r="BC40" s="37">
        <v>0</v>
      </c>
      <c r="BD40" s="37" t="s">
        <v>1812</v>
      </c>
      <c r="BE40" s="37">
        <v>40.235999999999997</v>
      </c>
      <c r="BF40" s="37">
        <v>4408.7209999999995</v>
      </c>
      <c r="BG40" s="37">
        <v>0.3649</v>
      </c>
      <c r="BH40" s="37" t="s">
        <v>656</v>
      </c>
      <c r="BI40" s="37">
        <v>22.4</v>
      </c>
      <c r="BJ40" s="38">
        <v>0.308</v>
      </c>
      <c r="BK40" s="37"/>
      <c r="BL40" s="37">
        <v>12.521000000000001</v>
      </c>
      <c r="BM40" s="37" t="s">
        <v>656</v>
      </c>
      <c r="BN40" s="37">
        <v>0</v>
      </c>
      <c r="BO40" s="675">
        <v>0.185</v>
      </c>
      <c r="BP40" s="37">
        <v>30.898</v>
      </c>
      <c r="BQ40" s="37">
        <v>2.9</v>
      </c>
      <c r="BR40" s="37">
        <v>0.04</v>
      </c>
      <c r="BS40" s="37">
        <v>0.02</v>
      </c>
      <c r="BT40" s="37">
        <v>3.9640740800000001</v>
      </c>
      <c r="BU40" s="37">
        <f>138834/1000000</f>
        <v>0.13883400000000001</v>
      </c>
      <c r="BV40" s="37">
        <v>1.0992</v>
      </c>
      <c r="BW40" s="37">
        <v>4.3529499999999999</v>
      </c>
      <c r="BX40" s="37">
        <v>0.22173582</v>
      </c>
      <c r="BY40" s="663"/>
      <c r="BZ40" s="663"/>
      <c r="CA40" s="37">
        <v>10.984030000000001</v>
      </c>
      <c r="CB40" s="68">
        <v>8.7219999999999995</v>
      </c>
      <c r="CC40" s="37">
        <v>0.59899999999999998</v>
      </c>
      <c r="CD40" s="44"/>
      <c r="CE40" s="37">
        <v>0</v>
      </c>
      <c r="CF40" s="37">
        <v>3.7</v>
      </c>
      <c r="CG40" s="159">
        <v>0</v>
      </c>
      <c r="CH40" s="37" t="s">
        <v>656</v>
      </c>
      <c r="CI40" s="37">
        <v>2.8298459999999999</v>
      </c>
      <c r="CJ40" s="37">
        <v>3.8826981699999998</v>
      </c>
      <c r="CK40" s="37">
        <v>0</v>
      </c>
      <c r="CL40" s="37">
        <v>0</v>
      </c>
      <c r="CM40" s="116">
        <v>18.25</v>
      </c>
      <c r="CN40" s="37">
        <v>3.2669999999999999</v>
      </c>
      <c r="CO40" s="37">
        <v>0</v>
      </c>
      <c r="CP40" s="37">
        <v>2.84275637</v>
      </c>
      <c r="CQ40" s="37">
        <v>4.0000000000000001E-3</v>
      </c>
      <c r="CR40" s="131"/>
      <c r="CS40" s="37">
        <v>0</v>
      </c>
      <c r="CT40" s="37">
        <v>7.5999999999999998E-2</v>
      </c>
      <c r="CU40" s="37"/>
      <c r="CV40" s="663"/>
      <c r="CW40" s="37">
        <v>33.8402897</v>
      </c>
      <c r="CX40" s="718">
        <v>0</v>
      </c>
      <c r="CY40" s="37" t="s">
        <v>1447</v>
      </c>
      <c r="CZ40" s="37" t="s">
        <v>1447</v>
      </c>
      <c r="DA40" s="52">
        <v>21.649719999999999</v>
      </c>
      <c r="DB40" s="138">
        <v>32.804215859999999</v>
      </c>
      <c r="DC40" s="37">
        <v>0</v>
      </c>
      <c r="DD40" s="139">
        <v>0.26260132000000003</v>
      </c>
      <c r="DE40" s="37">
        <v>23.85</v>
      </c>
      <c r="DF40" s="37"/>
      <c r="DG40" s="131" t="s">
        <v>470</v>
      </c>
      <c r="DH40" s="37">
        <v>0</v>
      </c>
      <c r="DI40" s="714">
        <v>0</v>
      </c>
      <c r="DJ40" s="701">
        <v>10.332000000000001</v>
      </c>
      <c r="DK40" s="702"/>
      <c r="DL40" s="131">
        <v>0</v>
      </c>
      <c r="DM40" s="131">
        <v>30.9</v>
      </c>
      <c r="DN40" s="37">
        <v>0</v>
      </c>
      <c r="DO40" s="37">
        <v>0</v>
      </c>
      <c r="DP40" s="37">
        <v>4.42274134</v>
      </c>
      <c r="DQ40" s="144">
        <v>3.04E-2</v>
      </c>
      <c r="DR40" s="38">
        <v>32.4</v>
      </c>
      <c r="DS40" s="37" t="s">
        <v>656</v>
      </c>
      <c r="DT40" s="37">
        <v>0.03</v>
      </c>
      <c r="DU40" s="37">
        <v>0</v>
      </c>
      <c r="DV40" s="37" t="s">
        <v>656</v>
      </c>
      <c r="DW40" s="36">
        <v>0</v>
      </c>
      <c r="DX40" s="37"/>
      <c r="DY40" s="37">
        <v>0.09</v>
      </c>
      <c r="DZ40" s="37"/>
      <c r="EA40" s="719">
        <v>4</v>
      </c>
      <c r="EB40" s="37">
        <v>355.267</v>
      </c>
      <c r="EC40" s="37">
        <v>22.141999999999999</v>
      </c>
      <c r="ED40" s="37" t="s">
        <v>656</v>
      </c>
      <c r="EE40" s="37">
        <v>0</v>
      </c>
      <c r="EF40" s="37">
        <v>57.704999999999998</v>
      </c>
      <c r="EG40" s="663"/>
      <c r="EH40" s="703">
        <v>0.56089999999999995</v>
      </c>
      <c r="EI40" s="675">
        <v>6.3E-2</v>
      </c>
      <c r="EJ40" s="675">
        <v>0</v>
      </c>
      <c r="EK40" s="37">
        <v>23.934000000000001</v>
      </c>
      <c r="EL40" s="37"/>
      <c r="EM40" s="675">
        <v>5.1719999999999997</v>
      </c>
      <c r="EN40" s="68" t="s">
        <v>2234</v>
      </c>
      <c r="EO40" s="37">
        <v>4.3239999999999998</v>
      </c>
      <c r="EP40" s="37">
        <v>4.3630000000000004</v>
      </c>
      <c r="EQ40" s="37">
        <v>113.10899999999999</v>
      </c>
      <c r="ER40" s="37">
        <v>0</v>
      </c>
      <c r="ES40" s="663"/>
      <c r="ET40" s="37">
        <v>3</v>
      </c>
      <c r="EU40" s="37">
        <v>3.0894500000000003</v>
      </c>
      <c r="EV40" s="159">
        <v>5.2910000000000004</v>
      </c>
      <c r="EW40" s="37">
        <v>1.0960000000000001</v>
      </c>
      <c r="EX40" s="37">
        <f>115.807+4.897</f>
        <v>120.70400000000001</v>
      </c>
      <c r="EY40" s="37">
        <v>0.08</v>
      </c>
      <c r="EZ40" s="663"/>
      <c r="FA40" s="37">
        <v>7.7779999999999996</v>
      </c>
    </row>
    <row r="41" spans="1:157" ht="70" customHeight="1" x14ac:dyDescent="0.2">
      <c r="A41" s="1205"/>
      <c r="B41" s="1206"/>
      <c r="C41" s="167" t="s">
        <v>76</v>
      </c>
      <c r="D41" s="168" t="s">
        <v>63</v>
      </c>
      <c r="E41" s="185" t="s">
        <v>64</v>
      </c>
      <c r="F41" s="34">
        <v>7.9500000000000001E-2</v>
      </c>
      <c r="G41" s="34">
        <f>G40/$F$34</f>
        <v>2.9438202247191014E-2</v>
      </c>
      <c r="H41" s="160">
        <v>0</v>
      </c>
      <c r="I41" s="34">
        <f>I40/$F$34</f>
        <v>0.23438202247191012</v>
      </c>
      <c r="J41" s="34">
        <v>6.1800000000000001E-2</v>
      </c>
      <c r="K41" s="34">
        <f>K40/K33</f>
        <v>1.7958903814080312E-2</v>
      </c>
      <c r="L41" s="34">
        <v>1.2E-2</v>
      </c>
      <c r="M41" s="34">
        <f>M40/M33</f>
        <v>2.8681375064135452E-2</v>
      </c>
      <c r="N41" s="34">
        <v>1.38E-2</v>
      </c>
      <c r="O41" s="34">
        <f>O40/O33</f>
        <v>8.7121552333459581E-3</v>
      </c>
      <c r="P41" s="34">
        <v>0</v>
      </c>
      <c r="Q41" s="34">
        <f>Q40/Q33</f>
        <v>9.433962264150943E-3</v>
      </c>
      <c r="R41" s="34">
        <v>0</v>
      </c>
      <c r="S41" s="34">
        <f>S40/S33</f>
        <v>8.3707773409340311E-2</v>
      </c>
      <c r="T41" s="34">
        <v>0</v>
      </c>
      <c r="U41" s="34">
        <v>0</v>
      </c>
      <c r="V41" s="34">
        <v>0</v>
      </c>
      <c r="W41" s="34">
        <v>5.0999999999999997E-2</v>
      </c>
      <c r="X41" s="34">
        <v>0</v>
      </c>
      <c r="Y41" s="34">
        <f>Y40/Y33</f>
        <v>1.5140845070422534E-2</v>
      </c>
      <c r="Z41" s="34">
        <f>Z40/Z33</f>
        <v>9.8244630958326737E-2</v>
      </c>
      <c r="AA41" s="34">
        <v>0.38800000000000001</v>
      </c>
      <c r="AB41" s="34"/>
      <c r="AC41" s="34"/>
      <c r="AD41" s="34">
        <f>AD40/AD33</f>
        <v>5.9137802037999079E-2</v>
      </c>
      <c r="AE41" s="160">
        <v>3.78E-2</v>
      </c>
      <c r="AF41" s="34">
        <f>AF40/AF33</f>
        <v>9.6243160802785416E-2</v>
      </c>
      <c r="AG41" s="34">
        <v>0</v>
      </c>
      <c r="AH41" s="49">
        <v>9.3899999999999997E-2</v>
      </c>
      <c r="AI41" s="34">
        <v>0.19</v>
      </c>
      <c r="AJ41" s="34"/>
      <c r="AK41" s="663"/>
      <c r="AL41" s="34"/>
      <c r="AM41" s="34">
        <f>AM40/AM33</f>
        <v>0</v>
      </c>
      <c r="AN41" s="34">
        <f>AN40/AN33</f>
        <v>1.6837608508197457E-2</v>
      </c>
      <c r="AO41" s="34">
        <v>2.8000000000000001E-2</v>
      </c>
      <c r="AP41" s="663"/>
      <c r="AQ41" s="49"/>
      <c r="AR41" s="663"/>
      <c r="AS41" s="34">
        <f>AS40/30.883</f>
        <v>7.0912799922287348E-3</v>
      </c>
      <c r="AT41" s="34">
        <f>AT40/AT33</f>
        <v>2.3061917934164226E-2</v>
      </c>
      <c r="AU41" s="34"/>
      <c r="AV41" s="49">
        <f>AV40/AV33</f>
        <v>0</v>
      </c>
      <c r="AW41" s="34">
        <v>4.6399999999999997E-2</v>
      </c>
      <c r="AX41" s="663"/>
      <c r="AY41" s="663"/>
      <c r="AZ41" s="34" t="s">
        <v>656</v>
      </c>
      <c r="BA41" s="34">
        <f>BA40/BA33</f>
        <v>6.35124589104267E-2</v>
      </c>
      <c r="BB41" s="34" t="s">
        <v>656</v>
      </c>
      <c r="BC41" s="34"/>
      <c r="BD41" s="34"/>
      <c r="BE41" s="34">
        <v>0.115</v>
      </c>
      <c r="BF41" s="34">
        <v>1.1299999999999999E-2</v>
      </c>
      <c r="BG41" s="34">
        <f>BG40/BG33</f>
        <v>5.4358448157920458E-2</v>
      </c>
      <c r="BH41" s="34" t="s">
        <v>656</v>
      </c>
      <c r="BI41" s="34">
        <v>0.126</v>
      </c>
      <c r="BJ41" s="34">
        <f>BJ40/BJ33</f>
        <v>1.1881340894186628E-3</v>
      </c>
      <c r="BK41" s="34"/>
      <c r="BL41" s="34">
        <v>4.2000000000000003E-2</v>
      </c>
      <c r="BM41" s="34" t="s">
        <v>656</v>
      </c>
      <c r="BN41" s="34">
        <f>BN40/BN33</f>
        <v>0</v>
      </c>
      <c r="BO41" s="704">
        <v>5.5E-2</v>
      </c>
      <c r="BP41" s="34">
        <v>3.9399999999999998E-2</v>
      </c>
      <c r="BQ41" s="34">
        <f>BQ40/BQ33</f>
        <v>3.967168262653898E-2</v>
      </c>
      <c r="BR41" s="34">
        <f>BR40/BR33</f>
        <v>1.5235947694991562E-4</v>
      </c>
      <c r="BS41" s="34">
        <f>BS40/BS33</f>
        <v>6.3714558776680464E-5</v>
      </c>
      <c r="BT41" s="44">
        <f>BT40/BT33*100</f>
        <v>5.9586996840616067</v>
      </c>
      <c r="BU41" s="34">
        <v>1.47E-2</v>
      </c>
      <c r="BV41" s="34">
        <f>BV40/BV33</f>
        <v>5.6945548927219833E-3</v>
      </c>
      <c r="BW41" s="34">
        <v>0.1305</v>
      </c>
      <c r="BX41" s="34">
        <f>BX40/BX33</f>
        <v>4.2413273940878564E-2</v>
      </c>
      <c r="BY41" s="663"/>
      <c r="BZ41" s="663"/>
      <c r="CA41" s="34">
        <v>1.66E-2</v>
      </c>
      <c r="CB41" s="49">
        <v>9.7299999999999998E-2</v>
      </c>
      <c r="CC41" s="34">
        <v>1.8700000000000001E-2</v>
      </c>
      <c r="CD41" s="34"/>
      <c r="CE41" s="34">
        <v>0</v>
      </c>
      <c r="CF41" s="34">
        <v>0.09</v>
      </c>
      <c r="CG41" s="160"/>
      <c r="CH41" s="34" t="s">
        <v>656</v>
      </c>
      <c r="CI41" s="34">
        <v>6.6400000000000001E-2</v>
      </c>
      <c r="CJ41" s="34">
        <v>6.8580000000000002E-2</v>
      </c>
      <c r="CK41" s="34">
        <v>0</v>
      </c>
      <c r="CL41" s="34">
        <v>0</v>
      </c>
      <c r="CM41" s="113">
        <v>6.7900000000000002E-2</v>
      </c>
      <c r="CN41" s="34">
        <f>CN40/CN33</f>
        <v>3.2673267326732681E-2</v>
      </c>
      <c r="CO41" s="34">
        <f>CO40/CO33</f>
        <v>0</v>
      </c>
      <c r="CP41" s="34">
        <f>CP40/CP33</f>
        <v>9.9296822063316276E-3</v>
      </c>
      <c r="CQ41" s="34">
        <f>CQ40/CQ33</f>
        <v>2.05761316872428E-3</v>
      </c>
      <c r="CR41" s="130"/>
      <c r="CS41" s="34">
        <v>0</v>
      </c>
      <c r="CT41" s="34">
        <f>CT40/CT33</f>
        <v>1.2913640641486646E-4</v>
      </c>
      <c r="CU41" s="34"/>
      <c r="CV41" s="663"/>
      <c r="CW41" s="34">
        <f>CW40/CW33</f>
        <v>0.10030856477202568</v>
      </c>
      <c r="CX41" s="705">
        <v>0</v>
      </c>
      <c r="CY41" s="34" t="s">
        <v>1447</v>
      </c>
      <c r="CZ41" s="34" t="s">
        <v>1447</v>
      </c>
      <c r="DA41" s="34">
        <v>5.6599999999999998E-2</v>
      </c>
      <c r="DB41" s="34">
        <v>9.01E-2</v>
      </c>
      <c r="DC41" s="34">
        <v>0</v>
      </c>
      <c r="DD41" s="34">
        <v>4.3099999999999999E-2</v>
      </c>
      <c r="DE41" s="34">
        <f>DE40/$F$34</f>
        <v>1.7865168539325844</v>
      </c>
      <c r="DF41" s="34"/>
      <c r="DG41" s="130"/>
      <c r="DH41" s="34"/>
      <c r="DI41" s="130"/>
      <c r="DJ41" s="707">
        <v>5.0900000000000001E-2</v>
      </c>
      <c r="DK41" s="708"/>
      <c r="DL41" s="130"/>
      <c r="DM41" s="130">
        <v>3.0800000000000001E-2</v>
      </c>
      <c r="DN41" s="34">
        <v>0</v>
      </c>
      <c r="DO41" s="34">
        <v>0</v>
      </c>
      <c r="DP41" s="86">
        <f>DP40/DP33</f>
        <v>5.1004441700475391E-2</v>
      </c>
      <c r="DQ41" s="86">
        <f>DQ40/DQ33</f>
        <v>1.4290966551706029E-2</v>
      </c>
      <c r="DR41" s="34">
        <f>DR40/DR33</f>
        <v>1.7720411288558301E-2</v>
      </c>
      <c r="DS41" s="34" t="s">
        <v>656</v>
      </c>
      <c r="DT41" s="34">
        <v>0.01</v>
      </c>
      <c r="DU41" s="34">
        <v>0</v>
      </c>
      <c r="DV41" s="34" t="s">
        <v>656</v>
      </c>
      <c r="DW41" s="36">
        <v>0</v>
      </c>
      <c r="DX41" s="34"/>
      <c r="DY41" s="34">
        <v>1E-4</v>
      </c>
      <c r="DZ41" s="34"/>
      <c r="EA41" s="38">
        <v>11.1</v>
      </c>
      <c r="EB41" s="34">
        <v>0.20799999999999999</v>
      </c>
      <c r="EC41" s="34">
        <f>EC40/EC33</f>
        <v>6.6497884212834077E-2</v>
      </c>
      <c r="ED41" s="34" t="s">
        <v>656</v>
      </c>
      <c r="EE41" s="34">
        <f>EE40/EE33</f>
        <v>0</v>
      </c>
      <c r="EF41" s="34">
        <v>0.08</v>
      </c>
      <c r="EG41" s="663"/>
      <c r="EH41" s="709">
        <f>EH40/EH33</f>
        <v>8.792608252228877E-2</v>
      </c>
      <c r="EI41" s="704">
        <f>EI40/EI33</f>
        <v>8.4771990257949046E-4</v>
      </c>
      <c r="EJ41" s="704">
        <v>0</v>
      </c>
      <c r="EK41" s="34">
        <v>0.1032</v>
      </c>
      <c r="EL41" s="34"/>
      <c r="EM41" s="704">
        <v>5.5E-2</v>
      </c>
      <c r="EN41" s="49" t="s">
        <v>2234</v>
      </c>
      <c r="EO41" s="34">
        <v>5.3900000000000003E-2</v>
      </c>
      <c r="EP41" s="34">
        <f>EP40/EP33</f>
        <v>7.1715046516979519E-2</v>
      </c>
      <c r="EQ41" s="34">
        <v>0.5655</v>
      </c>
      <c r="ER41" s="34">
        <v>0</v>
      </c>
      <c r="ES41" s="663"/>
      <c r="ET41" s="34">
        <f>ET40/ET33</f>
        <v>3.3745781777277839E-3</v>
      </c>
      <c r="EU41" s="34">
        <f>EU40/EU33</f>
        <v>1.3789081878657241E-2</v>
      </c>
      <c r="EV41" s="160">
        <v>3.9810390853146568E-3</v>
      </c>
      <c r="EW41" s="34">
        <v>3.7499999999999999E-2</v>
      </c>
      <c r="EX41" s="34">
        <f>EX40/EX33</f>
        <v>0.10254823125985613</v>
      </c>
      <c r="EY41" s="34">
        <f>EY40/EY33*100%</f>
        <v>1.1019283746556475E-3</v>
      </c>
      <c r="EZ41" s="663"/>
      <c r="FA41" s="34">
        <f>FA40/FA33</f>
        <v>9.9900715796720392E-3</v>
      </c>
    </row>
    <row r="42" spans="1:157" ht="173" customHeight="1" x14ac:dyDescent="0.2">
      <c r="A42" s="1205" t="s">
        <v>77</v>
      </c>
      <c r="B42" s="1206" t="s">
        <v>78</v>
      </c>
      <c r="C42" s="167" t="s">
        <v>79</v>
      </c>
      <c r="D42" s="168" t="s">
        <v>80</v>
      </c>
      <c r="E42" s="699" t="s">
        <v>57</v>
      </c>
      <c r="F42" s="37">
        <v>0.96499999999999997</v>
      </c>
      <c r="G42" s="37">
        <v>0.40899999999999997</v>
      </c>
      <c r="H42" s="159">
        <v>0.56000000000000005</v>
      </c>
      <c r="I42" s="37">
        <v>0</v>
      </c>
      <c r="J42" s="37">
        <v>22.072126000000001</v>
      </c>
      <c r="K42" s="37">
        <f>1.659636+1.95645799</f>
        <v>3.61609399</v>
      </c>
      <c r="L42" s="37">
        <v>5.1360000000000001</v>
      </c>
      <c r="M42" s="52">
        <v>2.52</v>
      </c>
      <c r="N42" s="37">
        <v>0.55000000000000004</v>
      </c>
      <c r="O42" s="37" t="s">
        <v>656</v>
      </c>
      <c r="P42" s="715">
        <v>4.87</v>
      </c>
      <c r="Q42" s="37">
        <v>0</v>
      </c>
      <c r="R42" s="37">
        <v>7.8639999999999999</v>
      </c>
      <c r="S42" s="37">
        <v>62.432946000000001</v>
      </c>
      <c r="T42" s="37" t="s">
        <v>656</v>
      </c>
      <c r="U42" s="37">
        <v>0</v>
      </c>
      <c r="V42" s="37">
        <v>0</v>
      </c>
      <c r="W42" s="37"/>
      <c r="X42" s="37">
        <v>0</v>
      </c>
      <c r="Y42" s="37"/>
      <c r="Z42" s="37">
        <v>13.743</v>
      </c>
      <c r="AA42" s="37">
        <v>18.690000000000001</v>
      </c>
      <c r="AB42" s="37"/>
      <c r="AC42" s="37"/>
      <c r="AD42" s="37">
        <v>14.99</v>
      </c>
      <c r="AE42" s="159">
        <v>7.3339999999999996</v>
      </c>
      <c r="AF42" s="37">
        <v>12.329000000000001</v>
      </c>
      <c r="AG42" s="37">
        <v>3.92</v>
      </c>
      <c r="AH42" s="68">
        <v>0</v>
      </c>
      <c r="AI42" s="37"/>
      <c r="AJ42" s="37"/>
      <c r="AK42" s="663"/>
      <c r="AL42" s="37">
        <v>0</v>
      </c>
      <c r="AM42" s="37">
        <v>0</v>
      </c>
      <c r="AN42" s="37">
        <v>0.18540000000000001</v>
      </c>
      <c r="AO42" s="37">
        <v>4.1485000000000003</v>
      </c>
      <c r="AP42" s="663"/>
      <c r="AQ42" s="74">
        <v>0</v>
      </c>
      <c r="AR42" s="663"/>
      <c r="AS42" s="37">
        <v>0.54300000000000004</v>
      </c>
      <c r="AT42" s="37">
        <v>0</v>
      </c>
      <c r="AU42" s="37">
        <v>0</v>
      </c>
      <c r="AV42" s="68">
        <v>0</v>
      </c>
      <c r="AW42" s="37">
        <v>2.778</v>
      </c>
      <c r="AX42" s="663"/>
      <c r="AY42" s="663"/>
      <c r="AZ42" s="37" t="s">
        <v>1741</v>
      </c>
      <c r="BA42" s="37">
        <v>4.3150000000000004</v>
      </c>
      <c r="BB42" s="717" t="s">
        <v>656</v>
      </c>
      <c r="BC42" s="37">
        <v>0</v>
      </c>
      <c r="BD42" s="37" t="s">
        <v>1813</v>
      </c>
      <c r="BE42" s="37">
        <v>22.32</v>
      </c>
      <c r="BF42" s="37">
        <v>20743.293000000001</v>
      </c>
      <c r="BG42" s="37">
        <v>0.05</v>
      </c>
      <c r="BH42" s="37" t="s">
        <v>656</v>
      </c>
      <c r="BI42" s="37" t="s">
        <v>656</v>
      </c>
      <c r="BJ42" s="37">
        <v>2.2029999999999998</v>
      </c>
      <c r="BK42" s="37"/>
      <c r="BL42" s="37">
        <v>20.442</v>
      </c>
      <c r="BM42" s="37" t="s">
        <v>656</v>
      </c>
      <c r="BN42" s="37">
        <v>0</v>
      </c>
      <c r="BO42" s="675">
        <v>0.32</v>
      </c>
      <c r="BP42" s="37">
        <v>3.7370000000000001</v>
      </c>
      <c r="BQ42" s="37">
        <v>3.4</v>
      </c>
      <c r="BR42" s="37">
        <v>0.152</v>
      </c>
      <c r="BS42" s="37">
        <v>0.16</v>
      </c>
      <c r="BT42" s="37" t="s">
        <v>656</v>
      </c>
      <c r="BU42" s="37"/>
      <c r="BV42" s="37">
        <v>0</v>
      </c>
      <c r="BW42" s="37" t="s">
        <v>2978</v>
      </c>
      <c r="BX42" s="34" t="s">
        <v>2978</v>
      </c>
      <c r="BY42" s="663"/>
      <c r="BZ42" s="663"/>
      <c r="CA42" s="37" t="s">
        <v>470</v>
      </c>
      <c r="CB42" s="68">
        <v>10.625</v>
      </c>
      <c r="CC42" s="37">
        <v>0.87</v>
      </c>
      <c r="CD42" s="52"/>
      <c r="CE42" s="37">
        <v>0</v>
      </c>
      <c r="CF42" s="37"/>
      <c r="CG42" s="159">
        <v>7.4</v>
      </c>
      <c r="CH42" s="37" t="s">
        <v>656</v>
      </c>
      <c r="CI42" s="37">
        <v>2.7448160000000001</v>
      </c>
      <c r="CJ42" s="37">
        <v>4.7268509999999999</v>
      </c>
      <c r="CK42" s="37">
        <v>0</v>
      </c>
      <c r="CL42" s="37">
        <v>0</v>
      </c>
      <c r="CM42" s="116">
        <v>2.4500000000000002</v>
      </c>
      <c r="CN42" s="37">
        <v>7.2050000000000001</v>
      </c>
      <c r="CO42" s="37">
        <v>0</v>
      </c>
      <c r="CP42" s="37">
        <v>0</v>
      </c>
      <c r="CQ42" s="37">
        <v>0.1</v>
      </c>
      <c r="CR42" s="131"/>
      <c r="CS42" s="37"/>
      <c r="CT42" s="37">
        <v>0.14990677999999999</v>
      </c>
      <c r="CU42" s="37">
        <v>2.7717580000000002</v>
      </c>
      <c r="CV42" s="663"/>
      <c r="CW42" s="37">
        <v>0.26192966000000001</v>
      </c>
      <c r="CX42" s="718">
        <v>0</v>
      </c>
      <c r="CY42" s="37" t="s">
        <v>1447</v>
      </c>
      <c r="CZ42" s="37" t="s">
        <v>1447</v>
      </c>
      <c r="DA42" s="52">
        <v>16.353909999999999</v>
      </c>
      <c r="DB42" s="138">
        <v>17.303000000000001</v>
      </c>
      <c r="DC42" s="37">
        <v>0</v>
      </c>
      <c r="DD42" s="139">
        <v>0.20776343999999999</v>
      </c>
      <c r="DE42" s="37">
        <v>26.1</v>
      </c>
      <c r="DF42" s="37"/>
      <c r="DG42" s="131" t="s">
        <v>470</v>
      </c>
      <c r="DH42" s="37">
        <v>0</v>
      </c>
      <c r="DI42" s="714">
        <v>0</v>
      </c>
      <c r="DJ42" s="701">
        <v>21.59</v>
      </c>
      <c r="DK42" s="702">
        <v>1.1599999999999999</v>
      </c>
      <c r="DL42" s="131">
        <v>0</v>
      </c>
      <c r="DM42" s="131">
        <v>51.7</v>
      </c>
      <c r="DN42" s="37">
        <v>0</v>
      </c>
      <c r="DO42" s="37">
        <v>0</v>
      </c>
      <c r="DP42" s="37">
        <v>15.45900484</v>
      </c>
      <c r="DQ42" s="38">
        <v>0.3</v>
      </c>
      <c r="DR42" s="36">
        <v>0</v>
      </c>
      <c r="DS42" s="37" t="s">
        <v>656</v>
      </c>
      <c r="DT42" s="37">
        <v>7.0000000000000007E-2</v>
      </c>
      <c r="DU42" s="37">
        <v>0</v>
      </c>
      <c r="DV42" s="37" t="s">
        <v>656</v>
      </c>
      <c r="DW42" s="36">
        <v>0</v>
      </c>
      <c r="DX42" s="37"/>
      <c r="DY42" s="37">
        <v>0</v>
      </c>
      <c r="DZ42" s="37">
        <v>4.4024009599999996</v>
      </c>
      <c r="EA42" s="30">
        <v>0</v>
      </c>
      <c r="EB42" s="37"/>
      <c r="EC42" s="37">
        <v>11.811999999999999</v>
      </c>
      <c r="ED42" s="37">
        <v>1.677</v>
      </c>
      <c r="EE42" s="37">
        <v>0</v>
      </c>
      <c r="EF42" s="37" t="s">
        <v>3652</v>
      </c>
      <c r="EG42" s="663"/>
      <c r="EH42" s="703">
        <v>0.55964000000000003</v>
      </c>
      <c r="EI42" s="675">
        <v>1.4179999999999999</v>
      </c>
      <c r="EJ42" s="675">
        <v>0</v>
      </c>
      <c r="EK42" s="37">
        <v>23.579000000000001</v>
      </c>
      <c r="EL42" s="37"/>
      <c r="EM42" s="675">
        <v>4.0259999999999998</v>
      </c>
      <c r="EN42" s="68" t="s">
        <v>2234</v>
      </c>
      <c r="EO42" s="37">
        <v>3.2370000000000001</v>
      </c>
      <c r="EP42" s="37">
        <v>4.3449999999999998</v>
      </c>
      <c r="EQ42" s="37" t="s">
        <v>470</v>
      </c>
      <c r="ER42" s="37"/>
      <c r="ES42" s="663"/>
      <c r="ET42" s="37">
        <v>0</v>
      </c>
      <c r="EU42" s="37">
        <v>2.798</v>
      </c>
      <c r="EV42" s="159">
        <v>1.8920009200000001</v>
      </c>
      <c r="EW42" s="37">
        <v>0.245</v>
      </c>
      <c r="EX42" s="37">
        <f>2.0225+2.928</f>
        <v>4.9504999999999999</v>
      </c>
      <c r="EY42" s="37">
        <v>0.02</v>
      </c>
      <c r="EZ42" s="663"/>
      <c r="FA42" s="37">
        <v>0</v>
      </c>
    </row>
    <row r="43" spans="1:157" ht="51" x14ac:dyDescent="0.2">
      <c r="A43" s="1205"/>
      <c r="B43" s="1206"/>
      <c r="C43" s="167" t="s">
        <v>81</v>
      </c>
      <c r="D43" s="168" t="s">
        <v>63</v>
      </c>
      <c r="E43" s="185" t="s">
        <v>64</v>
      </c>
      <c r="F43" s="34">
        <v>4.5100000000000001E-2</v>
      </c>
      <c r="G43" s="34">
        <f>G42/$F$34</f>
        <v>3.0636704119850186E-2</v>
      </c>
      <c r="H43" s="160">
        <v>0.16439999999999999</v>
      </c>
      <c r="I43" s="34">
        <f>I42/$F$34</f>
        <v>0</v>
      </c>
      <c r="J43" s="34">
        <v>4.41E-2</v>
      </c>
      <c r="K43" s="34">
        <f>K42/K33</f>
        <v>0.10079840213620113</v>
      </c>
      <c r="L43" s="34">
        <v>2.1999999999999999E-2</v>
      </c>
      <c r="M43" s="34">
        <f>M42/M33</f>
        <v>6.4648537711646997E-2</v>
      </c>
      <c r="N43" s="34">
        <v>1.9900000000000001E-2</v>
      </c>
      <c r="O43" s="34" t="s">
        <v>656</v>
      </c>
      <c r="P43" s="34">
        <f>P42/P33</f>
        <v>0.3047368750391089</v>
      </c>
      <c r="Q43" s="34">
        <v>0</v>
      </c>
      <c r="R43" s="34">
        <f>R42/R33</f>
        <v>0.18947114805445128</v>
      </c>
      <c r="S43" s="34">
        <f>S42/S33</f>
        <v>8.8446470006784128E-2</v>
      </c>
      <c r="T43" s="34">
        <v>0</v>
      </c>
      <c r="U43" s="34">
        <v>0</v>
      </c>
      <c r="V43" s="34">
        <v>0</v>
      </c>
      <c r="W43" s="34"/>
      <c r="X43" s="34">
        <v>0</v>
      </c>
      <c r="Y43" s="34"/>
      <c r="Z43" s="34">
        <f>Z42/Z33</f>
        <v>0.16741177473779101</v>
      </c>
      <c r="AA43" s="34">
        <v>0.112</v>
      </c>
      <c r="AB43" s="34"/>
      <c r="AC43" s="34"/>
      <c r="AD43" s="34">
        <f>AD42/AD33</f>
        <v>2.6326789396222568E-2</v>
      </c>
      <c r="AE43" s="160">
        <v>3.5499999999999997E-2</v>
      </c>
      <c r="AF43" s="34">
        <f>AF42/AF33</f>
        <v>7.3884304454392369E-2</v>
      </c>
      <c r="AG43" s="34">
        <f>AG42/AG33</f>
        <v>1.9101452100185171E-2</v>
      </c>
      <c r="AH43" s="49">
        <v>0</v>
      </c>
      <c r="AI43" s="34"/>
      <c r="AJ43" s="34"/>
      <c r="AK43" s="663"/>
      <c r="AL43" s="34"/>
      <c r="AM43" s="34">
        <v>0</v>
      </c>
      <c r="AN43" s="34">
        <f>AN42/AN33</f>
        <v>2.047011552406432E-2</v>
      </c>
      <c r="AO43" s="34">
        <v>3.4000000000000002E-2</v>
      </c>
      <c r="AP43" s="663"/>
      <c r="AQ43" s="49"/>
      <c r="AR43" s="663"/>
      <c r="AS43" s="34">
        <f>AS42/30.883</f>
        <v>1.758248874785481E-2</v>
      </c>
      <c r="AT43" s="37">
        <v>0</v>
      </c>
      <c r="AU43" s="34"/>
      <c r="AV43" s="49">
        <f>AV42/AV33</f>
        <v>0</v>
      </c>
      <c r="AW43" s="34">
        <v>9.6399999999999993E-3</v>
      </c>
      <c r="AX43" s="663"/>
      <c r="AY43" s="663"/>
      <c r="AZ43" s="34" t="s">
        <v>656</v>
      </c>
      <c r="BA43" s="34">
        <f>BA42/BA33</f>
        <v>3.4014677944457145E-2</v>
      </c>
      <c r="BB43" s="34" t="s">
        <v>656</v>
      </c>
      <c r="BC43" s="34"/>
      <c r="BD43" s="34"/>
      <c r="BE43" s="34">
        <v>6.3799999999999996E-2</v>
      </c>
      <c r="BF43" s="34">
        <v>5.2999999999999999E-2</v>
      </c>
      <c r="BG43" s="34">
        <f>BG42/BG33</f>
        <v>7.4484034198301534E-3</v>
      </c>
      <c r="BH43" s="34" t="s">
        <v>656</v>
      </c>
      <c r="BI43" s="34" t="s">
        <v>656</v>
      </c>
      <c r="BJ43" s="34">
        <f>BJ42/BJ33</f>
        <v>8.4982448019133572E-3</v>
      </c>
      <c r="BK43" s="34"/>
      <c r="BL43" s="34">
        <v>6.8000000000000005E-2</v>
      </c>
      <c r="BM43" s="34" t="s">
        <v>656</v>
      </c>
      <c r="BN43" s="34">
        <f>BN42/BN33</f>
        <v>0</v>
      </c>
      <c r="BO43" s="704">
        <v>9.6000000000000002E-2</v>
      </c>
      <c r="BP43" s="34">
        <v>4.7999999999999996E-3</v>
      </c>
      <c r="BQ43" s="34">
        <f>BQ42/BQ33</f>
        <v>4.6511627906976737E-2</v>
      </c>
      <c r="BR43" s="34">
        <f>BR42/BR33</f>
        <v>5.7896601240967928E-4</v>
      </c>
      <c r="BS43" s="34">
        <f>BS42/BS33</f>
        <v>5.0971647021344371E-4</v>
      </c>
      <c r="BT43" s="34" t="s">
        <v>656</v>
      </c>
      <c r="BU43" s="34"/>
      <c r="BV43" s="34">
        <f>BV42/BV33</f>
        <v>0</v>
      </c>
      <c r="BW43" s="34" t="s">
        <v>2979</v>
      </c>
      <c r="BX43" s="34" t="s">
        <v>2979</v>
      </c>
      <c r="BY43" s="663"/>
      <c r="BZ43" s="663"/>
      <c r="CA43" s="34">
        <v>0</v>
      </c>
      <c r="CB43" s="49">
        <v>0.1149</v>
      </c>
      <c r="CC43" s="34">
        <v>2.7199999999999998E-2</v>
      </c>
      <c r="CD43" s="37"/>
      <c r="CE43" s="34">
        <v>0</v>
      </c>
      <c r="CF43" s="34"/>
      <c r="CG43" s="160">
        <v>5.1999999999999998E-2</v>
      </c>
      <c r="CH43" s="34" t="s">
        <v>656</v>
      </c>
      <c r="CI43" s="34">
        <v>6.4339999999999994E-2</v>
      </c>
      <c r="CJ43" s="34">
        <v>8.3479999999999999E-2</v>
      </c>
      <c r="CK43" s="34">
        <v>0</v>
      </c>
      <c r="CL43" s="34">
        <v>0</v>
      </c>
      <c r="CM43" s="113">
        <v>9.1000000000000004E-3</v>
      </c>
      <c r="CN43" s="34">
        <f>CN42/CN33</f>
        <v>7.2057205720572073E-2</v>
      </c>
      <c r="CO43" s="34">
        <f>CO42/CO33</f>
        <v>0</v>
      </c>
      <c r="CP43" s="34">
        <f>CP42/CP33</f>
        <v>0</v>
      </c>
      <c r="CQ43" s="34">
        <f>CQ42/CQ33</f>
        <v>5.1440329218106998E-2</v>
      </c>
      <c r="CR43" s="130"/>
      <c r="CS43" s="34">
        <f>CS42/CS33</f>
        <v>0</v>
      </c>
      <c r="CT43" s="34">
        <f>CT42/CT33</f>
        <v>2.5471609034768386E-4</v>
      </c>
      <c r="CU43" s="34">
        <f>CU42/CU33</f>
        <v>0.1237330095019066</v>
      </c>
      <c r="CV43" s="663"/>
      <c r="CW43" s="34">
        <f>CW42/CW33</f>
        <v>7.7640553608572288E-4</v>
      </c>
      <c r="CX43" s="705">
        <v>0</v>
      </c>
      <c r="CY43" s="34" t="s">
        <v>1447</v>
      </c>
      <c r="CZ43" s="34" t="s">
        <v>1447</v>
      </c>
      <c r="DA43" s="34">
        <f>SUM(DA42/DA33)</f>
        <v>4.3869969595856741E-2</v>
      </c>
      <c r="DB43" s="34">
        <v>4.7500000000000001E-2</v>
      </c>
      <c r="DC43" s="34">
        <v>0</v>
      </c>
      <c r="DD43" s="34">
        <v>3.4099999999999998E-2</v>
      </c>
      <c r="DE43" s="34">
        <f>DE42/$F$34</f>
        <v>1.955056179775281</v>
      </c>
      <c r="DF43" s="34"/>
      <c r="DG43" s="130"/>
      <c r="DH43" s="34"/>
      <c r="DI43" s="130"/>
      <c r="DJ43" s="707">
        <v>0.10640000000000001</v>
      </c>
      <c r="DK43" s="708">
        <v>0.1202</v>
      </c>
      <c r="DL43" s="130"/>
      <c r="DM43" s="130">
        <v>5.16E-2</v>
      </c>
      <c r="DN43" s="34">
        <v>0</v>
      </c>
      <c r="DO43" s="34">
        <v>0</v>
      </c>
      <c r="DP43" s="86">
        <f>DP42/DP33</f>
        <v>0.17827809733705721</v>
      </c>
      <c r="DQ43" s="86">
        <f>DQ42/DQ33</f>
        <v>0.14102927518130948</v>
      </c>
      <c r="DR43" s="86">
        <v>0</v>
      </c>
      <c r="DS43" s="34" t="s">
        <v>656</v>
      </c>
      <c r="DT43" s="34">
        <v>2.3E-2</v>
      </c>
      <c r="DU43" s="34">
        <v>0</v>
      </c>
      <c r="DV43" s="34" t="s">
        <v>656</v>
      </c>
      <c r="DW43" s="36">
        <v>0</v>
      </c>
      <c r="DX43" s="34"/>
      <c r="DY43" s="34">
        <v>0</v>
      </c>
      <c r="DZ43" s="34">
        <f>DZ42/DZ33</f>
        <v>3.2318746765934686E-2</v>
      </c>
      <c r="EA43" s="30"/>
      <c r="EB43" s="34"/>
      <c r="EC43" s="34">
        <f>EC42/EC33</f>
        <v>3.547434776993931E-2</v>
      </c>
      <c r="ED43" s="34">
        <f>ED42/ED33</f>
        <v>0.11770072992700729</v>
      </c>
      <c r="EE43" s="34">
        <f>EE42/EE33</f>
        <v>0</v>
      </c>
      <c r="EF43" s="34" t="s">
        <v>470</v>
      </c>
      <c r="EG43" s="663"/>
      <c r="EH43" s="709">
        <f>EH42/EH33</f>
        <v>8.7728566273442138E-2</v>
      </c>
      <c r="EI43" s="704">
        <f>EI42/EI33</f>
        <v>1.9080425743773291E-2</v>
      </c>
      <c r="EJ43" s="704">
        <v>0</v>
      </c>
      <c r="EK43" s="34">
        <v>0.1017</v>
      </c>
      <c r="EL43" s="34"/>
      <c r="EM43" s="704">
        <v>8.5199999999999998E-2</v>
      </c>
      <c r="EN43" s="49" t="s">
        <v>2234</v>
      </c>
      <c r="EO43" s="34">
        <v>4.0340000000000001E-2</v>
      </c>
      <c r="EP43" s="34">
        <f>EP42/EP33</f>
        <v>7.1419178802721972E-2</v>
      </c>
      <c r="EQ43" s="34" t="s">
        <v>470</v>
      </c>
      <c r="ER43" s="34"/>
      <c r="ES43" s="663"/>
      <c r="ET43" s="34">
        <v>0</v>
      </c>
      <c r="EU43" s="34">
        <f>EU42/EU33</f>
        <v>1.2488258782787537E-2</v>
      </c>
      <c r="EV43" s="160">
        <v>1.4235739202364938E-3</v>
      </c>
      <c r="EW43" s="34">
        <v>8.5000000000000006E-3</v>
      </c>
      <c r="EX43" s="34">
        <f>EX42/EX33</f>
        <v>4.2058674016761475E-3</v>
      </c>
      <c r="EY43" s="34">
        <f>EY42/EY33*100%</f>
        <v>2.7548209366391188E-4</v>
      </c>
      <c r="EZ43" s="663"/>
      <c r="FA43" s="34">
        <f>FA42/FA33</f>
        <v>0</v>
      </c>
    </row>
    <row r="44" spans="1:157" ht="211" customHeight="1" x14ac:dyDescent="0.2">
      <c r="A44" s="1212" t="s">
        <v>82</v>
      </c>
      <c r="B44" s="1213" t="s">
        <v>83</v>
      </c>
      <c r="C44" s="199" t="s">
        <v>84</v>
      </c>
      <c r="D44" s="195" t="s">
        <v>9545</v>
      </c>
      <c r="E44" s="556" t="s">
        <v>57</v>
      </c>
      <c r="F44" s="29">
        <v>2.6669999999999998</v>
      </c>
      <c r="G44" s="29">
        <v>0.216</v>
      </c>
      <c r="H44" s="662" t="s">
        <v>656</v>
      </c>
      <c r="I44" s="29"/>
      <c r="J44" s="35">
        <v>53.015000000000001</v>
      </c>
      <c r="K44" s="44" t="s">
        <v>656</v>
      </c>
      <c r="L44" s="44">
        <v>3.2160000000000002</v>
      </c>
      <c r="M44" s="34"/>
      <c r="N44" s="49" t="s">
        <v>656</v>
      </c>
      <c r="O44" s="34" t="s">
        <v>656</v>
      </c>
      <c r="P44" s="34">
        <v>0</v>
      </c>
      <c r="Q44" s="54">
        <v>0</v>
      </c>
      <c r="R44" s="34">
        <v>0</v>
      </c>
      <c r="S44" s="34" t="s">
        <v>656</v>
      </c>
      <c r="T44" s="34">
        <v>0</v>
      </c>
      <c r="U44" s="34">
        <v>0</v>
      </c>
      <c r="V44" s="34">
        <v>0</v>
      </c>
      <c r="W44" s="34">
        <v>7.9000000000000001E-2</v>
      </c>
      <c r="X44" s="34">
        <v>0</v>
      </c>
      <c r="Y44" s="34"/>
      <c r="Z44" s="34" t="s">
        <v>873</v>
      </c>
      <c r="AA44" s="34"/>
      <c r="AB44" s="34"/>
      <c r="AC44" s="37"/>
      <c r="AD44" s="37">
        <v>8.1720000000000006</v>
      </c>
      <c r="AE44" s="159">
        <v>15.154999999999999</v>
      </c>
      <c r="AF44" s="37"/>
      <c r="AG44" s="34">
        <v>0</v>
      </c>
      <c r="AH44" s="49">
        <v>0</v>
      </c>
      <c r="AI44" s="34"/>
      <c r="AJ44" s="34" t="s">
        <v>470</v>
      </c>
      <c r="AK44" s="663"/>
      <c r="AL44" s="34">
        <v>0</v>
      </c>
      <c r="AM44" s="34">
        <v>0</v>
      </c>
      <c r="AN44" s="34"/>
      <c r="AO44" s="37">
        <v>7.2729999999999997</v>
      </c>
      <c r="AP44" s="663"/>
      <c r="AQ44" s="720">
        <v>0</v>
      </c>
      <c r="AR44" s="663"/>
      <c r="AS44" s="29"/>
      <c r="AT44" s="34">
        <v>0</v>
      </c>
      <c r="AU44" s="37">
        <v>0</v>
      </c>
      <c r="AV44" s="33">
        <v>2.1360000000000001</v>
      </c>
      <c r="AW44" s="37">
        <v>0</v>
      </c>
      <c r="AX44" s="663"/>
      <c r="AY44" s="663"/>
      <c r="AZ44" s="37">
        <v>11.231999999999999</v>
      </c>
      <c r="BA44" s="37">
        <f>BA42+BA40</f>
        <v>12.372</v>
      </c>
      <c r="BB44" s="37" t="s">
        <v>656</v>
      </c>
      <c r="BC44" s="37">
        <f>20.408</f>
        <v>20.408000000000001</v>
      </c>
      <c r="BD44" s="34"/>
      <c r="BE44" s="35"/>
      <c r="BF44" s="34" t="s">
        <v>873</v>
      </c>
      <c r="BG44" s="34">
        <v>0</v>
      </c>
      <c r="BH44" s="34" t="s">
        <v>656</v>
      </c>
      <c r="BI44" s="37" t="s">
        <v>656</v>
      </c>
      <c r="BJ44" s="34"/>
      <c r="BK44" s="34"/>
      <c r="BL44" s="37">
        <f>BL40+BL42</f>
        <v>32.963000000000001</v>
      </c>
      <c r="BM44" s="37">
        <v>0.24521234</v>
      </c>
      <c r="BN44" s="37">
        <v>0</v>
      </c>
      <c r="BO44" s="704">
        <v>0</v>
      </c>
      <c r="BP44" s="35">
        <v>34.994</v>
      </c>
      <c r="BQ44" s="37">
        <v>5.9</v>
      </c>
      <c r="BR44" s="37">
        <v>0</v>
      </c>
      <c r="BS44" s="37">
        <v>0</v>
      </c>
      <c r="BT44" s="37" t="s">
        <v>656</v>
      </c>
      <c r="BU44" s="35">
        <f>138834/1000000</f>
        <v>0.13883400000000001</v>
      </c>
      <c r="BV44" s="37">
        <v>0</v>
      </c>
      <c r="BW44" s="37">
        <f>0.125+0.060236+0.3+0.74+0.259+0.003+0.061+0.352+0.45+1.09+0.131+0.159+0.22+0.79+0.285+0.083</f>
        <v>5.1082360000000016</v>
      </c>
      <c r="BX44" s="37">
        <v>0.15105199999999999</v>
      </c>
      <c r="BY44" s="663"/>
      <c r="BZ44" s="663"/>
      <c r="CA44" s="34" t="s">
        <v>470</v>
      </c>
      <c r="CB44" s="68">
        <v>19.347999999999999</v>
      </c>
      <c r="CC44" s="34" t="s">
        <v>470</v>
      </c>
      <c r="CD44" s="37">
        <v>21.539000000000001</v>
      </c>
      <c r="CE44" s="34">
        <v>0</v>
      </c>
      <c r="CF44" s="34"/>
      <c r="CG44" s="160"/>
      <c r="CH44" s="34" t="s">
        <v>656</v>
      </c>
      <c r="CI44" s="34">
        <v>0</v>
      </c>
      <c r="CJ44" s="34">
        <v>0</v>
      </c>
      <c r="CK44" s="34">
        <v>0</v>
      </c>
      <c r="CL44" s="34">
        <v>0</v>
      </c>
      <c r="CM44" s="114">
        <v>19.87</v>
      </c>
      <c r="CN44" s="37">
        <v>10.472</v>
      </c>
      <c r="CO44" s="44">
        <v>0</v>
      </c>
      <c r="CP44" s="44">
        <v>0</v>
      </c>
      <c r="CQ44" s="37">
        <v>0</v>
      </c>
      <c r="CR44" s="131">
        <v>39.2136</v>
      </c>
      <c r="CS44" s="44">
        <v>0.74539999999999995</v>
      </c>
      <c r="CT44" s="37">
        <v>379.39624980000002</v>
      </c>
      <c r="CU44" s="37">
        <v>1.2008259999999999</v>
      </c>
      <c r="CV44" s="663"/>
      <c r="CW44" s="37">
        <f>CW42+CW40</f>
        <v>34.102219359999999</v>
      </c>
      <c r="CX44" s="705">
        <v>0</v>
      </c>
      <c r="CY44" s="35">
        <v>1.1556599999999999</v>
      </c>
      <c r="CZ44" s="37" t="s">
        <v>1447</v>
      </c>
      <c r="DA44" s="29" t="s">
        <v>1482</v>
      </c>
      <c r="DB44" s="138">
        <v>50.106999999999999</v>
      </c>
      <c r="DC44" s="34">
        <v>0</v>
      </c>
      <c r="DD44" s="721">
        <v>0.47036475999999999</v>
      </c>
      <c r="DE44" s="34" t="s">
        <v>470</v>
      </c>
      <c r="DF44" s="37">
        <f>(20303623.12+4799344.5)/1000000</f>
        <v>25.102967620000001</v>
      </c>
      <c r="DG44" s="130" t="s">
        <v>470</v>
      </c>
      <c r="DH44" s="34">
        <v>0</v>
      </c>
      <c r="DI44" s="722">
        <v>0</v>
      </c>
      <c r="DJ44" s="701">
        <v>31.922999999999998</v>
      </c>
      <c r="DK44" s="667"/>
      <c r="DL44" s="130">
        <v>0</v>
      </c>
      <c r="DM44" s="130"/>
      <c r="DN44" s="34">
        <v>0</v>
      </c>
      <c r="DO44" s="35">
        <v>4.2</v>
      </c>
      <c r="DP44" s="37" t="s">
        <v>656</v>
      </c>
      <c r="DQ44" s="723" t="s">
        <v>656</v>
      </c>
      <c r="DR44" s="36">
        <v>0</v>
      </c>
      <c r="DS44" s="34" t="s">
        <v>656</v>
      </c>
      <c r="DT44" s="34"/>
      <c r="DU44" s="34">
        <v>0</v>
      </c>
      <c r="DV44" s="35">
        <f>16.4+44.231</f>
        <v>60.631</v>
      </c>
      <c r="DW44" s="36"/>
      <c r="DX44" s="34"/>
      <c r="DY44" s="724"/>
      <c r="DZ44" s="34"/>
      <c r="EA44" s="30"/>
      <c r="EB44" s="34"/>
      <c r="EC44" s="37">
        <v>33.954999999999998</v>
      </c>
      <c r="ED44" s="37">
        <v>0</v>
      </c>
      <c r="EE44" s="44">
        <f>4.75673668+3.84968597</f>
        <v>8.6064226500000007</v>
      </c>
      <c r="EF44" s="80">
        <v>16.670000000000002</v>
      </c>
      <c r="EG44" s="663"/>
      <c r="EH44" s="703">
        <v>0</v>
      </c>
      <c r="EI44" s="725">
        <v>0.191</v>
      </c>
      <c r="EJ44" s="704">
        <v>0</v>
      </c>
      <c r="EK44" s="34">
        <v>0.47513</v>
      </c>
      <c r="EL44" s="34"/>
      <c r="EM44" s="704"/>
      <c r="EN44" s="68"/>
      <c r="EO44" s="35">
        <v>7.9809999999999999</v>
      </c>
      <c r="EP44" s="34" t="s">
        <v>656</v>
      </c>
      <c r="EQ44" s="34" t="s">
        <v>470</v>
      </c>
      <c r="ER44" s="37">
        <v>334.20345255501098</v>
      </c>
      <c r="ES44" s="663"/>
      <c r="ET44" s="35">
        <v>3</v>
      </c>
      <c r="EU44" s="37">
        <f>[1]Югорск!HU33+[1]Радужный!HU34+[1]Ханты!HU34+[1]Октяб!HU36+[1]Урай!HU34+[1]Совет!HU34+[1]Лангепас!HU34+'[1]НЮг рн'!HU34+[1]Березово!HU34+[1]Сургут!HU34+[1]НВарт!HU34+[1]Когалым!HU34+[1]Конда!HU34+[1]НЮГ!HU34+'[1]Сур рн'!HU34+[1]Белояр!HU34+'[1]Нижневар рн'!HU34+[1]Когалым!HU34+[1]Конда!HU34+[1]НЮГ!HU34+'[1]Сур рн'!HU34+[1]Белояр!HU34+'[1]Нижневар рн'!HU34+'[1]ХМ рн'!HU34</f>
        <v>0</v>
      </c>
      <c r="EV44" s="159">
        <v>7.1833260000000001</v>
      </c>
      <c r="EW44" s="37">
        <v>1.341</v>
      </c>
      <c r="EX44" s="52">
        <v>143.69924226000001</v>
      </c>
      <c r="EY44" s="44" t="s">
        <v>656</v>
      </c>
      <c r="EZ44" s="663"/>
      <c r="FA44" s="44">
        <v>0</v>
      </c>
    </row>
    <row r="45" spans="1:157" ht="51" x14ac:dyDescent="0.2">
      <c r="A45" s="1212"/>
      <c r="B45" s="1213"/>
      <c r="C45" s="199" t="s">
        <v>85</v>
      </c>
      <c r="D45" s="195" t="s">
        <v>63</v>
      </c>
      <c r="E45" s="555" t="s">
        <v>64</v>
      </c>
      <c r="F45" s="34">
        <v>0.1246</v>
      </c>
      <c r="G45" s="34">
        <f>G44/$F$34</f>
        <v>1.6179775280898877E-2</v>
      </c>
      <c r="H45" s="160" t="s">
        <v>656</v>
      </c>
      <c r="I45" s="34">
        <f>I44/$F$34</f>
        <v>0</v>
      </c>
      <c r="J45" s="34">
        <v>0.10589999999999999</v>
      </c>
      <c r="K45" s="34" t="s">
        <v>656</v>
      </c>
      <c r="L45" s="34">
        <v>1.38E-2</v>
      </c>
      <c r="M45" s="34"/>
      <c r="N45" s="49" t="s">
        <v>656</v>
      </c>
      <c r="O45" s="34" t="s">
        <v>656</v>
      </c>
      <c r="P45" s="34">
        <v>0</v>
      </c>
      <c r="Q45" s="34">
        <v>0</v>
      </c>
      <c r="R45" s="34">
        <v>0</v>
      </c>
      <c r="S45" s="34" t="s">
        <v>656</v>
      </c>
      <c r="T45" s="34">
        <v>0</v>
      </c>
      <c r="U45" s="34">
        <v>0</v>
      </c>
      <c r="V45" s="34">
        <v>0</v>
      </c>
      <c r="W45" s="34">
        <v>5.0999999999999997E-2</v>
      </c>
      <c r="X45" s="34">
        <v>0</v>
      </c>
      <c r="Y45" s="34"/>
      <c r="Z45" s="34"/>
      <c r="AA45" s="34"/>
      <c r="AB45" s="34"/>
      <c r="AC45" s="34"/>
      <c r="AD45" s="34">
        <f>AD44/AD33</f>
        <v>1.4352403131816601E-2</v>
      </c>
      <c r="AE45" s="160">
        <v>7.3300000000000004E-2</v>
      </c>
      <c r="AF45" s="34"/>
      <c r="AG45" s="34">
        <v>0</v>
      </c>
      <c r="AH45" s="49">
        <v>0</v>
      </c>
      <c r="AI45" s="34"/>
      <c r="AJ45" s="34"/>
      <c r="AK45" s="663"/>
      <c r="AL45" s="34"/>
      <c r="AM45" s="34">
        <v>0</v>
      </c>
      <c r="AN45" s="34"/>
      <c r="AO45" s="34">
        <v>5.8799999999999998E-2</v>
      </c>
      <c r="AP45" s="663"/>
      <c r="AQ45" s="49"/>
      <c r="AR45" s="663"/>
      <c r="AS45" s="29"/>
      <c r="AT45" s="34">
        <v>0</v>
      </c>
      <c r="AU45" s="34"/>
      <c r="AV45" s="49">
        <f>AV44/AV33</f>
        <v>0.11689377770481038</v>
      </c>
      <c r="AW45" s="174"/>
      <c r="AX45" s="663"/>
      <c r="AY45" s="663"/>
      <c r="AZ45" s="34">
        <f>AZ44/AZ33</f>
        <v>6.9286287089013632E-2</v>
      </c>
      <c r="BA45" s="34">
        <f>BA44/BA33</f>
        <v>9.7527136854883845E-2</v>
      </c>
      <c r="BB45" s="34" t="s">
        <v>656</v>
      </c>
      <c r="BC45" s="45">
        <f>BC44/BC33</f>
        <v>9.8388317592552427E-2</v>
      </c>
      <c r="BD45" s="34"/>
      <c r="BE45" s="34"/>
      <c r="BF45" s="34"/>
      <c r="BG45" s="34">
        <v>0</v>
      </c>
      <c r="BH45" s="34" t="s">
        <v>656</v>
      </c>
      <c r="BI45" s="34" t="s">
        <v>656</v>
      </c>
      <c r="BJ45" s="34"/>
      <c r="BK45" s="34"/>
      <c r="BL45" s="34">
        <f>BL44/BL33</f>
        <v>9.8529956837284924E-2</v>
      </c>
      <c r="BM45" s="34">
        <v>0.51570000000000005</v>
      </c>
      <c r="BN45" s="34">
        <f>BN44/BN33</f>
        <v>0</v>
      </c>
      <c r="BO45" s="704">
        <v>0</v>
      </c>
      <c r="BP45" s="34">
        <v>4.4600000000000001E-2</v>
      </c>
      <c r="BQ45" s="34">
        <f>BQ44/BQ33</f>
        <v>8.0711354309165526E-2</v>
      </c>
      <c r="BR45" s="34">
        <v>0</v>
      </c>
      <c r="BS45" s="34">
        <v>0</v>
      </c>
      <c r="BT45" s="34" t="s">
        <v>656</v>
      </c>
      <c r="BU45" s="34">
        <v>1.47E-2</v>
      </c>
      <c r="BV45" s="34">
        <f>BV44/BV33</f>
        <v>0</v>
      </c>
      <c r="BW45" s="34">
        <f>BW44/BW33</f>
        <v>0.13278157323121972</v>
      </c>
      <c r="BX45" s="34">
        <f>BX44/BX33</f>
        <v>2.889298560475068E-2</v>
      </c>
      <c r="BY45" s="663"/>
      <c r="BZ45" s="663"/>
      <c r="CA45" s="34">
        <v>0</v>
      </c>
      <c r="CB45" s="49">
        <v>0.2092</v>
      </c>
      <c r="CC45" s="34" t="s">
        <v>470</v>
      </c>
      <c r="CD45" s="34">
        <v>1.9800000000000002E-2</v>
      </c>
      <c r="CE45" s="34">
        <v>0</v>
      </c>
      <c r="CF45" s="34"/>
      <c r="CG45" s="160"/>
      <c r="CH45" s="34" t="s">
        <v>656</v>
      </c>
      <c r="CI45" s="34">
        <v>0</v>
      </c>
      <c r="CJ45" s="34">
        <v>0</v>
      </c>
      <c r="CK45" s="34">
        <v>0</v>
      </c>
      <c r="CL45" s="34">
        <v>0</v>
      </c>
      <c r="CM45" s="113">
        <v>7.6399999999999996E-2</v>
      </c>
      <c r="CN45" s="34">
        <f>CN44/CN33</f>
        <v>0.10473047304730475</v>
      </c>
      <c r="CO45" s="34">
        <v>0</v>
      </c>
      <c r="CP45" s="34">
        <v>0</v>
      </c>
      <c r="CQ45" s="34">
        <f>CQ44/CQ33</f>
        <v>0</v>
      </c>
      <c r="CR45" s="130">
        <f>CR44/CR33</f>
        <v>0.169909645484289</v>
      </c>
      <c r="CS45" s="34">
        <f>CS44/CS33</f>
        <v>0.29283048516990767</v>
      </c>
      <c r="CT45" s="34">
        <f>CT44/CT33</f>
        <v>0.64465616192696051</v>
      </c>
      <c r="CU45" s="34"/>
      <c r="CV45" s="663"/>
      <c r="CW45" s="34">
        <f>CW44/CW33</f>
        <v>0.10108497030811141</v>
      </c>
      <c r="CX45" s="705">
        <v>0</v>
      </c>
      <c r="CY45" s="34">
        <v>3.61E-2</v>
      </c>
      <c r="CZ45" s="37" t="s">
        <v>1447</v>
      </c>
      <c r="DA45" s="29" t="s">
        <v>1482</v>
      </c>
      <c r="DB45" s="34">
        <v>0.1376</v>
      </c>
      <c r="DC45" s="34">
        <v>0</v>
      </c>
      <c r="DD45" s="34">
        <v>7.7100000000000002E-2</v>
      </c>
      <c r="DE45" s="34" t="s">
        <v>470</v>
      </c>
      <c r="DF45" s="34">
        <f>DF44/((59568308.21+16549463.8)/1000000)</f>
        <v>0.32979115070133802</v>
      </c>
      <c r="DG45" s="130"/>
      <c r="DH45" s="34"/>
      <c r="DI45" s="130"/>
      <c r="DJ45" s="707">
        <v>0.1573</v>
      </c>
      <c r="DK45" s="708"/>
      <c r="DL45" s="130"/>
      <c r="DM45" s="130"/>
      <c r="DN45" s="34">
        <v>0</v>
      </c>
      <c r="DO45" s="34">
        <v>2.5000000000000001E-2</v>
      </c>
      <c r="DP45" s="37" t="s">
        <v>656</v>
      </c>
      <c r="DQ45" s="34" t="s">
        <v>656</v>
      </c>
      <c r="DR45" s="34">
        <v>0</v>
      </c>
      <c r="DS45" s="34" t="s">
        <v>656</v>
      </c>
      <c r="DT45" s="34"/>
      <c r="DU45" s="34">
        <v>0</v>
      </c>
      <c r="DV45" s="34">
        <f>DV44/DV33</f>
        <v>0.13803426781348038</v>
      </c>
      <c r="DW45" s="36"/>
      <c r="DX45" s="34"/>
      <c r="DY45" s="726"/>
      <c r="DZ45" s="34"/>
      <c r="EA45" s="30">
        <v>0</v>
      </c>
      <c r="EB45" s="34"/>
      <c r="EC45" s="34">
        <f>EC44/EC33</f>
        <v>0.10197523522928287</v>
      </c>
      <c r="ED45" s="34">
        <v>0</v>
      </c>
      <c r="EE45" s="34">
        <f>EE44/EE33</f>
        <v>0.14204397434321028</v>
      </c>
      <c r="EF45" s="34">
        <v>0.28899999999999998</v>
      </c>
      <c r="EG45" s="663"/>
      <c r="EH45" s="709">
        <f>EH44/EH33</f>
        <v>0</v>
      </c>
      <c r="EI45" s="704">
        <f>EI44/EI33</f>
        <v>2.5700714506775029E-3</v>
      </c>
      <c r="EJ45" s="704">
        <v>0</v>
      </c>
      <c r="EK45" s="34">
        <v>0.2049</v>
      </c>
      <c r="EL45" s="34"/>
      <c r="EM45" s="704"/>
      <c r="EN45" s="720"/>
      <c r="EO45" s="34">
        <v>9.9400000000000002E-2</v>
      </c>
      <c r="EP45" s="34" t="s">
        <v>656</v>
      </c>
      <c r="EQ45" s="34" t="s">
        <v>470</v>
      </c>
      <c r="ER45" s="34">
        <f>ER44/ER33</f>
        <v>0.89293044246471209</v>
      </c>
      <c r="ES45" s="663"/>
      <c r="ET45" s="34">
        <v>0</v>
      </c>
      <c r="EU45" s="722">
        <f>EU44/EU33*100</f>
        <v>0</v>
      </c>
      <c r="EV45" s="160">
        <v>5.4048576013148719E-3</v>
      </c>
      <c r="EW45" s="34">
        <v>4.5999999999999999E-2</v>
      </c>
      <c r="EX45" s="34">
        <f>EX44/EX33</f>
        <v>0.12208462956608372</v>
      </c>
      <c r="EY45" s="34" t="s">
        <v>656</v>
      </c>
      <c r="EZ45" s="663"/>
      <c r="FA45" s="34">
        <f>FA44/FA33</f>
        <v>0</v>
      </c>
    </row>
    <row r="46" spans="1:157" ht="148" customHeight="1" x14ac:dyDescent="0.2">
      <c r="A46" s="1205" t="s">
        <v>86</v>
      </c>
      <c r="B46" s="1206" t="s">
        <v>87</v>
      </c>
      <c r="C46" s="167" t="s">
        <v>88</v>
      </c>
      <c r="D46" s="168" t="s">
        <v>89</v>
      </c>
      <c r="E46" s="699" t="s">
        <v>57</v>
      </c>
      <c r="F46" s="37">
        <v>0</v>
      </c>
      <c r="G46" s="37" t="s">
        <v>656</v>
      </c>
      <c r="H46" s="159">
        <v>1.6419999999999999</v>
      </c>
      <c r="I46" s="37">
        <v>57.973999999999997</v>
      </c>
      <c r="J46" s="37" t="s">
        <v>656</v>
      </c>
      <c r="K46" s="37" t="s">
        <v>656</v>
      </c>
      <c r="L46" s="37" t="s">
        <v>470</v>
      </c>
      <c r="M46" s="37">
        <v>0</v>
      </c>
      <c r="N46" s="49" t="s">
        <v>656</v>
      </c>
      <c r="O46" s="37" t="s">
        <v>656</v>
      </c>
      <c r="P46" s="37">
        <v>0</v>
      </c>
      <c r="Q46" s="29">
        <v>0</v>
      </c>
      <c r="R46" s="37">
        <v>0</v>
      </c>
      <c r="S46" s="37" t="s">
        <v>656</v>
      </c>
      <c r="T46" s="37">
        <v>0</v>
      </c>
      <c r="U46" s="37">
        <v>0</v>
      </c>
      <c r="V46" s="37">
        <v>0</v>
      </c>
      <c r="W46" s="37">
        <v>0</v>
      </c>
      <c r="X46" s="37">
        <v>0</v>
      </c>
      <c r="Y46" s="37">
        <v>559.20000000000005</v>
      </c>
      <c r="Z46" s="37">
        <v>4.2679999999999998</v>
      </c>
      <c r="AA46" s="37"/>
      <c r="AB46" s="37"/>
      <c r="AC46" s="37"/>
      <c r="AD46" s="68" t="s">
        <v>656</v>
      </c>
      <c r="AE46" s="159" t="s">
        <v>470</v>
      </c>
      <c r="AF46" s="34"/>
      <c r="AG46" s="37">
        <v>0</v>
      </c>
      <c r="AH46" s="68" t="s">
        <v>470</v>
      </c>
      <c r="AI46" s="37">
        <v>0</v>
      </c>
      <c r="AJ46" s="37">
        <v>8.4169999999999998</v>
      </c>
      <c r="AK46" s="663"/>
      <c r="AL46" s="37">
        <v>0</v>
      </c>
      <c r="AM46" s="37">
        <v>1297.155</v>
      </c>
      <c r="AN46" s="37">
        <v>6.9931000000000001</v>
      </c>
      <c r="AO46" s="37">
        <v>0</v>
      </c>
      <c r="AP46" s="663"/>
      <c r="AQ46" s="74">
        <v>0</v>
      </c>
      <c r="AR46" s="663"/>
      <c r="AS46" s="37">
        <v>1.625</v>
      </c>
      <c r="AT46" s="37">
        <v>274.31240000000003</v>
      </c>
      <c r="AU46" s="37">
        <v>0</v>
      </c>
      <c r="AV46" s="37"/>
      <c r="AW46" s="60"/>
      <c r="AX46" s="663"/>
      <c r="AY46" s="663"/>
      <c r="AZ46" s="37" t="s">
        <v>656</v>
      </c>
      <c r="BA46" s="37" t="s">
        <v>656</v>
      </c>
      <c r="BB46" s="37" t="s">
        <v>656</v>
      </c>
      <c r="BC46" s="37">
        <v>0</v>
      </c>
      <c r="BD46" s="37"/>
      <c r="BE46" s="37" t="s">
        <v>656</v>
      </c>
      <c r="BF46" s="37" t="s">
        <v>873</v>
      </c>
      <c r="BG46" s="37">
        <v>2.1934</v>
      </c>
      <c r="BH46" s="37" t="s">
        <v>656</v>
      </c>
      <c r="BI46" s="29" t="s">
        <v>656</v>
      </c>
      <c r="BJ46" s="38">
        <v>187.96100000000001</v>
      </c>
      <c r="BK46" s="37">
        <v>0</v>
      </c>
      <c r="BL46" s="101" t="s">
        <v>470</v>
      </c>
      <c r="BM46" s="37" t="s">
        <v>656</v>
      </c>
      <c r="BN46" s="54">
        <v>243.56</v>
      </c>
      <c r="BO46" s="675">
        <v>2.2818999999999998</v>
      </c>
      <c r="BP46" s="37">
        <v>0</v>
      </c>
      <c r="BQ46" s="37">
        <v>0</v>
      </c>
      <c r="BR46" s="37" t="s">
        <v>656</v>
      </c>
      <c r="BS46" s="37" t="s">
        <v>656</v>
      </c>
      <c r="BT46" s="29" t="s">
        <v>656</v>
      </c>
      <c r="BU46" s="37"/>
      <c r="BV46" s="37">
        <v>175.40289999999999</v>
      </c>
      <c r="BW46" s="37">
        <v>0</v>
      </c>
      <c r="BX46" s="37">
        <v>3.4542000000000002</v>
      </c>
      <c r="BY46" s="663"/>
      <c r="BZ46" s="663"/>
      <c r="CA46" s="37" t="s">
        <v>470</v>
      </c>
      <c r="CB46" s="68">
        <v>0</v>
      </c>
      <c r="CC46" s="37" t="s">
        <v>470</v>
      </c>
      <c r="CD46" s="37"/>
      <c r="CE46" s="37">
        <v>0</v>
      </c>
      <c r="CF46" s="37">
        <v>1.7549999999999999</v>
      </c>
      <c r="CG46" s="159">
        <v>108.52200000000001</v>
      </c>
      <c r="CH46" s="37" t="s">
        <v>656</v>
      </c>
      <c r="CI46" s="37">
        <v>0</v>
      </c>
      <c r="CJ46" s="37">
        <v>0</v>
      </c>
      <c r="CK46" s="37">
        <v>0</v>
      </c>
      <c r="CL46" s="37">
        <v>155.4</v>
      </c>
      <c r="CM46" s="116" t="s">
        <v>539</v>
      </c>
      <c r="CN46" s="37" t="s">
        <v>470</v>
      </c>
      <c r="CO46" s="37">
        <v>494.43849999999998</v>
      </c>
      <c r="CP46" s="37" t="s">
        <v>470</v>
      </c>
      <c r="CQ46" s="37">
        <v>1.2090000000000001</v>
      </c>
      <c r="CR46" s="131">
        <v>0</v>
      </c>
      <c r="CS46" s="37">
        <v>1.7635000000000001</v>
      </c>
      <c r="CT46" s="29" t="s">
        <v>3130</v>
      </c>
      <c r="CU46" s="37">
        <v>0</v>
      </c>
      <c r="CV46" s="663"/>
      <c r="CW46" s="37" t="s">
        <v>656</v>
      </c>
      <c r="CX46" s="1210" t="s">
        <v>1899</v>
      </c>
      <c r="CY46" s="37" t="s">
        <v>1447</v>
      </c>
      <c r="CZ46" s="37" t="s">
        <v>1447</v>
      </c>
      <c r="DA46" s="29" t="s">
        <v>1482</v>
      </c>
      <c r="DB46" s="37">
        <v>0</v>
      </c>
      <c r="DC46" s="139">
        <v>285.16120000000001</v>
      </c>
      <c r="DD46" s="139">
        <v>2.3835814499999999</v>
      </c>
      <c r="DE46" s="37" t="s">
        <v>470</v>
      </c>
      <c r="DF46" s="29">
        <v>33.228400000000001</v>
      </c>
      <c r="DG46" s="131" t="s">
        <v>470</v>
      </c>
      <c r="DH46" s="37">
        <v>0</v>
      </c>
      <c r="DI46" s="131">
        <v>0</v>
      </c>
      <c r="DJ46" s="701"/>
      <c r="DK46" s="667">
        <v>5.5030000000000001</v>
      </c>
      <c r="DL46" s="131">
        <v>1046.405</v>
      </c>
      <c r="DM46" s="131">
        <v>0</v>
      </c>
      <c r="DN46" s="37">
        <v>0</v>
      </c>
      <c r="DO46" s="37">
        <v>0</v>
      </c>
      <c r="DP46" s="37" t="s">
        <v>656</v>
      </c>
      <c r="DQ46" s="727">
        <v>1.0060370999999999</v>
      </c>
      <c r="DR46" s="38">
        <v>1532.2</v>
      </c>
      <c r="DS46" s="37" t="s">
        <v>656</v>
      </c>
      <c r="DT46" s="37"/>
      <c r="DU46" s="37">
        <v>0</v>
      </c>
      <c r="DV46" s="37" t="s">
        <v>656</v>
      </c>
      <c r="DW46" s="36">
        <v>0</v>
      </c>
      <c r="DX46" s="37">
        <v>6.1319999999999997</v>
      </c>
      <c r="DY46" s="29">
        <v>758.3</v>
      </c>
      <c r="DZ46" s="37">
        <v>127.0245</v>
      </c>
      <c r="EA46" s="36">
        <v>0</v>
      </c>
      <c r="EB46" s="37"/>
      <c r="EC46" s="37">
        <v>0</v>
      </c>
      <c r="ED46" s="29">
        <v>0</v>
      </c>
      <c r="EE46" s="37">
        <v>0</v>
      </c>
      <c r="EF46" s="37" t="s">
        <v>470</v>
      </c>
      <c r="EG46" s="663"/>
      <c r="EH46" s="186">
        <v>0.59792999999999996</v>
      </c>
      <c r="EI46" s="675">
        <v>0</v>
      </c>
      <c r="EJ46" s="675">
        <v>202.19159999999999</v>
      </c>
      <c r="EK46" s="37"/>
      <c r="EL46" s="37"/>
      <c r="EM46" s="675">
        <v>471.45299999999997</v>
      </c>
      <c r="EN46" s="48">
        <v>381.32429999999999</v>
      </c>
      <c r="EO46" s="52">
        <v>0</v>
      </c>
      <c r="EP46" s="37">
        <v>4.7510000000000003</v>
      </c>
      <c r="EQ46" s="37" t="s">
        <v>470</v>
      </c>
      <c r="ER46" s="29" t="s">
        <v>3683</v>
      </c>
      <c r="ES46" s="663"/>
      <c r="ET46" s="37">
        <v>357</v>
      </c>
      <c r="EU46" s="127">
        <v>0</v>
      </c>
      <c r="EV46" s="159" t="s">
        <v>656</v>
      </c>
      <c r="EW46" s="37">
        <v>0</v>
      </c>
      <c r="EX46" s="37" t="s">
        <v>470</v>
      </c>
      <c r="EY46" s="37" t="s">
        <v>656</v>
      </c>
      <c r="EZ46" s="663"/>
      <c r="FA46" s="37">
        <v>445.49400000000003</v>
      </c>
    </row>
    <row r="47" spans="1:157" ht="68" x14ac:dyDescent="0.2">
      <c r="A47" s="1205"/>
      <c r="B47" s="1206"/>
      <c r="C47" s="167" t="s">
        <v>90</v>
      </c>
      <c r="D47" s="168" t="s">
        <v>91</v>
      </c>
      <c r="E47" s="185" t="s">
        <v>64</v>
      </c>
      <c r="F47" s="34">
        <v>0</v>
      </c>
      <c r="G47" s="34" t="s">
        <v>656</v>
      </c>
      <c r="H47" s="160">
        <v>0.48199999999999998</v>
      </c>
      <c r="I47" s="34">
        <f>I46/$F$34</f>
        <v>4.3426217228464417</v>
      </c>
      <c r="J47" s="34" t="s">
        <v>656</v>
      </c>
      <c r="K47" s="34" t="s">
        <v>656</v>
      </c>
      <c r="L47" s="34"/>
      <c r="M47" s="34"/>
      <c r="N47" s="49" t="s">
        <v>656</v>
      </c>
      <c r="O47" s="34" t="s">
        <v>656</v>
      </c>
      <c r="P47" s="34">
        <v>0</v>
      </c>
      <c r="Q47" s="63">
        <v>0</v>
      </c>
      <c r="R47" s="34">
        <v>0</v>
      </c>
      <c r="S47" s="34" t="s">
        <v>656</v>
      </c>
      <c r="T47" s="34">
        <v>0</v>
      </c>
      <c r="U47" s="34">
        <v>0</v>
      </c>
      <c r="V47" s="34">
        <v>0</v>
      </c>
      <c r="W47" s="34">
        <v>0</v>
      </c>
      <c r="X47" s="34">
        <v>0</v>
      </c>
      <c r="Y47" s="34">
        <f>Y46/Y33</f>
        <v>0.6563380281690141</v>
      </c>
      <c r="Z47" s="34">
        <f>Z46/Z33</f>
        <v>5.1991083066353194E-2</v>
      </c>
      <c r="AA47" s="34"/>
      <c r="AB47" s="34"/>
      <c r="AC47" s="34"/>
      <c r="AD47" s="68" t="s">
        <v>656</v>
      </c>
      <c r="AE47" s="160" t="s">
        <v>656</v>
      </c>
      <c r="AF47" s="34"/>
      <c r="AG47" s="34">
        <v>0</v>
      </c>
      <c r="AH47" s="49" t="s">
        <v>470</v>
      </c>
      <c r="AI47" s="34"/>
      <c r="AJ47" s="34">
        <v>0.65900000000000003</v>
      </c>
      <c r="AK47" s="663"/>
      <c r="AL47" s="34"/>
      <c r="AM47" s="34">
        <v>0.9738</v>
      </c>
      <c r="AN47" s="34">
        <f>AN46/AN33</f>
        <v>0.77211200038475825</v>
      </c>
      <c r="AO47" s="34">
        <v>0</v>
      </c>
      <c r="AP47" s="663"/>
      <c r="AQ47" s="49"/>
      <c r="AR47" s="663"/>
      <c r="AS47" s="34">
        <f>1.625/30.883</f>
        <v>5.2617945147815953E-2</v>
      </c>
      <c r="AT47" s="34">
        <f>AT46/AT33</f>
        <v>0.42049023848571704</v>
      </c>
      <c r="AU47" s="34"/>
      <c r="AV47" s="34"/>
      <c r="AW47" s="60"/>
      <c r="AX47" s="663"/>
      <c r="AY47" s="663"/>
      <c r="AZ47" s="34" t="s">
        <v>656</v>
      </c>
      <c r="BA47" s="34" t="s">
        <v>656</v>
      </c>
      <c r="BB47" s="34" t="s">
        <v>656</v>
      </c>
      <c r="BC47" s="34"/>
      <c r="BD47" s="34"/>
      <c r="BE47" s="34" t="s">
        <v>656</v>
      </c>
      <c r="BF47" s="34"/>
      <c r="BG47" s="34">
        <f>BG46/BG33</f>
        <v>0.32674656122110918</v>
      </c>
      <c r="BH47" s="34" t="s">
        <v>656</v>
      </c>
      <c r="BI47" s="29" t="s">
        <v>656</v>
      </c>
      <c r="BJ47" s="34">
        <f>BJ46/BJ33</f>
        <v>0.7250742583805887</v>
      </c>
      <c r="BK47" s="34">
        <v>0</v>
      </c>
      <c r="BL47" s="101" t="s">
        <v>470</v>
      </c>
      <c r="BM47" s="34" t="s">
        <v>656</v>
      </c>
      <c r="BN47" s="44">
        <f>BN46/BN33*100</f>
        <v>81.356973932097858</v>
      </c>
      <c r="BO47" s="704">
        <v>0.68500000000000005</v>
      </c>
      <c r="BP47" s="34">
        <v>0</v>
      </c>
      <c r="BQ47" s="34"/>
      <c r="BR47" s="34" t="s">
        <v>656</v>
      </c>
      <c r="BS47" s="34" t="s">
        <v>656</v>
      </c>
      <c r="BT47" s="29" t="s">
        <v>656</v>
      </c>
      <c r="BU47" s="34"/>
      <c r="BV47" s="34">
        <f>BV46/BV33</f>
        <v>0.90869854657262084</v>
      </c>
      <c r="BW47" s="34">
        <v>0</v>
      </c>
      <c r="BX47" s="34">
        <f>BX46/BX33</f>
        <v>0.66071386592650094</v>
      </c>
      <c r="BY47" s="663"/>
      <c r="BZ47" s="663"/>
      <c r="CA47" s="34">
        <v>0</v>
      </c>
      <c r="CB47" s="49"/>
      <c r="CC47" s="34" t="s">
        <v>470</v>
      </c>
      <c r="CD47" s="34"/>
      <c r="CE47" s="34">
        <v>0</v>
      </c>
      <c r="CF47" s="34">
        <v>4.2999999999999997E-2</v>
      </c>
      <c r="CG47" s="160">
        <v>0.76700000000000002</v>
      </c>
      <c r="CH47" s="34" t="s">
        <v>656</v>
      </c>
      <c r="CI47" s="34">
        <v>0</v>
      </c>
      <c r="CJ47" s="34">
        <v>0</v>
      </c>
      <c r="CK47" s="34">
        <v>0</v>
      </c>
      <c r="CL47" s="34">
        <v>0.77600000000000002</v>
      </c>
      <c r="CM47" s="113" t="s">
        <v>539</v>
      </c>
      <c r="CN47" s="34" t="s">
        <v>470</v>
      </c>
      <c r="CO47" s="34">
        <f>CO46/CO33</f>
        <v>0.84127673812568382</v>
      </c>
      <c r="CP47" s="34" t="s">
        <v>470</v>
      </c>
      <c r="CQ47" s="34">
        <f>CQ46/CQ33</f>
        <v>0.62191358024691368</v>
      </c>
      <c r="CR47" s="130"/>
      <c r="CS47" s="34">
        <f>CS46/CS33</f>
        <v>0.69279120015714002</v>
      </c>
      <c r="CT47" s="29" t="s">
        <v>847</v>
      </c>
      <c r="CU47" s="34">
        <f>CU46/CU33</f>
        <v>0</v>
      </c>
      <c r="CV47" s="663"/>
      <c r="CW47" s="34" t="s">
        <v>656</v>
      </c>
      <c r="CX47" s="1210"/>
      <c r="CY47" s="34" t="s">
        <v>1447</v>
      </c>
      <c r="CZ47" s="34" t="s">
        <v>1447</v>
      </c>
      <c r="DA47" s="29" t="s">
        <v>1482</v>
      </c>
      <c r="DB47" s="34">
        <v>0</v>
      </c>
      <c r="DC47" s="34">
        <v>0.85050000000000003</v>
      </c>
      <c r="DD47" s="34">
        <v>0.3911</v>
      </c>
      <c r="DE47" s="34" t="s">
        <v>470</v>
      </c>
      <c r="DF47" s="34">
        <f>DF46/((59568308.21+16549463.8)/1000000)</f>
        <v>0.43653931430933901</v>
      </c>
      <c r="DG47" s="130"/>
      <c r="DH47" s="34"/>
      <c r="DI47" s="130"/>
      <c r="DJ47" s="707"/>
      <c r="DK47" s="708">
        <v>0.57020000000000004</v>
      </c>
      <c r="DL47" s="130">
        <v>0.9869</v>
      </c>
      <c r="DM47" s="131">
        <v>0</v>
      </c>
      <c r="DN47" s="34">
        <v>0</v>
      </c>
      <c r="DO47" s="34">
        <v>0</v>
      </c>
      <c r="DP47" s="34" t="s">
        <v>656</v>
      </c>
      <c r="DQ47" s="86">
        <f>DQ46/DQ33</f>
        <v>0.47293561006168855</v>
      </c>
      <c r="DR47" s="86">
        <f>DR46/DR33</f>
        <v>0.83800043754101949</v>
      </c>
      <c r="DS47" s="34" t="s">
        <v>656</v>
      </c>
      <c r="DT47" s="34"/>
      <c r="DU47" s="34">
        <v>0</v>
      </c>
      <c r="DV47" s="34" t="s">
        <v>656</v>
      </c>
      <c r="DW47" s="36">
        <v>0</v>
      </c>
      <c r="DX47" s="34">
        <v>0.98</v>
      </c>
      <c r="DY47" s="29">
        <v>97.6</v>
      </c>
      <c r="DZ47" s="34">
        <f>DZ46/DZ33</f>
        <v>0.93250766703664156</v>
      </c>
      <c r="EA47" s="36">
        <v>0</v>
      </c>
      <c r="EB47" s="34"/>
      <c r="EC47" s="34">
        <f>EC46/EC33</f>
        <v>0</v>
      </c>
      <c r="ED47" s="29">
        <v>0</v>
      </c>
      <c r="EE47" s="34">
        <v>0</v>
      </c>
      <c r="EF47" s="34" t="s">
        <v>470</v>
      </c>
      <c r="EG47" s="663"/>
      <c r="EH47" s="709">
        <f>EH46/EH33</f>
        <v>9.3730865613392986E-2</v>
      </c>
      <c r="EI47" s="704">
        <f>EI46/EI33</f>
        <v>0</v>
      </c>
      <c r="EJ47" s="704">
        <f>EJ46/EJ33</f>
        <v>0.36800796095080385</v>
      </c>
      <c r="EK47" s="34"/>
      <c r="EL47" s="34"/>
      <c r="EM47" s="704">
        <v>0.70640000000000003</v>
      </c>
      <c r="EN47" s="155">
        <v>0.81034956780233902</v>
      </c>
      <c r="EO47" s="34">
        <v>0</v>
      </c>
      <c r="EP47" s="34">
        <f>EP42/EP33</f>
        <v>7.1419178802721972E-2</v>
      </c>
      <c r="EQ47" s="34" t="s">
        <v>470</v>
      </c>
      <c r="ER47" s="29" t="s">
        <v>847</v>
      </c>
      <c r="ES47" s="663"/>
      <c r="ET47" s="34">
        <f>ET46/ET33</f>
        <v>0.40157480314960631</v>
      </c>
      <c r="EU47" s="127">
        <v>0</v>
      </c>
      <c r="EV47" s="160" t="s">
        <v>656</v>
      </c>
      <c r="EW47" s="34">
        <v>0</v>
      </c>
      <c r="EX47" s="34" t="s">
        <v>656</v>
      </c>
      <c r="EY47" s="34" t="s">
        <v>656</v>
      </c>
      <c r="EZ47" s="663"/>
      <c r="FA47" s="34">
        <f>FA46/FA33</f>
        <v>0.57219297355546617</v>
      </c>
    </row>
    <row r="48" spans="1:157" ht="205" customHeight="1" x14ac:dyDescent="0.2">
      <c r="A48" s="1205"/>
      <c r="B48" s="1206"/>
      <c r="C48" s="167" t="s">
        <v>92</v>
      </c>
      <c r="D48" s="168" t="s">
        <v>93</v>
      </c>
      <c r="E48" s="185" t="s">
        <v>15</v>
      </c>
      <c r="F48" s="29" t="s">
        <v>470</v>
      </c>
      <c r="G48" s="29" t="s">
        <v>656</v>
      </c>
      <c r="H48" s="662" t="s">
        <v>2458</v>
      </c>
      <c r="I48" s="29" t="s">
        <v>3601</v>
      </c>
      <c r="J48" s="29" t="s">
        <v>656</v>
      </c>
      <c r="K48" s="29" t="s">
        <v>656</v>
      </c>
      <c r="L48" s="29"/>
      <c r="M48" s="29"/>
      <c r="N48" s="49" t="s">
        <v>656</v>
      </c>
      <c r="O48" s="29" t="s">
        <v>656</v>
      </c>
      <c r="P48" s="29" t="s">
        <v>656</v>
      </c>
      <c r="Q48" s="64" t="s">
        <v>539</v>
      </c>
      <c r="R48" s="29" t="s">
        <v>656</v>
      </c>
      <c r="S48" s="29" t="s">
        <v>656</v>
      </c>
      <c r="T48" s="29" t="s">
        <v>1899</v>
      </c>
      <c r="U48" s="29" t="s">
        <v>1932</v>
      </c>
      <c r="V48" s="29" t="s">
        <v>1929</v>
      </c>
      <c r="W48" s="29" t="s">
        <v>470</v>
      </c>
      <c r="X48" s="29" t="s">
        <v>470</v>
      </c>
      <c r="Y48" s="29" t="s">
        <v>846</v>
      </c>
      <c r="Z48" s="29" t="s">
        <v>874</v>
      </c>
      <c r="AA48" s="29"/>
      <c r="AB48" s="29"/>
      <c r="AC48" s="29"/>
      <c r="AD48" s="68" t="s">
        <v>656</v>
      </c>
      <c r="AE48" s="662" t="s">
        <v>656</v>
      </c>
      <c r="AF48" s="29"/>
      <c r="AG48" s="29"/>
      <c r="AH48" s="48" t="s">
        <v>470</v>
      </c>
      <c r="AI48" s="29"/>
      <c r="AJ48" s="29" t="s">
        <v>953</v>
      </c>
      <c r="AK48" s="663"/>
      <c r="AL48" s="29" t="s">
        <v>656</v>
      </c>
      <c r="AM48" s="29" t="s">
        <v>3494</v>
      </c>
      <c r="AN48" s="29" t="s">
        <v>3519</v>
      </c>
      <c r="AO48" s="29"/>
      <c r="AP48" s="663"/>
      <c r="AQ48" s="48"/>
      <c r="AR48" s="663"/>
      <c r="AS48" s="29" t="s">
        <v>1964</v>
      </c>
      <c r="AT48" s="29" t="s">
        <v>1984</v>
      </c>
      <c r="AU48" s="29"/>
      <c r="AV48" s="29"/>
      <c r="AW48" s="60"/>
      <c r="AX48" s="663"/>
      <c r="AY48" s="663"/>
      <c r="AZ48" s="29" t="s">
        <v>656</v>
      </c>
      <c r="BA48" s="29" t="s">
        <v>656</v>
      </c>
      <c r="BB48" s="29" t="s">
        <v>656</v>
      </c>
      <c r="BC48" s="29"/>
      <c r="BD48" s="29"/>
      <c r="BE48" s="29" t="s">
        <v>656</v>
      </c>
      <c r="BF48" s="29"/>
      <c r="BG48" s="29" t="s">
        <v>1050</v>
      </c>
      <c r="BH48" s="29" t="s">
        <v>656</v>
      </c>
      <c r="BI48" s="29" t="s">
        <v>656</v>
      </c>
      <c r="BJ48" s="29" t="s">
        <v>1109</v>
      </c>
      <c r="BK48" s="29"/>
      <c r="BL48" s="101" t="s">
        <v>470</v>
      </c>
      <c r="BM48" s="29" t="s">
        <v>656</v>
      </c>
      <c r="BN48" s="54" t="s">
        <v>3561</v>
      </c>
      <c r="BO48" s="186" t="s">
        <v>3552</v>
      </c>
      <c r="BP48" s="29" t="s">
        <v>470</v>
      </c>
      <c r="BQ48" s="29" t="s">
        <v>470</v>
      </c>
      <c r="BR48" s="29" t="s">
        <v>656</v>
      </c>
      <c r="BS48" s="29" t="s">
        <v>656</v>
      </c>
      <c r="BT48" s="29" t="s">
        <v>656</v>
      </c>
      <c r="BU48" s="29"/>
      <c r="BV48" s="29" t="s">
        <v>2946</v>
      </c>
      <c r="BW48" s="29" t="s">
        <v>470</v>
      </c>
      <c r="BX48" s="29" t="s">
        <v>2980</v>
      </c>
      <c r="BY48" s="663"/>
      <c r="BZ48" s="663"/>
      <c r="CA48" s="29" t="s">
        <v>873</v>
      </c>
      <c r="CB48" s="48"/>
      <c r="CC48" s="29" t="s">
        <v>470</v>
      </c>
      <c r="CD48" s="29"/>
      <c r="CE48" s="29" t="s">
        <v>656</v>
      </c>
      <c r="CF48" s="29" t="s">
        <v>1239</v>
      </c>
      <c r="CG48" s="662" t="s">
        <v>1239</v>
      </c>
      <c r="CH48" s="29" t="s">
        <v>656</v>
      </c>
      <c r="CI48" s="29" t="s">
        <v>656</v>
      </c>
      <c r="CJ48" s="29" t="s">
        <v>656</v>
      </c>
      <c r="CK48" s="29" t="s">
        <v>656</v>
      </c>
      <c r="CL48" s="29" t="s">
        <v>1334</v>
      </c>
      <c r="CM48" s="110" t="s">
        <v>539</v>
      </c>
      <c r="CN48" s="29" t="s">
        <v>470</v>
      </c>
      <c r="CO48" s="29" t="s">
        <v>3396</v>
      </c>
      <c r="CP48" s="29" t="s">
        <v>470</v>
      </c>
      <c r="CQ48" s="29" t="s">
        <v>3176</v>
      </c>
      <c r="CR48" s="127"/>
      <c r="CS48" s="29" t="s">
        <v>3096</v>
      </c>
      <c r="CT48" s="29" t="s">
        <v>3127</v>
      </c>
      <c r="CU48" s="29" t="s">
        <v>656</v>
      </c>
      <c r="CV48" s="663"/>
      <c r="CW48" s="29" t="s">
        <v>656</v>
      </c>
      <c r="CX48" s="1210"/>
      <c r="CY48" s="29" t="s">
        <v>1447</v>
      </c>
      <c r="CZ48" s="29" t="s">
        <v>1447</v>
      </c>
      <c r="DA48" s="29" t="s">
        <v>1482</v>
      </c>
      <c r="DB48" s="29" t="s">
        <v>1924</v>
      </c>
      <c r="DC48" s="29" t="s">
        <v>3639</v>
      </c>
      <c r="DD48" s="54" t="s">
        <v>2866</v>
      </c>
      <c r="DE48" s="34" t="s">
        <v>470</v>
      </c>
      <c r="DF48" s="29" t="s">
        <v>3318</v>
      </c>
      <c r="DG48" s="127"/>
      <c r="DH48" s="29"/>
      <c r="DI48" s="127"/>
      <c r="DJ48" s="666"/>
      <c r="DK48" s="667" t="s">
        <v>2823</v>
      </c>
      <c r="DL48" s="127" t="s">
        <v>2806</v>
      </c>
      <c r="DM48" s="131" t="s">
        <v>470</v>
      </c>
      <c r="DN48" s="29" t="s">
        <v>470</v>
      </c>
      <c r="DO48" s="29" t="s">
        <v>470</v>
      </c>
      <c r="DP48" s="29" t="s">
        <v>656</v>
      </c>
      <c r="DQ48" s="34" t="s">
        <v>2589</v>
      </c>
      <c r="DR48" s="29" t="s">
        <v>2554</v>
      </c>
      <c r="DS48" s="29" t="s">
        <v>656</v>
      </c>
      <c r="DT48" s="29"/>
      <c r="DU48" s="29" t="s">
        <v>470</v>
      </c>
      <c r="DV48" s="29" t="s">
        <v>656</v>
      </c>
      <c r="DW48" s="36" t="s">
        <v>539</v>
      </c>
      <c r="DX48" s="29" t="s">
        <v>2446</v>
      </c>
      <c r="DY48" s="29" t="s">
        <v>2468</v>
      </c>
      <c r="DZ48" s="29" t="s">
        <v>2458</v>
      </c>
      <c r="EA48" s="36" t="s">
        <v>539</v>
      </c>
      <c r="EB48" s="29"/>
      <c r="EC48" s="29" t="s">
        <v>1447</v>
      </c>
      <c r="ED48" s="29">
        <v>0</v>
      </c>
      <c r="EE48" s="29" t="s">
        <v>470</v>
      </c>
      <c r="EF48" s="29" t="s">
        <v>470</v>
      </c>
      <c r="EG48" s="663"/>
      <c r="EH48" s="184" t="s">
        <v>2348</v>
      </c>
      <c r="EI48" s="186" t="s">
        <v>656</v>
      </c>
      <c r="EJ48" s="186" t="s">
        <v>2370</v>
      </c>
      <c r="EK48" s="29"/>
      <c r="EL48" s="29"/>
      <c r="EM48" s="186" t="s">
        <v>2210</v>
      </c>
      <c r="EN48" s="48" t="s">
        <v>2239</v>
      </c>
      <c r="EO48" s="29" t="s">
        <v>470</v>
      </c>
      <c r="EP48" s="29" t="s">
        <v>1555</v>
      </c>
      <c r="EQ48" s="29" t="s">
        <v>470</v>
      </c>
      <c r="ER48" s="29" t="s">
        <v>3681</v>
      </c>
      <c r="ES48" s="663"/>
      <c r="ET48" s="29" t="s">
        <v>1620</v>
      </c>
      <c r="EU48" s="127">
        <v>0</v>
      </c>
      <c r="EV48" s="662" t="s">
        <v>656</v>
      </c>
      <c r="EW48" s="29"/>
      <c r="EX48" s="29" t="s">
        <v>656</v>
      </c>
      <c r="EY48" s="29" t="s">
        <v>656</v>
      </c>
      <c r="EZ48" s="663"/>
      <c r="FA48" s="29" t="s">
        <v>1620</v>
      </c>
    </row>
    <row r="49" spans="1:157" ht="153" x14ac:dyDescent="0.2">
      <c r="A49" s="1205"/>
      <c r="B49" s="1206"/>
      <c r="C49" s="167" t="s">
        <v>94</v>
      </c>
      <c r="D49" s="168" t="s">
        <v>95</v>
      </c>
      <c r="E49" s="185" t="s">
        <v>15</v>
      </c>
      <c r="F49" s="29" t="s">
        <v>470</v>
      </c>
      <c r="G49" s="29" t="s">
        <v>656</v>
      </c>
      <c r="H49" s="662" t="s">
        <v>875</v>
      </c>
      <c r="I49" s="29" t="s">
        <v>847</v>
      </c>
      <c r="J49" s="29" t="s">
        <v>656</v>
      </c>
      <c r="K49" s="29" t="s">
        <v>656</v>
      </c>
      <c r="L49" s="29"/>
      <c r="M49" s="29"/>
      <c r="N49" s="49" t="s">
        <v>656</v>
      </c>
      <c r="O49" s="29" t="s">
        <v>656</v>
      </c>
      <c r="P49" s="29" t="s">
        <v>656</v>
      </c>
      <c r="Q49" s="54" t="s">
        <v>539</v>
      </c>
      <c r="R49" s="29" t="s">
        <v>656</v>
      </c>
      <c r="S49" s="29" t="s">
        <v>656</v>
      </c>
      <c r="T49" s="29" t="s">
        <v>1899</v>
      </c>
      <c r="U49" s="29" t="s">
        <v>1930</v>
      </c>
      <c r="V49" s="29" t="s">
        <v>1929</v>
      </c>
      <c r="W49" s="29" t="s">
        <v>470</v>
      </c>
      <c r="X49" s="29" t="s">
        <v>470</v>
      </c>
      <c r="Y49" s="29" t="s">
        <v>847</v>
      </c>
      <c r="Z49" s="29" t="s">
        <v>875</v>
      </c>
      <c r="AA49" s="29"/>
      <c r="AB49" s="29"/>
      <c r="AC49" s="29"/>
      <c r="AD49" s="68" t="s">
        <v>656</v>
      </c>
      <c r="AE49" s="662" t="s">
        <v>656</v>
      </c>
      <c r="AF49" s="29"/>
      <c r="AG49" s="29"/>
      <c r="AH49" s="48" t="s">
        <v>470</v>
      </c>
      <c r="AI49" s="29"/>
      <c r="AJ49" s="29" t="s">
        <v>954</v>
      </c>
      <c r="AK49" s="663"/>
      <c r="AL49" s="29" t="s">
        <v>656</v>
      </c>
      <c r="AM49" s="29" t="s">
        <v>3495</v>
      </c>
      <c r="AN49" s="29" t="s">
        <v>875</v>
      </c>
      <c r="AO49" s="29"/>
      <c r="AP49" s="663"/>
      <c r="AQ49" s="48"/>
      <c r="AR49" s="663"/>
      <c r="AS49" s="29" t="s">
        <v>1965</v>
      </c>
      <c r="AT49" s="29" t="s">
        <v>847</v>
      </c>
      <c r="AU49" s="29"/>
      <c r="AV49" s="29"/>
      <c r="AW49" s="60"/>
      <c r="AX49" s="663"/>
      <c r="AY49" s="663"/>
      <c r="AZ49" s="29" t="s">
        <v>656</v>
      </c>
      <c r="BA49" s="29" t="s">
        <v>656</v>
      </c>
      <c r="BB49" s="29" t="s">
        <v>656</v>
      </c>
      <c r="BC49" s="29"/>
      <c r="BD49" s="29"/>
      <c r="BE49" s="29" t="s">
        <v>656</v>
      </c>
      <c r="BF49" s="29"/>
      <c r="BG49" s="29" t="s">
        <v>875</v>
      </c>
      <c r="BH49" s="29" t="s">
        <v>656</v>
      </c>
      <c r="BI49" s="29" t="s">
        <v>656</v>
      </c>
      <c r="BJ49" s="29" t="s">
        <v>1110</v>
      </c>
      <c r="BK49" s="29"/>
      <c r="BL49" s="101" t="s">
        <v>470</v>
      </c>
      <c r="BM49" s="29" t="s">
        <v>656</v>
      </c>
      <c r="BN49" s="29" t="s">
        <v>3562</v>
      </c>
      <c r="BO49" s="186" t="s">
        <v>875</v>
      </c>
      <c r="BP49" s="29" t="s">
        <v>470</v>
      </c>
      <c r="BQ49" s="29" t="s">
        <v>470</v>
      </c>
      <c r="BR49" s="29" t="s">
        <v>656</v>
      </c>
      <c r="BS49" s="29" t="s">
        <v>656</v>
      </c>
      <c r="BT49" s="37" t="s">
        <v>656</v>
      </c>
      <c r="BU49" s="29"/>
      <c r="BV49" s="29" t="s">
        <v>847</v>
      </c>
      <c r="BW49" s="29" t="s">
        <v>470</v>
      </c>
      <c r="BX49" s="29" t="s">
        <v>875</v>
      </c>
      <c r="BY49" s="663"/>
      <c r="BZ49" s="663"/>
      <c r="CA49" s="29"/>
      <c r="CB49" s="48"/>
      <c r="CC49" s="29" t="s">
        <v>470</v>
      </c>
      <c r="CD49" s="29"/>
      <c r="CE49" s="29" t="s">
        <v>656</v>
      </c>
      <c r="CF49" s="54" t="s">
        <v>875</v>
      </c>
      <c r="CG49" s="695" t="s">
        <v>875</v>
      </c>
      <c r="CH49" s="29" t="s">
        <v>656</v>
      </c>
      <c r="CI49" s="29" t="s">
        <v>656</v>
      </c>
      <c r="CJ49" s="29" t="s">
        <v>656</v>
      </c>
      <c r="CK49" s="29" t="s">
        <v>656</v>
      </c>
      <c r="CL49" s="29" t="s">
        <v>847</v>
      </c>
      <c r="CM49" s="110" t="s">
        <v>539</v>
      </c>
      <c r="CN49" s="29" t="s">
        <v>470</v>
      </c>
      <c r="CO49" s="29" t="s">
        <v>847</v>
      </c>
      <c r="CP49" s="29" t="s">
        <v>470</v>
      </c>
      <c r="CQ49" s="29" t="s">
        <v>3177</v>
      </c>
      <c r="CR49" s="127"/>
      <c r="CS49" s="29" t="s">
        <v>875</v>
      </c>
      <c r="CT49" s="29"/>
      <c r="CU49" s="29" t="s">
        <v>656</v>
      </c>
      <c r="CV49" s="663"/>
      <c r="CW49" s="29" t="s">
        <v>656</v>
      </c>
      <c r="CX49" s="1210"/>
      <c r="CY49" s="29" t="s">
        <v>1447</v>
      </c>
      <c r="CZ49" s="29" t="s">
        <v>1447</v>
      </c>
      <c r="DA49" s="29" t="s">
        <v>1482</v>
      </c>
      <c r="DB49" s="29" t="s">
        <v>1924</v>
      </c>
      <c r="DC49" s="29" t="s">
        <v>3640</v>
      </c>
      <c r="DD49" s="54" t="s">
        <v>875</v>
      </c>
      <c r="DE49" s="34" t="s">
        <v>470</v>
      </c>
      <c r="DF49" s="29" t="s">
        <v>875</v>
      </c>
      <c r="DG49" s="127"/>
      <c r="DH49" s="29"/>
      <c r="DI49" s="127"/>
      <c r="DJ49" s="666"/>
      <c r="DK49" s="667" t="s">
        <v>875</v>
      </c>
      <c r="DL49" s="127" t="s">
        <v>847</v>
      </c>
      <c r="DM49" s="131" t="s">
        <v>470</v>
      </c>
      <c r="DN49" s="29" t="s">
        <v>470</v>
      </c>
      <c r="DO49" s="29" t="s">
        <v>470</v>
      </c>
      <c r="DP49" s="29" t="s">
        <v>656</v>
      </c>
      <c r="DQ49" s="29" t="s">
        <v>875</v>
      </c>
      <c r="DR49" s="29" t="s">
        <v>847</v>
      </c>
      <c r="DS49" s="29" t="s">
        <v>656</v>
      </c>
      <c r="DT49" s="29"/>
      <c r="DU49" s="29" t="s">
        <v>470</v>
      </c>
      <c r="DV49" s="29" t="s">
        <v>656</v>
      </c>
      <c r="DW49" s="36" t="s">
        <v>539</v>
      </c>
      <c r="DX49" s="29" t="s">
        <v>875</v>
      </c>
      <c r="DY49" s="29" t="s">
        <v>2469</v>
      </c>
      <c r="DZ49" s="29" t="s">
        <v>875</v>
      </c>
      <c r="EA49" s="36" t="s">
        <v>539</v>
      </c>
      <c r="EB49" s="29"/>
      <c r="EC49" s="29" t="s">
        <v>1447</v>
      </c>
      <c r="ED49" s="29" t="s">
        <v>470</v>
      </c>
      <c r="EE49" s="29" t="s">
        <v>470</v>
      </c>
      <c r="EF49" s="29" t="s">
        <v>470</v>
      </c>
      <c r="EG49" s="663"/>
      <c r="EH49" s="184" t="s">
        <v>875</v>
      </c>
      <c r="EI49" s="184" t="s">
        <v>656</v>
      </c>
      <c r="EJ49" s="184" t="s">
        <v>847</v>
      </c>
      <c r="EK49" s="29"/>
      <c r="EL49" s="29"/>
      <c r="EM49" s="186" t="s">
        <v>875</v>
      </c>
      <c r="EN49" s="29" t="s">
        <v>2240</v>
      </c>
      <c r="EO49" s="29" t="s">
        <v>470</v>
      </c>
      <c r="EP49" s="29" t="s">
        <v>875</v>
      </c>
      <c r="EQ49" s="29" t="s">
        <v>470</v>
      </c>
      <c r="ER49" s="29" t="s">
        <v>479</v>
      </c>
      <c r="ES49" s="663"/>
      <c r="ET49" s="29" t="s">
        <v>1110</v>
      </c>
      <c r="EU49" s="127">
        <v>0</v>
      </c>
      <c r="EV49" s="662" t="s">
        <v>656</v>
      </c>
      <c r="EW49" s="29"/>
      <c r="EX49" s="29" t="s">
        <v>656</v>
      </c>
      <c r="EY49" s="29" t="s">
        <v>656</v>
      </c>
      <c r="EZ49" s="663"/>
      <c r="FA49" s="29" t="s">
        <v>1110</v>
      </c>
    </row>
    <row r="50" spans="1:157" ht="372" x14ac:dyDescent="0.2">
      <c r="A50" s="1205"/>
      <c r="B50" s="1206"/>
      <c r="C50" s="167" t="s">
        <v>96</v>
      </c>
      <c r="D50" s="168" t="s">
        <v>97</v>
      </c>
      <c r="E50" s="185" t="s">
        <v>15</v>
      </c>
      <c r="F50" s="29" t="s">
        <v>470</v>
      </c>
      <c r="G50" s="29" t="s">
        <v>656</v>
      </c>
      <c r="H50" s="662" t="s">
        <v>3588</v>
      </c>
      <c r="I50" s="29" t="s">
        <v>3602</v>
      </c>
      <c r="J50" s="29" t="s">
        <v>656</v>
      </c>
      <c r="K50" s="29" t="s">
        <v>656</v>
      </c>
      <c r="L50" s="29"/>
      <c r="M50" s="29"/>
      <c r="N50" s="49" t="s">
        <v>656</v>
      </c>
      <c r="O50" s="29" t="s">
        <v>656</v>
      </c>
      <c r="P50" s="29" t="s">
        <v>656</v>
      </c>
      <c r="Q50" s="29" t="s">
        <v>539</v>
      </c>
      <c r="R50" s="29" t="s">
        <v>656</v>
      </c>
      <c r="S50" s="29" t="s">
        <v>656</v>
      </c>
      <c r="T50" s="29" t="s">
        <v>1899</v>
      </c>
      <c r="U50" s="29" t="s">
        <v>1930</v>
      </c>
      <c r="V50" s="29" t="s">
        <v>1929</v>
      </c>
      <c r="W50" s="29" t="s">
        <v>470</v>
      </c>
      <c r="X50" s="29" t="s">
        <v>470</v>
      </c>
      <c r="Y50" s="29" t="s">
        <v>848</v>
      </c>
      <c r="Z50" s="29" t="s">
        <v>871</v>
      </c>
      <c r="AA50" s="29"/>
      <c r="AB50" s="29"/>
      <c r="AC50" s="29"/>
      <c r="AD50" s="68" t="s">
        <v>656</v>
      </c>
      <c r="AE50" s="662" t="s">
        <v>656</v>
      </c>
      <c r="AF50" s="29"/>
      <c r="AG50" s="29"/>
      <c r="AH50" s="48" t="s">
        <v>470</v>
      </c>
      <c r="AI50" s="29"/>
      <c r="AJ50" s="29" t="s">
        <v>955</v>
      </c>
      <c r="AK50" s="663"/>
      <c r="AL50" s="29"/>
      <c r="AM50" s="29" t="s">
        <v>3491</v>
      </c>
      <c r="AN50" s="29" t="s">
        <v>3517</v>
      </c>
      <c r="AO50" s="29"/>
      <c r="AP50" s="663"/>
      <c r="AQ50" s="48"/>
      <c r="AR50" s="663"/>
      <c r="AS50" s="29" t="s">
        <v>1962</v>
      </c>
      <c r="AT50" s="29" t="s">
        <v>1985</v>
      </c>
      <c r="AU50" s="29"/>
      <c r="AV50" s="29"/>
      <c r="AW50" s="60"/>
      <c r="AX50" s="663"/>
      <c r="AY50" s="663"/>
      <c r="AZ50" s="29" t="s">
        <v>656</v>
      </c>
      <c r="BA50" s="29" t="s">
        <v>656</v>
      </c>
      <c r="BB50" s="29" t="s">
        <v>656</v>
      </c>
      <c r="BC50" s="29"/>
      <c r="BD50" s="29"/>
      <c r="BE50" s="29" t="s">
        <v>656</v>
      </c>
      <c r="BF50" s="29"/>
      <c r="BG50" s="29" t="s">
        <v>1048</v>
      </c>
      <c r="BH50" s="29" t="s">
        <v>656</v>
      </c>
      <c r="BI50" s="29" t="s">
        <v>656</v>
      </c>
      <c r="BJ50" s="29" t="s">
        <v>1108</v>
      </c>
      <c r="BK50" s="29"/>
      <c r="BL50" s="101" t="s">
        <v>470</v>
      </c>
      <c r="BM50" s="29" t="s">
        <v>656</v>
      </c>
      <c r="BN50" s="29" t="s">
        <v>3560</v>
      </c>
      <c r="BO50" s="186" t="s">
        <v>3550</v>
      </c>
      <c r="BP50" s="29" t="s">
        <v>470</v>
      </c>
      <c r="BQ50" s="29" t="s">
        <v>470</v>
      </c>
      <c r="BR50" s="29" t="s">
        <v>656</v>
      </c>
      <c r="BS50" s="29" t="s">
        <v>656</v>
      </c>
      <c r="BT50" s="34" t="s">
        <v>656</v>
      </c>
      <c r="BU50" s="29"/>
      <c r="BV50" s="29" t="s">
        <v>2944</v>
      </c>
      <c r="BW50" s="29" t="s">
        <v>470</v>
      </c>
      <c r="BX50" s="169" t="s">
        <v>2976</v>
      </c>
      <c r="BY50" s="663"/>
      <c r="BZ50" s="663"/>
      <c r="CA50" s="29"/>
      <c r="CB50" s="48"/>
      <c r="CC50" s="29" t="s">
        <v>470</v>
      </c>
      <c r="CD50" s="29"/>
      <c r="CE50" s="29" t="s">
        <v>656</v>
      </c>
      <c r="CF50" s="29" t="s">
        <v>1236</v>
      </c>
      <c r="CG50" s="662" t="s">
        <v>1236</v>
      </c>
      <c r="CH50" s="29" t="s">
        <v>656</v>
      </c>
      <c r="CI50" s="29" t="s">
        <v>656</v>
      </c>
      <c r="CJ50" s="29" t="s">
        <v>656</v>
      </c>
      <c r="CK50" s="29" t="s">
        <v>656</v>
      </c>
      <c r="CL50" s="29" t="s">
        <v>1332</v>
      </c>
      <c r="CM50" s="110" t="s">
        <v>539</v>
      </c>
      <c r="CN50" s="29" t="s">
        <v>470</v>
      </c>
      <c r="CO50" s="29" t="s">
        <v>3394</v>
      </c>
      <c r="CP50" s="29" t="s">
        <v>470</v>
      </c>
      <c r="CQ50" s="29" t="s">
        <v>3174</v>
      </c>
      <c r="CR50" s="127"/>
      <c r="CS50" s="29" t="s">
        <v>3094</v>
      </c>
      <c r="CT50" s="29"/>
      <c r="CU50" s="29" t="s">
        <v>656</v>
      </c>
      <c r="CV50" s="663"/>
      <c r="CW50" s="29" t="s">
        <v>656</v>
      </c>
      <c r="CX50" s="1210"/>
      <c r="CY50" s="29" t="s">
        <v>1447</v>
      </c>
      <c r="CZ50" s="29" t="s">
        <v>1447</v>
      </c>
      <c r="DA50" s="29" t="s">
        <v>1482</v>
      </c>
      <c r="DB50" s="29" t="s">
        <v>1924</v>
      </c>
      <c r="DC50" s="29" t="s">
        <v>3637</v>
      </c>
      <c r="DD50" s="63" t="s">
        <v>2864</v>
      </c>
      <c r="DE50" s="34" t="s">
        <v>470</v>
      </c>
      <c r="DF50" s="29" t="s">
        <v>3316</v>
      </c>
      <c r="DG50" s="127"/>
      <c r="DH50" s="29"/>
      <c r="DI50" s="127"/>
      <c r="DJ50" s="666"/>
      <c r="DK50" s="708" t="s">
        <v>2824</v>
      </c>
      <c r="DL50" s="130" t="s">
        <v>2803</v>
      </c>
      <c r="DM50" s="131" t="s">
        <v>470</v>
      </c>
      <c r="DN50" s="29" t="s">
        <v>470</v>
      </c>
      <c r="DO50" s="29" t="s">
        <v>470</v>
      </c>
      <c r="DP50" s="29" t="s">
        <v>656</v>
      </c>
      <c r="DQ50" s="29" t="s">
        <v>2587</v>
      </c>
      <c r="DR50" s="29" t="s">
        <v>2553</v>
      </c>
      <c r="DS50" s="29" t="s">
        <v>656</v>
      </c>
      <c r="DT50" s="29"/>
      <c r="DU50" s="29" t="s">
        <v>470</v>
      </c>
      <c r="DV50" s="29" t="s">
        <v>656</v>
      </c>
      <c r="DW50" s="36" t="s">
        <v>539</v>
      </c>
      <c r="DX50" s="29" t="s">
        <v>2444</v>
      </c>
      <c r="DY50" s="29" t="s">
        <v>2467</v>
      </c>
      <c r="DZ50" s="29" t="s">
        <v>2444</v>
      </c>
      <c r="EA50" s="36" t="s">
        <v>539</v>
      </c>
      <c r="EB50" s="29"/>
      <c r="EC50" s="29" t="s">
        <v>1447</v>
      </c>
      <c r="ED50" s="29" t="s">
        <v>470</v>
      </c>
      <c r="EE50" s="29" t="s">
        <v>470</v>
      </c>
      <c r="EF50" s="29" t="s">
        <v>470</v>
      </c>
      <c r="EG50" s="663"/>
      <c r="EH50" s="184" t="s">
        <v>2346</v>
      </c>
      <c r="EI50" s="184" t="s">
        <v>656</v>
      </c>
      <c r="EJ50" s="184" t="s">
        <v>2368</v>
      </c>
      <c r="EK50" s="29"/>
      <c r="EL50" s="29"/>
      <c r="EM50" s="186" t="s">
        <v>2208</v>
      </c>
      <c r="EN50" s="29" t="s">
        <v>2236</v>
      </c>
      <c r="EO50" s="29" t="s">
        <v>470</v>
      </c>
      <c r="EP50" s="29" t="s">
        <v>1552</v>
      </c>
      <c r="EQ50" s="29" t="s">
        <v>470</v>
      </c>
      <c r="ER50" s="29" t="s">
        <v>3684</v>
      </c>
      <c r="ES50" s="663"/>
      <c r="ET50" s="29" t="s">
        <v>3344</v>
      </c>
      <c r="EU50" s="127">
        <v>0</v>
      </c>
      <c r="EV50" s="662" t="s">
        <v>656</v>
      </c>
      <c r="EW50" s="29"/>
      <c r="EX50" s="29" t="s">
        <v>656</v>
      </c>
      <c r="EY50" s="29" t="s">
        <v>656</v>
      </c>
      <c r="EZ50" s="663"/>
      <c r="FA50" s="29" t="s">
        <v>1621</v>
      </c>
    </row>
    <row r="51" spans="1:157" ht="68" x14ac:dyDescent="0.2">
      <c r="A51" s="1205" t="s">
        <v>98</v>
      </c>
      <c r="B51" s="1206" t="s">
        <v>99</v>
      </c>
      <c r="C51" s="167" t="s">
        <v>100</v>
      </c>
      <c r="D51" s="168" t="s">
        <v>101</v>
      </c>
      <c r="E51" s="185" t="s">
        <v>102</v>
      </c>
      <c r="F51" s="29" t="s">
        <v>479</v>
      </c>
      <c r="G51" s="29" t="s">
        <v>479</v>
      </c>
      <c r="H51" s="662" t="s">
        <v>479</v>
      </c>
      <c r="I51" s="29" t="s">
        <v>479</v>
      </c>
      <c r="J51" s="29" t="s">
        <v>540</v>
      </c>
      <c r="K51" s="29" t="s">
        <v>3200</v>
      </c>
      <c r="L51" s="29" t="s">
        <v>540</v>
      </c>
      <c r="M51" s="29" t="s">
        <v>479</v>
      </c>
      <c r="N51" s="29" t="s">
        <v>479</v>
      </c>
      <c r="O51" s="29" t="s">
        <v>540</v>
      </c>
      <c r="P51" s="29" t="s">
        <v>539</v>
      </c>
      <c r="Q51" s="29" t="s">
        <v>539</v>
      </c>
      <c r="R51" s="29" t="s">
        <v>539</v>
      </c>
      <c r="S51" s="29" t="s">
        <v>540</v>
      </c>
      <c r="T51" s="29" t="s">
        <v>470</v>
      </c>
      <c r="U51" s="29" t="s">
        <v>479</v>
      </c>
      <c r="V51" s="29" t="s">
        <v>479</v>
      </c>
      <c r="W51" s="29" t="s">
        <v>470</v>
      </c>
      <c r="X51" s="29" t="s">
        <v>470</v>
      </c>
      <c r="Y51" s="29" t="s">
        <v>470</v>
      </c>
      <c r="Z51" s="29" t="s">
        <v>540</v>
      </c>
      <c r="AA51" s="29" t="s">
        <v>470</v>
      </c>
      <c r="AB51" s="29"/>
      <c r="AC51" s="29"/>
      <c r="AD51" s="29" t="s">
        <v>479</v>
      </c>
      <c r="AE51" s="662" t="s">
        <v>479</v>
      </c>
      <c r="AF51" s="29" t="s">
        <v>479</v>
      </c>
      <c r="AG51" s="29" t="s">
        <v>470</v>
      </c>
      <c r="AH51" s="48" t="s">
        <v>470</v>
      </c>
      <c r="AI51" s="29" t="s">
        <v>470</v>
      </c>
      <c r="AJ51" s="29" t="s">
        <v>479</v>
      </c>
      <c r="AK51" s="663"/>
      <c r="AL51" s="29" t="s">
        <v>470</v>
      </c>
      <c r="AM51" s="29" t="s">
        <v>470</v>
      </c>
      <c r="AN51" s="29" t="s">
        <v>479</v>
      </c>
      <c r="AO51" s="29" t="s">
        <v>479</v>
      </c>
      <c r="AP51" s="663"/>
      <c r="AQ51" s="48" t="s">
        <v>470</v>
      </c>
      <c r="AR51" s="663"/>
      <c r="AS51" s="29" t="s">
        <v>470</v>
      </c>
      <c r="AT51" s="29" t="s">
        <v>470</v>
      </c>
      <c r="AU51" s="29" t="s">
        <v>470</v>
      </c>
      <c r="AV51" s="48" t="s">
        <v>479</v>
      </c>
      <c r="AW51" s="29" t="s">
        <v>479</v>
      </c>
      <c r="AX51" s="663"/>
      <c r="AY51" s="663"/>
      <c r="AZ51" s="29" t="s">
        <v>470</v>
      </c>
      <c r="BA51" s="29" t="s">
        <v>470</v>
      </c>
      <c r="BB51" s="29" t="s">
        <v>470</v>
      </c>
      <c r="BC51" s="29" t="s">
        <v>470</v>
      </c>
      <c r="BD51" s="29" t="s">
        <v>470</v>
      </c>
      <c r="BE51" s="29" t="s">
        <v>479</v>
      </c>
      <c r="BF51" s="29" t="s">
        <v>479</v>
      </c>
      <c r="BG51" s="29" t="s">
        <v>479</v>
      </c>
      <c r="BH51" s="29" t="s">
        <v>470</v>
      </c>
      <c r="BI51" s="29" t="s">
        <v>479</v>
      </c>
      <c r="BJ51" s="29" t="s">
        <v>479</v>
      </c>
      <c r="BK51" s="29" t="s">
        <v>479</v>
      </c>
      <c r="BL51" s="29" t="s">
        <v>479</v>
      </c>
      <c r="BM51" s="29" t="s">
        <v>470</v>
      </c>
      <c r="BN51" s="29"/>
      <c r="BO51" s="186" t="s">
        <v>479</v>
      </c>
      <c r="BP51" s="29" t="s">
        <v>470</v>
      </c>
      <c r="BQ51" s="29" t="s">
        <v>479</v>
      </c>
      <c r="BR51" s="29" t="s">
        <v>479</v>
      </c>
      <c r="BS51" s="29" t="s">
        <v>479</v>
      </c>
      <c r="BT51" s="29" t="s">
        <v>656</v>
      </c>
      <c r="BU51" s="29" t="s">
        <v>470</v>
      </c>
      <c r="BV51" s="29" t="s">
        <v>470</v>
      </c>
      <c r="BW51" s="29" t="s">
        <v>479</v>
      </c>
      <c r="BX51" s="29" t="s">
        <v>479</v>
      </c>
      <c r="BY51" s="663"/>
      <c r="BZ51" s="663"/>
      <c r="CA51" s="29" t="s">
        <v>470</v>
      </c>
      <c r="CB51" s="48"/>
      <c r="CC51" s="29" t="s">
        <v>479</v>
      </c>
      <c r="CD51" s="29" t="s">
        <v>479</v>
      </c>
      <c r="CE51" s="29" t="s">
        <v>470</v>
      </c>
      <c r="CF51" s="29" t="s">
        <v>479</v>
      </c>
      <c r="CG51" s="662" t="s">
        <v>470</v>
      </c>
      <c r="CH51" s="29" t="s">
        <v>656</v>
      </c>
      <c r="CI51" s="29" t="s">
        <v>479</v>
      </c>
      <c r="CJ51" s="29" t="s">
        <v>479</v>
      </c>
      <c r="CK51" s="29" t="s">
        <v>470</v>
      </c>
      <c r="CL51" s="29" t="s">
        <v>470</v>
      </c>
      <c r="CM51" s="110" t="s">
        <v>540</v>
      </c>
      <c r="CN51" s="29" t="s">
        <v>479</v>
      </c>
      <c r="CO51" s="29" t="s">
        <v>470</v>
      </c>
      <c r="CP51" s="29" t="s">
        <v>470</v>
      </c>
      <c r="CQ51" s="29" t="s">
        <v>479</v>
      </c>
      <c r="CR51" s="127" t="s">
        <v>540</v>
      </c>
      <c r="CS51" s="29" t="s">
        <v>479</v>
      </c>
      <c r="CT51" s="29" t="s">
        <v>479</v>
      </c>
      <c r="CU51" s="29" t="s">
        <v>470</v>
      </c>
      <c r="CV51" s="663"/>
      <c r="CW51" s="29" t="s">
        <v>479</v>
      </c>
      <c r="CX51" s="664" t="s">
        <v>470</v>
      </c>
      <c r="CY51" s="29" t="s">
        <v>479</v>
      </c>
      <c r="CZ51" s="29" t="s">
        <v>479</v>
      </c>
      <c r="DA51" s="29" t="s">
        <v>479</v>
      </c>
      <c r="DB51" s="29" t="s">
        <v>470</v>
      </c>
      <c r="DC51" s="29" t="s">
        <v>470</v>
      </c>
      <c r="DD51" s="56" t="s">
        <v>479</v>
      </c>
      <c r="DE51" s="29" t="s">
        <v>540</v>
      </c>
      <c r="DF51" s="29" t="s">
        <v>479</v>
      </c>
      <c r="DG51" s="127" t="s">
        <v>470</v>
      </c>
      <c r="DH51" s="29" t="s">
        <v>470</v>
      </c>
      <c r="DI51" s="127" t="s">
        <v>470</v>
      </c>
      <c r="DJ51" s="666" t="s">
        <v>479</v>
      </c>
      <c r="DK51" s="667" t="s">
        <v>470</v>
      </c>
      <c r="DL51" s="127" t="s">
        <v>470</v>
      </c>
      <c r="DM51" s="127" t="s">
        <v>540</v>
      </c>
      <c r="DN51" s="29" t="s">
        <v>470</v>
      </c>
      <c r="DO51" s="29" t="s">
        <v>479</v>
      </c>
      <c r="DP51" s="29" t="s">
        <v>470</v>
      </c>
      <c r="DQ51" s="29" t="s">
        <v>470</v>
      </c>
      <c r="DR51" s="29" t="s">
        <v>479</v>
      </c>
      <c r="DS51" s="29" t="s">
        <v>470</v>
      </c>
      <c r="DT51" s="29" t="s">
        <v>479</v>
      </c>
      <c r="DU51" s="29" t="s">
        <v>479</v>
      </c>
      <c r="DV51" s="29" t="s">
        <v>479</v>
      </c>
      <c r="DW51" s="29" t="s">
        <v>540</v>
      </c>
      <c r="DX51" s="29" t="s">
        <v>540</v>
      </c>
      <c r="DY51" s="29"/>
      <c r="DZ51" s="29" t="s">
        <v>539</v>
      </c>
      <c r="EA51" s="29" t="s">
        <v>539</v>
      </c>
      <c r="EB51" s="29"/>
      <c r="EC51" s="29" t="s">
        <v>479</v>
      </c>
      <c r="ED51" s="29" t="s">
        <v>470</v>
      </c>
      <c r="EE51" s="29" t="s">
        <v>479</v>
      </c>
      <c r="EF51" s="29" t="s">
        <v>470</v>
      </c>
      <c r="EG51" s="663"/>
      <c r="EH51" s="186" t="s">
        <v>479</v>
      </c>
      <c r="EI51" s="186" t="s">
        <v>479</v>
      </c>
      <c r="EJ51" s="186" t="s">
        <v>470</v>
      </c>
      <c r="EK51" s="29" t="s">
        <v>2299</v>
      </c>
      <c r="EL51" s="29"/>
      <c r="EM51" s="186" t="s">
        <v>479</v>
      </c>
      <c r="EN51" s="68" t="s">
        <v>2234</v>
      </c>
      <c r="EO51" s="29" t="s">
        <v>479</v>
      </c>
      <c r="EP51" s="29" t="s">
        <v>540</v>
      </c>
      <c r="EQ51" s="29" t="s">
        <v>470</v>
      </c>
      <c r="ER51" s="29"/>
      <c r="ES51" s="663"/>
      <c r="ET51" s="29" t="s">
        <v>470</v>
      </c>
      <c r="EU51" s="127" t="s">
        <v>479</v>
      </c>
      <c r="EV51" s="662" t="s">
        <v>540</v>
      </c>
      <c r="EW51" s="29" t="s">
        <v>479</v>
      </c>
      <c r="EX51" s="29" t="s">
        <v>470</v>
      </c>
      <c r="EY51" s="29" t="s">
        <v>479</v>
      </c>
      <c r="EZ51" s="663"/>
      <c r="FA51" s="29" t="s">
        <v>479</v>
      </c>
    </row>
    <row r="52" spans="1:157" ht="409.6" x14ac:dyDescent="0.2">
      <c r="A52" s="1205"/>
      <c r="B52" s="1206"/>
      <c r="C52" s="1208" t="s">
        <v>103</v>
      </c>
      <c r="D52" s="1204" t="s">
        <v>104</v>
      </c>
      <c r="E52" s="185" t="s">
        <v>15</v>
      </c>
      <c r="F52" s="29" t="s">
        <v>1001</v>
      </c>
      <c r="G52" s="29" t="s">
        <v>1028</v>
      </c>
      <c r="H52" s="662" t="s">
        <v>3590</v>
      </c>
      <c r="I52" s="29" t="s">
        <v>3603</v>
      </c>
      <c r="J52" s="29" t="s">
        <v>2024</v>
      </c>
      <c r="K52" s="29" t="s">
        <v>3201</v>
      </c>
      <c r="L52" s="29" t="s">
        <v>682</v>
      </c>
      <c r="M52" s="29" t="s">
        <v>3293</v>
      </c>
      <c r="N52" s="29" t="s">
        <v>1872</v>
      </c>
      <c r="O52" s="29" t="s">
        <v>1479</v>
      </c>
      <c r="P52" s="29" t="s">
        <v>656</v>
      </c>
      <c r="Q52" s="29" t="s">
        <v>539</v>
      </c>
      <c r="R52" s="29" t="s">
        <v>656</v>
      </c>
      <c r="S52" s="29" t="s">
        <v>1529</v>
      </c>
      <c r="T52" s="29" t="s">
        <v>873</v>
      </c>
      <c r="U52" s="29" t="s">
        <v>1933</v>
      </c>
      <c r="V52" s="29" t="s">
        <v>1933</v>
      </c>
      <c r="W52" s="29" t="s">
        <v>470</v>
      </c>
      <c r="X52" s="29"/>
      <c r="Y52" s="29"/>
      <c r="Z52" s="29" t="s">
        <v>876</v>
      </c>
      <c r="AA52" s="29"/>
      <c r="AB52" s="29"/>
      <c r="AC52" s="29"/>
      <c r="AD52" s="29" t="s">
        <v>661</v>
      </c>
      <c r="AE52" s="662" t="s">
        <v>770</v>
      </c>
      <c r="AF52" s="29" t="s">
        <v>796</v>
      </c>
      <c r="AG52" s="29"/>
      <c r="AH52" s="48" t="s">
        <v>470</v>
      </c>
      <c r="AI52" s="29"/>
      <c r="AJ52" s="29" t="s">
        <v>956</v>
      </c>
      <c r="AK52" s="663"/>
      <c r="AL52" s="29"/>
      <c r="AM52" s="29"/>
      <c r="AN52" s="29" t="s">
        <v>3520</v>
      </c>
      <c r="AO52" s="29" t="s">
        <v>1359</v>
      </c>
      <c r="AP52" s="663"/>
      <c r="AQ52" s="48"/>
      <c r="AR52" s="663"/>
      <c r="AS52" s="29"/>
      <c r="AT52" s="29"/>
      <c r="AU52" s="29"/>
      <c r="AV52" s="29" t="s">
        <v>723</v>
      </c>
      <c r="AW52" s="29" t="s">
        <v>2058</v>
      </c>
      <c r="AX52" s="663"/>
      <c r="AY52" s="663"/>
      <c r="AZ52" s="29" t="s">
        <v>656</v>
      </c>
      <c r="BA52" s="29" t="s">
        <v>656</v>
      </c>
      <c r="BB52" s="29" t="s">
        <v>656</v>
      </c>
      <c r="BC52" s="29"/>
      <c r="BD52" s="29"/>
      <c r="BE52" s="29" t="s">
        <v>1837</v>
      </c>
      <c r="BF52" s="29" t="s">
        <v>1682</v>
      </c>
      <c r="BG52" s="29" t="s">
        <v>1051</v>
      </c>
      <c r="BH52" s="29" t="s">
        <v>656</v>
      </c>
      <c r="BI52" s="29" t="s">
        <v>1091</v>
      </c>
      <c r="BJ52" s="29" t="s">
        <v>1111</v>
      </c>
      <c r="BK52" s="29" t="s">
        <v>1716</v>
      </c>
      <c r="BL52" s="101" t="s">
        <v>2104</v>
      </c>
      <c r="BM52" s="29" t="s">
        <v>656</v>
      </c>
      <c r="BN52" s="34"/>
      <c r="BO52" s="186" t="s">
        <v>3553</v>
      </c>
      <c r="BP52" s="29" t="s">
        <v>470</v>
      </c>
      <c r="BQ52" s="29" t="s">
        <v>3034</v>
      </c>
      <c r="BR52" s="29" t="s">
        <v>2136</v>
      </c>
      <c r="BS52" s="29" t="s">
        <v>2165</v>
      </c>
      <c r="BT52" s="37" t="s">
        <v>656</v>
      </c>
      <c r="BU52" s="29"/>
      <c r="BV52" s="29" t="s">
        <v>656</v>
      </c>
      <c r="BW52" s="29" t="s">
        <v>3004</v>
      </c>
      <c r="BX52" s="29" t="s">
        <v>2981</v>
      </c>
      <c r="BY52" s="663"/>
      <c r="BZ52" s="663"/>
      <c r="CA52" s="29"/>
      <c r="CB52" s="48"/>
      <c r="CC52" s="29" t="s">
        <v>1153</v>
      </c>
      <c r="CD52" s="29" t="s">
        <v>2187</v>
      </c>
      <c r="CE52" s="29" t="s">
        <v>656</v>
      </c>
      <c r="CF52" s="29" t="s">
        <v>1111</v>
      </c>
      <c r="CG52" s="662"/>
      <c r="CH52" s="29" t="s">
        <v>656</v>
      </c>
      <c r="CI52" s="29" t="s">
        <v>9508</v>
      </c>
      <c r="CJ52" s="29" t="s">
        <v>1303</v>
      </c>
      <c r="CK52" s="29" t="s">
        <v>656</v>
      </c>
      <c r="CL52" s="29" t="s">
        <v>656</v>
      </c>
      <c r="CM52" s="110" t="s">
        <v>1175</v>
      </c>
      <c r="CN52" s="29" t="s">
        <v>3153</v>
      </c>
      <c r="CO52" s="29" t="s">
        <v>470</v>
      </c>
      <c r="CP52" s="29" t="s">
        <v>470</v>
      </c>
      <c r="CQ52" s="29" t="s">
        <v>3178</v>
      </c>
      <c r="CR52" s="127" t="s">
        <v>1392</v>
      </c>
      <c r="CS52" s="29" t="s">
        <v>1111</v>
      </c>
      <c r="CT52" s="29" t="s">
        <v>3131</v>
      </c>
      <c r="CU52" s="29" t="s">
        <v>656</v>
      </c>
      <c r="CV52" s="663"/>
      <c r="CW52" s="29" t="s">
        <v>3066</v>
      </c>
      <c r="CX52" s="664" t="s">
        <v>656</v>
      </c>
      <c r="CY52" s="29" t="s">
        <v>1454</v>
      </c>
      <c r="CZ52" s="29" t="s">
        <v>1454</v>
      </c>
      <c r="DA52" s="29" t="s">
        <v>2889</v>
      </c>
      <c r="DB52" s="29" t="s">
        <v>1924</v>
      </c>
      <c r="DC52" s="29" t="s">
        <v>656</v>
      </c>
      <c r="DD52" s="63" t="s">
        <v>2867</v>
      </c>
      <c r="DE52" s="29" t="s">
        <v>2616</v>
      </c>
      <c r="DF52" s="29" t="s">
        <v>3319</v>
      </c>
      <c r="DG52" s="127"/>
      <c r="DH52" s="29"/>
      <c r="DI52" s="127"/>
      <c r="DJ52" s="666" t="s">
        <v>2783</v>
      </c>
      <c r="DK52" s="667"/>
      <c r="DL52" s="127"/>
      <c r="DM52" s="127"/>
      <c r="DN52" s="29" t="s">
        <v>2654</v>
      </c>
      <c r="DO52" s="29" t="s">
        <v>2674</v>
      </c>
      <c r="DP52" s="29"/>
      <c r="DQ52" s="29"/>
      <c r="DR52" s="29" t="s">
        <v>2555</v>
      </c>
      <c r="DS52" s="29" t="s">
        <v>656</v>
      </c>
      <c r="DT52" s="29" t="s">
        <v>2913</v>
      </c>
      <c r="DU52" s="29" t="s">
        <v>480</v>
      </c>
      <c r="DV52" s="29" t="s">
        <v>2487</v>
      </c>
      <c r="DW52" s="36"/>
      <c r="DX52" s="29" t="s">
        <v>2447</v>
      </c>
      <c r="DY52" s="29"/>
      <c r="DZ52" s="29"/>
      <c r="EA52" s="36" t="s">
        <v>539</v>
      </c>
      <c r="EB52" s="29"/>
      <c r="EC52" s="29" t="s">
        <v>3419</v>
      </c>
      <c r="ED52" s="29" t="s">
        <v>470</v>
      </c>
      <c r="EE52" s="54" t="s">
        <v>506</v>
      </c>
      <c r="EF52" s="29" t="s">
        <v>470</v>
      </c>
      <c r="EG52" s="663"/>
      <c r="EH52" s="186" t="s">
        <v>2349</v>
      </c>
      <c r="EI52" s="186" t="s">
        <v>2394</v>
      </c>
      <c r="EJ52" s="186" t="s">
        <v>656</v>
      </c>
      <c r="EK52" s="29" t="s">
        <v>2300</v>
      </c>
      <c r="EL52" s="29"/>
      <c r="EM52" s="186" t="s">
        <v>2211</v>
      </c>
      <c r="EN52" s="68" t="s">
        <v>2234</v>
      </c>
      <c r="EO52" s="29" t="s">
        <v>2267</v>
      </c>
      <c r="EP52" s="29" t="s">
        <v>1556</v>
      </c>
      <c r="EQ52" s="29" t="s">
        <v>1652</v>
      </c>
      <c r="ER52" s="34"/>
      <c r="ES52" s="663"/>
      <c r="ET52" s="29" t="s">
        <v>470</v>
      </c>
      <c r="EU52" s="34" t="s">
        <v>3372</v>
      </c>
      <c r="EV52" s="662" t="s">
        <v>1587</v>
      </c>
      <c r="EW52" s="29" t="s">
        <v>746</v>
      </c>
      <c r="EX52" s="29" t="s">
        <v>656</v>
      </c>
      <c r="EY52" s="29" t="s">
        <v>2081</v>
      </c>
      <c r="EZ52" s="663"/>
      <c r="FA52" s="29" t="s">
        <v>1622</v>
      </c>
    </row>
    <row r="53" spans="1:157" ht="221" x14ac:dyDescent="0.2">
      <c r="A53" s="1205"/>
      <c r="B53" s="1206"/>
      <c r="C53" s="1211"/>
      <c r="D53" s="1204"/>
      <c r="E53" s="185" t="s">
        <v>34</v>
      </c>
      <c r="F53" s="29" t="s">
        <v>1002</v>
      </c>
      <c r="G53" s="29" t="s">
        <v>1029</v>
      </c>
      <c r="H53" s="662" t="s">
        <v>3591</v>
      </c>
      <c r="I53" s="29" t="s">
        <v>656</v>
      </c>
      <c r="J53" s="29" t="s">
        <v>656</v>
      </c>
      <c r="K53" s="29"/>
      <c r="L53" s="29"/>
      <c r="M53" s="29"/>
      <c r="N53" s="32" t="s">
        <v>1867</v>
      </c>
      <c r="O53" s="29" t="s">
        <v>656</v>
      </c>
      <c r="P53" s="29" t="s">
        <v>656</v>
      </c>
      <c r="Q53" s="29" t="s">
        <v>539</v>
      </c>
      <c r="R53" s="29" t="s">
        <v>656</v>
      </c>
      <c r="S53" s="29" t="s">
        <v>656</v>
      </c>
      <c r="T53" s="29" t="s">
        <v>470</v>
      </c>
      <c r="U53" s="29" t="s">
        <v>1924</v>
      </c>
      <c r="V53" s="29" t="s">
        <v>1924</v>
      </c>
      <c r="W53" s="29" t="s">
        <v>470</v>
      </c>
      <c r="X53" s="29"/>
      <c r="Y53" s="29"/>
      <c r="Z53" s="29"/>
      <c r="AA53" s="29"/>
      <c r="AB53" s="29"/>
      <c r="AC53" s="29"/>
      <c r="AD53" s="29"/>
      <c r="AE53" s="662"/>
      <c r="AF53" s="29" t="s">
        <v>797</v>
      </c>
      <c r="AG53" s="29"/>
      <c r="AH53" s="48" t="s">
        <v>470</v>
      </c>
      <c r="AI53" s="29"/>
      <c r="AJ53" s="29"/>
      <c r="AK53" s="663"/>
      <c r="AL53" s="29"/>
      <c r="AM53" s="29"/>
      <c r="AN53" s="29" t="s">
        <v>656</v>
      </c>
      <c r="AO53" s="32" t="s">
        <v>1355</v>
      </c>
      <c r="AP53" s="663"/>
      <c r="AQ53" s="48"/>
      <c r="AR53" s="663"/>
      <c r="AS53" s="29"/>
      <c r="AT53" s="29"/>
      <c r="AU53" s="29"/>
      <c r="AV53" s="29"/>
      <c r="AW53" s="29" t="s">
        <v>470</v>
      </c>
      <c r="AX53" s="663"/>
      <c r="AY53" s="663"/>
      <c r="AZ53" s="29" t="s">
        <v>656</v>
      </c>
      <c r="BA53" s="29" t="s">
        <v>656</v>
      </c>
      <c r="BB53" s="29" t="s">
        <v>656</v>
      </c>
      <c r="BC53" s="29"/>
      <c r="BD53" s="29"/>
      <c r="BE53" s="29"/>
      <c r="BF53" s="29" t="s">
        <v>877</v>
      </c>
      <c r="BG53" s="29" t="s">
        <v>1047</v>
      </c>
      <c r="BH53" s="29" t="s">
        <v>656</v>
      </c>
      <c r="BI53" s="29" t="s">
        <v>656</v>
      </c>
      <c r="BJ53" s="29" t="s">
        <v>656</v>
      </c>
      <c r="BK53" s="29"/>
      <c r="BL53" s="684" t="s">
        <v>2099</v>
      </c>
      <c r="BM53" s="29" t="s">
        <v>656</v>
      </c>
      <c r="BN53" s="35" t="s">
        <v>470</v>
      </c>
      <c r="BO53" s="186" t="s">
        <v>3549</v>
      </c>
      <c r="BP53" s="29" t="s">
        <v>470</v>
      </c>
      <c r="BQ53" s="29" t="s">
        <v>470</v>
      </c>
      <c r="BR53" s="29" t="s">
        <v>656</v>
      </c>
      <c r="BS53" s="29" t="s">
        <v>656</v>
      </c>
      <c r="BT53" s="44">
        <v>26.304213319999999</v>
      </c>
      <c r="BU53" s="29"/>
      <c r="BV53" s="29" t="s">
        <v>656</v>
      </c>
      <c r="BW53" s="29" t="s">
        <v>3001</v>
      </c>
      <c r="BX53" s="32" t="s">
        <v>2972</v>
      </c>
      <c r="BY53" s="663"/>
      <c r="BZ53" s="663"/>
      <c r="CA53" s="29"/>
      <c r="CB53" s="48"/>
      <c r="CC53" s="29" t="s">
        <v>470</v>
      </c>
      <c r="CD53" s="32" t="s">
        <v>2184</v>
      </c>
      <c r="CE53" s="29" t="s">
        <v>656</v>
      </c>
      <c r="CF53" s="29"/>
      <c r="CG53" s="662"/>
      <c r="CH53" s="29" t="s">
        <v>656</v>
      </c>
      <c r="CI53" s="32" t="s">
        <v>1286</v>
      </c>
      <c r="CJ53" s="32" t="s">
        <v>1282</v>
      </c>
      <c r="CK53" s="29" t="s">
        <v>656</v>
      </c>
      <c r="CL53" s="29" t="s">
        <v>656</v>
      </c>
      <c r="CM53" s="110" t="s">
        <v>539</v>
      </c>
      <c r="CN53" s="36" t="s">
        <v>470</v>
      </c>
      <c r="CO53" s="29" t="s">
        <v>470</v>
      </c>
      <c r="CP53" s="29" t="s">
        <v>470</v>
      </c>
      <c r="CQ53" s="29" t="s">
        <v>470</v>
      </c>
      <c r="CR53" s="127"/>
      <c r="CS53" s="29"/>
      <c r="CT53" s="32" t="s">
        <v>3124</v>
      </c>
      <c r="CU53" s="29" t="s">
        <v>656</v>
      </c>
      <c r="CV53" s="663"/>
      <c r="CW53" s="32" t="s">
        <v>3064</v>
      </c>
      <c r="CX53" s="664" t="s">
        <v>656</v>
      </c>
      <c r="CY53" s="29" t="s">
        <v>1447</v>
      </c>
      <c r="CZ53" s="29" t="s">
        <v>1447</v>
      </c>
      <c r="DA53" s="29" t="s">
        <v>1482</v>
      </c>
      <c r="DB53" s="29" t="s">
        <v>1924</v>
      </c>
      <c r="DC53" s="29" t="s">
        <v>656</v>
      </c>
      <c r="DD53" s="29" t="s">
        <v>656</v>
      </c>
      <c r="DE53" s="32" t="s">
        <v>2617</v>
      </c>
      <c r="DF53" s="29" t="s">
        <v>3315</v>
      </c>
      <c r="DG53" s="127"/>
      <c r="DH53" s="29"/>
      <c r="DI53" s="127"/>
      <c r="DJ53" s="689" t="s">
        <v>2784</v>
      </c>
      <c r="DK53" s="667"/>
      <c r="DL53" s="127"/>
      <c r="DM53" s="127"/>
      <c r="DN53" s="29" t="s">
        <v>470</v>
      </c>
      <c r="DO53" s="29" t="s">
        <v>656</v>
      </c>
      <c r="DP53" s="29"/>
      <c r="DQ53" s="29"/>
      <c r="DR53" s="728" t="s">
        <v>2556</v>
      </c>
      <c r="DS53" s="29" t="s">
        <v>656</v>
      </c>
      <c r="DT53" s="29"/>
      <c r="DU53" s="29" t="s">
        <v>470</v>
      </c>
      <c r="DV53" s="29" t="s">
        <v>656</v>
      </c>
      <c r="DW53" s="36"/>
      <c r="DX53" s="29"/>
      <c r="DY53" s="34"/>
      <c r="DZ53" s="29"/>
      <c r="EA53" s="36"/>
      <c r="EB53" s="29"/>
      <c r="EC53" s="29" t="s">
        <v>3420</v>
      </c>
      <c r="ED53" s="29" t="s">
        <v>470</v>
      </c>
      <c r="EE53" s="29"/>
      <c r="EF53" s="29" t="s">
        <v>470</v>
      </c>
      <c r="EG53" s="663"/>
      <c r="EH53" s="186" t="s">
        <v>656</v>
      </c>
      <c r="EI53" s="186" t="s">
        <v>656</v>
      </c>
      <c r="EJ53" s="186" t="s">
        <v>656</v>
      </c>
      <c r="EK53" s="57" t="s">
        <v>2295</v>
      </c>
      <c r="EL53" s="29"/>
      <c r="EM53" s="186" t="s">
        <v>2212</v>
      </c>
      <c r="EN53" s="68" t="s">
        <v>2234</v>
      </c>
      <c r="EO53" s="57" t="s">
        <v>2261</v>
      </c>
      <c r="EP53" s="29" t="s">
        <v>1557</v>
      </c>
      <c r="EQ53" s="29"/>
      <c r="ER53" s="35">
        <v>346.57659999999998</v>
      </c>
      <c r="ES53" s="663"/>
      <c r="ET53" s="29" t="s">
        <v>470</v>
      </c>
      <c r="EU53" s="130" t="s">
        <v>470</v>
      </c>
      <c r="EV53" s="662" t="s">
        <v>656</v>
      </c>
      <c r="EW53" s="29"/>
      <c r="EX53" s="29" t="s">
        <v>656</v>
      </c>
      <c r="EY53" s="29" t="s">
        <v>656</v>
      </c>
      <c r="EZ53" s="663"/>
      <c r="FA53" s="29" t="s">
        <v>656</v>
      </c>
    </row>
    <row r="54" spans="1:157" ht="170" x14ac:dyDescent="0.2">
      <c r="A54" s="1205"/>
      <c r="B54" s="1206"/>
      <c r="C54" s="22" t="s">
        <v>105</v>
      </c>
      <c r="D54" s="19" t="s">
        <v>106</v>
      </c>
      <c r="E54" s="187" t="s">
        <v>57</v>
      </c>
      <c r="F54" s="29">
        <v>0.81</v>
      </c>
      <c r="G54" s="29" t="s">
        <v>656</v>
      </c>
      <c r="H54" s="662">
        <v>8.4600000000000005E-3</v>
      </c>
      <c r="I54" s="29" t="s">
        <v>656</v>
      </c>
      <c r="J54" s="29" t="s">
        <v>656</v>
      </c>
      <c r="K54" s="29" t="s">
        <v>656</v>
      </c>
      <c r="L54" s="29">
        <v>4.5650000000000004</v>
      </c>
      <c r="M54" s="29" t="s">
        <v>3294</v>
      </c>
      <c r="N54" s="44">
        <v>0.11</v>
      </c>
      <c r="O54" s="29" t="s">
        <v>656</v>
      </c>
      <c r="P54" s="29" t="s">
        <v>656</v>
      </c>
      <c r="Q54" s="29" t="s">
        <v>539</v>
      </c>
      <c r="R54" s="29" t="s">
        <v>656</v>
      </c>
      <c r="S54" s="29" t="s">
        <v>656</v>
      </c>
      <c r="T54" s="35">
        <v>0</v>
      </c>
      <c r="U54" s="29">
        <v>0</v>
      </c>
      <c r="V54" s="29">
        <v>0</v>
      </c>
      <c r="W54" s="29">
        <v>0</v>
      </c>
      <c r="X54" s="29"/>
      <c r="Y54" s="29"/>
      <c r="Z54" s="29" t="s">
        <v>877</v>
      </c>
      <c r="AA54" s="29"/>
      <c r="AB54" s="29"/>
      <c r="AC54" s="29"/>
      <c r="AD54" s="29" t="s">
        <v>656</v>
      </c>
      <c r="AE54" s="729">
        <v>2695.17</v>
      </c>
      <c r="AF54" s="34"/>
      <c r="AG54" s="29"/>
      <c r="AH54" s="48" t="s">
        <v>470</v>
      </c>
      <c r="AI54" s="29"/>
      <c r="AJ54" s="29">
        <v>1.9870000000000001</v>
      </c>
      <c r="AK54" s="663"/>
      <c r="AL54" s="29"/>
      <c r="AM54" s="29"/>
      <c r="AN54" s="35">
        <v>2.46280323</v>
      </c>
      <c r="AO54" s="29"/>
      <c r="AP54" s="663"/>
      <c r="AQ54" s="48">
        <v>0</v>
      </c>
      <c r="AR54" s="663"/>
      <c r="AS54" s="29"/>
      <c r="AT54" s="29"/>
      <c r="AU54" s="29"/>
      <c r="AV54" s="48">
        <v>0.77900000000000003</v>
      </c>
      <c r="AW54" s="44">
        <v>10.130000000000001</v>
      </c>
      <c r="AX54" s="663"/>
      <c r="AY54" s="663"/>
      <c r="AZ54" s="29" t="s">
        <v>656</v>
      </c>
      <c r="BA54" s="29" t="s">
        <v>656</v>
      </c>
      <c r="BB54" s="29" t="s">
        <v>656</v>
      </c>
      <c r="BC54" s="29"/>
      <c r="BD54" s="29"/>
      <c r="BE54" s="60" t="s">
        <v>656</v>
      </c>
      <c r="BF54" s="29"/>
      <c r="BG54" s="29">
        <v>0.41489999999999999</v>
      </c>
      <c r="BH54" s="34" t="s">
        <v>656</v>
      </c>
      <c r="BI54" s="29" t="s">
        <v>656</v>
      </c>
      <c r="BJ54" s="29">
        <v>0</v>
      </c>
      <c r="BK54" s="29"/>
      <c r="BL54" s="29">
        <v>23.3</v>
      </c>
      <c r="BM54" s="29" t="s">
        <v>656</v>
      </c>
      <c r="BN54" s="34"/>
      <c r="BO54" s="186">
        <v>0</v>
      </c>
      <c r="BP54" s="29" t="s">
        <v>470</v>
      </c>
      <c r="BQ54" s="34" t="s">
        <v>3035</v>
      </c>
      <c r="BR54" s="35">
        <v>3.35120526</v>
      </c>
      <c r="BS54" s="29">
        <v>3.8849999999999998</v>
      </c>
      <c r="BT54" s="105">
        <f>BT53/100227.482*100</f>
        <v>2.6244511779713271E-2</v>
      </c>
      <c r="BU54" s="29"/>
      <c r="BV54" s="29">
        <v>0</v>
      </c>
      <c r="BW54" s="29">
        <v>2.0049999999999999</v>
      </c>
      <c r="BX54" s="29" t="s">
        <v>470</v>
      </c>
      <c r="BY54" s="663"/>
      <c r="BZ54" s="663"/>
      <c r="CA54" s="29"/>
      <c r="CB54" s="48"/>
      <c r="CC54" s="29">
        <v>0.59099999999999997</v>
      </c>
      <c r="CD54" s="29">
        <v>52.097999999999999</v>
      </c>
      <c r="CE54" s="29">
        <v>0</v>
      </c>
      <c r="CF54" s="29"/>
      <c r="CG54" s="662"/>
      <c r="CH54" s="29" t="s">
        <v>656</v>
      </c>
      <c r="CI54" s="29">
        <v>5.146185</v>
      </c>
      <c r="CJ54" s="44">
        <v>7.6205953199999996</v>
      </c>
      <c r="CK54" s="29">
        <v>0</v>
      </c>
      <c r="CL54" s="29">
        <v>0</v>
      </c>
      <c r="CM54" s="110">
        <v>6.4729999999999999</v>
      </c>
      <c r="CN54" s="29" t="s">
        <v>3154</v>
      </c>
      <c r="CO54" s="29" t="s">
        <v>470</v>
      </c>
      <c r="CP54" s="29" t="s">
        <v>470</v>
      </c>
      <c r="CQ54" s="29" t="s">
        <v>470</v>
      </c>
      <c r="CR54" s="127"/>
      <c r="CS54" s="29"/>
      <c r="CT54" s="29"/>
      <c r="CU54" s="29" t="s">
        <v>656</v>
      </c>
      <c r="CV54" s="663"/>
      <c r="CW54" s="34" t="s">
        <v>3067</v>
      </c>
      <c r="CX54" s="664" t="s">
        <v>656</v>
      </c>
      <c r="CY54" s="29" t="s">
        <v>1447</v>
      </c>
      <c r="CZ54" s="29" t="s">
        <v>1447</v>
      </c>
      <c r="DA54" s="29" t="s">
        <v>1482</v>
      </c>
      <c r="DB54" s="29" t="s">
        <v>1924</v>
      </c>
      <c r="DC54" s="29" t="s">
        <v>656</v>
      </c>
      <c r="DD54" s="29">
        <v>0.15516904000000001</v>
      </c>
      <c r="DE54" s="29" t="s">
        <v>470</v>
      </c>
      <c r="DF54" s="29"/>
      <c r="DG54" s="127"/>
      <c r="DH54" s="29"/>
      <c r="DI54" s="127"/>
      <c r="DJ54" s="666">
        <v>14.186</v>
      </c>
      <c r="DK54" s="667"/>
      <c r="DL54" s="127"/>
      <c r="DM54" s="127">
        <v>82.6</v>
      </c>
      <c r="DN54" s="29">
        <v>0</v>
      </c>
      <c r="DO54" s="29">
        <v>2.2000000000000002</v>
      </c>
      <c r="DP54" s="29"/>
      <c r="DQ54" s="29"/>
      <c r="DR54" s="29"/>
      <c r="DS54" s="29" t="s">
        <v>656</v>
      </c>
      <c r="DT54" s="29"/>
      <c r="DU54" s="29" t="s">
        <v>470</v>
      </c>
      <c r="DV54" s="29">
        <v>24.597000000000001</v>
      </c>
      <c r="DW54" s="36"/>
      <c r="DX54" s="29">
        <v>2.7839999999999998</v>
      </c>
      <c r="DY54" s="34"/>
      <c r="DZ54" s="29"/>
      <c r="EA54" s="36" t="s">
        <v>539</v>
      </c>
      <c r="EB54" s="29"/>
      <c r="EC54" s="37" t="s">
        <v>3421</v>
      </c>
      <c r="ED54" s="29" t="s">
        <v>470</v>
      </c>
      <c r="EE54" s="29">
        <v>3.29370086</v>
      </c>
      <c r="EF54" s="29" t="s">
        <v>470</v>
      </c>
      <c r="EG54" s="663"/>
      <c r="EH54" s="730">
        <f>EH40+EH42</f>
        <v>1.1205400000000001</v>
      </c>
      <c r="EI54" s="186">
        <v>0.52400000000000002</v>
      </c>
      <c r="EJ54" s="186" t="s">
        <v>656</v>
      </c>
      <c r="EK54" s="29">
        <v>40.799999999999997</v>
      </c>
      <c r="EL54" s="29"/>
      <c r="EM54" s="186">
        <v>8.0329999999999995</v>
      </c>
      <c r="EN54" s="68" t="s">
        <v>2234</v>
      </c>
      <c r="EO54" s="29">
        <v>0.154</v>
      </c>
      <c r="EP54" s="29">
        <v>8.7940000000000005</v>
      </c>
      <c r="EQ54" s="29"/>
      <c r="ER54" s="34">
        <v>0.93720000000000003</v>
      </c>
      <c r="ES54" s="663"/>
      <c r="ET54" s="29">
        <v>0</v>
      </c>
      <c r="EU54" s="132">
        <v>0</v>
      </c>
      <c r="EV54" s="662" t="s">
        <v>656</v>
      </c>
      <c r="EW54" s="29">
        <v>0.97299999999999998</v>
      </c>
      <c r="EX54" s="29" t="s">
        <v>656</v>
      </c>
      <c r="EY54" s="29" t="s">
        <v>656</v>
      </c>
      <c r="EZ54" s="663"/>
      <c r="FA54" s="29" t="s">
        <v>656</v>
      </c>
    </row>
    <row r="55" spans="1:157" ht="136" x14ac:dyDescent="0.2">
      <c r="A55" s="1205" t="s">
        <v>107</v>
      </c>
      <c r="B55" s="1206" t="s">
        <v>108</v>
      </c>
      <c r="C55" s="167" t="s">
        <v>109</v>
      </c>
      <c r="D55" s="168" t="s">
        <v>110</v>
      </c>
      <c r="E55" s="699" t="s">
        <v>57</v>
      </c>
      <c r="F55" s="35">
        <v>30</v>
      </c>
      <c r="G55" s="34" t="s">
        <v>1030</v>
      </c>
      <c r="H55" s="662">
        <v>2.29</v>
      </c>
      <c r="I55" s="34" t="s">
        <v>3604</v>
      </c>
      <c r="J55" s="37">
        <v>399.56914899999998</v>
      </c>
      <c r="K55" s="44">
        <v>40</v>
      </c>
      <c r="L55" s="44">
        <v>39</v>
      </c>
      <c r="M55" s="44">
        <v>72</v>
      </c>
      <c r="N55" s="44">
        <v>50</v>
      </c>
      <c r="O55" s="37">
        <v>250.65299999999999</v>
      </c>
      <c r="P55" s="59">
        <v>10</v>
      </c>
      <c r="Q55" s="65">
        <v>1200</v>
      </c>
      <c r="R55" s="59">
        <v>70</v>
      </c>
      <c r="S55" s="44">
        <v>600</v>
      </c>
      <c r="T55" s="44">
        <v>350</v>
      </c>
      <c r="U55" s="29" t="s">
        <v>1934</v>
      </c>
      <c r="V55" s="29">
        <v>0</v>
      </c>
      <c r="W55" s="34">
        <v>1.5</v>
      </c>
      <c r="X55" s="44">
        <v>70</v>
      </c>
      <c r="Y55" s="37">
        <v>995.1</v>
      </c>
      <c r="Z55" s="35">
        <v>22.512</v>
      </c>
      <c r="AA55" s="29">
        <v>80.03</v>
      </c>
      <c r="AB55" s="37">
        <v>12.8</v>
      </c>
      <c r="AC55" s="37">
        <v>318.39999999999998</v>
      </c>
      <c r="AD55" s="35">
        <v>499.99799999999999</v>
      </c>
      <c r="AE55" s="729">
        <v>149.97</v>
      </c>
      <c r="AF55" s="56">
        <v>90</v>
      </c>
      <c r="AG55" s="37">
        <v>268.27999999999997</v>
      </c>
      <c r="AH55" s="49" t="s">
        <v>916</v>
      </c>
      <c r="AI55" s="76">
        <v>200</v>
      </c>
      <c r="AJ55" s="29">
        <v>24.5</v>
      </c>
      <c r="AK55" s="663"/>
      <c r="AL55" s="44">
        <v>8.4600000000000009</v>
      </c>
      <c r="AM55" s="34">
        <v>0.68123999999999996</v>
      </c>
      <c r="AN55" s="44">
        <v>0.70003453999999998</v>
      </c>
      <c r="AO55" s="80" t="s">
        <v>1360</v>
      </c>
      <c r="AP55" s="663"/>
      <c r="AQ55" s="33">
        <v>850</v>
      </c>
      <c r="AR55" s="663"/>
      <c r="AS55" s="37">
        <v>23.954000000000001</v>
      </c>
      <c r="AT55" s="44">
        <v>284.69783999999999</v>
      </c>
      <c r="AU55" s="37">
        <v>528.06756719999998</v>
      </c>
      <c r="AV55" s="68">
        <v>55.277999999999999</v>
      </c>
      <c r="AW55" s="37">
        <v>252.018</v>
      </c>
      <c r="AX55" s="663"/>
      <c r="AY55" s="663"/>
      <c r="AZ55" s="37">
        <v>100.849</v>
      </c>
      <c r="BA55" s="37">
        <v>64.150999999999996</v>
      </c>
      <c r="BB55" s="37">
        <v>0</v>
      </c>
      <c r="BC55" s="37">
        <v>200</v>
      </c>
      <c r="BD55" s="29">
        <v>30</v>
      </c>
      <c r="BE55" s="80" t="s">
        <v>1838</v>
      </c>
      <c r="BF55" s="34">
        <v>326000</v>
      </c>
      <c r="BG55" s="44">
        <v>2.1499999999999998E-2</v>
      </c>
      <c r="BH55" s="44">
        <v>90</v>
      </c>
      <c r="BI55" s="29">
        <v>90</v>
      </c>
      <c r="BJ55" s="76">
        <v>1.867</v>
      </c>
      <c r="BK55" s="37">
        <v>300</v>
      </c>
      <c r="BL55" s="76">
        <v>304</v>
      </c>
      <c r="BM55" s="44">
        <v>23.5</v>
      </c>
      <c r="BN55" s="37">
        <v>4.25</v>
      </c>
      <c r="BO55" s="186">
        <v>3.1768999999999998</v>
      </c>
      <c r="BP55" s="35">
        <v>399.81900000000002</v>
      </c>
      <c r="BQ55" s="37">
        <v>120</v>
      </c>
      <c r="BR55" s="52">
        <v>210</v>
      </c>
      <c r="BS55" s="44">
        <v>250</v>
      </c>
      <c r="BT55" s="55" t="s">
        <v>656</v>
      </c>
      <c r="BU55" s="35">
        <v>11.224500000000001</v>
      </c>
      <c r="BV55" s="44">
        <v>177.1555103</v>
      </c>
      <c r="BW55" s="76">
        <v>50</v>
      </c>
      <c r="BX55" s="37">
        <v>5.76214286</v>
      </c>
      <c r="BY55" s="663"/>
      <c r="BZ55" s="663"/>
      <c r="CA55" s="44">
        <v>500</v>
      </c>
      <c r="CB55" s="68">
        <v>100</v>
      </c>
      <c r="CC55" s="29">
        <v>20.5</v>
      </c>
      <c r="CD55" s="37">
        <v>1.2</v>
      </c>
      <c r="CE55" s="37">
        <v>253.995</v>
      </c>
      <c r="CF55" s="44">
        <v>0.2</v>
      </c>
      <c r="CG55" s="731">
        <v>493.8</v>
      </c>
      <c r="CH55" s="37">
        <v>18</v>
      </c>
      <c r="CI55" s="44">
        <v>27</v>
      </c>
      <c r="CJ55" s="29">
        <v>35.200000000000003</v>
      </c>
      <c r="CK55" s="37">
        <v>22.8</v>
      </c>
      <c r="CL55" s="37">
        <v>157.69999999999999</v>
      </c>
      <c r="CM55" s="114">
        <v>199.9</v>
      </c>
      <c r="CN55" s="52">
        <v>98.7</v>
      </c>
      <c r="CO55" s="37">
        <v>720.27800000000002</v>
      </c>
      <c r="CP55" s="37">
        <v>250</v>
      </c>
      <c r="CQ55" s="29">
        <v>0.36699999999999999</v>
      </c>
      <c r="CR55" s="131">
        <v>200</v>
      </c>
      <c r="CS55" s="44">
        <v>4.6100000000000003</v>
      </c>
      <c r="CT55" s="35">
        <v>1283.6453535400001</v>
      </c>
      <c r="CU55" s="37">
        <v>15</v>
      </c>
      <c r="CV55" s="663"/>
      <c r="CW55" s="37">
        <v>199.23792517000001</v>
      </c>
      <c r="CX55" s="700">
        <v>258</v>
      </c>
      <c r="CY55" s="44">
        <v>20</v>
      </c>
      <c r="CZ55" s="44">
        <v>50</v>
      </c>
      <c r="DA55" s="44">
        <v>400</v>
      </c>
      <c r="DB55" s="138">
        <v>327.45</v>
      </c>
      <c r="DC55" s="139">
        <v>8.8193999999999999</v>
      </c>
      <c r="DD55" s="138">
        <v>2.73669524</v>
      </c>
      <c r="DE55" s="44">
        <v>250</v>
      </c>
      <c r="DF55" s="29">
        <f>6049530.23/1000000</f>
        <v>6.0495302300000002</v>
      </c>
      <c r="DG55" s="131">
        <v>580.16399999999999</v>
      </c>
      <c r="DH55" s="35">
        <v>5.4</v>
      </c>
      <c r="DI55" s="131">
        <v>87.232299999999995</v>
      </c>
      <c r="DJ55" s="732">
        <v>140</v>
      </c>
      <c r="DK55" s="708"/>
      <c r="DL55" s="131"/>
      <c r="DM55" s="146">
        <v>562</v>
      </c>
      <c r="DN55" s="37">
        <v>322.5</v>
      </c>
      <c r="DO55" s="37">
        <v>182</v>
      </c>
      <c r="DP55" s="76">
        <v>50</v>
      </c>
      <c r="DQ55" s="150">
        <v>8.2361000000000004</v>
      </c>
      <c r="DR55" s="144">
        <v>112.30710000000001</v>
      </c>
      <c r="DS55" s="34">
        <v>0</v>
      </c>
      <c r="DT55" s="34"/>
      <c r="DU55" s="29">
        <v>4.5</v>
      </c>
      <c r="DV55" s="35">
        <v>466.6</v>
      </c>
      <c r="DW55" s="29">
        <v>0</v>
      </c>
      <c r="DX55" s="37">
        <v>0.26600000000000001</v>
      </c>
      <c r="DY55" s="38">
        <v>5.2</v>
      </c>
      <c r="DZ55" s="44">
        <v>13.14110329</v>
      </c>
      <c r="EA55" s="29">
        <v>130</v>
      </c>
      <c r="EB55" s="37">
        <v>1352.0630000000001</v>
      </c>
      <c r="EC55" s="37">
        <v>214.6</v>
      </c>
      <c r="ED55" s="35">
        <v>13.896000000000001</v>
      </c>
      <c r="EE55" s="44">
        <v>40</v>
      </c>
      <c r="EF55" s="37">
        <v>399.95400000000001</v>
      </c>
      <c r="EG55" s="663"/>
      <c r="EH55" s="703">
        <v>7.5031999999999996</v>
      </c>
      <c r="EI55" s="725">
        <v>80.283000000000001</v>
      </c>
      <c r="EJ55" s="725">
        <v>664.44816000000003</v>
      </c>
      <c r="EK55" s="44">
        <v>216</v>
      </c>
      <c r="EL55" s="34" t="s">
        <v>2329</v>
      </c>
      <c r="EM55" s="675">
        <v>22.4288445</v>
      </c>
      <c r="EN55" s="156">
        <v>124.52952886999999</v>
      </c>
      <c r="EO55" s="44">
        <v>100</v>
      </c>
      <c r="EP55" s="37">
        <v>165.00399999999999</v>
      </c>
      <c r="EQ55" s="34" t="s">
        <v>1653</v>
      </c>
      <c r="ER55" s="36"/>
      <c r="ES55" s="663"/>
      <c r="ET55" s="44">
        <v>584</v>
      </c>
      <c r="EU55" s="132">
        <v>225</v>
      </c>
      <c r="EV55" s="729">
        <v>1500</v>
      </c>
      <c r="EW55" s="29">
        <v>50</v>
      </c>
      <c r="EX55" s="37">
        <f>980.9654+29.2152</f>
        <v>1010.1806</v>
      </c>
      <c r="EY55" s="44">
        <v>0</v>
      </c>
      <c r="EZ55" s="663"/>
      <c r="FA55" s="35">
        <v>710.14400000000001</v>
      </c>
    </row>
    <row r="56" spans="1:157" ht="102" x14ac:dyDescent="0.2">
      <c r="A56" s="1205"/>
      <c r="B56" s="1206"/>
      <c r="C56" s="167" t="s">
        <v>111</v>
      </c>
      <c r="D56" s="168" t="s">
        <v>112</v>
      </c>
      <c r="E56" s="185" t="s">
        <v>64</v>
      </c>
      <c r="F56" s="34">
        <v>6.9999999999999999E-4</v>
      </c>
      <c r="G56" s="34">
        <v>7.8999999999999996E-5</v>
      </c>
      <c r="H56" s="160">
        <v>1E-4</v>
      </c>
      <c r="I56" s="34">
        <v>5.7999999999999996E-3</v>
      </c>
      <c r="J56" s="34">
        <v>2.4114599999999998E-3</v>
      </c>
      <c r="K56" s="34">
        <v>2.41E-4</v>
      </c>
      <c r="L56" s="34">
        <v>4.0000000000000002E-4</v>
      </c>
      <c r="M56" s="34"/>
      <c r="N56" s="34">
        <v>5.9999999999999995E-4</v>
      </c>
      <c r="O56" s="34">
        <f>O55/285138.3</f>
        <v>8.7905763624178163E-4</v>
      </c>
      <c r="P56" s="39">
        <f>P55/285138.3</f>
        <v>3.5070700779235904E-5</v>
      </c>
      <c r="Q56" s="34">
        <f>Q55/285138.3</f>
        <v>4.2084840935083081E-3</v>
      </c>
      <c r="R56" s="34">
        <f>R55/285138.3</f>
        <v>2.4549490545465132E-4</v>
      </c>
      <c r="S56" s="34">
        <f>S55/285138.3</f>
        <v>2.104242046754154E-3</v>
      </c>
      <c r="T56" s="34">
        <f>T55/158846.797</f>
        <v>2.2033809092165705E-3</v>
      </c>
      <c r="U56" s="34">
        <v>0</v>
      </c>
      <c r="V56" s="34">
        <v>0</v>
      </c>
      <c r="W56" s="34">
        <v>1.5E-3</v>
      </c>
      <c r="X56" s="34">
        <v>5.9999999999999995E-4</v>
      </c>
      <c r="Y56" s="34">
        <v>8.5000000000000006E-3</v>
      </c>
      <c r="Z56" s="34">
        <v>2.0000000000000001E-4</v>
      </c>
      <c r="AA56" s="34">
        <v>6.9999999999999999E-4</v>
      </c>
      <c r="AB56" s="34">
        <f>AB55/160426</f>
        <v>7.978756560657251E-5</v>
      </c>
      <c r="AC56" s="34">
        <f>AC55/160426</f>
        <v>1.9847156944634908E-3</v>
      </c>
      <c r="AD56" s="34">
        <f>499.998/135151.9</f>
        <v>3.699526236775066E-3</v>
      </c>
      <c r="AE56" s="710">
        <v>9.9999999999999995E-7</v>
      </c>
      <c r="AF56" s="63">
        <f>AF55/170655.95</f>
        <v>5.2737686555903848E-4</v>
      </c>
      <c r="AG56" s="34">
        <v>1.3799999999999999E-3</v>
      </c>
      <c r="AH56" s="49">
        <f>60/190482.1</f>
        <v>3.1499022742819403E-4</v>
      </c>
      <c r="AI56" s="34">
        <v>1E-3</v>
      </c>
      <c r="AJ56" s="34">
        <v>1E-4</v>
      </c>
      <c r="AK56" s="663"/>
      <c r="AL56" s="34">
        <v>6.9999999999999994E-5</v>
      </c>
      <c r="AM56" s="34">
        <v>5.04E-2</v>
      </c>
      <c r="AN56" s="34">
        <v>6.0000000000000002E-5</v>
      </c>
      <c r="AO56" s="34">
        <v>2.8999999999999998E-3</v>
      </c>
      <c r="AP56" s="663"/>
      <c r="AQ56" s="49">
        <v>3.0999999999999999E-3</v>
      </c>
      <c r="AR56" s="663"/>
      <c r="AS56" s="34">
        <f>23.954/131339</f>
        <v>1.8238299362717853E-4</v>
      </c>
      <c r="AT56" s="34">
        <f>AT55/131339</f>
        <v>2.1676565224343111E-3</v>
      </c>
      <c r="AU56" s="34">
        <f>AU55/131339</f>
        <v>4.0206455599631485E-3</v>
      </c>
      <c r="AV56" s="49">
        <f>AV55/24548.2</f>
        <v>2.2518147970115934E-3</v>
      </c>
      <c r="AW56" s="34">
        <v>3.0999999999999999E-3</v>
      </c>
      <c r="AX56" s="663"/>
      <c r="AY56" s="663"/>
      <c r="AZ56" s="34">
        <v>1.1999999999999999E-3</v>
      </c>
      <c r="BA56" s="34">
        <v>8.0000000000000004E-4</v>
      </c>
      <c r="BB56" s="34">
        <v>0</v>
      </c>
      <c r="BC56" s="86">
        <f>200/283185.553</f>
        <v>7.0625071752865862E-4</v>
      </c>
      <c r="BD56" s="34">
        <v>2.9999999999999997E-4</v>
      </c>
      <c r="BE56" s="34">
        <v>4.1000000000000003E-3</v>
      </c>
      <c r="BF56" s="34">
        <v>3.0999999999999999E-3</v>
      </c>
      <c r="BG56" s="34">
        <f>21500/607331300</f>
        <v>3.5400777137618295E-5</v>
      </c>
      <c r="BH56" s="34">
        <f>BH55/46161.34</f>
        <v>1.9496834363993767E-3</v>
      </c>
      <c r="BI56" s="34">
        <f>BI55/46161.34</f>
        <v>1.9496834363993767E-3</v>
      </c>
      <c r="BJ56" s="39">
        <f>BJ55/46161.34</f>
        <v>4.0445099730640402E-5</v>
      </c>
      <c r="BK56" s="34">
        <v>6.9999999999999999E-4</v>
      </c>
      <c r="BL56" s="34">
        <f>304/406603.4</f>
        <v>7.4765729947167184E-4</v>
      </c>
      <c r="BM56" s="34"/>
      <c r="BN56" s="34">
        <v>1E-4</v>
      </c>
      <c r="BO56" s="713">
        <v>4.0000000000000003E-5</v>
      </c>
      <c r="BP56" s="34">
        <v>4.3E-3</v>
      </c>
      <c r="BQ56" s="34">
        <v>5.0746437811509122E-4</v>
      </c>
      <c r="BR56" s="34">
        <f>BR55/199437</f>
        <v>1.0529640939243971E-3</v>
      </c>
      <c r="BS56" s="34">
        <f>BS55/199437</f>
        <v>1.25352868324333E-3</v>
      </c>
      <c r="BT56" s="55">
        <v>12</v>
      </c>
      <c r="BU56" s="34">
        <v>1</v>
      </c>
      <c r="BV56" s="34">
        <f>BV55/53227.875394</f>
        <v>3.3282468817075776E-3</v>
      </c>
      <c r="BW56" s="34">
        <f>50/53227.875394</f>
        <v>9.3935742559501337E-4</v>
      </c>
      <c r="BX56" s="34">
        <f>BX55/53227.875394</f>
        <v>1.0825423365760575E-4</v>
      </c>
      <c r="BY56" s="663"/>
      <c r="BZ56" s="663"/>
      <c r="CA56" s="34">
        <v>5.0000000000000001E-4</v>
      </c>
      <c r="CB56" s="49">
        <v>8.0000000000000004E-4</v>
      </c>
      <c r="CC56" s="34">
        <v>6.9999999999999999E-4</v>
      </c>
      <c r="CD56" s="34">
        <v>3.8999999999999998E-3</v>
      </c>
      <c r="CE56" s="34">
        <v>3.9148132204E-3</v>
      </c>
      <c r="CF56" s="34">
        <f>CF55/64880.49*100</f>
        <v>3.0825907757478407E-4</v>
      </c>
      <c r="CG56" s="160">
        <v>8.0000000000000002E-3</v>
      </c>
      <c r="CH56" s="34">
        <v>2.7700000000000001E-4</v>
      </c>
      <c r="CI56" s="34">
        <v>4.1599999999999997E-4</v>
      </c>
      <c r="CJ56" s="34">
        <v>5.4000000000000001E-4</v>
      </c>
      <c r="CK56" s="34">
        <v>3.5141534839999998E-4</v>
      </c>
      <c r="CL56" s="34">
        <v>2.7000000000000001E-3</v>
      </c>
      <c r="CM56" s="113">
        <v>6.9999999999999999E-4</v>
      </c>
      <c r="CN56" s="34">
        <v>6.9999999999999999E-4</v>
      </c>
      <c r="CO56" s="34">
        <f>CO55/149605.6</f>
        <v>4.8145122909837596E-3</v>
      </c>
      <c r="CP56" s="34">
        <f>CP55/149605.6</f>
        <v>1.671060441587748E-3</v>
      </c>
      <c r="CQ56" s="123">
        <f>CQ55/149605.6</f>
        <v>2.4531167282508141E-6</v>
      </c>
      <c r="CR56" s="130">
        <f>CR55/132860.542</f>
        <v>1.5053378300985706E-3</v>
      </c>
      <c r="CS56" s="34">
        <f>CS55/53359.676</f>
        <v>8.639482743485925E-5</v>
      </c>
      <c r="CT56" s="34">
        <f>CT55/53359.676</f>
        <v>2.4056468287775964E-2</v>
      </c>
      <c r="CU56" s="34">
        <f>CU55/53359.676</f>
        <v>2.8111115217416239E-4</v>
      </c>
      <c r="CV56" s="663"/>
      <c r="CW56" s="34">
        <f>CW55/210713.6546</f>
        <v>9.4553874806175002E-4</v>
      </c>
      <c r="CX56" s="705">
        <v>1.2999999999999999E-3</v>
      </c>
      <c r="CY56" s="34">
        <v>3.6000000000000002E-4</v>
      </c>
      <c r="CZ56" s="34">
        <v>9.2000000000000003E-4</v>
      </c>
      <c r="DA56" s="34">
        <v>1.5E-3</v>
      </c>
      <c r="DB56" s="34">
        <v>3.6570995200000001E-3</v>
      </c>
      <c r="DC56" s="34">
        <v>1E-4</v>
      </c>
      <c r="DD56" s="34">
        <v>2.9999999999999997E-4</v>
      </c>
      <c r="DE56" s="34">
        <f>DE55/296527.127</f>
        <v>8.4309318519785884E-4</v>
      </c>
      <c r="DF56" s="39">
        <f>DF55/295516.347</f>
        <v>2.0471051065070183E-5</v>
      </c>
      <c r="DG56" s="143">
        <v>4.8500000000000003E-4</v>
      </c>
      <c r="DH56" s="144">
        <v>8.3659817878041097E-5</v>
      </c>
      <c r="DI56" s="143">
        <v>7.2999999999999999E-5</v>
      </c>
      <c r="DJ56" s="707">
        <v>8.9999999999999998E-4</v>
      </c>
      <c r="DK56" s="708"/>
      <c r="DL56" s="130"/>
      <c r="DM56" s="130">
        <v>1.6999999999999999E-3</v>
      </c>
      <c r="DN56" s="34">
        <v>1.6000000000000001E-3</v>
      </c>
      <c r="DO56" s="34">
        <v>8.9999999999999998E-4</v>
      </c>
      <c r="DP56" s="39">
        <f>DP55/374069.5472</f>
        <v>1.3366498388939159E-4</v>
      </c>
      <c r="DQ56" s="123">
        <f>DQ55/374069.5472</f>
        <v>2.201756347622836E-5</v>
      </c>
      <c r="DR56" s="34">
        <f>DR55/374069.5472</f>
        <v>3.002305342432858E-4</v>
      </c>
      <c r="DS56" s="34">
        <v>0</v>
      </c>
      <c r="DT56" s="34"/>
      <c r="DU56" s="34">
        <v>6.9999999999999994E-5</v>
      </c>
      <c r="DV56" s="34">
        <f>DV55/180814.51125</f>
        <v>2.5805450943860568E-3</v>
      </c>
      <c r="DW56" s="34">
        <v>0</v>
      </c>
      <c r="DX56" s="34">
        <v>0</v>
      </c>
      <c r="DY56" s="52">
        <v>0.01</v>
      </c>
      <c r="DZ56" s="34">
        <v>2.0000000000000001E-4</v>
      </c>
      <c r="EA56" s="29">
        <v>0.19</v>
      </c>
      <c r="EB56" s="34">
        <v>3.5999999999999999E-3</v>
      </c>
      <c r="EC56" s="34">
        <f>EC55/113476.1</f>
        <v>1.8911471226099592E-3</v>
      </c>
      <c r="ED56" s="34">
        <f>ED55/103885.9</f>
        <v>1.3376213711389131E-4</v>
      </c>
      <c r="EE56" s="34">
        <f>EE55/100917.8433</f>
        <v>3.9636201777609731E-4</v>
      </c>
      <c r="EF56" s="34">
        <v>3.3999999999999998E-3</v>
      </c>
      <c r="EG56" s="663"/>
      <c r="EH56" s="713">
        <f>EH55/234125</f>
        <v>3.2047837693539772E-5</v>
      </c>
      <c r="EI56" s="712">
        <f>EI55/234125</f>
        <v>3.4290656700480511E-4</v>
      </c>
      <c r="EJ56" s="704">
        <f>EJ55/234125</f>
        <v>2.8380060224239192E-3</v>
      </c>
      <c r="EK56" s="34">
        <v>2.0999999999999999E-3</v>
      </c>
      <c r="EL56" s="34">
        <v>6.9999999999999999E-4</v>
      </c>
      <c r="EM56" s="704"/>
      <c r="EN56" s="49">
        <v>0.14799999999999999</v>
      </c>
      <c r="EO56" s="34">
        <v>1.1000000000000001E-3</v>
      </c>
      <c r="EP56" s="34" t="s">
        <v>656</v>
      </c>
      <c r="EQ56" s="34">
        <v>1.6999999999999999E-3</v>
      </c>
      <c r="ER56" s="36"/>
      <c r="ES56" s="663"/>
      <c r="ET56" s="34"/>
      <c r="EU56" s="132"/>
      <c r="EV56" s="160">
        <v>5.1000000000000004E-3</v>
      </c>
      <c r="EW56" s="34">
        <v>3.5E-4</v>
      </c>
      <c r="EX56" s="34">
        <f>EX55/90046.0537</f>
        <v>1.1218488301170271E-2</v>
      </c>
      <c r="EY56" s="34">
        <v>0</v>
      </c>
      <c r="EZ56" s="663"/>
      <c r="FA56" s="34">
        <v>6.1999999999999998E-3</v>
      </c>
    </row>
    <row r="57" spans="1:157" ht="153" x14ac:dyDescent="0.2">
      <c r="A57" s="1205" t="s">
        <v>113</v>
      </c>
      <c r="B57" s="1206" t="s">
        <v>114</v>
      </c>
      <c r="C57" s="167" t="s">
        <v>115</v>
      </c>
      <c r="D57" s="168" t="s">
        <v>116</v>
      </c>
      <c r="E57" s="185" t="s">
        <v>117</v>
      </c>
      <c r="F57" s="36">
        <v>42</v>
      </c>
      <c r="G57" s="36">
        <v>13</v>
      </c>
      <c r="H57" s="161" t="s">
        <v>1482</v>
      </c>
      <c r="I57" s="36">
        <v>45</v>
      </c>
      <c r="J57" s="36">
        <v>1421</v>
      </c>
      <c r="K57" s="36"/>
      <c r="L57" s="36">
        <v>244</v>
      </c>
      <c r="M57" s="36" t="s">
        <v>481</v>
      </c>
      <c r="N57" s="36">
        <v>71</v>
      </c>
      <c r="O57" s="55" t="s">
        <v>1480</v>
      </c>
      <c r="P57" s="36">
        <v>28</v>
      </c>
      <c r="Q57" s="36">
        <v>236</v>
      </c>
      <c r="R57" s="36">
        <v>381</v>
      </c>
      <c r="S57" s="36">
        <v>1143</v>
      </c>
      <c r="T57" s="36">
        <v>1455</v>
      </c>
      <c r="U57" s="36">
        <v>175</v>
      </c>
      <c r="V57" s="36">
        <v>408</v>
      </c>
      <c r="W57" s="36">
        <v>246</v>
      </c>
      <c r="X57" s="36">
        <v>1351</v>
      </c>
      <c r="Y57" s="36">
        <v>132</v>
      </c>
      <c r="Z57" s="36">
        <v>47</v>
      </c>
      <c r="AA57" s="36">
        <v>225</v>
      </c>
      <c r="AB57" s="36">
        <v>47</v>
      </c>
      <c r="AC57" s="36">
        <f>405+527</f>
        <v>932</v>
      </c>
      <c r="AD57" s="36">
        <v>2107</v>
      </c>
      <c r="AE57" s="161" t="s">
        <v>771</v>
      </c>
      <c r="AF57" s="55">
        <v>817</v>
      </c>
      <c r="AG57" s="36" t="s">
        <v>825</v>
      </c>
      <c r="AH57" s="50">
        <v>17</v>
      </c>
      <c r="AI57" s="36"/>
      <c r="AJ57" s="36">
        <v>9</v>
      </c>
      <c r="AK57" s="663"/>
      <c r="AL57" s="36">
        <v>123</v>
      </c>
      <c r="AM57" s="36">
        <v>56</v>
      </c>
      <c r="AN57" s="36">
        <v>86</v>
      </c>
      <c r="AO57" s="36" t="s">
        <v>1361</v>
      </c>
      <c r="AP57" s="663"/>
      <c r="AQ57" s="50">
        <v>1597</v>
      </c>
      <c r="AR57" s="663"/>
      <c r="AS57" s="36" t="s">
        <v>1966</v>
      </c>
      <c r="AT57" s="36">
        <v>54</v>
      </c>
      <c r="AU57" s="36">
        <v>252</v>
      </c>
      <c r="AV57" s="50">
        <v>119</v>
      </c>
      <c r="AW57" s="36" t="s">
        <v>481</v>
      </c>
      <c r="AX57" s="663"/>
      <c r="AY57" s="663"/>
      <c r="AZ57" s="36" t="s">
        <v>656</v>
      </c>
      <c r="BA57" s="36" t="s">
        <v>656</v>
      </c>
      <c r="BB57" s="36">
        <v>97</v>
      </c>
      <c r="BC57" s="36">
        <v>358</v>
      </c>
      <c r="BD57" s="36">
        <v>135</v>
      </c>
      <c r="BE57" s="36">
        <v>307</v>
      </c>
      <c r="BF57" s="36">
        <v>1561</v>
      </c>
      <c r="BG57" s="36">
        <v>34</v>
      </c>
      <c r="BH57" s="36">
        <v>103</v>
      </c>
      <c r="BI57" s="36">
        <v>328</v>
      </c>
      <c r="BJ57" s="36">
        <v>69</v>
      </c>
      <c r="BK57" s="36"/>
      <c r="BL57" s="36">
        <v>614</v>
      </c>
      <c r="BM57" s="36">
        <v>17</v>
      </c>
      <c r="BN57" s="36"/>
      <c r="BO57" s="733">
        <v>22</v>
      </c>
      <c r="BP57" s="36">
        <v>375</v>
      </c>
      <c r="BQ57" s="36" t="s">
        <v>3036</v>
      </c>
      <c r="BR57" s="36">
        <v>275</v>
      </c>
      <c r="BS57" s="36">
        <v>216</v>
      </c>
      <c r="BT57" s="36">
        <v>12</v>
      </c>
      <c r="BU57" s="36">
        <v>2</v>
      </c>
      <c r="BV57" s="36">
        <v>196</v>
      </c>
      <c r="BW57" s="36">
        <v>171</v>
      </c>
      <c r="BX57" s="36">
        <v>203</v>
      </c>
      <c r="BY57" s="663"/>
      <c r="BZ57" s="663"/>
      <c r="CA57" s="36">
        <v>801</v>
      </c>
      <c r="CB57" s="50">
        <v>65</v>
      </c>
      <c r="CC57" s="36" t="s">
        <v>1154</v>
      </c>
      <c r="CD57" s="29"/>
      <c r="CE57" s="36">
        <v>569</v>
      </c>
      <c r="CF57" s="36">
        <v>57</v>
      </c>
      <c r="CG57" s="161">
        <v>4</v>
      </c>
      <c r="CH57" s="36">
        <v>562</v>
      </c>
      <c r="CI57" s="36">
        <v>79</v>
      </c>
      <c r="CJ57" s="36">
        <v>171</v>
      </c>
      <c r="CK57" s="36">
        <v>353</v>
      </c>
      <c r="CL57" s="36">
        <v>0</v>
      </c>
      <c r="CM57" s="115">
        <v>842</v>
      </c>
      <c r="CN57" s="36">
        <v>70</v>
      </c>
      <c r="CO57" s="36" t="s">
        <v>470</v>
      </c>
      <c r="CP57" s="36" t="s">
        <v>470</v>
      </c>
      <c r="CQ57" s="36" t="s">
        <v>1482</v>
      </c>
      <c r="CR57" s="132" t="s">
        <v>1393</v>
      </c>
      <c r="CS57" s="36">
        <v>22</v>
      </c>
      <c r="CT57" s="36">
        <v>204</v>
      </c>
      <c r="CU57" s="36">
        <v>23</v>
      </c>
      <c r="CV57" s="663"/>
      <c r="CW57" s="36" t="s">
        <v>656</v>
      </c>
      <c r="CX57" s="734">
        <v>532</v>
      </c>
      <c r="CY57" s="36">
        <v>28</v>
      </c>
      <c r="CZ57" s="36">
        <v>477</v>
      </c>
      <c r="DA57" s="36" t="s">
        <v>481</v>
      </c>
      <c r="DB57" s="36">
        <v>0</v>
      </c>
      <c r="DC57" s="36">
        <v>56</v>
      </c>
      <c r="DD57" s="36">
        <v>13</v>
      </c>
      <c r="DE57" s="36">
        <v>217</v>
      </c>
      <c r="DF57" s="36"/>
      <c r="DG57" s="132">
        <v>0</v>
      </c>
      <c r="DH57" s="735">
        <v>32</v>
      </c>
      <c r="DI57" s="132">
        <v>453</v>
      </c>
      <c r="DJ57" s="736">
        <v>448</v>
      </c>
      <c r="DK57" s="737">
        <v>110</v>
      </c>
      <c r="DL57" s="132">
        <v>186</v>
      </c>
      <c r="DM57" s="132">
        <v>1740</v>
      </c>
      <c r="DN57" s="36">
        <v>396</v>
      </c>
      <c r="DO57" s="36">
        <v>138</v>
      </c>
      <c r="DP57" s="36">
        <v>93</v>
      </c>
      <c r="DQ57" s="29" t="s">
        <v>656</v>
      </c>
      <c r="DR57" s="36">
        <v>218439</v>
      </c>
      <c r="DS57" s="36" t="s">
        <v>656</v>
      </c>
      <c r="DT57" s="36"/>
      <c r="DU57" s="36" t="s">
        <v>481</v>
      </c>
      <c r="DV57" s="29" t="s">
        <v>656</v>
      </c>
      <c r="DW57" s="36">
        <v>733</v>
      </c>
      <c r="DX57" s="36">
        <v>100</v>
      </c>
      <c r="DY57" s="36"/>
      <c r="DZ57" s="36">
        <v>34</v>
      </c>
      <c r="EA57" s="36">
        <v>31</v>
      </c>
      <c r="EB57" s="36"/>
      <c r="EC57" s="36">
        <v>332</v>
      </c>
      <c r="ED57" s="36">
        <v>65</v>
      </c>
      <c r="EE57" s="36" t="s">
        <v>507</v>
      </c>
      <c r="EF57" s="36">
        <v>1215</v>
      </c>
      <c r="EG57" s="663"/>
      <c r="EH57" s="733">
        <v>17</v>
      </c>
      <c r="EI57" s="733">
        <v>199</v>
      </c>
      <c r="EJ57" s="733" t="s">
        <v>656</v>
      </c>
      <c r="EK57" s="36" t="s">
        <v>481</v>
      </c>
      <c r="EL57" s="36">
        <v>529</v>
      </c>
      <c r="EM57" s="733">
        <v>591</v>
      </c>
      <c r="EN57" s="50">
        <v>16</v>
      </c>
      <c r="EO57" s="36">
        <v>635</v>
      </c>
      <c r="EP57" s="36">
        <v>97</v>
      </c>
      <c r="EQ57" s="36">
        <v>851</v>
      </c>
      <c r="ER57" s="36"/>
      <c r="ES57" s="663"/>
      <c r="ET57" s="36">
        <v>0</v>
      </c>
      <c r="EU57" s="132">
        <f>'[2]Березовский рн+'!HU47+'[2]Белоярский рн+'!HU47+'[2]Кондинский рн+'!HU47+'[2]Октябрьский рн+'!HU47+'[2]Сургутский рн+'!HU47+'[2]Нефтеюганский рн+'!HU47+'[2]Нижневартовский рн'!HU47+'[2]Ханты-Мансийский рн'!HU47+'[2]Советский рн+'!HU47+'[2]Когалым+'!HU47+'[2]Лангепас+'!HU47+'[2]Мегион+'!HU47+'[2]Нефтеюганск+'!HU47+'[2]Нягань+'!HU47+'[2]Покачи+'!HU47+'[2]Пыть-Ях+'!HU47+'[2]Радужный+'!HU47+[2]Сургут!HU47++'[2]Нижневартовск+'!HU47+'[2]Урай+'!HU47+'[2]Ханты-Мансийск'!HU47+'[2]Югорск+'!HU47</f>
        <v>0</v>
      </c>
      <c r="EV57" s="161">
        <v>857</v>
      </c>
      <c r="EW57" s="36">
        <v>11</v>
      </c>
      <c r="EX57" s="36">
        <f>935+43</f>
        <v>978</v>
      </c>
      <c r="EY57" s="36">
        <v>26</v>
      </c>
      <c r="EZ57" s="663"/>
      <c r="FA57" s="36">
        <v>475</v>
      </c>
    </row>
    <row r="58" spans="1:157" ht="170" x14ac:dyDescent="0.2">
      <c r="A58" s="1205"/>
      <c r="B58" s="1206"/>
      <c r="C58" s="167" t="s">
        <v>118</v>
      </c>
      <c r="D58" s="168" t="s">
        <v>119</v>
      </c>
      <c r="E58" s="185" t="s">
        <v>117</v>
      </c>
      <c r="F58" s="36">
        <v>16</v>
      </c>
      <c r="G58" s="36">
        <v>8</v>
      </c>
      <c r="H58" s="161">
        <v>9</v>
      </c>
      <c r="I58" s="36">
        <v>30</v>
      </c>
      <c r="J58" s="36">
        <v>524</v>
      </c>
      <c r="K58" s="36">
        <v>127</v>
      </c>
      <c r="L58" s="36">
        <v>244</v>
      </c>
      <c r="M58" s="36">
        <v>54</v>
      </c>
      <c r="N58" s="36">
        <v>67</v>
      </c>
      <c r="O58" s="55" t="s">
        <v>1480</v>
      </c>
      <c r="P58" s="36">
        <v>6</v>
      </c>
      <c r="Q58" s="36">
        <v>200</v>
      </c>
      <c r="R58" s="36">
        <v>90</v>
      </c>
      <c r="S58" s="36">
        <v>1125</v>
      </c>
      <c r="T58" s="36">
        <v>1346</v>
      </c>
      <c r="U58" s="36">
        <v>175</v>
      </c>
      <c r="V58" s="36">
        <v>408</v>
      </c>
      <c r="W58" s="36">
        <v>233</v>
      </c>
      <c r="X58" s="36">
        <v>1351</v>
      </c>
      <c r="Y58" s="36">
        <v>132</v>
      </c>
      <c r="Z58" s="36">
        <v>47</v>
      </c>
      <c r="AA58" s="36">
        <v>225</v>
      </c>
      <c r="AB58" s="36">
        <v>47</v>
      </c>
      <c r="AC58" s="36">
        <f>526+387</f>
        <v>913</v>
      </c>
      <c r="AD58" s="36">
        <v>2107</v>
      </c>
      <c r="AE58" s="161">
        <v>109</v>
      </c>
      <c r="AF58" s="55">
        <v>671</v>
      </c>
      <c r="AG58" s="36">
        <v>83</v>
      </c>
      <c r="AH58" s="50">
        <v>17</v>
      </c>
      <c r="AI58" s="36">
        <v>186</v>
      </c>
      <c r="AJ58" s="36">
        <v>9</v>
      </c>
      <c r="AK58" s="663"/>
      <c r="AL58" s="36">
        <v>112</v>
      </c>
      <c r="AM58" s="36">
        <v>56</v>
      </c>
      <c r="AN58" s="36">
        <v>86</v>
      </c>
      <c r="AO58" s="36">
        <v>144</v>
      </c>
      <c r="AP58" s="663"/>
      <c r="AQ58" s="50">
        <v>1359</v>
      </c>
      <c r="AR58" s="663"/>
      <c r="AS58" s="36">
        <v>15</v>
      </c>
      <c r="AT58" s="36">
        <v>54</v>
      </c>
      <c r="AU58" s="36">
        <v>252</v>
      </c>
      <c r="AV58" s="50">
        <v>58</v>
      </c>
      <c r="AW58" s="36">
        <v>331</v>
      </c>
      <c r="AX58" s="663"/>
      <c r="AY58" s="663"/>
      <c r="AZ58" s="36">
        <v>152</v>
      </c>
      <c r="BA58" s="36">
        <v>250</v>
      </c>
      <c r="BB58" s="36">
        <v>97</v>
      </c>
      <c r="BC58" s="36">
        <f>179</f>
        <v>179</v>
      </c>
      <c r="BD58" s="36">
        <v>69</v>
      </c>
      <c r="BE58" s="36">
        <v>278</v>
      </c>
      <c r="BF58" s="36">
        <v>1016</v>
      </c>
      <c r="BG58" s="36">
        <v>34</v>
      </c>
      <c r="BH58" s="36">
        <v>103</v>
      </c>
      <c r="BI58" s="36">
        <v>328</v>
      </c>
      <c r="BJ58" s="36">
        <v>69</v>
      </c>
      <c r="BK58" s="36">
        <v>389</v>
      </c>
      <c r="BL58" s="36">
        <v>266</v>
      </c>
      <c r="BM58" s="36">
        <v>17</v>
      </c>
      <c r="BN58" s="36"/>
      <c r="BO58" s="733">
        <v>22</v>
      </c>
      <c r="BP58" s="36">
        <v>375</v>
      </c>
      <c r="BQ58" s="36">
        <v>185</v>
      </c>
      <c r="BR58" s="36">
        <v>275</v>
      </c>
      <c r="BS58" s="36">
        <v>216</v>
      </c>
      <c r="BT58" s="55" t="s">
        <v>656</v>
      </c>
      <c r="BU58" s="36">
        <v>2</v>
      </c>
      <c r="BV58" s="36">
        <v>113</v>
      </c>
      <c r="BW58" s="36">
        <v>78</v>
      </c>
      <c r="BX58" s="36">
        <v>203</v>
      </c>
      <c r="BY58" s="663"/>
      <c r="BZ58" s="663"/>
      <c r="CA58" s="36">
        <v>720</v>
      </c>
      <c r="CB58" s="50">
        <v>54</v>
      </c>
      <c r="CC58" s="36">
        <v>30</v>
      </c>
      <c r="CD58" s="36">
        <v>914</v>
      </c>
      <c r="CE58" s="36">
        <v>261</v>
      </c>
      <c r="CF58" s="36">
        <v>57</v>
      </c>
      <c r="CG58" s="161">
        <v>4</v>
      </c>
      <c r="CH58" s="36">
        <v>82</v>
      </c>
      <c r="CI58" s="36">
        <v>23</v>
      </c>
      <c r="CJ58" s="36">
        <v>59</v>
      </c>
      <c r="CK58" s="36">
        <v>168</v>
      </c>
      <c r="CL58" s="36">
        <v>0</v>
      </c>
      <c r="CM58" s="115">
        <v>255</v>
      </c>
      <c r="CN58" s="36">
        <v>53</v>
      </c>
      <c r="CO58" s="36" t="s">
        <v>470</v>
      </c>
      <c r="CP58" s="36" t="s">
        <v>470</v>
      </c>
      <c r="CQ58" s="36">
        <v>11</v>
      </c>
      <c r="CR58" s="132">
        <v>225</v>
      </c>
      <c r="CS58" s="36">
        <v>22</v>
      </c>
      <c r="CT58" s="36">
        <v>204</v>
      </c>
      <c r="CU58" s="36">
        <v>23</v>
      </c>
      <c r="CV58" s="663"/>
      <c r="CW58" s="55">
        <v>295</v>
      </c>
      <c r="CX58" s="734">
        <v>233</v>
      </c>
      <c r="CY58" s="36">
        <v>28</v>
      </c>
      <c r="CZ58" s="36">
        <v>477</v>
      </c>
      <c r="DA58" s="29">
        <v>316</v>
      </c>
      <c r="DB58" s="36">
        <v>275</v>
      </c>
      <c r="DC58" s="36">
        <v>24</v>
      </c>
      <c r="DD58" s="36">
        <v>13</v>
      </c>
      <c r="DE58" s="36">
        <v>403</v>
      </c>
      <c r="DF58" s="36">
        <v>28</v>
      </c>
      <c r="DG58" s="132">
        <v>0</v>
      </c>
      <c r="DH58" s="179">
        <v>6</v>
      </c>
      <c r="DI58" s="132">
        <v>374</v>
      </c>
      <c r="DJ58" s="736">
        <v>236</v>
      </c>
      <c r="DK58" s="737">
        <v>110</v>
      </c>
      <c r="DL58" s="132">
        <v>135</v>
      </c>
      <c r="DM58" s="132">
        <v>459</v>
      </c>
      <c r="DN58" s="36">
        <v>396</v>
      </c>
      <c r="DO58" s="36">
        <v>70</v>
      </c>
      <c r="DP58" s="36">
        <v>90</v>
      </c>
      <c r="DQ58" s="36">
        <v>11</v>
      </c>
      <c r="DR58" s="80" t="s">
        <v>2557</v>
      </c>
      <c r="DS58" s="36">
        <v>99</v>
      </c>
      <c r="DT58" s="36"/>
      <c r="DU58" s="36">
        <v>15</v>
      </c>
      <c r="DV58" s="36">
        <v>257</v>
      </c>
      <c r="DW58" s="36">
        <v>484</v>
      </c>
      <c r="DX58" s="36">
        <v>100</v>
      </c>
      <c r="DY58" s="36"/>
      <c r="DZ58" s="36">
        <v>29</v>
      </c>
      <c r="EA58" s="36">
        <v>29</v>
      </c>
      <c r="EB58" s="36"/>
      <c r="EC58" s="36">
        <v>332</v>
      </c>
      <c r="ED58" s="36">
        <v>65</v>
      </c>
      <c r="EE58" s="36">
        <v>108</v>
      </c>
      <c r="EF58" s="36">
        <v>1104</v>
      </c>
      <c r="EG58" s="663"/>
      <c r="EH58" s="733">
        <v>10</v>
      </c>
      <c r="EI58" s="733">
        <v>199</v>
      </c>
      <c r="EJ58" s="733" t="s">
        <v>656</v>
      </c>
      <c r="EK58" s="36">
        <v>332</v>
      </c>
      <c r="EL58" s="36">
        <v>529</v>
      </c>
      <c r="EM58" s="733">
        <v>591</v>
      </c>
      <c r="EN58" s="50">
        <v>16</v>
      </c>
      <c r="EO58" s="36">
        <v>147</v>
      </c>
      <c r="EP58" s="36">
        <v>49</v>
      </c>
      <c r="EQ58" s="36">
        <v>848</v>
      </c>
      <c r="ER58" s="36"/>
      <c r="ES58" s="663"/>
      <c r="ET58" s="36">
        <v>0</v>
      </c>
      <c r="EU58" s="132">
        <f>'[2]Березовский рн+'!HU48+'[2]Белоярский рн+'!HU48+'[2]Кондинский рн+'!HU48+'[2]Октябрьский рн+'!HU48+'[2]Сургутский рн+'!HU48+'[2]Нефтеюганский рн+'!HU48+'[2]Нижневартовский рн'!HU48+'[2]Ханты-Мансийский рн'!HU48+'[2]Советский рн+'!HU48+'[2]Когалым+'!HU48+'[2]Лангепас+'!HU48+'[2]Мегион+'!HU48+'[2]Нефтеюганск+'!HU48+'[2]Нягань+'!HU48+'[2]Покачи+'!HU48+'[2]Пыть-Ях+'!HU48+'[2]Радужный+'!HU48+[2]Сургут!HU48++'[2]Нижневартовск+'!HU48+'[2]Урай+'!HU48+'[2]Ханты-Мансийск'!HU48+'[2]Югорск+'!HU48</f>
        <v>0</v>
      </c>
      <c r="EV58" s="161">
        <v>754</v>
      </c>
      <c r="EW58" s="36">
        <v>9</v>
      </c>
      <c r="EX58" s="36">
        <f>935+26</f>
        <v>961</v>
      </c>
      <c r="EY58" s="36">
        <v>26</v>
      </c>
      <c r="EZ58" s="663"/>
      <c r="FA58" s="36">
        <v>467</v>
      </c>
    </row>
    <row r="59" spans="1:157" ht="204" x14ac:dyDescent="0.2">
      <c r="A59" s="1205"/>
      <c r="B59" s="1206"/>
      <c r="C59" s="167" t="s">
        <v>120</v>
      </c>
      <c r="D59" s="168" t="s">
        <v>121</v>
      </c>
      <c r="E59" s="185" t="s">
        <v>117</v>
      </c>
      <c r="F59" s="36">
        <v>16</v>
      </c>
      <c r="G59" s="36">
        <v>6</v>
      </c>
      <c r="H59" s="161">
        <v>1</v>
      </c>
      <c r="I59" s="36">
        <v>21</v>
      </c>
      <c r="J59" s="36">
        <v>410</v>
      </c>
      <c r="K59" s="36">
        <v>94</v>
      </c>
      <c r="L59" s="36">
        <v>132</v>
      </c>
      <c r="M59" s="36">
        <v>48</v>
      </c>
      <c r="N59" s="36">
        <v>31</v>
      </c>
      <c r="O59" s="36">
        <v>720</v>
      </c>
      <c r="P59" s="36">
        <v>5</v>
      </c>
      <c r="Q59" s="36">
        <v>200</v>
      </c>
      <c r="R59" s="36">
        <v>60</v>
      </c>
      <c r="S59" s="36">
        <v>645</v>
      </c>
      <c r="T59" s="36">
        <v>830</v>
      </c>
      <c r="U59" s="36">
        <v>47</v>
      </c>
      <c r="V59" s="36">
        <v>101</v>
      </c>
      <c r="W59" s="36">
        <v>125</v>
      </c>
      <c r="X59" s="36">
        <v>1070</v>
      </c>
      <c r="Y59" s="36">
        <v>132</v>
      </c>
      <c r="Z59" s="36">
        <v>47</v>
      </c>
      <c r="AA59" s="36" t="s">
        <v>902</v>
      </c>
      <c r="AB59" s="36">
        <v>47</v>
      </c>
      <c r="AC59" s="36">
        <f>367+120</f>
        <v>487</v>
      </c>
      <c r="AD59" s="36">
        <v>1335</v>
      </c>
      <c r="AE59" s="161">
        <v>70</v>
      </c>
      <c r="AF59" s="55">
        <v>210</v>
      </c>
      <c r="AG59" s="36">
        <v>35</v>
      </c>
      <c r="AH59" s="50">
        <v>9</v>
      </c>
      <c r="AI59" s="36">
        <v>128</v>
      </c>
      <c r="AJ59" s="36">
        <v>6</v>
      </c>
      <c r="AK59" s="663"/>
      <c r="AL59" s="36">
        <v>29</v>
      </c>
      <c r="AM59" s="36">
        <v>46</v>
      </c>
      <c r="AN59" s="36">
        <f>SUM(AN60:AN83)</f>
        <v>7</v>
      </c>
      <c r="AO59" s="36">
        <v>132</v>
      </c>
      <c r="AP59" s="663"/>
      <c r="AQ59" s="50">
        <v>1359</v>
      </c>
      <c r="AR59" s="663"/>
      <c r="AS59" s="36">
        <v>15</v>
      </c>
      <c r="AT59" s="36">
        <v>53</v>
      </c>
      <c r="AU59" s="30">
        <v>252</v>
      </c>
      <c r="AV59" s="50">
        <v>55</v>
      </c>
      <c r="AW59" s="36">
        <v>331</v>
      </c>
      <c r="AX59" s="663"/>
      <c r="AY59" s="663"/>
      <c r="AZ59" s="36">
        <v>98</v>
      </c>
      <c r="BA59" s="36">
        <v>174</v>
      </c>
      <c r="BB59" s="36">
        <v>38</v>
      </c>
      <c r="BC59" s="36">
        <f>125</f>
        <v>125</v>
      </c>
      <c r="BD59" s="36">
        <v>26</v>
      </c>
      <c r="BE59" s="36">
        <v>262</v>
      </c>
      <c r="BF59" s="36">
        <v>533</v>
      </c>
      <c r="BG59" s="36">
        <v>8</v>
      </c>
      <c r="BH59" s="36">
        <v>71</v>
      </c>
      <c r="BI59" s="36">
        <v>185</v>
      </c>
      <c r="BJ59" s="36">
        <v>69</v>
      </c>
      <c r="BK59" s="36">
        <v>86</v>
      </c>
      <c r="BL59" s="36">
        <v>254</v>
      </c>
      <c r="BM59" s="36">
        <v>17</v>
      </c>
      <c r="BN59" s="36"/>
      <c r="BO59" s="733">
        <v>3</v>
      </c>
      <c r="BP59" s="36">
        <v>372</v>
      </c>
      <c r="BQ59" s="36">
        <v>63</v>
      </c>
      <c r="BR59" s="36">
        <v>275</v>
      </c>
      <c r="BS59" s="36">
        <v>216</v>
      </c>
      <c r="BT59" s="55" t="s">
        <v>656</v>
      </c>
      <c r="BU59" s="36">
        <v>2</v>
      </c>
      <c r="BV59" s="36">
        <v>92</v>
      </c>
      <c r="BW59" s="36" t="s">
        <v>3005</v>
      </c>
      <c r="BX59" s="36">
        <v>49</v>
      </c>
      <c r="BY59" s="663"/>
      <c r="BZ59" s="663"/>
      <c r="CA59" s="36">
        <v>465</v>
      </c>
      <c r="CB59" s="50">
        <v>54</v>
      </c>
      <c r="CC59" s="36">
        <v>17</v>
      </c>
      <c r="CD59" s="29">
        <v>431</v>
      </c>
      <c r="CE59" s="36">
        <v>261</v>
      </c>
      <c r="CF59" s="36">
        <v>57</v>
      </c>
      <c r="CG59" s="161">
        <v>2</v>
      </c>
      <c r="CH59" s="36">
        <v>22</v>
      </c>
      <c r="CI59" s="36">
        <v>18</v>
      </c>
      <c r="CJ59" s="36">
        <v>49</v>
      </c>
      <c r="CK59" s="36">
        <v>162</v>
      </c>
      <c r="CL59" s="36">
        <v>0</v>
      </c>
      <c r="CM59" s="115">
        <v>229</v>
      </c>
      <c r="CN59" s="36">
        <v>43</v>
      </c>
      <c r="CO59" s="36">
        <v>95</v>
      </c>
      <c r="CP59" s="36">
        <v>79</v>
      </c>
      <c r="CQ59" s="36">
        <v>1</v>
      </c>
      <c r="CR59" s="132">
        <v>225</v>
      </c>
      <c r="CS59" s="36">
        <v>3</v>
      </c>
      <c r="CT59" s="36">
        <v>171</v>
      </c>
      <c r="CU59" s="36">
        <v>9</v>
      </c>
      <c r="CV59" s="663"/>
      <c r="CW59" s="55">
        <v>223</v>
      </c>
      <c r="CX59" s="734">
        <v>87</v>
      </c>
      <c r="CY59" s="36">
        <v>18</v>
      </c>
      <c r="CZ59" s="36">
        <v>206</v>
      </c>
      <c r="DA59" s="29">
        <v>181</v>
      </c>
      <c r="DB59" s="61">
        <v>256</v>
      </c>
      <c r="DC59" s="36">
        <v>24</v>
      </c>
      <c r="DD59" s="36">
        <v>6</v>
      </c>
      <c r="DE59" s="36">
        <v>190</v>
      </c>
      <c r="DF59" s="36">
        <v>28</v>
      </c>
      <c r="DG59" s="132">
        <v>0</v>
      </c>
      <c r="DH59" s="179">
        <v>6</v>
      </c>
      <c r="DI59" s="132">
        <v>30</v>
      </c>
      <c r="DJ59" s="736">
        <v>129</v>
      </c>
      <c r="DK59" s="737">
        <v>7</v>
      </c>
      <c r="DL59" s="132">
        <v>135</v>
      </c>
      <c r="DM59" s="132">
        <v>332</v>
      </c>
      <c r="DN59" s="36">
        <v>141</v>
      </c>
      <c r="DO59" s="36">
        <v>42</v>
      </c>
      <c r="DP59" s="36">
        <v>78</v>
      </c>
      <c r="DQ59" s="36">
        <v>1</v>
      </c>
      <c r="DR59" s="36">
        <v>58</v>
      </c>
      <c r="DS59" s="36">
        <v>50</v>
      </c>
      <c r="DT59" s="36">
        <v>3</v>
      </c>
      <c r="DU59" s="36">
        <v>4</v>
      </c>
      <c r="DV59" s="36">
        <v>165</v>
      </c>
      <c r="DW59" s="36">
        <v>484</v>
      </c>
      <c r="DX59" s="36">
        <v>4</v>
      </c>
      <c r="DY59" s="36"/>
      <c r="DZ59" s="36">
        <v>2</v>
      </c>
      <c r="EA59" s="36">
        <v>28</v>
      </c>
      <c r="EB59" s="36"/>
      <c r="EC59" s="36">
        <v>220</v>
      </c>
      <c r="ED59" s="36">
        <v>57</v>
      </c>
      <c r="EE59" s="36">
        <v>70</v>
      </c>
      <c r="EF59" s="36">
        <v>249</v>
      </c>
      <c r="EG59" s="663"/>
      <c r="EH59" s="733">
        <v>5</v>
      </c>
      <c r="EI59" s="733">
        <v>69</v>
      </c>
      <c r="EJ59" s="733" t="s">
        <v>656</v>
      </c>
      <c r="EK59" s="36">
        <v>273</v>
      </c>
      <c r="EL59" s="36">
        <v>143</v>
      </c>
      <c r="EM59" s="733">
        <v>84</v>
      </c>
      <c r="EN59" s="50">
        <v>16</v>
      </c>
      <c r="EO59" s="36">
        <v>55</v>
      </c>
      <c r="EP59" s="36">
        <v>36</v>
      </c>
      <c r="EQ59" s="36">
        <v>341</v>
      </c>
      <c r="ER59" s="36"/>
      <c r="ES59" s="663"/>
      <c r="ET59" s="36">
        <v>0</v>
      </c>
      <c r="EU59" s="132">
        <f>'[2]Березовский рн+'!HU49+'[2]Белоярский рн+'!HU49+'[2]Кондинский рн+'!HU49+'[2]Октябрьский рн+'!HU49+'[2]Сургутский рн+'!HU49+'[2]Нефтеюганский рн+'!HU49+'[2]Нижневартовский рн'!HU49+'[2]Ханты-Мансийский рн'!HU49+'[2]Советский рн+'!HU49+'[2]Когалым+'!HU49+'[2]Лангепас+'!HU49+'[2]Мегион+'!HU49+'[2]Нефтеюганск+'!HU49+'[2]Нягань+'!HU49+'[2]Покачи+'!HU49+'[2]Пыть-Ях+'!HU49+'[2]Радужный+'!HU49+[2]Сургут!HU49++'[2]Нижневартовск+'!HU49+'[2]Урай+'!HU49+'[2]Ханты-Мансийск'!HU49+'[2]Югорск+'!HU49</f>
        <v>0</v>
      </c>
      <c r="EV59" s="161">
        <v>509</v>
      </c>
      <c r="EW59" s="36">
        <v>6</v>
      </c>
      <c r="EX59" s="36">
        <f>935+26</f>
        <v>961</v>
      </c>
      <c r="EY59" s="36">
        <v>22</v>
      </c>
      <c r="EZ59" s="663"/>
      <c r="FA59" s="36">
        <v>462</v>
      </c>
    </row>
    <row r="60" spans="1:157" ht="34" x14ac:dyDescent="0.2">
      <c r="A60" s="1205" t="s">
        <v>122</v>
      </c>
      <c r="B60" s="1207" t="s">
        <v>123</v>
      </c>
      <c r="C60" s="167" t="s">
        <v>124</v>
      </c>
      <c r="D60" s="168" t="s">
        <v>125</v>
      </c>
      <c r="E60" s="188" t="s">
        <v>117</v>
      </c>
      <c r="F60" s="36">
        <v>0</v>
      </c>
      <c r="G60" s="36" t="s">
        <v>656</v>
      </c>
      <c r="H60" s="161"/>
      <c r="I60" s="36" t="s">
        <v>656</v>
      </c>
      <c r="J60" s="36">
        <v>23</v>
      </c>
      <c r="K60" s="36" t="s">
        <v>656</v>
      </c>
      <c r="L60" s="36">
        <v>2</v>
      </c>
      <c r="M60" s="36">
        <v>1</v>
      </c>
      <c r="N60" s="50" t="s">
        <v>656</v>
      </c>
      <c r="O60" s="36">
        <v>21</v>
      </c>
      <c r="P60" s="37" t="s">
        <v>656</v>
      </c>
      <c r="Q60" s="36">
        <v>0</v>
      </c>
      <c r="R60" s="29" t="s">
        <v>656</v>
      </c>
      <c r="S60" s="36">
        <v>20</v>
      </c>
      <c r="T60" s="36">
        <f>12+7</f>
        <v>19</v>
      </c>
      <c r="U60" s="36">
        <v>0</v>
      </c>
      <c r="V60" s="36">
        <v>0</v>
      </c>
      <c r="W60" s="36"/>
      <c r="X60" s="36"/>
      <c r="Y60" s="36"/>
      <c r="Z60" s="36"/>
      <c r="AA60" s="36">
        <v>17</v>
      </c>
      <c r="AB60" s="36"/>
      <c r="AC60" s="36"/>
      <c r="AD60" s="36">
        <v>230</v>
      </c>
      <c r="AE60" s="161">
        <v>21</v>
      </c>
      <c r="AF60" s="36">
        <v>22</v>
      </c>
      <c r="AG60" s="36"/>
      <c r="AH60" s="50" t="s">
        <v>656</v>
      </c>
      <c r="AI60" s="36">
        <v>12</v>
      </c>
      <c r="AJ60" s="36">
        <v>2</v>
      </c>
      <c r="AK60" s="663"/>
      <c r="AL60" s="36">
        <v>0</v>
      </c>
      <c r="AM60" s="36">
        <v>0</v>
      </c>
      <c r="AN60" s="36">
        <v>0</v>
      </c>
      <c r="AO60" s="36">
        <v>0</v>
      </c>
      <c r="AP60" s="663"/>
      <c r="AQ60" s="50">
        <v>113</v>
      </c>
      <c r="AR60" s="663"/>
      <c r="AS60" s="36"/>
      <c r="AT60" s="36"/>
      <c r="AU60" s="36">
        <v>72</v>
      </c>
      <c r="AV60" s="50">
        <v>1</v>
      </c>
      <c r="AW60" s="61">
        <v>7</v>
      </c>
      <c r="AX60" s="663"/>
      <c r="AY60" s="663"/>
      <c r="AZ60" s="36">
        <v>8</v>
      </c>
      <c r="BA60" s="36">
        <v>10</v>
      </c>
      <c r="BB60" s="36">
        <v>4</v>
      </c>
      <c r="BC60" s="36">
        <v>0</v>
      </c>
      <c r="BD60" s="36">
        <v>1</v>
      </c>
      <c r="BE60" s="36">
        <v>10</v>
      </c>
      <c r="BF60" s="36">
        <v>34</v>
      </c>
      <c r="BG60" s="36" t="s">
        <v>656</v>
      </c>
      <c r="BH60" s="36">
        <v>0</v>
      </c>
      <c r="BI60" s="36">
        <v>44</v>
      </c>
      <c r="BJ60" s="36">
        <v>0</v>
      </c>
      <c r="BK60" s="36">
        <v>0</v>
      </c>
      <c r="BL60" s="36">
        <v>18</v>
      </c>
      <c r="BM60" s="36">
        <v>12</v>
      </c>
      <c r="BN60" s="36"/>
      <c r="BO60" s="733"/>
      <c r="BP60" s="36">
        <v>21</v>
      </c>
      <c r="BQ60" s="36">
        <v>0</v>
      </c>
      <c r="BR60" s="36">
        <v>5</v>
      </c>
      <c r="BS60" s="36">
        <v>1</v>
      </c>
      <c r="BT60" s="55" t="s">
        <v>656</v>
      </c>
      <c r="BU60" s="36"/>
      <c r="BV60" s="36">
        <v>0</v>
      </c>
      <c r="BW60" s="36">
        <v>0</v>
      </c>
      <c r="BX60" s="36">
        <v>0</v>
      </c>
      <c r="BY60" s="663"/>
      <c r="BZ60" s="663"/>
      <c r="CA60" s="36">
        <v>2</v>
      </c>
      <c r="CB60" s="50">
        <v>0</v>
      </c>
      <c r="CC60" s="36">
        <v>0</v>
      </c>
      <c r="CD60" s="36">
        <v>38</v>
      </c>
      <c r="CE60" s="36">
        <v>0</v>
      </c>
      <c r="CF60" s="36">
        <v>0</v>
      </c>
      <c r="CG60" s="161">
        <v>0</v>
      </c>
      <c r="CH60" s="36">
        <v>0</v>
      </c>
      <c r="CI60" s="36">
        <v>0</v>
      </c>
      <c r="CJ60" s="36">
        <v>1</v>
      </c>
      <c r="CK60" s="36">
        <v>0</v>
      </c>
      <c r="CL60" s="36">
        <v>0</v>
      </c>
      <c r="CM60" s="115">
        <v>2</v>
      </c>
      <c r="CN60" s="36">
        <v>0</v>
      </c>
      <c r="CO60" s="36">
        <v>0</v>
      </c>
      <c r="CP60" s="36">
        <v>0</v>
      </c>
      <c r="CQ60" s="36">
        <v>0</v>
      </c>
      <c r="CR60" s="132">
        <v>22</v>
      </c>
      <c r="CS60" s="36"/>
      <c r="CT60" s="36"/>
      <c r="CU60" s="36">
        <v>1</v>
      </c>
      <c r="CV60" s="663"/>
      <c r="CW60" s="36">
        <v>7</v>
      </c>
      <c r="CX60" s="734">
        <v>1</v>
      </c>
      <c r="CY60" s="36" t="s">
        <v>1447</v>
      </c>
      <c r="CZ60" s="36">
        <v>13</v>
      </c>
      <c r="DA60" s="29" t="s">
        <v>1482</v>
      </c>
      <c r="DB60" s="36">
        <v>12</v>
      </c>
      <c r="DC60" s="36"/>
      <c r="DD60" s="36" t="s">
        <v>656</v>
      </c>
      <c r="DE60" s="36">
        <v>25</v>
      </c>
      <c r="DF60" s="36" t="s">
        <v>656</v>
      </c>
      <c r="DG60" s="132"/>
      <c r="DH60" s="36"/>
      <c r="DI60" s="132">
        <v>0</v>
      </c>
      <c r="DJ60" s="736">
        <v>48</v>
      </c>
      <c r="DK60" s="737"/>
      <c r="DL60" s="132"/>
      <c r="DM60" s="132">
        <v>58</v>
      </c>
      <c r="DN60" s="36"/>
      <c r="DO60" s="36">
        <v>1</v>
      </c>
      <c r="DP60" s="36" t="s">
        <v>2520</v>
      </c>
      <c r="DQ60" s="29" t="s">
        <v>656</v>
      </c>
      <c r="DR60" s="36" t="s">
        <v>656</v>
      </c>
      <c r="DS60" s="36" t="s">
        <v>656</v>
      </c>
      <c r="DT60" s="36"/>
      <c r="DU60" s="36"/>
      <c r="DV60" s="36"/>
      <c r="DW60" s="36">
        <v>109</v>
      </c>
      <c r="DX60" s="36"/>
      <c r="DY60" s="36"/>
      <c r="DZ60" s="36">
        <v>1</v>
      </c>
      <c r="EA60" s="36">
        <v>0</v>
      </c>
      <c r="EB60" s="36">
        <v>555</v>
      </c>
      <c r="EC60" s="36">
        <v>40</v>
      </c>
      <c r="ED60" s="36">
        <v>0</v>
      </c>
      <c r="EE60" s="36">
        <f>5+4+4+1</f>
        <v>14</v>
      </c>
      <c r="EF60" s="36">
        <v>25</v>
      </c>
      <c r="EG60" s="663"/>
      <c r="EH60" s="733" t="s">
        <v>656</v>
      </c>
      <c r="EI60" s="733">
        <v>0</v>
      </c>
      <c r="EJ60" s="733" t="s">
        <v>656</v>
      </c>
      <c r="EK60" s="36">
        <v>4</v>
      </c>
      <c r="EL60" s="36"/>
      <c r="EM60" s="733">
        <v>2</v>
      </c>
      <c r="EN60" s="36"/>
      <c r="EO60" s="36">
        <v>5</v>
      </c>
      <c r="EP60" s="36">
        <v>2</v>
      </c>
      <c r="EQ60" s="36">
        <v>5</v>
      </c>
      <c r="ER60" s="36"/>
      <c r="ES60" s="663"/>
      <c r="ET60" s="36">
        <v>0</v>
      </c>
      <c r="EU60" s="36">
        <v>2</v>
      </c>
      <c r="EV60" s="161">
        <v>16</v>
      </c>
      <c r="EW60" s="36"/>
      <c r="EX60" s="36">
        <f>151</f>
        <v>151</v>
      </c>
      <c r="EY60" s="36" t="s">
        <v>656</v>
      </c>
      <c r="EZ60" s="663"/>
      <c r="FA60" s="36">
        <v>13</v>
      </c>
    </row>
    <row r="61" spans="1:157" ht="68" x14ac:dyDescent="0.2">
      <c r="A61" s="1205"/>
      <c r="B61" s="1207"/>
      <c r="C61" s="167" t="s">
        <v>126</v>
      </c>
      <c r="D61" s="168" t="s">
        <v>127</v>
      </c>
      <c r="E61" s="188" t="s">
        <v>117</v>
      </c>
      <c r="F61" s="36">
        <v>6</v>
      </c>
      <c r="G61" s="36" t="s">
        <v>656</v>
      </c>
      <c r="H61" s="161"/>
      <c r="I61" s="36" t="s">
        <v>656</v>
      </c>
      <c r="J61" s="36">
        <v>85</v>
      </c>
      <c r="K61" s="36" t="s">
        <v>656</v>
      </c>
      <c r="L61" s="36"/>
      <c r="M61" s="36">
        <v>8</v>
      </c>
      <c r="N61" s="36">
        <v>5</v>
      </c>
      <c r="O61" s="36">
        <v>16</v>
      </c>
      <c r="P61" s="34" t="s">
        <v>656</v>
      </c>
      <c r="Q61" s="36">
        <v>0</v>
      </c>
      <c r="R61" s="29" t="s">
        <v>656</v>
      </c>
      <c r="S61" s="36">
        <v>86</v>
      </c>
      <c r="T61" s="36">
        <f>157+59+2+6-1</f>
        <v>223</v>
      </c>
      <c r="U61" s="36">
        <v>2</v>
      </c>
      <c r="V61" s="36">
        <v>6</v>
      </c>
      <c r="W61" s="36"/>
      <c r="X61" s="36"/>
      <c r="Y61" s="36"/>
      <c r="Z61" s="36">
        <v>10</v>
      </c>
      <c r="AA61" s="36">
        <v>43</v>
      </c>
      <c r="AB61" s="36"/>
      <c r="AC61" s="36"/>
      <c r="AD61" s="36" t="s">
        <v>656</v>
      </c>
      <c r="AE61" s="161">
        <v>16</v>
      </c>
      <c r="AF61" s="36">
        <v>20</v>
      </c>
      <c r="AG61" s="36"/>
      <c r="AH61" s="50" t="s">
        <v>656</v>
      </c>
      <c r="AI61" s="36">
        <v>49</v>
      </c>
      <c r="AJ61" s="36">
        <v>1</v>
      </c>
      <c r="AK61" s="663"/>
      <c r="AL61" s="36">
        <v>0</v>
      </c>
      <c r="AM61" s="36">
        <v>0</v>
      </c>
      <c r="AN61" s="36">
        <v>0</v>
      </c>
      <c r="AO61" s="36">
        <v>1</v>
      </c>
      <c r="AP61" s="663"/>
      <c r="AQ61" s="50">
        <v>84</v>
      </c>
      <c r="AR61" s="663"/>
      <c r="AS61" s="36">
        <v>1</v>
      </c>
      <c r="AT61" s="36"/>
      <c r="AU61" s="36">
        <v>41</v>
      </c>
      <c r="AV61" s="50">
        <v>5</v>
      </c>
      <c r="AW61" s="61">
        <v>28</v>
      </c>
      <c r="AX61" s="663"/>
      <c r="AY61" s="663"/>
      <c r="AZ61" s="36">
        <v>13</v>
      </c>
      <c r="BA61" s="36">
        <v>25</v>
      </c>
      <c r="BB61" s="36">
        <v>6</v>
      </c>
      <c r="BC61" s="36">
        <v>0</v>
      </c>
      <c r="BD61" s="36">
        <v>17</v>
      </c>
      <c r="BE61" s="36">
        <v>80</v>
      </c>
      <c r="BF61" s="36">
        <v>93</v>
      </c>
      <c r="BG61" s="36">
        <v>1</v>
      </c>
      <c r="BH61" s="36">
        <v>71</v>
      </c>
      <c r="BI61" s="36">
        <v>0</v>
      </c>
      <c r="BJ61" s="36">
        <v>0</v>
      </c>
      <c r="BK61" s="36">
        <v>10</v>
      </c>
      <c r="BL61" s="36"/>
      <c r="BM61" s="36" t="s">
        <v>656</v>
      </c>
      <c r="BN61" s="36"/>
      <c r="BO61" s="733"/>
      <c r="BP61" s="36">
        <v>53</v>
      </c>
      <c r="BQ61" s="36">
        <v>1</v>
      </c>
      <c r="BR61" s="36">
        <v>87</v>
      </c>
      <c r="BS61" s="36">
        <v>52</v>
      </c>
      <c r="BT61" s="55" t="s">
        <v>656</v>
      </c>
      <c r="BU61" s="36">
        <v>1</v>
      </c>
      <c r="BV61" s="36">
        <v>16</v>
      </c>
      <c r="BW61" s="36">
        <v>9</v>
      </c>
      <c r="BX61" s="36">
        <v>0</v>
      </c>
      <c r="BY61" s="663"/>
      <c r="BZ61" s="663"/>
      <c r="CA61" s="36">
        <v>15</v>
      </c>
      <c r="CB61" s="50">
        <v>3</v>
      </c>
      <c r="CC61" s="36">
        <v>4</v>
      </c>
      <c r="CD61" s="36">
        <v>262</v>
      </c>
      <c r="CE61" s="36">
        <v>261</v>
      </c>
      <c r="CF61" s="36">
        <v>10</v>
      </c>
      <c r="CG61" s="161">
        <v>0</v>
      </c>
      <c r="CH61" s="36">
        <v>0</v>
      </c>
      <c r="CI61" s="36">
        <v>0</v>
      </c>
      <c r="CJ61" s="36">
        <v>0</v>
      </c>
      <c r="CK61" s="36">
        <v>0</v>
      </c>
      <c r="CL61" s="36">
        <v>0</v>
      </c>
      <c r="CM61" s="115">
        <v>24</v>
      </c>
      <c r="CN61" s="36">
        <v>0</v>
      </c>
      <c r="CO61" s="36">
        <v>0</v>
      </c>
      <c r="CP61" s="36">
        <v>0</v>
      </c>
      <c r="CQ61" s="36">
        <v>0</v>
      </c>
      <c r="CR61" s="132">
        <v>59</v>
      </c>
      <c r="CS61" s="36">
        <v>1</v>
      </c>
      <c r="CT61" s="36"/>
      <c r="CU61" s="36"/>
      <c r="CV61" s="663"/>
      <c r="CW61" s="36">
        <v>12</v>
      </c>
      <c r="CX61" s="734">
        <v>3</v>
      </c>
      <c r="CY61" s="36">
        <v>4</v>
      </c>
      <c r="CZ61" s="36">
        <v>2</v>
      </c>
      <c r="DA61" s="36">
        <v>7</v>
      </c>
      <c r="DB61" s="36">
        <v>21</v>
      </c>
      <c r="DC61" s="36"/>
      <c r="DD61" s="36" t="s">
        <v>656</v>
      </c>
      <c r="DE61" s="36">
        <v>41</v>
      </c>
      <c r="DF61" s="36">
        <v>7</v>
      </c>
      <c r="DG61" s="132">
        <v>4</v>
      </c>
      <c r="DH61" s="36"/>
      <c r="DI61" s="132">
        <v>0</v>
      </c>
      <c r="DJ61" s="736"/>
      <c r="DK61" s="737">
        <v>3</v>
      </c>
      <c r="DL61" s="132">
        <v>15</v>
      </c>
      <c r="DM61" s="132">
        <v>61</v>
      </c>
      <c r="DN61" s="36"/>
      <c r="DO61" s="36">
        <v>13</v>
      </c>
      <c r="DP61" s="36" t="s">
        <v>2520</v>
      </c>
      <c r="DQ61" s="29" t="s">
        <v>656</v>
      </c>
      <c r="DR61" s="36" t="s">
        <v>656</v>
      </c>
      <c r="DS61" s="36">
        <v>10</v>
      </c>
      <c r="DT61" s="36"/>
      <c r="DU61" s="36"/>
      <c r="DV61" s="36">
        <v>18</v>
      </c>
      <c r="DW61" s="36">
        <v>209</v>
      </c>
      <c r="DX61" s="36">
        <v>2</v>
      </c>
      <c r="DY61" s="36"/>
      <c r="DZ61" s="36"/>
      <c r="EA61" s="36">
        <v>8</v>
      </c>
      <c r="EB61" s="36">
        <v>1154</v>
      </c>
      <c r="EC61" s="36">
        <v>24</v>
      </c>
      <c r="ED61" s="36">
        <v>0</v>
      </c>
      <c r="EE61" s="36">
        <v>4</v>
      </c>
      <c r="EF61" s="36">
        <v>83</v>
      </c>
      <c r="EG61" s="663"/>
      <c r="EH61" s="733" t="s">
        <v>656</v>
      </c>
      <c r="EI61" s="733">
        <v>1</v>
      </c>
      <c r="EJ61" s="733" t="s">
        <v>656</v>
      </c>
      <c r="EK61" s="36">
        <v>42</v>
      </c>
      <c r="EL61" s="36"/>
      <c r="EM61" s="733">
        <v>6</v>
      </c>
      <c r="EN61" s="36"/>
      <c r="EO61" s="36">
        <v>5</v>
      </c>
      <c r="EP61" s="36">
        <v>4</v>
      </c>
      <c r="EQ61" s="36">
        <v>60</v>
      </c>
      <c r="ER61" s="36"/>
      <c r="ES61" s="663"/>
      <c r="ET61" s="36">
        <v>0</v>
      </c>
      <c r="EU61" s="36">
        <v>5</v>
      </c>
      <c r="EV61" s="161">
        <v>97</v>
      </c>
      <c r="EW61" s="36">
        <v>2</v>
      </c>
      <c r="EX61" s="36">
        <f>377+8</f>
        <v>385</v>
      </c>
      <c r="EY61" s="36">
        <v>1</v>
      </c>
      <c r="EZ61" s="663"/>
      <c r="FA61" s="36">
        <v>0</v>
      </c>
    </row>
    <row r="62" spans="1:157" ht="17" x14ac:dyDescent="0.2">
      <c r="A62" s="1205"/>
      <c r="B62" s="1207"/>
      <c r="C62" s="167" t="s">
        <v>128</v>
      </c>
      <c r="D62" s="168" t="s">
        <v>129</v>
      </c>
      <c r="E62" s="188" t="s">
        <v>117</v>
      </c>
      <c r="F62" s="36">
        <v>0</v>
      </c>
      <c r="G62" s="36" t="s">
        <v>656</v>
      </c>
      <c r="H62" s="161">
        <v>1</v>
      </c>
      <c r="I62" s="36" t="s">
        <v>656</v>
      </c>
      <c r="J62" s="36">
        <v>52</v>
      </c>
      <c r="K62" s="36" t="s">
        <v>656</v>
      </c>
      <c r="L62" s="36">
        <v>14</v>
      </c>
      <c r="M62" s="36">
        <v>3</v>
      </c>
      <c r="N62" s="36">
        <v>1</v>
      </c>
      <c r="O62" s="36">
        <v>91</v>
      </c>
      <c r="P62" s="34" t="s">
        <v>656</v>
      </c>
      <c r="Q62" s="36">
        <v>0</v>
      </c>
      <c r="R62" s="29" t="s">
        <v>656</v>
      </c>
      <c r="S62" s="36">
        <v>21</v>
      </c>
      <c r="T62" s="36">
        <v>63</v>
      </c>
      <c r="U62" s="36">
        <v>0</v>
      </c>
      <c r="V62" s="36">
        <v>0</v>
      </c>
      <c r="W62" s="36">
        <v>11</v>
      </c>
      <c r="X62" s="36">
        <v>9</v>
      </c>
      <c r="Y62" s="36"/>
      <c r="Z62" s="36">
        <v>2</v>
      </c>
      <c r="AA62" s="36">
        <v>18</v>
      </c>
      <c r="AB62" s="36"/>
      <c r="AC62" s="36"/>
      <c r="AD62" s="36">
        <v>99</v>
      </c>
      <c r="AE62" s="161">
        <v>0</v>
      </c>
      <c r="AF62" s="36">
        <v>8</v>
      </c>
      <c r="AG62" s="36"/>
      <c r="AH62" s="50" t="s">
        <v>656</v>
      </c>
      <c r="AI62" s="36">
        <v>7</v>
      </c>
      <c r="AJ62" s="36"/>
      <c r="AK62" s="663"/>
      <c r="AL62" s="36">
        <v>0</v>
      </c>
      <c r="AM62" s="36">
        <v>0</v>
      </c>
      <c r="AN62" s="29">
        <v>0</v>
      </c>
      <c r="AO62" s="36">
        <v>0</v>
      </c>
      <c r="AP62" s="663"/>
      <c r="AQ62" s="50">
        <v>89</v>
      </c>
      <c r="AR62" s="663"/>
      <c r="AS62" s="36">
        <v>1</v>
      </c>
      <c r="AT62" s="36">
        <v>2</v>
      </c>
      <c r="AU62" s="36">
        <v>57</v>
      </c>
      <c r="AV62" s="36"/>
      <c r="AW62" s="61">
        <v>41</v>
      </c>
      <c r="AX62" s="663"/>
      <c r="AY62" s="663"/>
      <c r="AZ62" s="36">
        <v>6</v>
      </c>
      <c r="BA62" s="36">
        <v>11</v>
      </c>
      <c r="BB62" s="36">
        <v>2</v>
      </c>
      <c r="BC62" s="36">
        <v>0</v>
      </c>
      <c r="BD62" s="36"/>
      <c r="BE62" s="36">
        <v>14</v>
      </c>
      <c r="BF62" s="36">
        <v>27</v>
      </c>
      <c r="BG62" s="36">
        <v>2</v>
      </c>
      <c r="BH62" s="36">
        <v>0</v>
      </c>
      <c r="BI62" s="36"/>
      <c r="BJ62" s="36">
        <v>0</v>
      </c>
      <c r="BK62" s="36">
        <v>0</v>
      </c>
      <c r="BL62" s="36">
        <v>34</v>
      </c>
      <c r="BM62" s="36" t="s">
        <v>656</v>
      </c>
      <c r="BN62" s="36"/>
      <c r="BO62" s="733"/>
      <c r="BP62" s="36">
        <v>3</v>
      </c>
      <c r="BQ62" s="36">
        <v>11</v>
      </c>
      <c r="BR62" s="36">
        <v>36</v>
      </c>
      <c r="BS62" s="36">
        <v>12</v>
      </c>
      <c r="BT62" s="55" t="s">
        <v>656</v>
      </c>
      <c r="BU62" s="36"/>
      <c r="BV62" s="36">
        <v>7</v>
      </c>
      <c r="BW62" s="36">
        <v>5</v>
      </c>
      <c r="BX62" s="36">
        <v>13</v>
      </c>
      <c r="BY62" s="663"/>
      <c r="BZ62" s="663"/>
      <c r="CA62" s="36">
        <v>5</v>
      </c>
      <c r="CB62" s="50">
        <v>1</v>
      </c>
      <c r="CC62" s="36">
        <v>0</v>
      </c>
      <c r="CD62" s="36">
        <v>10</v>
      </c>
      <c r="CE62" s="36">
        <v>0</v>
      </c>
      <c r="CF62" s="36">
        <v>5</v>
      </c>
      <c r="CG62" s="161">
        <v>0</v>
      </c>
      <c r="CH62" s="36">
        <v>0</v>
      </c>
      <c r="CI62" s="36">
        <v>0</v>
      </c>
      <c r="CJ62" s="36">
        <v>1</v>
      </c>
      <c r="CK62" s="36">
        <v>8</v>
      </c>
      <c r="CL62" s="36">
        <v>0</v>
      </c>
      <c r="CM62" s="115">
        <v>12</v>
      </c>
      <c r="CN62" s="36">
        <v>0</v>
      </c>
      <c r="CO62" s="36">
        <v>0</v>
      </c>
      <c r="CP62" s="36">
        <v>0</v>
      </c>
      <c r="CQ62" s="36">
        <v>0</v>
      </c>
      <c r="CR62" s="132">
        <v>6</v>
      </c>
      <c r="CS62" s="36"/>
      <c r="CT62" s="36"/>
      <c r="CU62" s="36"/>
      <c r="CV62" s="663"/>
      <c r="CW62" s="36" t="s">
        <v>656</v>
      </c>
      <c r="CX62" s="734">
        <v>5</v>
      </c>
      <c r="CY62" s="36">
        <v>1</v>
      </c>
      <c r="CZ62" s="36">
        <v>15</v>
      </c>
      <c r="DA62" s="36">
        <v>1</v>
      </c>
      <c r="DB62" s="36">
        <v>3</v>
      </c>
      <c r="DC62" s="36"/>
      <c r="DD62" s="36" t="s">
        <v>656</v>
      </c>
      <c r="DE62" s="36">
        <v>3</v>
      </c>
      <c r="DF62" s="36">
        <v>2</v>
      </c>
      <c r="DG62" s="132"/>
      <c r="DH62" s="36"/>
      <c r="DI62" s="132">
        <v>0</v>
      </c>
      <c r="DJ62" s="736">
        <v>14</v>
      </c>
      <c r="DK62" s="737"/>
      <c r="DL62" s="132"/>
      <c r="DM62" s="132">
        <v>32</v>
      </c>
      <c r="DN62" s="36"/>
      <c r="DO62" s="36">
        <v>5</v>
      </c>
      <c r="DP62" s="36" t="s">
        <v>2520</v>
      </c>
      <c r="DQ62" s="29" t="s">
        <v>656</v>
      </c>
      <c r="DR62" s="36" t="s">
        <v>656</v>
      </c>
      <c r="DS62" s="36" t="s">
        <v>656</v>
      </c>
      <c r="DT62" s="36"/>
      <c r="DU62" s="36">
        <v>1</v>
      </c>
      <c r="DV62" s="36"/>
      <c r="DW62" s="36">
        <v>50</v>
      </c>
      <c r="DX62" s="36"/>
      <c r="DY62" s="36"/>
      <c r="DZ62" s="36"/>
      <c r="EA62" s="36">
        <v>0</v>
      </c>
      <c r="EB62" s="36">
        <v>400</v>
      </c>
      <c r="EC62" s="36">
        <v>21</v>
      </c>
      <c r="ED62" s="36">
        <v>0</v>
      </c>
      <c r="EE62" s="36">
        <v>5</v>
      </c>
      <c r="EF62" s="36">
        <v>3</v>
      </c>
      <c r="EG62" s="663"/>
      <c r="EH62" s="733" t="s">
        <v>656</v>
      </c>
      <c r="EI62" s="733">
        <v>0</v>
      </c>
      <c r="EJ62" s="733" t="s">
        <v>656</v>
      </c>
      <c r="EK62" s="36">
        <v>3</v>
      </c>
      <c r="EL62" s="36"/>
      <c r="EM62" s="733">
        <v>17</v>
      </c>
      <c r="EN62" s="36"/>
      <c r="EO62" s="36">
        <v>1</v>
      </c>
      <c r="EP62" s="36">
        <v>5</v>
      </c>
      <c r="EQ62" s="36">
        <v>40</v>
      </c>
      <c r="ER62" s="36"/>
      <c r="ES62" s="663"/>
      <c r="ET62" s="36">
        <v>0</v>
      </c>
      <c r="EU62" s="36">
        <v>2</v>
      </c>
      <c r="EV62" s="161">
        <v>20</v>
      </c>
      <c r="EW62" s="36"/>
      <c r="EX62" s="36">
        <v>1</v>
      </c>
      <c r="EY62" s="36">
        <v>1</v>
      </c>
      <c r="EZ62" s="663"/>
      <c r="FA62" s="36">
        <v>5</v>
      </c>
    </row>
    <row r="63" spans="1:157" ht="34" x14ac:dyDescent="0.2">
      <c r="A63" s="1205"/>
      <c r="B63" s="1207"/>
      <c r="C63" s="167" t="s">
        <v>130</v>
      </c>
      <c r="D63" s="168" t="s">
        <v>131</v>
      </c>
      <c r="E63" s="188" t="s">
        <v>117</v>
      </c>
      <c r="F63" s="36">
        <v>0</v>
      </c>
      <c r="G63" s="36" t="s">
        <v>656</v>
      </c>
      <c r="H63" s="161"/>
      <c r="I63" s="36" t="s">
        <v>656</v>
      </c>
      <c r="J63" s="36" t="s">
        <v>656</v>
      </c>
      <c r="K63" s="36" t="s">
        <v>656</v>
      </c>
      <c r="L63" s="36"/>
      <c r="M63" s="36">
        <v>0</v>
      </c>
      <c r="N63" s="36">
        <v>1</v>
      </c>
      <c r="O63" s="36">
        <v>20</v>
      </c>
      <c r="P63" s="34" t="s">
        <v>656</v>
      </c>
      <c r="Q63" s="36">
        <v>0</v>
      </c>
      <c r="R63" s="29" t="s">
        <v>656</v>
      </c>
      <c r="S63" s="36">
        <v>27</v>
      </c>
      <c r="T63" s="36">
        <v>0</v>
      </c>
      <c r="U63" s="36">
        <v>1</v>
      </c>
      <c r="V63" s="36">
        <v>1</v>
      </c>
      <c r="W63" s="36"/>
      <c r="X63" s="36"/>
      <c r="Y63" s="36"/>
      <c r="Z63" s="36"/>
      <c r="AA63" s="36"/>
      <c r="AB63" s="36"/>
      <c r="AC63" s="36"/>
      <c r="AD63" s="36">
        <v>2</v>
      </c>
      <c r="AE63" s="161">
        <v>0</v>
      </c>
      <c r="AF63" s="36"/>
      <c r="AG63" s="36"/>
      <c r="AH63" s="50" t="s">
        <v>656</v>
      </c>
      <c r="AI63" s="36">
        <v>3</v>
      </c>
      <c r="AJ63" s="36"/>
      <c r="AK63" s="663"/>
      <c r="AL63" s="36">
        <v>2</v>
      </c>
      <c r="AM63" s="36">
        <v>0</v>
      </c>
      <c r="AN63" s="29">
        <v>0</v>
      </c>
      <c r="AO63" s="36">
        <v>0</v>
      </c>
      <c r="AP63" s="663"/>
      <c r="AQ63" s="50">
        <v>59</v>
      </c>
      <c r="AR63" s="663"/>
      <c r="AS63" s="36"/>
      <c r="AT63" s="36"/>
      <c r="AU63" s="36">
        <v>8</v>
      </c>
      <c r="AV63" s="36"/>
      <c r="AW63" s="61"/>
      <c r="AX63" s="663"/>
      <c r="AY63" s="663"/>
      <c r="AZ63" s="36">
        <v>3</v>
      </c>
      <c r="BA63" s="36">
        <v>2</v>
      </c>
      <c r="BB63" s="36">
        <v>1</v>
      </c>
      <c r="BC63" s="36">
        <v>0</v>
      </c>
      <c r="BD63" s="36"/>
      <c r="BE63" s="36">
        <v>8</v>
      </c>
      <c r="BF63" s="36">
        <v>13</v>
      </c>
      <c r="BG63" s="36" t="s">
        <v>656</v>
      </c>
      <c r="BH63" s="36">
        <v>0</v>
      </c>
      <c r="BI63" s="36"/>
      <c r="BJ63" s="36">
        <v>0</v>
      </c>
      <c r="BK63" s="36">
        <v>0</v>
      </c>
      <c r="BL63" s="36">
        <v>2</v>
      </c>
      <c r="BM63" s="36" t="s">
        <v>656</v>
      </c>
      <c r="BN63" s="36"/>
      <c r="BO63" s="733"/>
      <c r="BP63" s="36">
        <v>0</v>
      </c>
      <c r="BQ63" s="36">
        <v>0</v>
      </c>
      <c r="BR63" s="36">
        <v>31</v>
      </c>
      <c r="BS63" s="36">
        <v>3</v>
      </c>
      <c r="BT63" s="55" t="s">
        <v>656</v>
      </c>
      <c r="BU63" s="36"/>
      <c r="BV63" s="36">
        <v>0</v>
      </c>
      <c r="BW63" s="36">
        <v>5</v>
      </c>
      <c r="BX63" s="36">
        <v>0</v>
      </c>
      <c r="BY63" s="663"/>
      <c r="BZ63" s="663"/>
      <c r="CA63" s="36">
        <v>8</v>
      </c>
      <c r="CB63" s="50">
        <v>0</v>
      </c>
      <c r="CC63" s="36">
        <v>0</v>
      </c>
      <c r="CD63" s="36">
        <v>1</v>
      </c>
      <c r="CE63" s="36">
        <v>0</v>
      </c>
      <c r="CF63" s="36">
        <v>0</v>
      </c>
      <c r="CG63" s="161">
        <v>0</v>
      </c>
      <c r="CH63" s="36">
        <v>0</v>
      </c>
      <c r="CI63" s="36">
        <v>0</v>
      </c>
      <c r="CJ63" s="36">
        <v>1</v>
      </c>
      <c r="CK63" s="36">
        <v>6</v>
      </c>
      <c r="CL63" s="36">
        <v>0</v>
      </c>
      <c r="CM63" s="115">
        <v>3</v>
      </c>
      <c r="CN63" s="36">
        <v>0</v>
      </c>
      <c r="CO63" s="36">
        <v>0</v>
      </c>
      <c r="CP63" s="36">
        <v>0</v>
      </c>
      <c r="CQ63" s="36">
        <v>0</v>
      </c>
      <c r="CR63" s="132"/>
      <c r="CS63" s="36"/>
      <c r="CT63" s="36"/>
      <c r="CU63" s="36"/>
      <c r="CV63" s="663"/>
      <c r="CW63" s="36" t="s">
        <v>656</v>
      </c>
      <c r="CX63" s="734" t="s">
        <v>656</v>
      </c>
      <c r="CY63" s="36" t="s">
        <v>1447</v>
      </c>
      <c r="CZ63" s="36">
        <v>2</v>
      </c>
      <c r="DA63" s="36">
        <v>1</v>
      </c>
      <c r="DB63" s="36">
        <v>2</v>
      </c>
      <c r="DC63" s="36"/>
      <c r="DD63" s="36" t="s">
        <v>656</v>
      </c>
      <c r="DE63" s="36">
        <v>1</v>
      </c>
      <c r="DF63" s="36"/>
      <c r="DG63" s="132"/>
      <c r="DH63" s="36"/>
      <c r="DI63" s="132">
        <v>0</v>
      </c>
      <c r="DJ63" s="736">
        <v>3</v>
      </c>
      <c r="DK63" s="737"/>
      <c r="DL63" s="132"/>
      <c r="DM63" s="132">
        <v>54</v>
      </c>
      <c r="DN63" s="36"/>
      <c r="DO63" s="36"/>
      <c r="DP63" s="36" t="s">
        <v>2520</v>
      </c>
      <c r="DQ63" s="29" t="s">
        <v>656</v>
      </c>
      <c r="DR63" s="36" t="s">
        <v>656</v>
      </c>
      <c r="DS63" s="36" t="s">
        <v>656</v>
      </c>
      <c r="DT63" s="36"/>
      <c r="DU63" s="36"/>
      <c r="DV63" s="36">
        <v>1</v>
      </c>
      <c r="DW63" s="36">
        <v>0</v>
      </c>
      <c r="DX63" s="36"/>
      <c r="DY63" s="36"/>
      <c r="DZ63" s="36"/>
      <c r="EA63" s="36">
        <v>0</v>
      </c>
      <c r="EB63" s="36">
        <v>240</v>
      </c>
      <c r="EC63" s="36">
        <v>1</v>
      </c>
      <c r="ED63" s="36">
        <v>0</v>
      </c>
      <c r="EE63" s="36">
        <v>0</v>
      </c>
      <c r="EF63" s="36" t="s">
        <v>470</v>
      </c>
      <c r="EG63" s="663"/>
      <c r="EH63" s="733" t="s">
        <v>656</v>
      </c>
      <c r="EI63" s="733">
        <v>0</v>
      </c>
      <c r="EJ63" s="733" t="s">
        <v>656</v>
      </c>
      <c r="EK63" s="36">
        <v>0</v>
      </c>
      <c r="EL63" s="36"/>
      <c r="EM63" s="733"/>
      <c r="EN63" s="36"/>
      <c r="EO63" s="36"/>
      <c r="EP63" s="36"/>
      <c r="EQ63" s="36">
        <v>0</v>
      </c>
      <c r="ER63" s="36"/>
      <c r="ES63" s="663"/>
      <c r="ET63" s="36">
        <v>0</v>
      </c>
      <c r="EU63" s="36">
        <v>0</v>
      </c>
      <c r="EV63" s="161">
        <v>8</v>
      </c>
      <c r="EW63" s="36"/>
      <c r="EX63" s="36">
        <v>87</v>
      </c>
      <c r="EY63" s="36"/>
      <c r="EZ63" s="663"/>
      <c r="FA63" s="36">
        <v>5</v>
      </c>
    </row>
    <row r="64" spans="1:157" ht="68" x14ac:dyDescent="0.2">
      <c r="A64" s="1205"/>
      <c r="B64" s="1207"/>
      <c r="C64" s="167" t="s">
        <v>132</v>
      </c>
      <c r="D64" s="168" t="s">
        <v>133</v>
      </c>
      <c r="E64" s="188" t="s">
        <v>117</v>
      </c>
      <c r="F64" s="36">
        <v>0</v>
      </c>
      <c r="G64" s="36" t="s">
        <v>656</v>
      </c>
      <c r="H64" s="161"/>
      <c r="I64" s="36" t="s">
        <v>656</v>
      </c>
      <c r="J64" s="36" t="s">
        <v>656</v>
      </c>
      <c r="K64" s="36" t="s">
        <v>656</v>
      </c>
      <c r="L64" s="36"/>
      <c r="M64" s="36">
        <v>0</v>
      </c>
      <c r="N64" s="50" t="s">
        <v>656</v>
      </c>
      <c r="O64" s="36">
        <v>0</v>
      </c>
      <c r="P64" s="37" t="s">
        <v>656</v>
      </c>
      <c r="Q64" s="36">
        <v>0</v>
      </c>
      <c r="R64" s="29" t="s">
        <v>656</v>
      </c>
      <c r="S64" s="36">
        <v>1</v>
      </c>
      <c r="T64" s="36">
        <v>0</v>
      </c>
      <c r="U64" s="36">
        <v>5</v>
      </c>
      <c r="V64" s="36">
        <v>0</v>
      </c>
      <c r="W64" s="36"/>
      <c r="X64" s="36"/>
      <c r="Y64" s="36"/>
      <c r="Z64" s="36"/>
      <c r="AA64" s="36"/>
      <c r="AB64" s="36"/>
      <c r="AC64" s="36"/>
      <c r="AD64" s="36">
        <v>2</v>
      </c>
      <c r="AE64" s="161">
        <v>0</v>
      </c>
      <c r="AF64" s="36"/>
      <c r="AG64" s="36"/>
      <c r="AH64" s="50" t="s">
        <v>656</v>
      </c>
      <c r="AI64" s="36">
        <v>1</v>
      </c>
      <c r="AJ64" s="36">
        <v>1</v>
      </c>
      <c r="AK64" s="663"/>
      <c r="AL64" s="36">
        <v>0</v>
      </c>
      <c r="AM64" s="36">
        <v>0</v>
      </c>
      <c r="AN64" s="29">
        <v>0</v>
      </c>
      <c r="AO64" s="36">
        <v>0</v>
      </c>
      <c r="AP64" s="663"/>
      <c r="AQ64" s="50"/>
      <c r="AR64" s="663"/>
      <c r="AS64" s="36"/>
      <c r="AT64" s="36"/>
      <c r="AU64" s="36"/>
      <c r="AV64" s="36"/>
      <c r="AW64" s="61"/>
      <c r="AX64" s="663"/>
      <c r="AY64" s="663"/>
      <c r="AZ64" s="36" t="s">
        <v>656</v>
      </c>
      <c r="BA64" s="36"/>
      <c r="BB64" s="36" t="s">
        <v>656</v>
      </c>
      <c r="BC64" s="36">
        <v>0</v>
      </c>
      <c r="BD64" s="36"/>
      <c r="BE64" s="36"/>
      <c r="BF64" s="36"/>
      <c r="BG64" s="36" t="s">
        <v>656</v>
      </c>
      <c r="BH64" s="36">
        <v>0</v>
      </c>
      <c r="BI64" s="36"/>
      <c r="BJ64" s="36">
        <v>0</v>
      </c>
      <c r="BK64" s="36">
        <v>0</v>
      </c>
      <c r="BL64" s="36"/>
      <c r="BM64" s="36" t="s">
        <v>656</v>
      </c>
      <c r="BN64" s="36"/>
      <c r="BO64" s="733"/>
      <c r="BP64" s="36">
        <v>0</v>
      </c>
      <c r="BQ64" s="36">
        <v>0</v>
      </c>
      <c r="BR64" s="36">
        <v>0</v>
      </c>
      <c r="BS64" s="36">
        <v>5</v>
      </c>
      <c r="BT64" s="55" t="s">
        <v>656</v>
      </c>
      <c r="BU64" s="36"/>
      <c r="BV64" s="36">
        <v>0</v>
      </c>
      <c r="BW64" s="36">
        <v>0</v>
      </c>
      <c r="BX64" s="36">
        <v>0</v>
      </c>
      <c r="BY64" s="663"/>
      <c r="BZ64" s="663"/>
      <c r="CA64" s="36">
        <v>1</v>
      </c>
      <c r="CB64" s="50">
        <v>0</v>
      </c>
      <c r="CC64" s="36">
        <v>0</v>
      </c>
      <c r="CD64" s="36"/>
      <c r="CE64" s="36">
        <v>0</v>
      </c>
      <c r="CF64" s="36">
        <v>0</v>
      </c>
      <c r="CG64" s="161">
        <v>0</v>
      </c>
      <c r="CH64" s="36">
        <v>1</v>
      </c>
      <c r="CI64" s="36">
        <v>0</v>
      </c>
      <c r="CJ64" s="36">
        <v>2</v>
      </c>
      <c r="CK64" s="36">
        <v>0</v>
      </c>
      <c r="CL64" s="36">
        <v>0</v>
      </c>
      <c r="CM64" s="115">
        <v>1</v>
      </c>
      <c r="CN64" s="36">
        <v>0</v>
      </c>
      <c r="CO64" s="36">
        <v>0</v>
      </c>
      <c r="CP64" s="36">
        <v>0</v>
      </c>
      <c r="CQ64" s="36">
        <v>0</v>
      </c>
      <c r="CR64" s="132"/>
      <c r="CS64" s="36"/>
      <c r="CT64" s="36"/>
      <c r="CU64" s="36"/>
      <c r="CV64" s="663"/>
      <c r="CW64" s="36" t="s">
        <v>656</v>
      </c>
      <c r="CX64" s="734" t="s">
        <v>656</v>
      </c>
      <c r="CY64" s="36" t="s">
        <v>1447</v>
      </c>
      <c r="CZ64" s="36" t="s">
        <v>1447</v>
      </c>
      <c r="DA64" s="29" t="s">
        <v>1482</v>
      </c>
      <c r="DB64" s="36">
        <v>0</v>
      </c>
      <c r="DC64" s="36"/>
      <c r="DD64" s="36" t="s">
        <v>656</v>
      </c>
      <c r="DE64" s="36">
        <v>0</v>
      </c>
      <c r="DF64" s="36">
        <v>1</v>
      </c>
      <c r="DG64" s="132"/>
      <c r="DH64" s="36"/>
      <c r="DI64" s="132">
        <v>0</v>
      </c>
      <c r="DJ64" s="736"/>
      <c r="DK64" s="737"/>
      <c r="DL64" s="132"/>
      <c r="DM64" s="132">
        <v>1</v>
      </c>
      <c r="DN64" s="36"/>
      <c r="DO64" s="36"/>
      <c r="DP64" s="36" t="s">
        <v>2520</v>
      </c>
      <c r="DQ64" s="29" t="s">
        <v>656</v>
      </c>
      <c r="DR64" s="36" t="s">
        <v>656</v>
      </c>
      <c r="DS64" s="36" t="s">
        <v>656</v>
      </c>
      <c r="DT64" s="36"/>
      <c r="DU64" s="36"/>
      <c r="DV64" s="36">
        <v>2</v>
      </c>
      <c r="DW64" s="36">
        <v>0</v>
      </c>
      <c r="DX64" s="36"/>
      <c r="DY64" s="36"/>
      <c r="DZ64" s="36"/>
      <c r="EA64" s="36">
        <v>0</v>
      </c>
      <c r="EB64" s="36"/>
      <c r="EC64" s="36">
        <v>1</v>
      </c>
      <c r="ED64" s="36">
        <v>0</v>
      </c>
      <c r="EE64" s="36">
        <v>0</v>
      </c>
      <c r="EF64" s="36" t="s">
        <v>470</v>
      </c>
      <c r="EG64" s="663"/>
      <c r="EH64" s="733" t="s">
        <v>656</v>
      </c>
      <c r="EI64" s="733">
        <v>0</v>
      </c>
      <c r="EJ64" s="733" t="s">
        <v>656</v>
      </c>
      <c r="EK64" s="36">
        <v>0</v>
      </c>
      <c r="EL64" s="36"/>
      <c r="EM64" s="733"/>
      <c r="EN64" s="36"/>
      <c r="EO64" s="36"/>
      <c r="EP64" s="36"/>
      <c r="EQ64" s="36">
        <v>0</v>
      </c>
      <c r="ER64" s="36"/>
      <c r="ES64" s="663"/>
      <c r="ET64" s="36">
        <v>0</v>
      </c>
      <c r="EU64" s="36">
        <v>0</v>
      </c>
      <c r="EV64" s="161">
        <v>7</v>
      </c>
      <c r="EW64" s="36"/>
      <c r="EX64" s="36"/>
      <c r="EY64" s="36"/>
      <c r="EZ64" s="663"/>
      <c r="FA64" s="36">
        <v>0</v>
      </c>
    </row>
    <row r="65" spans="1:157" ht="51" x14ac:dyDescent="0.2">
      <c r="A65" s="1205"/>
      <c r="B65" s="1207"/>
      <c r="C65" s="167" t="s">
        <v>134</v>
      </c>
      <c r="D65" s="168" t="s">
        <v>135</v>
      </c>
      <c r="E65" s="188" t="s">
        <v>117</v>
      </c>
      <c r="F65" s="36">
        <v>3</v>
      </c>
      <c r="G65" s="36">
        <v>1</v>
      </c>
      <c r="H65" s="161"/>
      <c r="I65" s="36">
        <v>2</v>
      </c>
      <c r="J65" s="36">
        <v>10</v>
      </c>
      <c r="K65" s="36" t="s">
        <v>656</v>
      </c>
      <c r="L65" s="36">
        <v>9</v>
      </c>
      <c r="M65" s="36">
        <v>3</v>
      </c>
      <c r="N65" s="36">
        <v>1</v>
      </c>
      <c r="O65" s="36">
        <v>49</v>
      </c>
      <c r="P65" s="34" t="s">
        <v>656</v>
      </c>
      <c r="Q65" s="36">
        <v>0</v>
      </c>
      <c r="R65" s="29" t="s">
        <v>656</v>
      </c>
      <c r="S65" s="36">
        <v>28</v>
      </c>
      <c r="T65" s="36">
        <v>20</v>
      </c>
      <c r="U65" s="36">
        <v>11</v>
      </c>
      <c r="V65" s="36">
        <v>9</v>
      </c>
      <c r="W65" s="36">
        <v>44</v>
      </c>
      <c r="X65" s="36"/>
      <c r="Y65" s="36"/>
      <c r="Z65" s="36"/>
      <c r="AA65" s="36">
        <v>13</v>
      </c>
      <c r="AB65" s="36"/>
      <c r="AC65" s="36"/>
      <c r="AD65" s="36">
        <v>37</v>
      </c>
      <c r="AE65" s="161">
        <v>7</v>
      </c>
      <c r="AF65" s="36">
        <v>13</v>
      </c>
      <c r="AG65" s="36"/>
      <c r="AH65" s="50" t="s">
        <v>656</v>
      </c>
      <c r="AI65" s="36">
        <v>3</v>
      </c>
      <c r="AJ65" s="36"/>
      <c r="AK65" s="663"/>
      <c r="AL65" s="36">
        <v>5</v>
      </c>
      <c r="AM65" s="36">
        <v>0</v>
      </c>
      <c r="AN65" s="29">
        <v>3</v>
      </c>
      <c r="AO65" s="36">
        <v>5</v>
      </c>
      <c r="AP65" s="663"/>
      <c r="AQ65" s="50">
        <v>33</v>
      </c>
      <c r="AR65" s="663"/>
      <c r="AS65" s="36"/>
      <c r="AT65" s="36"/>
      <c r="AU65" s="36"/>
      <c r="AV65" s="36"/>
      <c r="AW65" s="61"/>
      <c r="AX65" s="663"/>
      <c r="AY65" s="663"/>
      <c r="AZ65" s="36">
        <v>7</v>
      </c>
      <c r="BA65" s="36">
        <v>8</v>
      </c>
      <c r="BB65" s="36">
        <v>3</v>
      </c>
      <c r="BC65" s="36">
        <v>14</v>
      </c>
      <c r="BD65" s="36"/>
      <c r="BE65" s="36"/>
      <c r="BF65" s="36">
        <v>9</v>
      </c>
      <c r="BG65" s="36" t="s">
        <v>656</v>
      </c>
      <c r="BH65" s="36">
        <v>0</v>
      </c>
      <c r="BI65" s="36"/>
      <c r="BJ65" s="36">
        <v>0</v>
      </c>
      <c r="BK65" s="36">
        <v>9</v>
      </c>
      <c r="BL65" s="36"/>
      <c r="BM65" s="36" t="s">
        <v>656</v>
      </c>
      <c r="BN65" s="36"/>
      <c r="BO65" s="733"/>
      <c r="BP65" s="36">
        <v>0</v>
      </c>
      <c r="BQ65" s="36">
        <v>0</v>
      </c>
      <c r="BR65" s="36">
        <v>0</v>
      </c>
      <c r="BS65" s="36">
        <v>0</v>
      </c>
      <c r="BT65" s="55" t="s">
        <v>656</v>
      </c>
      <c r="BU65" s="36"/>
      <c r="BV65" s="36">
        <v>7</v>
      </c>
      <c r="BW65" s="36">
        <v>5</v>
      </c>
      <c r="BX65" s="36">
        <v>0</v>
      </c>
      <c r="BY65" s="663"/>
      <c r="BZ65" s="663"/>
      <c r="CA65" s="36">
        <v>11</v>
      </c>
      <c r="CB65" s="50">
        <v>2</v>
      </c>
      <c r="CC65" s="36">
        <v>1</v>
      </c>
      <c r="CD65" s="36"/>
      <c r="CE65" s="36">
        <v>0</v>
      </c>
      <c r="CF65" s="36">
        <v>0</v>
      </c>
      <c r="CG65" s="161">
        <v>0</v>
      </c>
      <c r="CH65" s="36">
        <v>0</v>
      </c>
      <c r="CI65" s="36">
        <v>0</v>
      </c>
      <c r="CJ65" s="36">
        <v>0</v>
      </c>
      <c r="CK65" s="36">
        <v>0</v>
      </c>
      <c r="CL65" s="36">
        <v>0</v>
      </c>
      <c r="CM65" s="115">
        <v>26</v>
      </c>
      <c r="CN65" s="36">
        <v>0</v>
      </c>
      <c r="CO65" s="36">
        <v>0</v>
      </c>
      <c r="CP65" s="36">
        <v>0</v>
      </c>
      <c r="CQ65" s="36">
        <v>0</v>
      </c>
      <c r="CR65" s="132">
        <v>5</v>
      </c>
      <c r="CS65" s="36"/>
      <c r="CT65" s="36"/>
      <c r="CU65" s="36"/>
      <c r="CV65" s="663"/>
      <c r="CW65" s="36">
        <v>28</v>
      </c>
      <c r="CX65" s="734">
        <v>9</v>
      </c>
      <c r="CY65" s="36" t="s">
        <v>1447</v>
      </c>
      <c r="CZ65" s="36">
        <v>13</v>
      </c>
      <c r="DA65" s="36">
        <v>4</v>
      </c>
      <c r="DB65" s="36">
        <v>0</v>
      </c>
      <c r="DC65" s="36"/>
      <c r="DD65" s="36" t="s">
        <v>656</v>
      </c>
      <c r="DE65" s="36">
        <v>10</v>
      </c>
      <c r="DF65" s="36">
        <v>1</v>
      </c>
      <c r="DG65" s="132"/>
      <c r="DH65" s="36"/>
      <c r="DI65" s="132">
        <v>0</v>
      </c>
      <c r="DJ65" s="736"/>
      <c r="DK65" s="737"/>
      <c r="DL65" s="132"/>
      <c r="DM65" s="132">
        <v>3</v>
      </c>
      <c r="DN65" s="36"/>
      <c r="DO65" s="36"/>
      <c r="DP65" s="36">
        <v>1</v>
      </c>
      <c r="DQ65" s="29" t="s">
        <v>656</v>
      </c>
      <c r="DR65" s="36" t="s">
        <v>656</v>
      </c>
      <c r="DS65" s="36" t="s">
        <v>656</v>
      </c>
      <c r="DT65" s="36"/>
      <c r="DU65" s="36"/>
      <c r="DV65" s="36"/>
      <c r="DW65" s="36">
        <v>12</v>
      </c>
      <c r="DX65" s="36"/>
      <c r="DY65" s="36"/>
      <c r="DZ65" s="36"/>
      <c r="EA65" s="36">
        <v>0</v>
      </c>
      <c r="EB65" s="36">
        <v>15</v>
      </c>
      <c r="EC65" s="36">
        <v>0</v>
      </c>
      <c r="ED65" s="36">
        <v>0</v>
      </c>
      <c r="EE65" s="36">
        <v>4</v>
      </c>
      <c r="EF65" s="36">
        <v>1</v>
      </c>
      <c r="EG65" s="663"/>
      <c r="EH65" s="733" t="s">
        <v>656</v>
      </c>
      <c r="EI65" s="733">
        <v>7</v>
      </c>
      <c r="EJ65" s="733" t="s">
        <v>656</v>
      </c>
      <c r="EK65" s="36">
        <v>3</v>
      </c>
      <c r="EL65" s="36"/>
      <c r="EM65" s="733">
        <v>4</v>
      </c>
      <c r="EN65" s="36"/>
      <c r="EO65" s="36"/>
      <c r="EP65" s="36"/>
      <c r="EQ65" s="36">
        <v>10</v>
      </c>
      <c r="ER65" s="36"/>
      <c r="ES65" s="663"/>
      <c r="ET65" s="36">
        <v>0</v>
      </c>
      <c r="EU65" s="36">
        <v>4</v>
      </c>
      <c r="EV65" s="161">
        <v>10</v>
      </c>
      <c r="EW65" s="36"/>
      <c r="EX65" s="36">
        <v>25</v>
      </c>
      <c r="EY65" s="36"/>
      <c r="EZ65" s="663"/>
      <c r="FA65" s="36">
        <v>5</v>
      </c>
    </row>
    <row r="66" spans="1:157" ht="85" x14ac:dyDescent="0.2">
      <c r="A66" s="1205"/>
      <c r="B66" s="1207"/>
      <c r="C66" s="167" t="s">
        <v>136</v>
      </c>
      <c r="D66" s="168" t="s">
        <v>137</v>
      </c>
      <c r="E66" s="188" t="s">
        <v>117</v>
      </c>
      <c r="F66" s="36">
        <v>0</v>
      </c>
      <c r="G66" s="36" t="s">
        <v>656</v>
      </c>
      <c r="H66" s="161"/>
      <c r="I66" s="36" t="s">
        <v>656</v>
      </c>
      <c r="J66" s="36" t="s">
        <v>656</v>
      </c>
      <c r="K66" s="36" t="s">
        <v>656</v>
      </c>
      <c r="L66" s="36"/>
      <c r="M66" s="36">
        <v>0</v>
      </c>
      <c r="N66" s="50" t="s">
        <v>656</v>
      </c>
      <c r="O66" s="36">
        <v>94</v>
      </c>
      <c r="P66" s="34" t="s">
        <v>656</v>
      </c>
      <c r="Q66" s="36">
        <v>0</v>
      </c>
      <c r="R66" s="29" t="s">
        <v>656</v>
      </c>
      <c r="S66" s="36">
        <v>150</v>
      </c>
      <c r="T66" s="36">
        <v>0</v>
      </c>
      <c r="U66" s="36">
        <v>0</v>
      </c>
      <c r="V66" s="36">
        <v>0</v>
      </c>
      <c r="W66" s="36"/>
      <c r="X66" s="36"/>
      <c r="Y66" s="36"/>
      <c r="Z66" s="36"/>
      <c r="AA66" s="36"/>
      <c r="AB66" s="36"/>
      <c r="AC66" s="36"/>
      <c r="AD66" s="36" t="s">
        <v>656</v>
      </c>
      <c r="AE66" s="161">
        <v>0</v>
      </c>
      <c r="AF66" s="36"/>
      <c r="AG66" s="36"/>
      <c r="AH66" s="50" t="s">
        <v>656</v>
      </c>
      <c r="AI66" s="36"/>
      <c r="AJ66" s="36"/>
      <c r="AK66" s="663"/>
      <c r="AL66" s="36">
        <v>0</v>
      </c>
      <c r="AM66" s="36">
        <v>0</v>
      </c>
      <c r="AN66" s="29">
        <v>0</v>
      </c>
      <c r="AO66" s="36">
        <v>0</v>
      </c>
      <c r="AP66" s="663"/>
      <c r="AQ66" s="50">
        <v>80</v>
      </c>
      <c r="AR66" s="663"/>
      <c r="AS66" s="36">
        <v>1</v>
      </c>
      <c r="AT66" s="36"/>
      <c r="AU66" s="36"/>
      <c r="AV66" s="36"/>
      <c r="AW66" s="61"/>
      <c r="AX66" s="663"/>
      <c r="AY66" s="663"/>
      <c r="AZ66" s="36">
        <v>6</v>
      </c>
      <c r="BA66" s="36" t="s">
        <v>656</v>
      </c>
      <c r="BB66" s="36" t="s">
        <v>656</v>
      </c>
      <c r="BC66" s="36">
        <v>10</v>
      </c>
      <c r="BD66" s="36"/>
      <c r="BE66" s="36">
        <v>10</v>
      </c>
      <c r="BF66" s="36">
        <v>62</v>
      </c>
      <c r="BG66" s="36" t="s">
        <v>656</v>
      </c>
      <c r="BH66" s="36">
        <v>0</v>
      </c>
      <c r="BI66" s="36">
        <v>26</v>
      </c>
      <c r="BJ66" s="36">
        <v>0</v>
      </c>
      <c r="BK66" s="36">
        <v>0</v>
      </c>
      <c r="BL66" s="36"/>
      <c r="BM66" s="36" t="s">
        <v>656</v>
      </c>
      <c r="BN66" s="36"/>
      <c r="BO66" s="733"/>
      <c r="BP66" s="36">
        <v>141</v>
      </c>
      <c r="BQ66" s="36">
        <v>0</v>
      </c>
      <c r="BR66" s="36">
        <v>0</v>
      </c>
      <c r="BS66" s="36">
        <v>0</v>
      </c>
      <c r="BT66" s="55">
        <v>3</v>
      </c>
      <c r="BU66" s="36"/>
      <c r="BV66" s="36">
        <v>0</v>
      </c>
      <c r="BW66" s="36">
        <v>0</v>
      </c>
      <c r="BX66" s="36">
        <v>0</v>
      </c>
      <c r="BY66" s="663"/>
      <c r="BZ66" s="663"/>
      <c r="CA66" s="36">
        <v>310</v>
      </c>
      <c r="CB66" s="50">
        <v>5</v>
      </c>
      <c r="CC66" s="36">
        <v>0</v>
      </c>
      <c r="CD66" s="36"/>
      <c r="CE66" s="36">
        <v>0</v>
      </c>
      <c r="CF66" s="36">
        <v>0</v>
      </c>
      <c r="CG66" s="161">
        <v>0</v>
      </c>
      <c r="CH66" s="36">
        <v>0</v>
      </c>
      <c r="CI66" s="36">
        <v>11</v>
      </c>
      <c r="CJ66" s="36">
        <v>0</v>
      </c>
      <c r="CK66" s="36">
        <v>0</v>
      </c>
      <c r="CL66" s="36">
        <v>0</v>
      </c>
      <c r="CM66" s="115" t="s">
        <v>539</v>
      </c>
      <c r="CN66" s="36">
        <v>0</v>
      </c>
      <c r="CO66" s="36">
        <v>0</v>
      </c>
      <c r="CP66" s="36">
        <v>0</v>
      </c>
      <c r="CQ66" s="36">
        <v>0</v>
      </c>
      <c r="CR66" s="132"/>
      <c r="CS66" s="36"/>
      <c r="CT66" s="36"/>
      <c r="CU66" s="36">
        <v>3</v>
      </c>
      <c r="CV66" s="663"/>
      <c r="CW66" s="36" t="s">
        <v>656</v>
      </c>
      <c r="CX66" s="734" t="s">
        <v>656</v>
      </c>
      <c r="CY66" s="36" t="s">
        <v>1447</v>
      </c>
      <c r="CZ66" s="36">
        <v>3</v>
      </c>
      <c r="DA66" s="36">
        <v>39</v>
      </c>
      <c r="DB66" s="36">
        <v>0</v>
      </c>
      <c r="DC66" s="36"/>
      <c r="DD66" s="36" t="s">
        <v>656</v>
      </c>
      <c r="DE66" s="36">
        <v>0</v>
      </c>
      <c r="DF66" s="36"/>
      <c r="DG66" s="132">
        <v>1</v>
      </c>
      <c r="DH66" s="36"/>
      <c r="DI66" s="132">
        <v>0</v>
      </c>
      <c r="DJ66" s="736"/>
      <c r="DK66" s="737"/>
      <c r="DL66" s="132"/>
      <c r="DM66" s="132">
        <v>17</v>
      </c>
      <c r="DN66" s="36"/>
      <c r="DO66" s="36"/>
      <c r="DP66" s="36">
        <v>35</v>
      </c>
      <c r="DQ66" s="29" t="s">
        <v>656</v>
      </c>
      <c r="DR66" s="36" t="s">
        <v>656</v>
      </c>
      <c r="DS66" s="36" t="s">
        <v>656</v>
      </c>
      <c r="DT66" s="36"/>
      <c r="DU66" s="36"/>
      <c r="DV66" s="36"/>
      <c r="DW66" s="36">
        <v>3</v>
      </c>
      <c r="DX66" s="36"/>
      <c r="DY66" s="36"/>
      <c r="DZ66" s="36"/>
      <c r="EA66" s="36">
        <v>0</v>
      </c>
      <c r="EB66" s="36"/>
      <c r="EC66" s="36">
        <v>0</v>
      </c>
      <c r="ED66" s="36">
        <v>0</v>
      </c>
      <c r="EE66" s="36">
        <v>1</v>
      </c>
      <c r="EF66" s="36">
        <v>62</v>
      </c>
      <c r="EG66" s="663"/>
      <c r="EH66" s="733" t="s">
        <v>656</v>
      </c>
      <c r="EI66" s="733">
        <v>2</v>
      </c>
      <c r="EJ66" s="733" t="s">
        <v>656</v>
      </c>
      <c r="EK66" s="36">
        <v>63</v>
      </c>
      <c r="EL66" s="36"/>
      <c r="EM66" s="733"/>
      <c r="EN66" s="36"/>
      <c r="EO66" s="36">
        <v>5</v>
      </c>
      <c r="EP66" s="36"/>
      <c r="EQ66" s="36">
        <v>0</v>
      </c>
      <c r="ER66" s="36"/>
      <c r="ES66" s="663"/>
      <c r="ET66" s="36">
        <v>0</v>
      </c>
      <c r="EU66" s="36">
        <v>7</v>
      </c>
      <c r="EV66" s="161">
        <v>124</v>
      </c>
      <c r="EW66" s="36"/>
      <c r="EX66" s="36">
        <f>16+15</f>
        <v>31</v>
      </c>
      <c r="EY66" s="36"/>
      <c r="EZ66" s="663"/>
      <c r="FA66" s="36">
        <v>193</v>
      </c>
    </row>
    <row r="67" spans="1:157" ht="85" x14ac:dyDescent="0.2">
      <c r="A67" s="1205"/>
      <c r="B67" s="1207"/>
      <c r="C67" s="167" t="s">
        <v>138</v>
      </c>
      <c r="D67" s="168" t="s">
        <v>139</v>
      </c>
      <c r="E67" s="188" t="s">
        <v>117</v>
      </c>
      <c r="F67" s="36">
        <v>1</v>
      </c>
      <c r="G67" s="36" t="s">
        <v>656</v>
      </c>
      <c r="H67" s="161"/>
      <c r="I67" s="36" t="s">
        <v>656</v>
      </c>
      <c r="J67" s="36">
        <v>30</v>
      </c>
      <c r="K67" s="36" t="s">
        <v>656</v>
      </c>
      <c r="L67" s="36">
        <v>24</v>
      </c>
      <c r="M67" s="36">
        <v>0</v>
      </c>
      <c r="N67" s="36">
        <v>5</v>
      </c>
      <c r="O67" s="36">
        <v>189</v>
      </c>
      <c r="P67" s="34" t="s">
        <v>656</v>
      </c>
      <c r="Q67" s="36">
        <v>0</v>
      </c>
      <c r="R67" s="29" t="s">
        <v>656</v>
      </c>
      <c r="S67" s="36">
        <v>54</v>
      </c>
      <c r="T67" s="36">
        <v>0</v>
      </c>
      <c r="U67" s="36">
        <v>3</v>
      </c>
      <c r="V67" s="36">
        <v>9</v>
      </c>
      <c r="W67" s="36"/>
      <c r="X67" s="36"/>
      <c r="Y67" s="36"/>
      <c r="Z67" s="36"/>
      <c r="AA67" s="36"/>
      <c r="AB67" s="36"/>
      <c r="AC67" s="36"/>
      <c r="AD67" s="36">
        <v>104</v>
      </c>
      <c r="AE67" s="161">
        <v>0</v>
      </c>
      <c r="AF67" s="36">
        <v>2</v>
      </c>
      <c r="AG67" s="36"/>
      <c r="AH67" s="50" t="s">
        <v>656</v>
      </c>
      <c r="AI67" s="36">
        <v>7</v>
      </c>
      <c r="AJ67" s="36"/>
      <c r="AK67" s="663"/>
      <c r="AL67" s="36">
        <v>4</v>
      </c>
      <c r="AM67" s="36">
        <v>0</v>
      </c>
      <c r="AN67" s="36">
        <v>0</v>
      </c>
      <c r="AO67" s="36">
        <v>0</v>
      </c>
      <c r="AP67" s="663"/>
      <c r="AQ67" s="50">
        <v>196</v>
      </c>
      <c r="AR67" s="663"/>
      <c r="AS67" s="36"/>
      <c r="AT67" s="36"/>
      <c r="AU67" s="36"/>
      <c r="AV67" s="36"/>
      <c r="AW67" s="61">
        <v>19</v>
      </c>
      <c r="AX67" s="663"/>
      <c r="AY67" s="663"/>
      <c r="AZ67" s="36">
        <v>1</v>
      </c>
      <c r="BA67" s="36" t="s">
        <v>656</v>
      </c>
      <c r="BB67" s="36" t="s">
        <v>656</v>
      </c>
      <c r="BC67" s="36">
        <v>5</v>
      </c>
      <c r="BD67" s="36"/>
      <c r="BE67" s="36">
        <v>28</v>
      </c>
      <c r="BF67" s="36">
        <v>44</v>
      </c>
      <c r="BG67" s="36" t="s">
        <v>656</v>
      </c>
      <c r="BH67" s="36">
        <v>0</v>
      </c>
      <c r="BI67" s="36">
        <v>27</v>
      </c>
      <c r="BJ67" s="36">
        <v>0</v>
      </c>
      <c r="BK67" s="36">
        <v>0</v>
      </c>
      <c r="BL67" s="36">
        <v>27</v>
      </c>
      <c r="BM67" s="36" t="s">
        <v>656</v>
      </c>
      <c r="BN67" s="36"/>
      <c r="BO67" s="733"/>
      <c r="BP67" s="36">
        <v>23</v>
      </c>
      <c r="BQ67" s="36">
        <v>0</v>
      </c>
      <c r="BR67" s="36">
        <v>0</v>
      </c>
      <c r="BS67" s="36">
        <v>0</v>
      </c>
      <c r="BT67" s="36" t="s">
        <v>656</v>
      </c>
      <c r="BU67" s="36"/>
      <c r="BV67" s="36">
        <v>0</v>
      </c>
      <c r="BW67" s="36">
        <v>1</v>
      </c>
      <c r="BX67" s="36">
        <v>0</v>
      </c>
      <c r="BY67" s="663"/>
      <c r="BZ67" s="663"/>
      <c r="CA67" s="36">
        <v>159</v>
      </c>
      <c r="CB67" s="50">
        <v>4</v>
      </c>
      <c r="CC67" s="36">
        <v>0</v>
      </c>
      <c r="CD67" s="36">
        <v>2</v>
      </c>
      <c r="CE67" s="36">
        <v>0</v>
      </c>
      <c r="CF67" s="36">
        <v>0</v>
      </c>
      <c r="CG67" s="161">
        <v>0</v>
      </c>
      <c r="CH67" s="36">
        <v>0</v>
      </c>
      <c r="CI67" s="36">
        <v>2</v>
      </c>
      <c r="CJ67" s="36">
        <v>9</v>
      </c>
      <c r="CK67" s="36">
        <v>5</v>
      </c>
      <c r="CL67" s="36">
        <v>0</v>
      </c>
      <c r="CM67" s="115">
        <v>27</v>
      </c>
      <c r="CN67" s="36">
        <v>12</v>
      </c>
      <c r="CO67" s="36">
        <v>0</v>
      </c>
      <c r="CP67" s="36">
        <v>0</v>
      </c>
      <c r="CQ67" s="36">
        <v>0</v>
      </c>
      <c r="CR67" s="132">
        <v>8</v>
      </c>
      <c r="CS67" s="36"/>
      <c r="CT67" s="36"/>
      <c r="CU67" s="36"/>
      <c r="CV67" s="663"/>
      <c r="CW67" s="36">
        <v>19</v>
      </c>
      <c r="CX67" s="734">
        <v>1</v>
      </c>
      <c r="CY67" s="36">
        <v>1</v>
      </c>
      <c r="CZ67" s="36">
        <v>14</v>
      </c>
      <c r="DA67" s="36">
        <v>44</v>
      </c>
      <c r="DB67" s="61">
        <v>8</v>
      </c>
      <c r="DC67" s="36"/>
      <c r="DD67" s="36" t="s">
        <v>656</v>
      </c>
      <c r="DE67" s="36">
        <v>9</v>
      </c>
      <c r="DF67" s="36"/>
      <c r="DG67" s="132">
        <v>1</v>
      </c>
      <c r="DH67" s="36"/>
      <c r="DI67" s="132">
        <v>0</v>
      </c>
      <c r="DJ67" s="736">
        <v>3</v>
      </c>
      <c r="DK67" s="737"/>
      <c r="DL67" s="132"/>
      <c r="DM67" s="132">
        <v>9</v>
      </c>
      <c r="DN67" s="36"/>
      <c r="DO67" s="36">
        <v>3</v>
      </c>
      <c r="DP67" s="36">
        <v>4</v>
      </c>
      <c r="DQ67" s="29" t="s">
        <v>656</v>
      </c>
      <c r="DR67" s="36" t="s">
        <v>656</v>
      </c>
      <c r="DS67" s="36" t="s">
        <v>656</v>
      </c>
      <c r="DT67" s="36"/>
      <c r="DU67" s="36"/>
      <c r="DV67" s="36">
        <v>11</v>
      </c>
      <c r="DW67" s="36">
        <v>7</v>
      </c>
      <c r="DX67" s="36"/>
      <c r="DY67" s="36"/>
      <c r="DZ67" s="36"/>
      <c r="EA67" s="36">
        <v>0</v>
      </c>
      <c r="EB67" s="36">
        <v>94</v>
      </c>
      <c r="EC67" s="36">
        <v>6</v>
      </c>
      <c r="ED67" s="36">
        <v>0</v>
      </c>
      <c r="EE67" s="36">
        <v>4</v>
      </c>
      <c r="EF67" s="36">
        <v>3</v>
      </c>
      <c r="EG67" s="663"/>
      <c r="EH67" s="733" t="s">
        <v>656</v>
      </c>
      <c r="EI67" s="733">
        <v>2</v>
      </c>
      <c r="EJ67" s="733" t="s">
        <v>656</v>
      </c>
      <c r="EK67" s="36">
        <v>19</v>
      </c>
      <c r="EL67" s="36"/>
      <c r="EM67" s="733">
        <v>1</v>
      </c>
      <c r="EN67" s="50"/>
      <c r="EO67" s="36">
        <v>9</v>
      </c>
      <c r="EP67" s="36">
        <v>4</v>
      </c>
      <c r="EQ67" s="36">
        <v>0</v>
      </c>
      <c r="ER67" s="36"/>
      <c r="ES67" s="663"/>
      <c r="ET67" s="36">
        <v>0</v>
      </c>
      <c r="EU67" s="36">
        <v>2</v>
      </c>
      <c r="EV67" s="161">
        <v>41</v>
      </c>
      <c r="EW67" s="36"/>
      <c r="EX67" s="36">
        <f>35+1</f>
        <v>36</v>
      </c>
      <c r="EY67" s="36"/>
      <c r="EZ67" s="663"/>
      <c r="FA67" s="36">
        <v>32</v>
      </c>
    </row>
    <row r="68" spans="1:157" ht="34" x14ac:dyDescent="0.2">
      <c r="A68" s="1205"/>
      <c r="B68" s="1207"/>
      <c r="C68" s="167" t="s">
        <v>140</v>
      </c>
      <c r="D68" s="168" t="s">
        <v>141</v>
      </c>
      <c r="E68" s="188" t="s">
        <v>117</v>
      </c>
      <c r="F68" s="36">
        <v>1</v>
      </c>
      <c r="G68" s="36" t="s">
        <v>656</v>
      </c>
      <c r="H68" s="161"/>
      <c r="I68" s="36">
        <v>2</v>
      </c>
      <c r="J68" s="36">
        <v>66</v>
      </c>
      <c r="K68" s="36" t="s">
        <v>656</v>
      </c>
      <c r="L68" s="36">
        <v>21</v>
      </c>
      <c r="M68" s="36">
        <v>5</v>
      </c>
      <c r="N68" s="36">
        <v>4</v>
      </c>
      <c r="O68" s="36">
        <f>16+16</f>
        <v>32</v>
      </c>
      <c r="P68" s="37" t="s">
        <v>656</v>
      </c>
      <c r="Q68" s="36">
        <v>0</v>
      </c>
      <c r="R68" s="29" t="s">
        <v>656</v>
      </c>
      <c r="S68" s="36">
        <v>40</v>
      </c>
      <c r="T68" s="36">
        <f>153+4+2</f>
        <v>159</v>
      </c>
      <c r="U68" s="36">
        <v>6</v>
      </c>
      <c r="V68" s="36">
        <v>24</v>
      </c>
      <c r="W68" s="36"/>
      <c r="X68" s="36">
        <v>294</v>
      </c>
      <c r="Y68" s="36"/>
      <c r="Z68" s="36"/>
      <c r="AA68" s="36">
        <v>4</v>
      </c>
      <c r="AB68" s="36"/>
      <c r="AC68" s="36"/>
      <c r="AD68" s="36">
        <v>97</v>
      </c>
      <c r="AE68" s="161">
        <v>0</v>
      </c>
      <c r="AF68" s="36">
        <v>25</v>
      </c>
      <c r="AG68" s="36"/>
      <c r="AH68" s="50" t="s">
        <v>656</v>
      </c>
      <c r="AI68" s="36">
        <v>3</v>
      </c>
      <c r="AJ68" s="36"/>
      <c r="AK68" s="663"/>
      <c r="AL68" s="36">
        <v>5</v>
      </c>
      <c r="AM68" s="36">
        <v>0</v>
      </c>
      <c r="AN68" s="36">
        <v>0</v>
      </c>
      <c r="AO68" s="36">
        <v>38</v>
      </c>
      <c r="AP68" s="663"/>
      <c r="AQ68" s="50">
        <v>110</v>
      </c>
      <c r="AR68" s="663"/>
      <c r="AS68" s="36">
        <v>1</v>
      </c>
      <c r="AT68" s="36"/>
      <c r="AU68" s="36"/>
      <c r="AV68" s="50">
        <v>3</v>
      </c>
      <c r="AW68" s="61">
        <v>34</v>
      </c>
      <c r="AX68" s="663"/>
      <c r="AY68" s="663"/>
      <c r="AZ68" s="36">
        <v>14</v>
      </c>
      <c r="BA68" s="36">
        <v>12</v>
      </c>
      <c r="BB68" s="36">
        <v>9</v>
      </c>
      <c r="BC68" s="36">
        <v>43</v>
      </c>
      <c r="BD68" s="36">
        <v>3</v>
      </c>
      <c r="BE68" s="36">
        <v>14</v>
      </c>
      <c r="BF68" s="36">
        <v>35</v>
      </c>
      <c r="BG68" s="36">
        <v>2</v>
      </c>
      <c r="BH68" s="36">
        <v>0</v>
      </c>
      <c r="BI68" s="36">
        <v>21</v>
      </c>
      <c r="BJ68" s="36">
        <v>0</v>
      </c>
      <c r="BK68" s="36">
        <v>10</v>
      </c>
      <c r="BL68" s="36">
        <v>3</v>
      </c>
      <c r="BM68" s="36" t="s">
        <v>656</v>
      </c>
      <c r="BN68" s="36"/>
      <c r="BO68" s="733"/>
      <c r="BP68" s="36">
        <v>15</v>
      </c>
      <c r="BQ68" s="36">
        <v>10</v>
      </c>
      <c r="BR68" s="36">
        <v>0</v>
      </c>
      <c r="BS68" s="36">
        <v>18</v>
      </c>
      <c r="BT68" s="36">
        <v>6</v>
      </c>
      <c r="BU68" s="36"/>
      <c r="BV68" s="36">
        <v>0</v>
      </c>
      <c r="BW68" s="36">
        <v>0</v>
      </c>
      <c r="BX68" s="36">
        <v>0</v>
      </c>
      <c r="BY68" s="663"/>
      <c r="BZ68" s="663"/>
      <c r="CA68" s="36">
        <v>109</v>
      </c>
      <c r="CB68" s="50">
        <v>7</v>
      </c>
      <c r="CC68" s="36">
        <v>0</v>
      </c>
      <c r="CD68" s="36">
        <v>41</v>
      </c>
      <c r="CE68" s="36">
        <v>0</v>
      </c>
      <c r="CF68" s="36">
        <v>16</v>
      </c>
      <c r="CG68" s="161">
        <v>0</v>
      </c>
      <c r="CH68" s="36">
        <v>4</v>
      </c>
      <c r="CI68" s="36">
        <v>0</v>
      </c>
      <c r="CJ68" s="36">
        <v>15</v>
      </c>
      <c r="CK68" s="36">
        <v>3</v>
      </c>
      <c r="CL68" s="36">
        <v>0</v>
      </c>
      <c r="CM68" s="115">
        <v>17</v>
      </c>
      <c r="CN68" s="36">
        <v>18</v>
      </c>
      <c r="CO68" s="36">
        <v>0</v>
      </c>
      <c r="CP68" s="36">
        <v>0</v>
      </c>
      <c r="CQ68" s="36">
        <v>1</v>
      </c>
      <c r="CR68" s="132">
        <v>17</v>
      </c>
      <c r="CS68" s="36"/>
      <c r="CT68" s="36"/>
      <c r="CU68" s="36">
        <v>2</v>
      </c>
      <c r="CV68" s="663"/>
      <c r="CW68" s="36">
        <v>70</v>
      </c>
      <c r="CX68" s="734" t="s">
        <v>656</v>
      </c>
      <c r="CY68" s="36">
        <v>4</v>
      </c>
      <c r="CZ68" s="36">
        <v>33</v>
      </c>
      <c r="DA68" s="36">
        <v>22</v>
      </c>
      <c r="DB68" s="36">
        <v>30</v>
      </c>
      <c r="DC68" s="36"/>
      <c r="DD68" s="36">
        <v>1</v>
      </c>
      <c r="DE68" s="36">
        <v>21</v>
      </c>
      <c r="DF68" s="36">
        <v>2</v>
      </c>
      <c r="DG68" s="132">
        <v>4</v>
      </c>
      <c r="DH68" s="36"/>
      <c r="DI68" s="132">
        <v>0</v>
      </c>
      <c r="DJ68" s="736">
        <v>14</v>
      </c>
      <c r="DK68" s="737">
        <v>1</v>
      </c>
      <c r="DL68" s="132">
        <v>54</v>
      </c>
      <c r="DM68" s="132">
        <v>35</v>
      </c>
      <c r="DN68" s="36"/>
      <c r="DO68" s="36">
        <v>5</v>
      </c>
      <c r="DP68" s="36">
        <v>14</v>
      </c>
      <c r="DQ68" s="36">
        <v>1</v>
      </c>
      <c r="DR68" s="36" t="s">
        <v>656</v>
      </c>
      <c r="DS68" s="36">
        <v>6</v>
      </c>
      <c r="DT68" s="36"/>
      <c r="DU68" s="36"/>
      <c r="DV68" s="36">
        <v>24</v>
      </c>
      <c r="DW68" s="36">
        <v>2</v>
      </c>
      <c r="DX68" s="36"/>
      <c r="DY68" s="36"/>
      <c r="DZ68" s="36">
        <v>1</v>
      </c>
      <c r="EA68" s="36">
        <v>0</v>
      </c>
      <c r="EB68" s="36">
        <v>39</v>
      </c>
      <c r="EC68" s="36">
        <v>17</v>
      </c>
      <c r="ED68" s="36">
        <v>0</v>
      </c>
      <c r="EE68" s="36">
        <v>4</v>
      </c>
      <c r="EF68" s="36">
        <v>5</v>
      </c>
      <c r="EG68" s="663"/>
      <c r="EH68" s="733" t="s">
        <v>656</v>
      </c>
      <c r="EI68" s="733">
        <v>16</v>
      </c>
      <c r="EJ68" s="733" t="s">
        <v>656</v>
      </c>
      <c r="EK68" s="36">
        <v>39</v>
      </c>
      <c r="EL68" s="36"/>
      <c r="EM68" s="733">
        <v>4</v>
      </c>
      <c r="EN68" s="36"/>
      <c r="EO68" s="36">
        <v>4</v>
      </c>
      <c r="EP68" s="36">
        <v>5</v>
      </c>
      <c r="EQ68" s="36">
        <v>50</v>
      </c>
      <c r="ER68" s="36"/>
      <c r="ES68" s="663"/>
      <c r="ET68" s="36">
        <v>0</v>
      </c>
      <c r="EU68" s="36">
        <v>17</v>
      </c>
      <c r="EV68" s="161">
        <v>31</v>
      </c>
      <c r="EW68" s="36">
        <v>3</v>
      </c>
      <c r="EX68" s="36">
        <v>1</v>
      </c>
      <c r="EY68" s="36">
        <v>2</v>
      </c>
      <c r="EZ68" s="663"/>
      <c r="FA68" s="36">
        <v>17</v>
      </c>
    </row>
    <row r="69" spans="1:157" ht="102" x14ac:dyDescent="0.2">
      <c r="A69" s="1205"/>
      <c r="B69" s="1207"/>
      <c r="C69" s="167" t="s">
        <v>142</v>
      </c>
      <c r="D69" s="168" t="s">
        <v>143</v>
      </c>
      <c r="E69" s="188" t="s">
        <v>117</v>
      </c>
      <c r="F69" s="36">
        <v>1</v>
      </c>
      <c r="G69" s="36" t="s">
        <v>656</v>
      </c>
      <c r="H69" s="161"/>
      <c r="I69" s="36">
        <v>6</v>
      </c>
      <c r="J69" s="36" t="s">
        <v>656</v>
      </c>
      <c r="K69" s="36" t="s">
        <v>656</v>
      </c>
      <c r="L69" s="36"/>
      <c r="M69" s="36">
        <v>0</v>
      </c>
      <c r="N69" s="50" t="s">
        <v>656</v>
      </c>
      <c r="O69" s="36">
        <v>85</v>
      </c>
      <c r="P69" s="34" t="s">
        <v>656</v>
      </c>
      <c r="Q69" s="36">
        <v>200</v>
      </c>
      <c r="R69" s="29" t="s">
        <v>656</v>
      </c>
      <c r="S69" s="36">
        <v>78</v>
      </c>
      <c r="T69" s="36">
        <f>55</f>
        <v>55</v>
      </c>
      <c r="U69" s="36">
        <v>1</v>
      </c>
      <c r="V69" s="36">
        <v>6</v>
      </c>
      <c r="W69" s="36"/>
      <c r="X69" s="36">
        <v>625</v>
      </c>
      <c r="Y69" s="36">
        <v>89</v>
      </c>
      <c r="Z69" s="36"/>
      <c r="AA69" s="36"/>
      <c r="AB69" s="36"/>
      <c r="AC69" s="36"/>
      <c r="AD69" s="36" t="s">
        <v>656</v>
      </c>
      <c r="AE69" s="161">
        <v>0</v>
      </c>
      <c r="AF69" s="36"/>
      <c r="AG69" s="36"/>
      <c r="AH69" s="50" t="s">
        <v>656</v>
      </c>
      <c r="AI69" s="36">
        <v>1</v>
      </c>
      <c r="AJ69" s="36">
        <v>1</v>
      </c>
      <c r="AK69" s="663"/>
      <c r="AL69" s="36">
        <v>3</v>
      </c>
      <c r="AM69" s="36">
        <v>193</v>
      </c>
      <c r="AN69" s="29">
        <v>0</v>
      </c>
      <c r="AO69" s="36">
        <v>27</v>
      </c>
      <c r="AP69" s="663"/>
      <c r="AQ69" s="50"/>
      <c r="AR69" s="663"/>
      <c r="AS69" s="36">
        <v>3</v>
      </c>
      <c r="AT69" s="36">
        <v>36</v>
      </c>
      <c r="AU69" s="36"/>
      <c r="AV69" s="36"/>
      <c r="AW69" s="61"/>
      <c r="AX69" s="663"/>
      <c r="AY69" s="663"/>
      <c r="AZ69" s="36">
        <v>21</v>
      </c>
      <c r="BA69" s="36">
        <v>40</v>
      </c>
      <c r="BB69" s="36" t="s">
        <v>656</v>
      </c>
      <c r="BC69" s="36">
        <v>0</v>
      </c>
      <c r="BD69" s="36"/>
      <c r="BE69" s="36">
        <v>81</v>
      </c>
      <c r="BF69" s="36">
        <v>6</v>
      </c>
      <c r="BG69" s="36" t="s">
        <v>656</v>
      </c>
      <c r="BH69" s="36">
        <v>0</v>
      </c>
      <c r="BI69" s="36">
        <v>64</v>
      </c>
      <c r="BJ69" s="36">
        <v>43</v>
      </c>
      <c r="BK69" s="36">
        <v>0</v>
      </c>
      <c r="BL69" s="36"/>
      <c r="BM69" s="36" t="s">
        <v>656</v>
      </c>
      <c r="BN69" s="36"/>
      <c r="BO69" s="733"/>
      <c r="BP69" s="36">
        <v>2</v>
      </c>
      <c r="BQ69" s="36">
        <v>6</v>
      </c>
      <c r="BR69" s="36">
        <v>39</v>
      </c>
      <c r="BS69" s="36">
        <v>88</v>
      </c>
      <c r="BT69" s="36">
        <v>8</v>
      </c>
      <c r="BU69" s="36"/>
      <c r="BV69" s="36">
        <v>37</v>
      </c>
      <c r="BW69" s="36">
        <v>2</v>
      </c>
      <c r="BX69" s="36">
        <v>0</v>
      </c>
      <c r="BY69" s="663"/>
      <c r="BZ69" s="663"/>
      <c r="CA69" s="36">
        <v>134</v>
      </c>
      <c r="CB69" s="50">
        <v>0</v>
      </c>
      <c r="CC69" s="36">
        <v>2</v>
      </c>
      <c r="CD69" s="36">
        <v>11</v>
      </c>
      <c r="CE69" s="36">
        <v>0</v>
      </c>
      <c r="CF69" s="36">
        <v>0</v>
      </c>
      <c r="CG69" s="161">
        <v>0</v>
      </c>
      <c r="CH69" s="36">
        <v>0</v>
      </c>
      <c r="CI69" s="36">
        <v>0</v>
      </c>
      <c r="CJ69" s="36">
        <v>0</v>
      </c>
      <c r="CK69" s="36">
        <v>0</v>
      </c>
      <c r="CL69" s="36">
        <v>50</v>
      </c>
      <c r="CM69" s="115">
        <v>1</v>
      </c>
      <c r="CN69" s="36">
        <v>0</v>
      </c>
      <c r="CO69" s="36">
        <v>0</v>
      </c>
      <c r="CP69" s="36">
        <v>79</v>
      </c>
      <c r="CQ69" s="36">
        <v>0</v>
      </c>
      <c r="CR69" s="132"/>
      <c r="CS69" s="36"/>
      <c r="CT69" s="36">
        <v>121</v>
      </c>
      <c r="CU69" s="36"/>
      <c r="CV69" s="663"/>
      <c r="CW69" s="36" t="s">
        <v>656</v>
      </c>
      <c r="CX69" s="734">
        <v>35</v>
      </c>
      <c r="CY69" s="36">
        <v>3</v>
      </c>
      <c r="CZ69" s="36">
        <v>3</v>
      </c>
      <c r="DA69" s="36">
        <v>1</v>
      </c>
      <c r="DB69" s="36">
        <v>16</v>
      </c>
      <c r="DC69" s="36"/>
      <c r="DD69" s="36" t="s">
        <v>656</v>
      </c>
      <c r="DE69" s="36">
        <v>7</v>
      </c>
      <c r="DF69" s="36"/>
      <c r="DG69" s="132"/>
      <c r="DH69" s="36"/>
      <c r="DI69" s="132">
        <v>0</v>
      </c>
      <c r="DJ69" s="736"/>
      <c r="DK69" s="737"/>
      <c r="DL69" s="132">
        <v>89</v>
      </c>
      <c r="DM69" s="132">
        <v>42</v>
      </c>
      <c r="DN69" s="36"/>
      <c r="DO69" s="36"/>
      <c r="DP69" s="36" t="s">
        <v>2520</v>
      </c>
      <c r="DQ69" s="29" t="s">
        <v>656</v>
      </c>
      <c r="DR69" s="36">
        <v>14</v>
      </c>
      <c r="DS69" s="36">
        <v>25</v>
      </c>
      <c r="DT69" s="36"/>
      <c r="DU69" s="36">
        <v>1</v>
      </c>
      <c r="DV69" s="36"/>
      <c r="DW69" s="36">
        <v>9</v>
      </c>
      <c r="DX69" s="36"/>
      <c r="DY69" s="36">
        <v>101</v>
      </c>
      <c r="DZ69" s="36"/>
      <c r="EA69" s="36">
        <v>16</v>
      </c>
      <c r="EB69" s="36"/>
      <c r="EC69" s="36">
        <v>17</v>
      </c>
      <c r="ED69" s="36">
        <v>0</v>
      </c>
      <c r="EE69" s="36">
        <v>0</v>
      </c>
      <c r="EF69" s="36">
        <v>19</v>
      </c>
      <c r="EG69" s="663"/>
      <c r="EH69" s="733" t="s">
        <v>656</v>
      </c>
      <c r="EI69" s="733">
        <v>2</v>
      </c>
      <c r="EJ69" s="733">
        <v>12</v>
      </c>
      <c r="EK69" s="36">
        <v>0</v>
      </c>
      <c r="EL69" s="36"/>
      <c r="EM69" s="733">
        <v>5</v>
      </c>
      <c r="EN69" s="50">
        <v>133</v>
      </c>
      <c r="EO69" s="36">
        <v>13</v>
      </c>
      <c r="EP69" s="36">
        <v>1</v>
      </c>
      <c r="EQ69" s="36">
        <v>31</v>
      </c>
      <c r="ER69" s="36">
        <v>93</v>
      </c>
      <c r="ES69" s="663"/>
      <c r="ET69" s="36">
        <v>27</v>
      </c>
      <c r="EU69" s="36">
        <v>5</v>
      </c>
      <c r="EV69" s="161">
        <v>71</v>
      </c>
      <c r="EW69" s="36">
        <v>1</v>
      </c>
      <c r="EX69" s="36">
        <v>0</v>
      </c>
      <c r="EY69" s="36">
        <v>4</v>
      </c>
      <c r="EZ69" s="663"/>
      <c r="FA69" s="36">
        <v>94</v>
      </c>
    </row>
    <row r="70" spans="1:157" ht="34" x14ac:dyDescent="0.2">
      <c r="A70" s="1205"/>
      <c r="B70" s="1207"/>
      <c r="C70" s="167" t="s">
        <v>144</v>
      </c>
      <c r="D70" s="168" t="s">
        <v>145</v>
      </c>
      <c r="E70" s="188" t="s">
        <v>117</v>
      </c>
      <c r="F70" s="36">
        <v>1</v>
      </c>
      <c r="G70" s="36">
        <v>2</v>
      </c>
      <c r="H70" s="161"/>
      <c r="I70" s="36">
        <v>7</v>
      </c>
      <c r="J70" s="36">
        <v>62</v>
      </c>
      <c r="K70" s="36" t="s">
        <v>656</v>
      </c>
      <c r="L70" s="36">
        <v>15</v>
      </c>
      <c r="M70" s="36">
        <v>5</v>
      </c>
      <c r="N70" s="36">
        <v>5</v>
      </c>
      <c r="O70" s="36">
        <v>48</v>
      </c>
      <c r="P70" s="34" t="s">
        <v>656</v>
      </c>
      <c r="Q70" s="36">
        <v>0</v>
      </c>
      <c r="R70" s="29" t="s">
        <v>656</v>
      </c>
      <c r="S70" s="36">
        <v>37</v>
      </c>
      <c r="T70" s="36">
        <f>152</f>
        <v>152</v>
      </c>
      <c r="U70" s="36">
        <v>5</v>
      </c>
      <c r="V70" s="36">
        <v>16</v>
      </c>
      <c r="W70" s="36">
        <v>47</v>
      </c>
      <c r="X70" s="36">
        <v>142</v>
      </c>
      <c r="Y70" s="36"/>
      <c r="Z70" s="36">
        <v>10</v>
      </c>
      <c r="AA70" s="36">
        <v>35</v>
      </c>
      <c r="AB70" s="36"/>
      <c r="AC70" s="36"/>
      <c r="AD70" s="36">
        <v>230</v>
      </c>
      <c r="AE70" s="161">
        <v>0</v>
      </c>
      <c r="AF70" s="36">
        <v>50</v>
      </c>
      <c r="AG70" s="36"/>
      <c r="AH70" s="50" t="s">
        <v>656</v>
      </c>
      <c r="AI70" s="36">
        <v>7</v>
      </c>
      <c r="AJ70" s="36"/>
      <c r="AK70" s="663"/>
      <c r="AL70" s="36">
        <v>4</v>
      </c>
      <c r="AM70" s="36">
        <v>0</v>
      </c>
      <c r="AN70" s="29">
        <v>2</v>
      </c>
      <c r="AO70" s="36">
        <v>32</v>
      </c>
      <c r="AP70" s="663"/>
      <c r="AQ70" s="50">
        <v>117</v>
      </c>
      <c r="AR70" s="663"/>
      <c r="AS70" s="36">
        <v>1</v>
      </c>
      <c r="AT70" s="36">
        <v>5</v>
      </c>
      <c r="AU70" s="36">
        <v>25</v>
      </c>
      <c r="AV70" s="50">
        <v>6</v>
      </c>
      <c r="AW70" s="61">
        <v>38</v>
      </c>
      <c r="AX70" s="663"/>
      <c r="AY70" s="663"/>
      <c r="AZ70" s="36">
        <v>5</v>
      </c>
      <c r="BA70" s="36">
        <v>15</v>
      </c>
      <c r="BB70" s="36" t="s">
        <v>656</v>
      </c>
      <c r="BC70" s="36">
        <v>14</v>
      </c>
      <c r="BD70" s="36">
        <v>2</v>
      </c>
      <c r="BE70" s="36"/>
      <c r="BF70" s="36">
        <v>17</v>
      </c>
      <c r="BG70" s="36">
        <v>1</v>
      </c>
      <c r="BH70" s="36">
        <v>0</v>
      </c>
      <c r="BI70" s="36"/>
      <c r="BJ70" s="36">
        <v>0</v>
      </c>
      <c r="BK70" s="36">
        <v>17</v>
      </c>
      <c r="BL70" s="36">
        <v>78</v>
      </c>
      <c r="BM70" s="36" t="s">
        <v>656</v>
      </c>
      <c r="BN70" s="36"/>
      <c r="BO70" s="733">
        <v>3</v>
      </c>
      <c r="BP70" s="36">
        <v>14</v>
      </c>
      <c r="BQ70" s="36">
        <v>15</v>
      </c>
      <c r="BR70" s="36">
        <v>48</v>
      </c>
      <c r="BS70" s="36">
        <v>24</v>
      </c>
      <c r="BT70" s="55" t="s">
        <v>656</v>
      </c>
      <c r="BU70" s="36"/>
      <c r="BV70" s="36">
        <v>5</v>
      </c>
      <c r="BW70" s="36">
        <v>2</v>
      </c>
      <c r="BX70" s="36">
        <v>0</v>
      </c>
      <c r="BY70" s="663"/>
      <c r="BZ70" s="663"/>
      <c r="CA70" s="36">
        <v>9</v>
      </c>
      <c r="CB70" s="50">
        <v>4</v>
      </c>
      <c r="CC70" s="36">
        <v>2</v>
      </c>
      <c r="CD70" s="36">
        <v>23</v>
      </c>
      <c r="CE70" s="36">
        <v>0</v>
      </c>
      <c r="CF70" s="36">
        <v>4</v>
      </c>
      <c r="CG70" s="161">
        <v>0</v>
      </c>
      <c r="CH70" s="36">
        <v>6</v>
      </c>
      <c r="CI70" s="36">
        <v>0</v>
      </c>
      <c r="CJ70" s="36">
        <v>2</v>
      </c>
      <c r="CK70" s="36">
        <v>38</v>
      </c>
      <c r="CL70" s="36">
        <v>0</v>
      </c>
      <c r="CM70" s="115">
        <v>15</v>
      </c>
      <c r="CN70" s="36">
        <v>6</v>
      </c>
      <c r="CO70" s="36">
        <v>0</v>
      </c>
      <c r="CP70" s="36">
        <v>0</v>
      </c>
      <c r="CQ70" s="36">
        <v>0</v>
      </c>
      <c r="CR70" s="132">
        <v>27</v>
      </c>
      <c r="CS70" s="36">
        <v>1</v>
      </c>
      <c r="CT70" s="36"/>
      <c r="CU70" s="36"/>
      <c r="CV70" s="663"/>
      <c r="CW70" s="36">
        <v>50</v>
      </c>
      <c r="CX70" s="734">
        <v>33</v>
      </c>
      <c r="CY70" s="36" t="s">
        <v>1447</v>
      </c>
      <c r="CZ70" s="36">
        <v>46</v>
      </c>
      <c r="DA70" s="36">
        <v>11</v>
      </c>
      <c r="DB70" s="36">
        <v>31</v>
      </c>
      <c r="DC70" s="36"/>
      <c r="DD70" s="36" t="s">
        <v>656</v>
      </c>
      <c r="DE70" s="36">
        <v>24</v>
      </c>
      <c r="DF70" s="36">
        <v>2</v>
      </c>
      <c r="DG70" s="132"/>
      <c r="DH70" s="36"/>
      <c r="DI70" s="132">
        <v>0</v>
      </c>
      <c r="DJ70" s="736">
        <v>15</v>
      </c>
      <c r="DK70" s="737">
        <v>2</v>
      </c>
      <c r="DL70" s="132">
        <v>14</v>
      </c>
      <c r="DM70" s="132">
        <v>30</v>
      </c>
      <c r="DN70" s="36"/>
      <c r="DO70" s="36">
        <v>2</v>
      </c>
      <c r="DP70" s="36">
        <v>9</v>
      </c>
      <c r="DQ70" s="29" t="s">
        <v>656</v>
      </c>
      <c r="DR70" s="36" t="s">
        <v>656</v>
      </c>
      <c r="DS70" s="36">
        <v>9</v>
      </c>
      <c r="DT70" s="36"/>
      <c r="DU70" s="36">
        <v>2</v>
      </c>
      <c r="DV70" s="36"/>
      <c r="DW70" s="36">
        <v>15</v>
      </c>
      <c r="DX70" s="36"/>
      <c r="DY70" s="36"/>
      <c r="DZ70" s="36"/>
      <c r="EA70" s="36">
        <v>0</v>
      </c>
      <c r="EB70" s="36">
        <v>146</v>
      </c>
      <c r="EC70" s="36">
        <v>27</v>
      </c>
      <c r="ED70" s="36">
        <v>0</v>
      </c>
      <c r="EE70" s="36">
        <v>8</v>
      </c>
      <c r="EF70" s="36">
        <v>8</v>
      </c>
      <c r="EG70" s="663"/>
      <c r="EH70" s="733">
        <v>5</v>
      </c>
      <c r="EI70" s="733">
        <v>9</v>
      </c>
      <c r="EJ70" s="733" t="s">
        <v>656</v>
      </c>
      <c r="EK70" s="36">
        <v>46</v>
      </c>
      <c r="EL70" s="36"/>
      <c r="EM70" s="733">
        <v>9</v>
      </c>
      <c r="EN70" s="36"/>
      <c r="EO70" s="36">
        <v>3</v>
      </c>
      <c r="EP70" s="36">
        <v>2</v>
      </c>
      <c r="EQ70" s="36">
        <v>52</v>
      </c>
      <c r="ER70" s="36"/>
      <c r="ES70" s="663"/>
      <c r="ET70" s="36">
        <v>0</v>
      </c>
      <c r="EU70" s="36">
        <v>6</v>
      </c>
      <c r="EV70" s="161">
        <v>23</v>
      </c>
      <c r="EW70" s="36"/>
      <c r="EX70" s="36">
        <v>55</v>
      </c>
      <c r="EY70" s="36">
        <v>3</v>
      </c>
      <c r="EZ70" s="663"/>
      <c r="FA70" s="36">
        <v>14</v>
      </c>
    </row>
    <row r="71" spans="1:157" ht="68" x14ac:dyDescent="0.2">
      <c r="A71" s="1205"/>
      <c r="B71" s="1207"/>
      <c r="C71" s="167" t="s">
        <v>146</v>
      </c>
      <c r="D71" s="168" t="s">
        <v>147</v>
      </c>
      <c r="E71" s="188" t="s">
        <v>117</v>
      </c>
      <c r="F71" s="36">
        <v>2</v>
      </c>
      <c r="G71" s="36">
        <v>3</v>
      </c>
      <c r="H71" s="161"/>
      <c r="I71" s="36">
        <v>4</v>
      </c>
      <c r="J71" s="36">
        <v>28</v>
      </c>
      <c r="K71" s="36" t="s">
        <v>656</v>
      </c>
      <c r="L71" s="36">
        <v>33</v>
      </c>
      <c r="M71" s="36">
        <v>12</v>
      </c>
      <c r="N71" s="36">
        <v>4</v>
      </c>
      <c r="O71" s="36">
        <v>6</v>
      </c>
      <c r="P71" s="34" t="s">
        <v>656</v>
      </c>
      <c r="Q71" s="36">
        <v>0</v>
      </c>
      <c r="R71" s="29" t="s">
        <v>656</v>
      </c>
      <c r="S71" s="36">
        <v>5</v>
      </c>
      <c r="T71" s="36">
        <f>64+13+10+1</f>
        <v>88</v>
      </c>
      <c r="U71" s="36">
        <v>11</v>
      </c>
      <c r="V71" s="36">
        <v>25</v>
      </c>
      <c r="W71" s="36">
        <v>21</v>
      </c>
      <c r="X71" s="36"/>
      <c r="Y71" s="36">
        <v>43</v>
      </c>
      <c r="Z71" s="36">
        <v>11</v>
      </c>
      <c r="AA71" s="36">
        <v>54</v>
      </c>
      <c r="AB71" s="36"/>
      <c r="AC71" s="36"/>
      <c r="AD71" s="36">
        <v>329</v>
      </c>
      <c r="AE71" s="161">
        <v>17</v>
      </c>
      <c r="AF71" s="36">
        <v>30</v>
      </c>
      <c r="AG71" s="36">
        <v>16</v>
      </c>
      <c r="AH71" s="50" t="s">
        <v>656</v>
      </c>
      <c r="AI71" s="36">
        <v>33</v>
      </c>
      <c r="AJ71" s="36">
        <v>1</v>
      </c>
      <c r="AK71" s="663"/>
      <c r="AL71" s="36">
        <v>1</v>
      </c>
      <c r="AM71" s="36">
        <v>46</v>
      </c>
      <c r="AN71" s="36">
        <v>2</v>
      </c>
      <c r="AO71" s="36">
        <v>25</v>
      </c>
      <c r="AP71" s="663"/>
      <c r="AQ71" s="50">
        <v>60</v>
      </c>
      <c r="AR71" s="663"/>
      <c r="AS71" s="36">
        <v>2</v>
      </c>
      <c r="AT71" s="36">
        <v>9</v>
      </c>
      <c r="AU71" s="36">
        <v>8</v>
      </c>
      <c r="AV71" s="50">
        <v>3</v>
      </c>
      <c r="AW71" s="61">
        <v>26</v>
      </c>
      <c r="AX71" s="663"/>
      <c r="AY71" s="663"/>
      <c r="AZ71" s="36">
        <v>5</v>
      </c>
      <c r="BA71" s="36" t="s">
        <v>656</v>
      </c>
      <c r="BB71" s="36">
        <v>11</v>
      </c>
      <c r="BC71" s="36">
        <v>17</v>
      </c>
      <c r="BD71" s="36">
        <v>3</v>
      </c>
      <c r="BE71" s="36">
        <v>13</v>
      </c>
      <c r="BF71" s="36">
        <v>10</v>
      </c>
      <c r="BG71" s="36" t="s">
        <v>656</v>
      </c>
      <c r="BH71" s="36">
        <v>0</v>
      </c>
      <c r="BI71" s="36"/>
      <c r="BJ71" s="36">
        <v>26</v>
      </c>
      <c r="BK71" s="36">
        <v>28</v>
      </c>
      <c r="BL71" s="36">
        <v>52</v>
      </c>
      <c r="BM71" s="36" t="s">
        <v>656</v>
      </c>
      <c r="BN71" s="36">
        <v>112</v>
      </c>
      <c r="BO71" s="733"/>
      <c r="BP71" s="36">
        <v>16</v>
      </c>
      <c r="BQ71" s="36">
        <v>8</v>
      </c>
      <c r="BR71" s="36">
        <v>1</v>
      </c>
      <c r="BS71" s="36">
        <v>3</v>
      </c>
      <c r="BT71" s="55" t="s">
        <v>656</v>
      </c>
      <c r="BU71" s="36">
        <v>1</v>
      </c>
      <c r="BV71" s="36">
        <v>15</v>
      </c>
      <c r="BW71" s="36">
        <v>6</v>
      </c>
      <c r="BX71" s="36">
        <v>0</v>
      </c>
      <c r="BY71" s="663"/>
      <c r="BZ71" s="663"/>
      <c r="CA71" s="36">
        <v>13</v>
      </c>
      <c r="CB71" s="50">
        <v>10</v>
      </c>
      <c r="CC71" s="36">
        <v>5</v>
      </c>
      <c r="CD71" s="36">
        <v>32</v>
      </c>
      <c r="CE71" s="36">
        <v>0</v>
      </c>
      <c r="CF71" s="36">
        <v>8</v>
      </c>
      <c r="CG71" s="161">
        <v>0</v>
      </c>
      <c r="CH71" s="36">
        <v>11</v>
      </c>
      <c r="CI71" s="36">
        <v>5</v>
      </c>
      <c r="CJ71" s="36">
        <v>11</v>
      </c>
      <c r="CK71" s="36">
        <v>55</v>
      </c>
      <c r="CL71" s="36">
        <v>29</v>
      </c>
      <c r="CM71" s="115">
        <v>25</v>
      </c>
      <c r="CN71" s="36">
        <v>5</v>
      </c>
      <c r="CO71" s="36">
        <v>95</v>
      </c>
      <c r="CP71" s="36">
        <v>0</v>
      </c>
      <c r="CQ71" s="36">
        <v>0</v>
      </c>
      <c r="CR71" s="132">
        <v>12</v>
      </c>
      <c r="CS71" s="36">
        <v>1</v>
      </c>
      <c r="CT71" s="36">
        <v>49</v>
      </c>
      <c r="CU71" s="36">
        <v>2</v>
      </c>
      <c r="CV71" s="663"/>
      <c r="CW71" s="36">
        <v>20</v>
      </c>
      <c r="CX71" s="734" t="s">
        <v>656</v>
      </c>
      <c r="CY71" s="36">
        <v>1</v>
      </c>
      <c r="CZ71" s="36">
        <v>34</v>
      </c>
      <c r="DA71" s="36">
        <v>33</v>
      </c>
      <c r="DB71" s="36">
        <v>75</v>
      </c>
      <c r="DC71" s="36">
        <v>24</v>
      </c>
      <c r="DD71" s="36">
        <v>1</v>
      </c>
      <c r="DE71" s="36">
        <v>20</v>
      </c>
      <c r="DF71" s="36">
        <v>9</v>
      </c>
      <c r="DG71" s="132">
        <v>3</v>
      </c>
      <c r="DH71" s="36"/>
      <c r="DI71" s="132">
        <v>0</v>
      </c>
      <c r="DJ71" s="736">
        <v>21</v>
      </c>
      <c r="DK71" s="737"/>
      <c r="DL71" s="132">
        <v>120</v>
      </c>
      <c r="DM71" s="132">
        <v>48</v>
      </c>
      <c r="DN71" s="36"/>
      <c r="DO71" s="36">
        <v>12</v>
      </c>
      <c r="DP71" s="36">
        <v>10</v>
      </c>
      <c r="DQ71" s="29" t="s">
        <v>656</v>
      </c>
      <c r="DR71" s="36">
        <v>44</v>
      </c>
      <c r="DS71" s="36" t="s">
        <v>656</v>
      </c>
      <c r="DT71" s="36">
        <v>1</v>
      </c>
      <c r="DU71" s="36"/>
      <c r="DV71" s="36">
        <v>110</v>
      </c>
      <c r="DW71" s="36">
        <v>18</v>
      </c>
      <c r="DX71" s="36">
        <v>2</v>
      </c>
      <c r="DY71" s="36"/>
      <c r="DZ71" s="36"/>
      <c r="EA71" s="36">
        <v>0</v>
      </c>
      <c r="EB71" s="36">
        <v>1190</v>
      </c>
      <c r="EC71" s="36">
        <v>3</v>
      </c>
      <c r="ED71" s="36">
        <v>0</v>
      </c>
      <c r="EE71" s="36">
        <v>3</v>
      </c>
      <c r="EF71" s="36">
        <v>8</v>
      </c>
      <c r="EG71" s="663"/>
      <c r="EH71" s="733" t="s">
        <v>656</v>
      </c>
      <c r="EI71" s="671">
        <v>27</v>
      </c>
      <c r="EJ71" s="671">
        <v>6</v>
      </c>
      <c r="EK71" s="36">
        <v>33</v>
      </c>
      <c r="EL71" s="36"/>
      <c r="EM71" s="733">
        <v>12</v>
      </c>
      <c r="EN71" s="36"/>
      <c r="EO71" s="36">
        <v>3</v>
      </c>
      <c r="EP71" s="36">
        <v>11</v>
      </c>
      <c r="EQ71" s="36">
        <v>19</v>
      </c>
      <c r="ER71" s="36"/>
      <c r="ES71" s="663"/>
      <c r="ET71" s="36">
        <v>55</v>
      </c>
      <c r="EU71" s="36">
        <v>14</v>
      </c>
      <c r="EV71" s="161">
        <v>32</v>
      </c>
      <c r="EW71" s="36"/>
      <c r="EX71" s="36">
        <v>44</v>
      </c>
      <c r="EY71" s="36">
        <v>1</v>
      </c>
      <c r="EZ71" s="663"/>
      <c r="FA71" s="36">
        <v>48</v>
      </c>
    </row>
    <row r="72" spans="1:157" ht="34" x14ac:dyDescent="0.2">
      <c r="A72" s="1205"/>
      <c r="B72" s="1207"/>
      <c r="C72" s="167" t="s">
        <v>148</v>
      </c>
      <c r="D72" s="168" t="s">
        <v>149</v>
      </c>
      <c r="E72" s="188" t="s">
        <v>117</v>
      </c>
      <c r="F72" s="36">
        <v>0</v>
      </c>
      <c r="G72" s="36" t="s">
        <v>656</v>
      </c>
      <c r="H72" s="161"/>
      <c r="I72" s="36" t="s">
        <v>656</v>
      </c>
      <c r="J72" s="36">
        <v>51</v>
      </c>
      <c r="K72" s="36" t="s">
        <v>656</v>
      </c>
      <c r="L72" s="36">
        <v>14</v>
      </c>
      <c r="M72" s="36">
        <v>2</v>
      </c>
      <c r="N72" s="36">
        <v>2</v>
      </c>
      <c r="O72" s="36">
        <v>28</v>
      </c>
      <c r="P72" s="37" t="s">
        <v>656</v>
      </c>
      <c r="Q72" s="36">
        <v>0</v>
      </c>
      <c r="R72" s="29" t="s">
        <v>656</v>
      </c>
      <c r="S72" s="36">
        <v>97</v>
      </c>
      <c r="T72" s="36">
        <f>14</f>
        <v>14</v>
      </c>
      <c r="U72" s="36">
        <v>1</v>
      </c>
      <c r="V72" s="36">
        <v>4</v>
      </c>
      <c r="W72" s="36"/>
      <c r="X72" s="36"/>
      <c r="Y72" s="36"/>
      <c r="Z72" s="36"/>
      <c r="AA72" s="36">
        <v>12</v>
      </c>
      <c r="AB72" s="36"/>
      <c r="AC72" s="36"/>
      <c r="AD72" s="36" t="s">
        <v>656</v>
      </c>
      <c r="AE72" s="161">
        <v>8</v>
      </c>
      <c r="AF72" s="36">
        <v>24</v>
      </c>
      <c r="AG72" s="36"/>
      <c r="AH72" s="50" t="s">
        <v>656</v>
      </c>
      <c r="AI72" s="36">
        <v>2</v>
      </c>
      <c r="AJ72" s="36"/>
      <c r="AK72" s="663"/>
      <c r="AL72" s="36">
        <v>0</v>
      </c>
      <c r="AM72" s="36">
        <v>0</v>
      </c>
      <c r="AN72" s="29">
        <v>0</v>
      </c>
      <c r="AO72" s="36">
        <v>0</v>
      </c>
      <c r="AP72" s="663"/>
      <c r="AQ72" s="50">
        <v>40</v>
      </c>
      <c r="AR72" s="663"/>
      <c r="AS72" s="36"/>
      <c r="AT72" s="36"/>
      <c r="AU72" s="36"/>
      <c r="AV72" s="50">
        <v>2</v>
      </c>
      <c r="AW72" s="61">
        <v>46</v>
      </c>
      <c r="AX72" s="663"/>
      <c r="AY72" s="663"/>
      <c r="AZ72" s="36">
        <v>2</v>
      </c>
      <c r="BA72" s="36">
        <v>5</v>
      </c>
      <c r="BB72" s="36" t="s">
        <v>656</v>
      </c>
      <c r="BC72" s="36">
        <v>21</v>
      </c>
      <c r="BD72" s="36"/>
      <c r="BE72" s="36">
        <v>7</v>
      </c>
      <c r="BF72" s="36">
        <v>17</v>
      </c>
      <c r="BG72" s="36" t="s">
        <v>656</v>
      </c>
      <c r="BH72" s="36">
        <v>0</v>
      </c>
      <c r="BI72" s="36">
        <v>2</v>
      </c>
      <c r="BJ72" s="36">
        <v>0</v>
      </c>
      <c r="BK72" s="36">
        <v>12</v>
      </c>
      <c r="BL72" s="36"/>
      <c r="BM72" s="36" t="s">
        <v>656</v>
      </c>
      <c r="BN72" s="36"/>
      <c r="BO72" s="733"/>
      <c r="BP72" s="36">
        <v>50</v>
      </c>
      <c r="BQ72" s="36">
        <v>12</v>
      </c>
      <c r="BR72" s="36">
        <v>3</v>
      </c>
      <c r="BS72" s="36">
        <v>2</v>
      </c>
      <c r="BT72" s="55" t="s">
        <v>656</v>
      </c>
      <c r="BU72" s="36"/>
      <c r="BV72" s="36">
        <v>2</v>
      </c>
      <c r="BW72" s="36">
        <v>5</v>
      </c>
      <c r="BX72" s="36">
        <v>0</v>
      </c>
      <c r="BY72" s="663"/>
      <c r="BZ72" s="663"/>
      <c r="CA72" s="36">
        <v>2</v>
      </c>
      <c r="CB72" s="50">
        <v>0</v>
      </c>
      <c r="CC72" s="36">
        <v>2</v>
      </c>
      <c r="CD72" s="36"/>
      <c r="CE72" s="36">
        <v>0</v>
      </c>
      <c r="CF72" s="36">
        <v>0</v>
      </c>
      <c r="CG72" s="161">
        <v>0</v>
      </c>
      <c r="CH72" s="36">
        <v>0</v>
      </c>
      <c r="CI72" s="36">
        <v>0</v>
      </c>
      <c r="CJ72" s="36">
        <v>6</v>
      </c>
      <c r="CK72" s="36">
        <v>14</v>
      </c>
      <c r="CL72" s="36">
        <v>0</v>
      </c>
      <c r="CM72" s="115">
        <v>68</v>
      </c>
      <c r="CN72" s="36">
        <v>2</v>
      </c>
      <c r="CO72" s="36">
        <v>0</v>
      </c>
      <c r="CP72" s="36">
        <v>0</v>
      </c>
      <c r="CQ72" s="36">
        <v>0</v>
      </c>
      <c r="CR72" s="132">
        <v>59</v>
      </c>
      <c r="CS72" s="36"/>
      <c r="CT72" s="36"/>
      <c r="CU72" s="36"/>
      <c r="CV72" s="663"/>
      <c r="CW72" s="36">
        <v>9</v>
      </c>
      <c r="CX72" s="734" t="s">
        <v>656</v>
      </c>
      <c r="CY72" s="36" t="s">
        <v>1447</v>
      </c>
      <c r="CZ72" s="36">
        <v>8</v>
      </c>
      <c r="DA72" s="36">
        <v>9</v>
      </c>
      <c r="DB72" s="36">
        <v>41</v>
      </c>
      <c r="DC72" s="36"/>
      <c r="DD72" s="36"/>
      <c r="DE72" s="36">
        <v>20</v>
      </c>
      <c r="DF72" s="36"/>
      <c r="DG72" s="132"/>
      <c r="DH72" s="36"/>
      <c r="DI72" s="132">
        <v>0</v>
      </c>
      <c r="DJ72" s="736">
        <v>10</v>
      </c>
      <c r="DK72" s="737"/>
      <c r="DL72" s="132"/>
      <c r="DM72" s="132">
        <v>4</v>
      </c>
      <c r="DN72" s="36"/>
      <c r="DO72" s="36"/>
      <c r="DP72" s="36" t="s">
        <v>2520</v>
      </c>
      <c r="DQ72" s="29" t="s">
        <v>656</v>
      </c>
      <c r="DR72" s="36" t="s">
        <v>656</v>
      </c>
      <c r="DS72" s="36" t="s">
        <v>656</v>
      </c>
      <c r="DT72" s="36"/>
      <c r="DU72" s="36"/>
      <c r="DV72" s="36">
        <v>7</v>
      </c>
      <c r="DW72" s="36">
        <v>32</v>
      </c>
      <c r="DX72" s="36"/>
      <c r="DY72" s="36"/>
      <c r="DZ72" s="36"/>
      <c r="EA72" s="36">
        <v>3</v>
      </c>
      <c r="EB72" s="36">
        <v>504</v>
      </c>
      <c r="EC72" s="36">
        <v>14</v>
      </c>
      <c r="ED72" s="36">
        <v>0</v>
      </c>
      <c r="EE72" s="36">
        <v>17</v>
      </c>
      <c r="EF72" s="36" t="s">
        <v>470</v>
      </c>
      <c r="EG72" s="663"/>
      <c r="EH72" s="733" t="s">
        <v>656</v>
      </c>
      <c r="EI72" s="733">
        <v>1</v>
      </c>
      <c r="EJ72" s="733" t="s">
        <v>656</v>
      </c>
      <c r="EK72" s="36">
        <v>12</v>
      </c>
      <c r="EL72" s="36"/>
      <c r="EM72" s="733"/>
      <c r="EN72" s="50">
        <v>21</v>
      </c>
      <c r="EO72" s="36">
        <v>7</v>
      </c>
      <c r="EP72" s="36"/>
      <c r="EQ72" s="36">
        <v>30</v>
      </c>
      <c r="ER72" s="36"/>
      <c r="ES72" s="663"/>
      <c r="ET72" s="36">
        <v>0</v>
      </c>
      <c r="EU72" s="36">
        <v>1</v>
      </c>
      <c r="EV72" s="161">
        <v>7</v>
      </c>
      <c r="EW72" s="36"/>
      <c r="EX72" s="36">
        <f>41+1</f>
        <v>42</v>
      </c>
      <c r="EY72" s="36">
        <v>1</v>
      </c>
      <c r="EZ72" s="663"/>
      <c r="FA72" s="36">
        <v>0</v>
      </c>
    </row>
    <row r="73" spans="1:157" ht="68" x14ac:dyDescent="0.2">
      <c r="A73" s="1205"/>
      <c r="B73" s="1207"/>
      <c r="C73" s="167" t="s">
        <v>150</v>
      </c>
      <c r="D73" s="168" t="s">
        <v>151</v>
      </c>
      <c r="E73" s="188" t="s">
        <v>117</v>
      </c>
      <c r="F73" s="36">
        <v>0</v>
      </c>
      <c r="G73" s="36" t="s">
        <v>656</v>
      </c>
      <c r="H73" s="161"/>
      <c r="I73" s="36" t="s">
        <v>656</v>
      </c>
      <c r="J73" s="36" t="s">
        <v>656</v>
      </c>
      <c r="K73" s="36" t="s">
        <v>656</v>
      </c>
      <c r="L73" s="36"/>
      <c r="M73" s="36">
        <v>0</v>
      </c>
      <c r="N73" s="36">
        <v>3</v>
      </c>
      <c r="O73" s="36">
        <v>20</v>
      </c>
      <c r="P73" s="34" t="s">
        <v>656</v>
      </c>
      <c r="Q73" s="36">
        <v>0</v>
      </c>
      <c r="R73" s="29" t="s">
        <v>656</v>
      </c>
      <c r="S73" s="36">
        <v>1</v>
      </c>
      <c r="T73" s="36">
        <f>2</f>
        <v>2</v>
      </c>
      <c r="U73" s="36">
        <v>0</v>
      </c>
      <c r="V73" s="36">
        <v>0</v>
      </c>
      <c r="W73" s="36"/>
      <c r="X73" s="36"/>
      <c r="Y73" s="36"/>
      <c r="Z73" s="36">
        <v>14</v>
      </c>
      <c r="AA73" s="36">
        <v>6</v>
      </c>
      <c r="AB73" s="36"/>
      <c r="AC73" s="36"/>
      <c r="AD73" s="36">
        <v>154</v>
      </c>
      <c r="AE73" s="161">
        <v>0</v>
      </c>
      <c r="AF73" s="36">
        <v>5</v>
      </c>
      <c r="AG73" s="36"/>
      <c r="AH73" s="50" t="s">
        <v>656</v>
      </c>
      <c r="AI73" s="36"/>
      <c r="AJ73" s="36"/>
      <c r="AK73" s="663"/>
      <c r="AL73" s="36">
        <v>0</v>
      </c>
      <c r="AM73" s="36">
        <v>0</v>
      </c>
      <c r="AN73" s="36">
        <v>0</v>
      </c>
      <c r="AO73" s="36">
        <v>0</v>
      </c>
      <c r="AP73" s="663"/>
      <c r="AQ73" s="50"/>
      <c r="AR73" s="663"/>
      <c r="AS73" s="36">
        <v>5</v>
      </c>
      <c r="AT73" s="36"/>
      <c r="AU73" s="36">
        <v>29</v>
      </c>
      <c r="AV73" s="36"/>
      <c r="AW73" s="61">
        <v>8</v>
      </c>
      <c r="AX73" s="663"/>
      <c r="AY73" s="663"/>
      <c r="AZ73" s="36" t="s">
        <v>656</v>
      </c>
      <c r="BA73" s="36" t="s">
        <v>656</v>
      </c>
      <c r="BB73" s="36" t="s">
        <v>656</v>
      </c>
      <c r="BC73" s="36">
        <v>0</v>
      </c>
      <c r="BD73" s="36"/>
      <c r="BE73" s="36"/>
      <c r="BF73" s="36">
        <v>12</v>
      </c>
      <c r="BG73" s="36">
        <v>2</v>
      </c>
      <c r="BH73" s="36">
        <v>0</v>
      </c>
      <c r="BI73" s="36"/>
      <c r="BJ73" s="36">
        <v>0</v>
      </c>
      <c r="BK73" s="36">
        <v>0</v>
      </c>
      <c r="BL73" s="36"/>
      <c r="BM73" s="36" t="s">
        <v>656</v>
      </c>
      <c r="BN73" s="36"/>
      <c r="BO73" s="733"/>
      <c r="BP73" s="36">
        <v>0</v>
      </c>
      <c r="BQ73" s="36">
        <v>0</v>
      </c>
      <c r="BR73" s="36">
        <v>13</v>
      </c>
      <c r="BS73" s="36">
        <v>4</v>
      </c>
      <c r="BT73" s="55" t="s">
        <v>656</v>
      </c>
      <c r="BU73" s="36"/>
      <c r="BV73" s="36">
        <v>1</v>
      </c>
      <c r="BW73" s="36">
        <v>3</v>
      </c>
      <c r="BX73" s="36">
        <v>36</v>
      </c>
      <c r="BY73" s="663"/>
      <c r="BZ73" s="663"/>
      <c r="CA73" s="36">
        <v>0</v>
      </c>
      <c r="CB73" s="50">
        <v>0</v>
      </c>
      <c r="CC73" s="36">
        <v>1</v>
      </c>
      <c r="CD73" s="36">
        <v>3</v>
      </c>
      <c r="CE73" s="36">
        <v>0</v>
      </c>
      <c r="CF73" s="36">
        <v>14</v>
      </c>
      <c r="CG73" s="161">
        <v>0</v>
      </c>
      <c r="CH73" s="36">
        <v>0</v>
      </c>
      <c r="CI73" s="36">
        <v>0</v>
      </c>
      <c r="CJ73" s="36">
        <v>1</v>
      </c>
      <c r="CK73" s="36">
        <v>16</v>
      </c>
      <c r="CL73" s="36">
        <v>0</v>
      </c>
      <c r="CM73" s="115">
        <v>2</v>
      </c>
      <c r="CN73" s="36">
        <v>0</v>
      </c>
      <c r="CO73" s="36">
        <v>0</v>
      </c>
      <c r="CP73" s="36">
        <v>0</v>
      </c>
      <c r="CQ73" s="36">
        <v>0</v>
      </c>
      <c r="CR73" s="132">
        <v>3</v>
      </c>
      <c r="CS73" s="36"/>
      <c r="CT73" s="36"/>
      <c r="CU73" s="36"/>
      <c r="CV73" s="663"/>
      <c r="CW73" s="36" t="s">
        <v>656</v>
      </c>
      <c r="CX73" s="734" t="s">
        <v>656</v>
      </c>
      <c r="CY73" s="36" t="s">
        <v>1447</v>
      </c>
      <c r="CZ73" s="36">
        <v>18</v>
      </c>
      <c r="DA73" s="36">
        <v>2</v>
      </c>
      <c r="DB73" s="61">
        <v>16</v>
      </c>
      <c r="DC73" s="36"/>
      <c r="DD73" s="36">
        <v>4</v>
      </c>
      <c r="DE73" s="36">
        <v>8</v>
      </c>
      <c r="DF73" s="36">
        <v>1</v>
      </c>
      <c r="DG73" s="132">
        <v>1</v>
      </c>
      <c r="DH73" s="36"/>
      <c r="DI73" s="132">
        <v>0</v>
      </c>
      <c r="DJ73" s="736"/>
      <c r="DK73" s="737">
        <v>1</v>
      </c>
      <c r="DL73" s="132"/>
      <c r="DM73" s="132">
        <v>11</v>
      </c>
      <c r="DN73" s="36"/>
      <c r="DO73" s="36"/>
      <c r="DP73" s="36" t="s">
        <v>2520</v>
      </c>
      <c r="DQ73" s="29" t="s">
        <v>656</v>
      </c>
      <c r="DR73" s="36" t="s">
        <v>656</v>
      </c>
      <c r="DS73" s="36" t="s">
        <v>656</v>
      </c>
      <c r="DT73" s="36"/>
      <c r="DU73" s="36"/>
      <c r="DV73" s="36"/>
      <c r="DW73" s="36">
        <v>12</v>
      </c>
      <c r="DX73" s="36"/>
      <c r="DY73" s="36"/>
      <c r="DZ73" s="36"/>
      <c r="EA73" s="36">
        <v>1</v>
      </c>
      <c r="EB73" s="36">
        <v>93</v>
      </c>
      <c r="EC73" s="36">
        <v>28</v>
      </c>
      <c r="ED73" s="36">
        <v>0</v>
      </c>
      <c r="EE73" s="36">
        <v>4</v>
      </c>
      <c r="EF73" s="36" t="s">
        <v>470</v>
      </c>
      <c r="EG73" s="663"/>
      <c r="EH73" s="733" t="s">
        <v>656</v>
      </c>
      <c r="EI73" s="733">
        <v>0</v>
      </c>
      <c r="EJ73" s="733" t="s">
        <v>656</v>
      </c>
      <c r="EK73" s="36">
        <v>0</v>
      </c>
      <c r="EL73" s="36"/>
      <c r="EM73" s="733">
        <v>5</v>
      </c>
      <c r="EN73" s="36"/>
      <c r="EO73" s="36"/>
      <c r="EP73" s="36">
        <v>2</v>
      </c>
      <c r="EQ73" s="36">
        <v>30</v>
      </c>
      <c r="ER73" s="36"/>
      <c r="ES73" s="663"/>
      <c r="ET73" s="36">
        <v>0</v>
      </c>
      <c r="EU73" s="36">
        <v>1</v>
      </c>
      <c r="EV73" s="161">
        <v>1</v>
      </c>
      <c r="EW73" s="36"/>
      <c r="EX73" s="36">
        <v>19</v>
      </c>
      <c r="EY73" s="36">
        <v>2</v>
      </c>
      <c r="EZ73" s="663"/>
      <c r="FA73" s="36">
        <v>0</v>
      </c>
    </row>
    <row r="74" spans="1:157" ht="51" x14ac:dyDescent="0.2">
      <c r="A74" s="1205"/>
      <c r="B74" s="1207"/>
      <c r="C74" s="167" t="s">
        <v>152</v>
      </c>
      <c r="D74" s="168" t="s">
        <v>153</v>
      </c>
      <c r="E74" s="188" t="s">
        <v>117</v>
      </c>
      <c r="F74" s="36">
        <v>0</v>
      </c>
      <c r="G74" s="36" t="s">
        <v>656</v>
      </c>
      <c r="H74" s="161"/>
      <c r="I74" s="36" t="s">
        <v>656</v>
      </c>
      <c r="J74" s="36" t="s">
        <v>656</v>
      </c>
      <c r="K74" s="36" t="s">
        <v>656</v>
      </c>
      <c r="L74" s="36"/>
      <c r="M74" s="36">
        <v>0</v>
      </c>
      <c r="N74" s="50" t="s">
        <v>656</v>
      </c>
      <c r="O74" s="36">
        <v>7</v>
      </c>
      <c r="P74" s="34" t="s">
        <v>656</v>
      </c>
      <c r="Q74" s="36">
        <v>0</v>
      </c>
      <c r="R74" s="29" t="s">
        <v>656</v>
      </c>
      <c r="S74" s="36" t="s">
        <v>656</v>
      </c>
      <c r="T74" s="36">
        <f>1</f>
        <v>1</v>
      </c>
      <c r="U74" s="36">
        <v>0</v>
      </c>
      <c r="V74" s="36">
        <v>0</v>
      </c>
      <c r="W74" s="36"/>
      <c r="X74" s="36"/>
      <c r="Y74" s="36"/>
      <c r="Z74" s="36"/>
      <c r="AA74" s="36"/>
      <c r="AB74" s="36"/>
      <c r="AC74" s="36"/>
      <c r="AD74" s="36" t="s">
        <v>656</v>
      </c>
      <c r="AE74" s="161">
        <v>0</v>
      </c>
      <c r="AF74" s="36"/>
      <c r="AG74" s="36"/>
      <c r="AH74" s="50" t="s">
        <v>656</v>
      </c>
      <c r="AI74" s="36"/>
      <c r="AJ74" s="36"/>
      <c r="AK74" s="663"/>
      <c r="AL74" s="36">
        <v>0</v>
      </c>
      <c r="AM74" s="36">
        <v>0</v>
      </c>
      <c r="AN74" s="29">
        <v>0</v>
      </c>
      <c r="AO74" s="36">
        <v>0</v>
      </c>
      <c r="AP74" s="663"/>
      <c r="AQ74" s="50"/>
      <c r="AR74" s="663"/>
      <c r="AS74" s="36"/>
      <c r="AT74" s="36"/>
      <c r="AU74" s="36"/>
      <c r="AV74" s="36"/>
      <c r="AW74" s="61"/>
      <c r="AX74" s="663"/>
      <c r="AY74" s="663"/>
      <c r="AZ74" s="36" t="s">
        <v>656</v>
      </c>
      <c r="BA74" s="36">
        <v>19</v>
      </c>
      <c r="BB74" s="36" t="s">
        <v>656</v>
      </c>
      <c r="BC74" s="36">
        <v>0</v>
      </c>
      <c r="BD74" s="36"/>
      <c r="BE74" s="36"/>
      <c r="BF74" s="36">
        <v>16</v>
      </c>
      <c r="BG74" s="36" t="s">
        <v>656</v>
      </c>
      <c r="BH74" s="36">
        <v>0</v>
      </c>
      <c r="BI74" s="36"/>
      <c r="BJ74" s="36">
        <v>0</v>
      </c>
      <c r="BK74" s="36">
        <v>0</v>
      </c>
      <c r="BL74" s="36"/>
      <c r="BM74" s="36" t="s">
        <v>656</v>
      </c>
      <c r="BN74" s="36"/>
      <c r="BO74" s="733"/>
      <c r="BP74" s="36">
        <v>0</v>
      </c>
      <c r="BQ74" s="36">
        <v>0</v>
      </c>
      <c r="BR74" s="36">
        <v>0</v>
      </c>
      <c r="BS74" s="36">
        <v>0</v>
      </c>
      <c r="BT74" s="55" t="s">
        <v>656</v>
      </c>
      <c r="BU74" s="36"/>
      <c r="BV74" s="36" t="s">
        <v>656</v>
      </c>
      <c r="BW74" s="36">
        <v>0</v>
      </c>
      <c r="BX74" s="36">
        <v>0</v>
      </c>
      <c r="BY74" s="663"/>
      <c r="BZ74" s="663"/>
      <c r="CA74" s="36">
        <v>14</v>
      </c>
      <c r="CB74" s="50">
        <v>0</v>
      </c>
      <c r="CC74" s="36">
        <v>0</v>
      </c>
      <c r="CD74" s="36"/>
      <c r="CE74" s="36">
        <v>0</v>
      </c>
      <c r="CF74" s="36">
        <v>0</v>
      </c>
      <c r="CG74" s="161">
        <v>0</v>
      </c>
      <c r="CH74" s="36">
        <v>0</v>
      </c>
      <c r="CI74" s="36">
        <v>0</v>
      </c>
      <c r="CJ74" s="36">
        <v>0</v>
      </c>
      <c r="CK74" s="36">
        <v>0</v>
      </c>
      <c r="CL74" s="36">
        <v>0</v>
      </c>
      <c r="CM74" s="115" t="s">
        <v>539</v>
      </c>
      <c r="CN74" s="36">
        <v>0</v>
      </c>
      <c r="CO74" s="36">
        <v>0</v>
      </c>
      <c r="CP74" s="36">
        <v>0</v>
      </c>
      <c r="CQ74" s="36">
        <v>0</v>
      </c>
      <c r="CR74" s="132"/>
      <c r="CS74" s="36"/>
      <c r="CT74" s="36"/>
      <c r="CU74" s="36"/>
      <c r="CV74" s="663"/>
      <c r="CW74" s="36" t="s">
        <v>656</v>
      </c>
      <c r="CX74" s="734" t="s">
        <v>656</v>
      </c>
      <c r="CY74" s="36" t="s">
        <v>1447</v>
      </c>
      <c r="CZ74" s="36" t="s">
        <v>1447</v>
      </c>
      <c r="DA74" s="36">
        <v>1</v>
      </c>
      <c r="DB74" s="36">
        <v>0</v>
      </c>
      <c r="DC74" s="36"/>
      <c r="DD74" s="36" t="s">
        <v>656</v>
      </c>
      <c r="DE74" s="36">
        <v>0</v>
      </c>
      <c r="DF74" s="36"/>
      <c r="DG74" s="132"/>
      <c r="DH74" s="36"/>
      <c r="DI74" s="132">
        <v>0</v>
      </c>
      <c r="DJ74" s="736"/>
      <c r="DK74" s="737"/>
      <c r="DL74" s="132"/>
      <c r="DM74" s="132"/>
      <c r="DN74" s="36"/>
      <c r="DO74" s="36"/>
      <c r="DP74" s="36" t="s">
        <v>2520</v>
      </c>
      <c r="DQ74" s="29" t="s">
        <v>656</v>
      </c>
      <c r="DR74" s="36" t="s">
        <v>656</v>
      </c>
      <c r="DS74" s="36" t="s">
        <v>656</v>
      </c>
      <c r="DT74" s="36"/>
      <c r="DU74" s="36"/>
      <c r="DV74" s="36"/>
      <c r="DW74" s="36">
        <v>0</v>
      </c>
      <c r="DX74" s="36"/>
      <c r="DY74" s="36"/>
      <c r="DZ74" s="36"/>
      <c r="EA74" s="36">
        <v>0</v>
      </c>
      <c r="EB74" s="36"/>
      <c r="EC74" s="36">
        <v>0</v>
      </c>
      <c r="ED74" s="36">
        <v>0</v>
      </c>
      <c r="EE74" s="36">
        <v>0</v>
      </c>
      <c r="EF74" s="36" t="s">
        <v>470</v>
      </c>
      <c r="EG74" s="663"/>
      <c r="EH74" s="733" t="s">
        <v>656</v>
      </c>
      <c r="EI74" s="733">
        <v>0</v>
      </c>
      <c r="EJ74" s="733" t="s">
        <v>656</v>
      </c>
      <c r="EK74" s="36">
        <v>0</v>
      </c>
      <c r="EL74" s="36"/>
      <c r="EM74" s="733"/>
      <c r="EN74" s="36"/>
      <c r="EO74" s="36"/>
      <c r="EP74" s="36"/>
      <c r="EQ74" s="36">
        <v>14</v>
      </c>
      <c r="ER74" s="36"/>
      <c r="ES74" s="663"/>
      <c r="ET74" s="36">
        <v>0</v>
      </c>
      <c r="EU74" s="36">
        <v>0</v>
      </c>
      <c r="EV74" s="161">
        <v>1</v>
      </c>
      <c r="EW74" s="36"/>
      <c r="EX74" s="36"/>
      <c r="EY74" s="36">
        <v>6</v>
      </c>
      <c r="EZ74" s="663"/>
      <c r="FA74" s="36">
        <v>0</v>
      </c>
    </row>
    <row r="75" spans="1:157" ht="68" x14ac:dyDescent="0.2">
      <c r="A75" s="1205"/>
      <c r="B75" s="1207"/>
      <c r="C75" s="167" t="s">
        <v>154</v>
      </c>
      <c r="D75" s="168" t="s">
        <v>155</v>
      </c>
      <c r="E75" s="188" t="s">
        <v>117</v>
      </c>
      <c r="F75" s="36">
        <v>0</v>
      </c>
      <c r="G75" s="36" t="s">
        <v>656</v>
      </c>
      <c r="H75" s="161"/>
      <c r="I75" s="36" t="s">
        <v>656</v>
      </c>
      <c r="J75" s="36" t="s">
        <v>656</v>
      </c>
      <c r="K75" s="36" t="s">
        <v>656</v>
      </c>
      <c r="L75" s="36"/>
      <c r="M75" s="36">
        <v>1</v>
      </c>
      <c r="N75" s="50" t="s">
        <v>656</v>
      </c>
      <c r="O75" s="36">
        <v>0</v>
      </c>
      <c r="P75" s="34" t="s">
        <v>656</v>
      </c>
      <c r="Q75" s="36">
        <v>0</v>
      </c>
      <c r="R75" s="29" t="s">
        <v>656</v>
      </c>
      <c r="S75" s="36" t="s">
        <v>656</v>
      </c>
      <c r="T75" s="36">
        <f>4</f>
        <v>4</v>
      </c>
      <c r="U75" s="36">
        <v>0</v>
      </c>
      <c r="V75" s="36">
        <v>0</v>
      </c>
      <c r="W75" s="36"/>
      <c r="X75" s="36"/>
      <c r="Y75" s="36"/>
      <c r="Z75" s="36"/>
      <c r="AA75" s="36"/>
      <c r="AB75" s="36"/>
      <c r="AC75" s="36"/>
      <c r="AD75" s="36">
        <v>51</v>
      </c>
      <c r="AE75" s="161">
        <v>0</v>
      </c>
      <c r="AF75" s="36"/>
      <c r="AG75" s="36"/>
      <c r="AH75" s="50" t="s">
        <v>656</v>
      </c>
      <c r="AI75" s="36"/>
      <c r="AJ75" s="36"/>
      <c r="AK75" s="663"/>
      <c r="AL75" s="36">
        <v>0</v>
      </c>
      <c r="AM75" s="36">
        <v>0</v>
      </c>
      <c r="AN75" s="29">
        <v>0</v>
      </c>
      <c r="AO75" s="36">
        <v>0</v>
      </c>
      <c r="AP75" s="663"/>
      <c r="AQ75" s="50"/>
      <c r="AR75" s="663"/>
      <c r="AS75" s="36"/>
      <c r="AT75" s="36"/>
      <c r="AU75" s="36"/>
      <c r="AV75" s="36"/>
      <c r="AW75" s="61"/>
      <c r="AX75" s="663"/>
      <c r="AY75" s="663"/>
      <c r="AZ75" s="36" t="s">
        <v>656</v>
      </c>
      <c r="BA75" s="36">
        <v>27</v>
      </c>
      <c r="BB75" s="36" t="s">
        <v>656</v>
      </c>
      <c r="BC75" s="36">
        <v>0</v>
      </c>
      <c r="BD75" s="36"/>
      <c r="BE75" s="36"/>
      <c r="BF75" s="36"/>
      <c r="BG75" s="36" t="s">
        <v>656</v>
      </c>
      <c r="BH75" s="36">
        <v>0</v>
      </c>
      <c r="BI75" s="36"/>
      <c r="BJ75" s="36">
        <v>0</v>
      </c>
      <c r="BK75" s="36">
        <v>0</v>
      </c>
      <c r="BL75" s="36"/>
      <c r="BM75" s="36" t="s">
        <v>656</v>
      </c>
      <c r="BN75" s="36"/>
      <c r="BO75" s="733"/>
      <c r="BP75" s="36">
        <v>0</v>
      </c>
      <c r="BQ75" s="36">
        <v>0</v>
      </c>
      <c r="BR75" s="36">
        <v>0</v>
      </c>
      <c r="BS75" s="36">
        <v>0</v>
      </c>
      <c r="BT75" s="55" t="s">
        <v>656</v>
      </c>
      <c r="BU75" s="36"/>
      <c r="BV75" s="36" t="s">
        <v>656</v>
      </c>
      <c r="BW75" s="36">
        <v>0</v>
      </c>
      <c r="BX75" s="36">
        <v>0</v>
      </c>
      <c r="BY75" s="663"/>
      <c r="BZ75" s="663"/>
      <c r="CA75" s="36">
        <v>0</v>
      </c>
      <c r="CB75" s="50">
        <v>0</v>
      </c>
      <c r="CC75" s="36">
        <v>0</v>
      </c>
      <c r="CD75" s="36">
        <v>4</v>
      </c>
      <c r="CE75" s="36">
        <v>0</v>
      </c>
      <c r="CF75" s="36">
        <v>0</v>
      </c>
      <c r="CG75" s="161">
        <v>0</v>
      </c>
      <c r="CH75" s="36">
        <v>0</v>
      </c>
      <c r="CI75" s="36">
        <v>0</v>
      </c>
      <c r="CJ75" s="36">
        <v>0</v>
      </c>
      <c r="CK75" s="36">
        <v>0</v>
      </c>
      <c r="CL75" s="36">
        <v>0</v>
      </c>
      <c r="CM75" s="115" t="s">
        <v>539</v>
      </c>
      <c r="CN75" s="36">
        <v>0</v>
      </c>
      <c r="CO75" s="36">
        <v>0</v>
      </c>
      <c r="CP75" s="36">
        <v>0</v>
      </c>
      <c r="CQ75" s="36">
        <v>0</v>
      </c>
      <c r="CR75" s="132"/>
      <c r="CS75" s="36"/>
      <c r="CT75" s="36"/>
      <c r="CU75" s="36">
        <v>1</v>
      </c>
      <c r="CV75" s="663"/>
      <c r="CW75" s="36" t="s">
        <v>656</v>
      </c>
      <c r="CX75" s="734" t="s">
        <v>656</v>
      </c>
      <c r="CY75" s="36" t="s">
        <v>1447</v>
      </c>
      <c r="CZ75" s="36" t="s">
        <v>1447</v>
      </c>
      <c r="DA75" s="29" t="s">
        <v>1482</v>
      </c>
      <c r="DB75" s="36">
        <v>0</v>
      </c>
      <c r="DC75" s="36"/>
      <c r="DD75" s="36" t="s">
        <v>656</v>
      </c>
      <c r="DE75" s="36">
        <v>0</v>
      </c>
      <c r="DF75" s="36">
        <v>2</v>
      </c>
      <c r="DG75" s="132">
        <v>2</v>
      </c>
      <c r="DH75" s="36"/>
      <c r="DI75" s="132">
        <v>0</v>
      </c>
      <c r="DJ75" s="736"/>
      <c r="DK75" s="737"/>
      <c r="DL75" s="132"/>
      <c r="DM75" s="132"/>
      <c r="DN75" s="36"/>
      <c r="DO75" s="36"/>
      <c r="DP75" s="36" t="s">
        <v>2520</v>
      </c>
      <c r="DQ75" s="29" t="s">
        <v>656</v>
      </c>
      <c r="DR75" s="36" t="s">
        <v>656</v>
      </c>
      <c r="DS75" s="36" t="s">
        <v>656</v>
      </c>
      <c r="DT75" s="36"/>
      <c r="DU75" s="36"/>
      <c r="DV75" s="36"/>
      <c r="DW75" s="36">
        <v>0</v>
      </c>
      <c r="DX75" s="36"/>
      <c r="DY75" s="36"/>
      <c r="DZ75" s="36"/>
      <c r="EA75" s="36">
        <v>0</v>
      </c>
      <c r="EB75" s="36"/>
      <c r="EC75" s="36">
        <v>0</v>
      </c>
      <c r="ED75" s="36">
        <v>0</v>
      </c>
      <c r="EE75" s="36">
        <v>1</v>
      </c>
      <c r="EF75" s="36">
        <v>32</v>
      </c>
      <c r="EG75" s="663"/>
      <c r="EH75" s="733" t="s">
        <v>656</v>
      </c>
      <c r="EI75" s="733">
        <v>0</v>
      </c>
      <c r="EJ75" s="733">
        <v>1</v>
      </c>
      <c r="EK75" s="36">
        <v>0</v>
      </c>
      <c r="EL75" s="36"/>
      <c r="EM75" s="733">
        <v>9</v>
      </c>
      <c r="EN75" s="36"/>
      <c r="EO75" s="36"/>
      <c r="EP75" s="36"/>
      <c r="EQ75" s="36">
        <v>0</v>
      </c>
      <c r="ER75" s="36"/>
      <c r="ES75" s="663"/>
      <c r="ET75" s="36">
        <v>0</v>
      </c>
      <c r="EU75" s="36">
        <v>0</v>
      </c>
      <c r="EV75" s="161">
        <v>9</v>
      </c>
      <c r="EW75" s="36"/>
      <c r="EX75" s="36"/>
      <c r="EY75" s="36"/>
      <c r="EZ75" s="663"/>
      <c r="FA75" s="36">
        <v>0</v>
      </c>
    </row>
    <row r="76" spans="1:157" ht="68" x14ac:dyDescent="0.2">
      <c r="A76" s="1205"/>
      <c r="B76" s="1207"/>
      <c r="C76" s="167" t="s">
        <v>156</v>
      </c>
      <c r="D76" s="168" t="s">
        <v>157</v>
      </c>
      <c r="E76" s="188" t="s">
        <v>117</v>
      </c>
      <c r="F76" s="36">
        <v>0</v>
      </c>
      <c r="G76" s="36" t="s">
        <v>656</v>
      </c>
      <c r="H76" s="161"/>
      <c r="I76" s="36" t="s">
        <v>656</v>
      </c>
      <c r="J76" s="36" t="s">
        <v>656</v>
      </c>
      <c r="K76" s="36" t="s">
        <v>656</v>
      </c>
      <c r="L76" s="36"/>
      <c r="M76" s="36">
        <v>1</v>
      </c>
      <c r="N76" s="50" t="s">
        <v>656</v>
      </c>
      <c r="O76" s="36">
        <v>0</v>
      </c>
      <c r="P76" s="37" t="s">
        <v>656</v>
      </c>
      <c r="Q76" s="36">
        <v>0</v>
      </c>
      <c r="R76" s="29" t="s">
        <v>656</v>
      </c>
      <c r="S76" s="36" t="s">
        <v>656</v>
      </c>
      <c r="T76" s="36">
        <v>0</v>
      </c>
      <c r="U76" s="36">
        <v>0</v>
      </c>
      <c r="V76" s="36">
        <v>1</v>
      </c>
      <c r="W76" s="36"/>
      <c r="X76" s="36"/>
      <c r="Y76" s="36"/>
      <c r="Z76" s="36"/>
      <c r="AA76" s="36">
        <v>14</v>
      </c>
      <c r="AB76" s="36"/>
      <c r="AC76" s="36"/>
      <c r="AD76" s="36" t="s">
        <v>656</v>
      </c>
      <c r="AE76" s="161">
        <v>0</v>
      </c>
      <c r="AF76" s="36"/>
      <c r="AG76" s="36"/>
      <c r="AH76" s="50" t="s">
        <v>656</v>
      </c>
      <c r="AI76" s="36"/>
      <c r="AJ76" s="36"/>
      <c r="AK76" s="663"/>
      <c r="AL76" s="36">
        <v>0</v>
      </c>
      <c r="AM76" s="36">
        <v>0</v>
      </c>
      <c r="AN76" s="29">
        <v>0</v>
      </c>
      <c r="AO76" s="36">
        <v>0</v>
      </c>
      <c r="AP76" s="663"/>
      <c r="AQ76" s="50"/>
      <c r="AR76" s="663"/>
      <c r="AS76" s="36"/>
      <c r="AT76" s="36"/>
      <c r="AU76" s="36">
        <v>2</v>
      </c>
      <c r="AV76" s="36"/>
      <c r="AW76" s="61"/>
      <c r="AX76" s="663"/>
      <c r="AY76" s="663"/>
      <c r="AZ76" s="36" t="s">
        <v>656</v>
      </c>
      <c r="BA76" s="36" t="s">
        <v>656</v>
      </c>
      <c r="BB76" s="36" t="s">
        <v>656</v>
      </c>
      <c r="BC76" s="36">
        <v>0</v>
      </c>
      <c r="BD76" s="36"/>
      <c r="BE76" s="36"/>
      <c r="BF76" s="36"/>
      <c r="BG76" s="36" t="s">
        <v>656</v>
      </c>
      <c r="BH76" s="36">
        <v>0</v>
      </c>
      <c r="BI76" s="36"/>
      <c r="BJ76" s="36">
        <v>0</v>
      </c>
      <c r="BK76" s="36">
        <v>0</v>
      </c>
      <c r="BL76" s="36"/>
      <c r="BM76" s="36" t="s">
        <v>656</v>
      </c>
      <c r="BN76" s="36"/>
      <c r="BO76" s="733"/>
      <c r="BP76" s="36">
        <v>0</v>
      </c>
      <c r="BQ76" s="36">
        <v>0</v>
      </c>
      <c r="BR76" s="36">
        <v>2</v>
      </c>
      <c r="BS76" s="36">
        <v>0</v>
      </c>
      <c r="BT76" s="55" t="s">
        <v>656</v>
      </c>
      <c r="BU76" s="36"/>
      <c r="BV76" s="36"/>
      <c r="BW76" s="36">
        <v>0</v>
      </c>
      <c r="BX76" s="36">
        <v>0</v>
      </c>
      <c r="BY76" s="663"/>
      <c r="BZ76" s="663"/>
      <c r="CA76" s="36">
        <v>3</v>
      </c>
      <c r="CB76" s="50">
        <v>0</v>
      </c>
      <c r="CC76" s="36">
        <v>0</v>
      </c>
      <c r="CD76" s="36"/>
      <c r="CE76" s="36">
        <v>0</v>
      </c>
      <c r="CF76" s="36">
        <v>0</v>
      </c>
      <c r="CG76" s="161">
        <v>0</v>
      </c>
      <c r="CH76" s="36">
        <v>0</v>
      </c>
      <c r="CI76" s="36">
        <v>0</v>
      </c>
      <c r="CJ76" s="36">
        <v>0</v>
      </c>
      <c r="CK76" s="36">
        <v>0</v>
      </c>
      <c r="CL76" s="36">
        <v>0</v>
      </c>
      <c r="CM76" s="115" t="s">
        <v>539</v>
      </c>
      <c r="CN76" s="36">
        <v>0</v>
      </c>
      <c r="CO76" s="36">
        <v>0</v>
      </c>
      <c r="CP76" s="36">
        <v>0</v>
      </c>
      <c r="CQ76" s="36">
        <v>0</v>
      </c>
      <c r="CR76" s="132"/>
      <c r="CS76" s="36"/>
      <c r="CT76" s="36"/>
      <c r="CU76" s="36"/>
      <c r="CV76" s="663"/>
      <c r="CW76" s="36" t="s">
        <v>656</v>
      </c>
      <c r="CX76" s="734" t="s">
        <v>656</v>
      </c>
      <c r="CY76" s="36" t="s">
        <v>1447</v>
      </c>
      <c r="CZ76" s="36" t="s">
        <v>1447</v>
      </c>
      <c r="DA76" s="29" t="s">
        <v>1482</v>
      </c>
      <c r="DB76" s="36">
        <v>0</v>
      </c>
      <c r="DC76" s="36"/>
      <c r="DD76" s="36" t="s">
        <v>656</v>
      </c>
      <c r="DE76" s="36">
        <v>0</v>
      </c>
      <c r="DF76" s="36"/>
      <c r="DG76" s="132"/>
      <c r="DH76" s="36"/>
      <c r="DI76" s="132">
        <v>0</v>
      </c>
      <c r="DJ76" s="736"/>
      <c r="DK76" s="737"/>
      <c r="DL76" s="132"/>
      <c r="DM76" s="132"/>
      <c r="DN76" s="36"/>
      <c r="DO76" s="36"/>
      <c r="DP76" s="36" t="s">
        <v>2520</v>
      </c>
      <c r="DQ76" s="29" t="s">
        <v>656</v>
      </c>
      <c r="DR76" s="36" t="s">
        <v>656</v>
      </c>
      <c r="DS76" s="36" t="s">
        <v>656</v>
      </c>
      <c r="DT76" s="36"/>
      <c r="DU76" s="36"/>
      <c r="DV76" s="36"/>
      <c r="DW76" s="36">
        <v>1</v>
      </c>
      <c r="DX76" s="36"/>
      <c r="DY76" s="36"/>
      <c r="DZ76" s="36"/>
      <c r="EA76" s="36">
        <v>0</v>
      </c>
      <c r="EB76" s="36"/>
      <c r="EC76" s="36">
        <v>0</v>
      </c>
      <c r="ED76" s="36">
        <v>0</v>
      </c>
      <c r="EE76" s="36">
        <v>0</v>
      </c>
      <c r="EF76" s="36" t="s">
        <v>470</v>
      </c>
      <c r="EG76" s="663"/>
      <c r="EH76" s="733" t="s">
        <v>656</v>
      </c>
      <c r="EI76" s="733">
        <v>0</v>
      </c>
      <c r="EJ76" s="733" t="s">
        <v>656</v>
      </c>
      <c r="EK76" s="36">
        <v>0</v>
      </c>
      <c r="EL76" s="36"/>
      <c r="EM76" s="733"/>
      <c r="EN76" s="36"/>
      <c r="EO76" s="36"/>
      <c r="EP76" s="36"/>
      <c r="EQ76" s="36">
        <v>0</v>
      </c>
      <c r="ER76" s="36"/>
      <c r="ES76" s="663"/>
      <c r="ET76" s="36">
        <v>0</v>
      </c>
      <c r="EU76" s="36">
        <v>0</v>
      </c>
      <c r="EV76" s="161">
        <v>2</v>
      </c>
      <c r="EW76" s="36"/>
      <c r="EX76" s="36"/>
      <c r="EY76" s="36"/>
      <c r="EZ76" s="663"/>
      <c r="FA76" s="36">
        <v>0</v>
      </c>
    </row>
    <row r="77" spans="1:157" ht="153" x14ac:dyDescent="0.2">
      <c r="A77" s="1205"/>
      <c r="B77" s="1207"/>
      <c r="C77" s="167" t="s">
        <v>158</v>
      </c>
      <c r="D77" s="168" t="s">
        <v>159</v>
      </c>
      <c r="E77" s="188" t="s">
        <v>117</v>
      </c>
      <c r="F77" s="36">
        <v>0</v>
      </c>
      <c r="G77" s="36" t="s">
        <v>656</v>
      </c>
      <c r="H77" s="161"/>
      <c r="I77" s="36" t="s">
        <v>656</v>
      </c>
      <c r="J77" s="36" t="s">
        <v>656</v>
      </c>
      <c r="K77" s="36" t="s">
        <v>656</v>
      </c>
      <c r="L77" s="36"/>
      <c r="M77" s="36">
        <v>0</v>
      </c>
      <c r="N77" s="50" t="s">
        <v>656</v>
      </c>
      <c r="O77" s="36">
        <v>4</v>
      </c>
      <c r="P77" s="34" t="s">
        <v>656</v>
      </c>
      <c r="Q77" s="36">
        <v>0</v>
      </c>
      <c r="R77" s="29" t="s">
        <v>656</v>
      </c>
      <c r="S77" s="36" t="s">
        <v>656</v>
      </c>
      <c r="T77" s="36">
        <v>0</v>
      </c>
      <c r="U77" s="36">
        <v>0</v>
      </c>
      <c r="V77" s="36">
        <v>0</v>
      </c>
      <c r="W77" s="36"/>
      <c r="X77" s="36"/>
      <c r="Y77" s="36"/>
      <c r="Z77" s="36"/>
      <c r="AA77" s="36">
        <v>2</v>
      </c>
      <c r="AB77" s="36"/>
      <c r="AC77" s="36"/>
      <c r="AD77" s="36" t="s">
        <v>656</v>
      </c>
      <c r="AE77" s="161">
        <v>0</v>
      </c>
      <c r="AF77" s="36"/>
      <c r="AG77" s="36"/>
      <c r="AH77" s="50" t="s">
        <v>656</v>
      </c>
      <c r="AI77" s="36"/>
      <c r="AJ77" s="36"/>
      <c r="AK77" s="663"/>
      <c r="AL77" s="36">
        <v>0</v>
      </c>
      <c r="AM77" s="36">
        <v>0</v>
      </c>
      <c r="AN77" s="29">
        <v>0</v>
      </c>
      <c r="AO77" s="36">
        <v>0</v>
      </c>
      <c r="AP77" s="663"/>
      <c r="AQ77" s="50">
        <v>378</v>
      </c>
      <c r="AR77" s="663"/>
      <c r="AS77" s="36"/>
      <c r="AT77" s="36"/>
      <c r="AU77" s="36"/>
      <c r="AV77" s="36"/>
      <c r="AW77" s="61"/>
      <c r="AX77" s="663"/>
      <c r="AY77" s="663"/>
      <c r="AZ77" s="36">
        <v>3</v>
      </c>
      <c r="BA77" s="36" t="s">
        <v>656</v>
      </c>
      <c r="BB77" s="36">
        <v>2</v>
      </c>
      <c r="BC77" s="36">
        <v>0</v>
      </c>
      <c r="BD77" s="36"/>
      <c r="BE77" s="36"/>
      <c r="BF77" s="36">
        <v>30</v>
      </c>
      <c r="BG77" s="36" t="s">
        <v>656</v>
      </c>
      <c r="BH77" s="36">
        <v>0</v>
      </c>
      <c r="BI77" s="36"/>
      <c r="BJ77" s="36">
        <v>0</v>
      </c>
      <c r="BK77" s="36">
        <v>0</v>
      </c>
      <c r="BL77" s="36">
        <v>38</v>
      </c>
      <c r="BM77" s="36" t="s">
        <v>656</v>
      </c>
      <c r="BN77" s="36"/>
      <c r="BO77" s="733"/>
      <c r="BP77" s="36">
        <v>0</v>
      </c>
      <c r="BQ77" s="36">
        <v>0</v>
      </c>
      <c r="BR77" s="36">
        <v>0</v>
      </c>
      <c r="BS77" s="36">
        <v>0</v>
      </c>
      <c r="BT77" s="55" t="s">
        <v>656</v>
      </c>
      <c r="BU77" s="36"/>
      <c r="BV77" s="36" t="s">
        <v>656</v>
      </c>
      <c r="BW77" s="36">
        <v>0</v>
      </c>
      <c r="BX77" s="36">
        <v>0</v>
      </c>
      <c r="BY77" s="663"/>
      <c r="BZ77" s="663"/>
      <c r="CA77" s="36">
        <v>3</v>
      </c>
      <c r="CB77" s="50">
        <v>1</v>
      </c>
      <c r="CC77" s="36">
        <v>0</v>
      </c>
      <c r="CD77" s="36"/>
      <c r="CE77" s="36">
        <v>0</v>
      </c>
      <c r="CF77" s="36">
        <v>0</v>
      </c>
      <c r="CG77" s="161">
        <v>0</v>
      </c>
      <c r="CH77" s="36">
        <v>0</v>
      </c>
      <c r="CI77" s="36">
        <v>0</v>
      </c>
      <c r="CJ77" s="36">
        <v>0</v>
      </c>
      <c r="CK77" s="36">
        <v>0</v>
      </c>
      <c r="CL77" s="36">
        <v>0</v>
      </c>
      <c r="CM77" s="115">
        <v>15</v>
      </c>
      <c r="CN77" s="36">
        <v>0</v>
      </c>
      <c r="CO77" s="36">
        <v>0</v>
      </c>
      <c r="CP77" s="36">
        <v>0</v>
      </c>
      <c r="CQ77" s="36">
        <v>0</v>
      </c>
      <c r="CR77" s="132">
        <v>7</v>
      </c>
      <c r="CS77" s="36"/>
      <c r="CT77" s="36"/>
      <c r="CU77" s="36"/>
      <c r="CV77" s="663"/>
      <c r="CW77" s="36">
        <v>7</v>
      </c>
      <c r="CX77" s="734" t="s">
        <v>656</v>
      </c>
      <c r="CY77" s="36" t="s">
        <v>1447</v>
      </c>
      <c r="CZ77" s="36">
        <v>1</v>
      </c>
      <c r="DA77" s="36">
        <v>1</v>
      </c>
      <c r="DB77" s="36">
        <v>0</v>
      </c>
      <c r="DC77" s="36"/>
      <c r="DD77" s="36" t="s">
        <v>656</v>
      </c>
      <c r="DE77" s="36">
        <v>0</v>
      </c>
      <c r="DF77" s="36" t="s">
        <v>656</v>
      </c>
      <c r="DG77" s="132"/>
      <c r="DH77" s="36"/>
      <c r="DI77" s="132">
        <v>0</v>
      </c>
      <c r="DJ77" s="736"/>
      <c r="DK77" s="737"/>
      <c r="DL77" s="132"/>
      <c r="DM77" s="132"/>
      <c r="DN77" s="36"/>
      <c r="DO77" s="36"/>
      <c r="DP77" s="36" t="s">
        <v>2520</v>
      </c>
      <c r="DQ77" s="29" t="s">
        <v>656</v>
      </c>
      <c r="DR77" s="36" t="s">
        <v>656</v>
      </c>
      <c r="DS77" s="36" t="s">
        <v>656</v>
      </c>
      <c r="DT77" s="36"/>
      <c r="DU77" s="36"/>
      <c r="DV77" s="36"/>
      <c r="DW77" s="36">
        <v>4</v>
      </c>
      <c r="DX77" s="36"/>
      <c r="DY77" s="36"/>
      <c r="DZ77" s="36"/>
      <c r="EA77" s="36">
        <v>0</v>
      </c>
      <c r="EB77" s="36">
        <v>3</v>
      </c>
      <c r="EC77" s="36">
        <v>21</v>
      </c>
      <c r="ED77" s="36">
        <v>0</v>
      </c>
      <c r="EE77" s="36">
        <v>0</v>
      </c>
      <c r="EF77" s="36" t="s">
        <v>470</v>
      </c>
      <c r="EG77" s="663"/>
      <c r="EH77" s="733" t="s">
        <v>656</v>
      </c>
      <c r="EI77" s="733">
        <v>0</v>
      </c>
      <c r="EJ77" s="733" t="s">
        <v>656</v>
      </c>
      <c r="EK77" s="36">
        <v>0</v>
      </c>
      <c r="EL77" s="36"/>
      <c r="EM77" s="733"/>
      <c r="EN77" s="36"/>
      <c r="EO77" s="36"/>
      <c r="EP77" s="36"/>
      <c r="EQ77" s="36">
        <v>0</v>
      </c>
      <c r="ER77" s="36"/>
      <c r="ES77" s="663"/>
      <c r="ET77" s="36">
        <v>0</v>
      </c>
      <c r="EU77" s="36">
        <v>0</v>
      </c>
      <c r="EV77" s="161">
        <v>5</v>
      </c>
      <c r="EW77" s="36"/>
      <c r="EX77" s="36"/>
      <c r="EY77" s="36"/>
      <c r="EZ77" s="663"/>
      <c r="FA77" s="36">
        <v>16</v>
      </c>
    </row>
    <row r="78" spans="1:157" ht="102" x14ac:dyDescent="0.2">
      <c r="A78" s="1205"/>
      <c r="B78" s="1207"/>
      <c r="C78" s="167" t="s">
        <v>160</v>
      </c>
      <c r="D78" s="168" t="s">
        <v>161</v>
      </c>
      <c r="E78" s="188" t="s">
        <v>117</v>
      </c>
      <c r="F78" s="36">
        <v>0</v>
      </c>
      <c r="G78" s="36" t="s">
        <v>656</v>
      </c>
      <c r="H78" s="161"/>
      <c r="I78" s="36" t="s">
        <v>656</v>
      </c>
      <c r="J78" s="36" t="s">
        <v>656</v>
      </c>
      <c r="K78" s="36" t="s">
        <v>656</v>
      </c>
      <c r="L78" s="36"/>
      <c r="M78" s="36">
        <v>0</v>
      </c>
      <c r="N78" s="50" t="s">
        <v>656</v>
      </c>
      <c r="O78" s="36">
        <v>0</v>
      </c>
      <c r="P78" s="34" t="s">
        <v>656</v>
      </c>
      <c r="Q78" s="36">
        <v>0</v>
      </c>
      <c r="R78" s="29" t="s">
        <v>656</v>
      </c>
      <c r="S78" s="36" t="s">
        <v>656</v>
      </c>
      <c r="T78" s="36">
        <f>1</f>
        <v>1</v>
      </c>
      <c r="U78" s="36">
        <v>0</v>
      </c>
      <c r="V78" s="36">
        <v>0</v>
      </c>
      <c r="W78" s="36"/>
      <c r="X78" s="36"/>
      <c r="Y78" s="36"/>
      <c r="Z78" s="36"/>
      <c r="AA78" s="36"/>
      <c r="AB78" s="36"/>
      <c r="AC78" s="36"/>
      <c r="AD78" s="36" t="s">
        <v>656</v>
      </c>
      <c r="AE78" s="161">
        <v>0</v>
      </c>
      <c r="AF78" s="36"/>
      <c r="AG78" s="36"/>
      <c r="AH78" s="50" t="s">
        <v>656</v>
      </c>
      <c r="AI78" s="36"/>
      <c r="AJ78" s="36"/>
      <c r="AK78" s="663"/>
      <c r="AL78" s="36">
        <v>0</v>
      </c>
      <c r="AM78" s="36">
        <v>0</v>
      </c>
      <c r="AN78" s="29">
        <v>0</v>
      </c>
      <c r="AO78" s="36">
        <v>0</v>
      </c>
      <c r="AP78" s="663"/>
      <c r="AQ78" s="50"/>
      <c r="AR78" s="663"/>
      <c r="AS78" s="36"/>
      <c r="AT78" s="36"/>
      <c r="AU78" s="36"/>
      <c r="AV78" s="36"/>
      <c r="AW78" s="61"/>
      <c r="AX78" s="663"/>
      <c r="AY78" s="663"/>
      <c r="AZ78" s="36" t="s">
        <v>656</v>
      </c>
      <c r="BA78" s="36" t="s">
        <v>656</v>
      </c>
      <c r="BB78" s="36" t="s">
        <v>656</v>
      </c>
      <c r="BC78" s="36">
        <v>1</v>
      </c>
      <c r="BD78" s="36"/>
      <c r="BE78" s="36"/>
      <c r="BF78" s="36">
        <v>3</v>
      </c>
      <c r="BG78" s="36" t="s">
        <v>656</v>
      </c>
      <c r="BH78" s="36">
        <v>0</v>
      </c>
      <c r="BI78" s="36"/>
      <c r="BJ78" s="36">
        <v>0</v>
      </c>
      <c r="BK78" s="36">
        <v>0</v>
      </c>
      <c r="BL78" s="36"/>
      <c r="BM78" s="36" t="s">
        <v>656</v>
      </c>
      <c r="BN78" s="36"/>
      <c r="BO78" s="733"/>
      <c r="BP78" s="36">
        <v>0</v>
      </c>
      <c r="BQ78" s="36">
        <v>0</v>
      </c>
      <c r="BR78" s="36">
        <v>0</v>
      </c>
      <c r="BS78" s="36">
        <v>0</v>
      </c>
      <c r="BT78" s="55" t="s">
        <v>656</v>
      </c>
      <c r="BU78" s="36"/>
      <c r="BV78" s="36" t="s">
        <v>656</v>
      </c>
      <c r="BW78" s="36">
        <v>0</v>
      </c>
      <c r="BX78" s="36">
        <v>0</v>
      </c>
      <c r="BY78" s="663"/>
      <c r="BZ78" s="663"/>
      <c r="CA78" s="36">
        <v>3</v>
      </c>
      <c r="CB78" s="50">
        <v>0</v>
      </c>
      <c r="CC78" s="36">
        <v>0</v>
      </c>
      <c r="CD78" s="36"/>
      <c r="CE78" s="36">
        <v>0</v>
      </c>
      <c r="CF78" s="36">
        <v>0</v>
      </c>
      <c r="CG78" s="161">
        <v>0</v>
      </c>
      <c r="CH78" s="36">
        <v>0</v>
      </c>
      <c r="CI78" s="36">
        <v>0</v>
      </c>
      <c r="CJ78" s="36">
        <v>0</v>
      </c>
      <c r="CK78" s="36">
        <v>0</v>
      </c>
      <c r="CL78" s="36">
        <v>0</v>
      </c>
      <c r="CM78" s="115" t="s">
        <v>539</v>
      </c>
      <c r="CN78" s="36">
        <v>0</v>
      </c>
      <c r="CO78" s="36">
        <v>0</v>
      </c>
      <c r="CP78" s="36">
        <v>0</v>
      </c>
      <c r="CQ78" s="36">
        <v>0</v>
      </c>
      <c r="CR78" s="132"/>
      <c r="CS78" s="36"/>
      <c r="CT78" s="36"/>
      <c r="CU78" s="36"/>
      <c r="CV78" s="663"/>
      <c r="CW78" s="36" t="s">
        <v>656</v>
      </c>
      <c r="CX78" s="734" t="s">
        <v>656</v>
      </c>
      <c r="CY78" s="36" t="s">
        <v>1447</v>
      </c>
      <c r="CZ78" s="36" t="s">
        <v>1447</v>
      </c>
      <c r="DA78" s="36">
        <v>1</v>
      </c>
      <c r="DB78" s="36">
        <v>0</v>
      </c>
      <c r="DC78" s="36"/>
      <c r="DD78" s="36" t="s">
        <v>656</v>
      </c>
      <c r="DE78" s="36">
        <v>0</v>
      </c>
      <c r="DF78" s="36">
        <v>0</v>
      </c>
      <c r="DG78" s="132">
        <v>2</v>
      </c>
      <c r="DH78" s="36"/>
      <c r="DI78" s="132">
        <v>0</v>
      </c>
      <c r="DJ78" s="736"/>
      <c r="DK78" s="737"/>
      <c r="DL78" s="132">
        <v>120</v>
      </c>
      <c r="DM78" s="132"/>
      <c r="DN78" s="36"/>
      <c r="DO78" s="36"/>
      <c r="DP78" s="36" t="s">
        <v>2520</v>
      </c>
      <c r="DQ78" s="29" t="s">
        <v>656</v>
      </c>
      <c r="DR78" s="36" t="s">
        <v>656</v>
      </c>
      <c r="DS78" s="36" t="s">
        <v>656</v>
      </c>
      <c r="DT78" s="36"/>
      <c r="DU78" s="36"/>
      <c r="DV78" s="36"/>
      <c r="DW78" s="36">
        <v>0</v>
      </c>
      <c r="DX78" s="36"/>
      <c r="DY78" s="36"/>
      <c r="DZ78" s="36"/>
      <c r="EA78" s="36">
        <v>0</v>
      </c>
      <c r="EB78" s="36"/>
      <c r="EC78" s="36">
        <v>0</v>
      </c>
      <c r="ED78" s="36">
        <v>0</v>
      </c>
      <c r="EE78" s="36">
        <v>0</v>
      </c>
      <c r="EF78" s="36" t="s">
        <v>470</v>
      </c>
      <c r="EG78" s="663"/>
      <c r="EH78" s="733" t="s">
        <v>656</v>
      </c>
      <c r="EI78" s="733">
        <v>0</v>
      </c>
      <c r="EJ78" s="733" t="s">
        <v>656</v>
      </c>
      <c r="EK78" s="36">
        <v>0</v>
      </c>
      <c r="EL78" s="36"/>
      <c r="EM78" s="733"/>
      <c r="EN78" s="36"/>
      <c r="EO78" s="36"/>
      <c r="EP78" s="36"/>
      <c r="EQ78" s="36">
        <v>0</v>
      </c>
      <c r="ER78" s="36"/>
      <c r="ES78" s="663"/>
      <c r="ET78" s="36">
        <v>0</v>
      </c>
      <c r="EU78" s="36">
        <v>0</v>
      </c>
      <c r="EV78" s="161">
        <v>2</v>
      </c>
      <c r="EW78" s="36"/>
      <c r="EX78" s="36"/>
      <c r="EY78" s="36"/>
      <c r="EZ78" s="663"/>
      <c r="FA78" s="36">
        <v>1</v>
      </c>
    </row>
    <row r="79" spans="1:157" ht="68" x14ac:dyDescent="0.2">
      <c r="A79" s="1205"/>
      <c r="B79" s="1207"/>
      <c r="C79" s="167" t="s">
        <v>162</v>
      </c>
      <c r="D79" s="168" t="s">
        <v>163</v>
      </c>
      <c r="E79" s="188" t="s">
        <v>117</v>
      </c>
      <c r="F79" s="36">
        <v>0</v>
      </c>
      <c r="G79" s="36" t="s">
        <v>656</v>
      </c>
      <c r="H79" s="161"/>
      <c r="I79" s="36" t="s">
        <v>656</v>
      </c>
      <c r="J79" s="36" t="s">
        <v>656</v>
      </c>
      <c r="K79" s="36">
        <v>94</v>
      </c>
      <c r="L79" s="36"/>
      <c r="M79" s="36">
        <v>0</v>
      </c>
      <c r="N79" s="50" t="s">
        <v>656</v>
      </c>
      <c r="O79" s="36">
        <v>0</v>
      </c>
      <c r="P79" s="36">
        <v>5</v>
      </c>
      <c r="Q79" s="36">
        <v>0</v>
      </c>
      <c r="R79" s="36">
        <v>60</v>
      </c>
      <c r="S79" s="36" t="s">
        <v>656</v>
      </c>
      <c r="T79" s="36">
        <v>0</v>
      </c>
      <c r="U79" s="36">
        <v>0</v>
      </c>
      <c r="V79" s="36">
        <v>0</v>
      </c>
      <c r="W79" s="36"/>
      <c r="X79" s="36"/>
      <c r="Y79" s="36"/>
      <c r="Z79" s="36"/>
      <c r="AA79" s="36"/>
      <c r="AB79" s="36"/>
      <c r="AC79" s="36"/>
      <c r="AD79" s="36" t="s">
        <v>656</v>
      </c>
      <c r="AE79" s="161">
        <v>0</v>
      </c>
      <c r="AF79" s="36"/>
      <c r="AG79" s="36"/>
      <c r="AH79" s="50" t="s">
        <v>656</v>
      </c>
      <c r="AI79" s="36"/>
      <c r="AJ79" s="36"/>
      <c r="AK79" s="663"/>
      <c r="AL79" s="36">
        <v>0</v>
      </c>
      <c r="AM79" s="36">
        <v>0</v>
      </c>
      <c r="AN79" s="29">
        <v>0</v>
      </c>
      <c r="AO79" s="36">
        <v>0</v>
      </c>
      <c r="AP79" s="663"/>
      <c r="AQ79" s="50"/>
      <c r="AR79" s="663"/>
      <c r="AS79" s="36"/>
      <c r="AT79" s="36"/>
      <c r="AU79" s="36"/>
      <c r="AV79" s="36"/>
      <c r="AW79" s="61"/>
      <c r="AX79" s="663"/>
      <c r="AY79" s="663"/>
      <c r="AZ79" s="36" t="s">
        <v>656</v>
      </c>
      <c r="BA79" s="36" t="s">
        <v>656</v>
      </c>
      <c r="BB79" s="36" t="s">
        <v>656</v>
      </c>
      <c r="BC79" s="36">
        <v>0</v>
      </c>
      <c r="BD79" s="36"/>
      <c r="BE79" s="36"/>
      <c r="BF79" s="36">
        <v>74</v>
      </c>
      <c r="BG79" s="36" t="s">
        <v>656</v>
      </c>
      <c r="BH79" s="36">
        <v>0</v>
      </c>
      <c r="BI79" s="36">
        <v>1</v>
      </c>
      <c r="BJ79" s="36">
        <v>0</v>
      </c>
      <c r="BK79" s="36">
        <v>0</v>
      </c>
      <c r="BL79" s="36"/>
      <c r="BM79" s="36" t="s">
        <v>656</v>
      </c>
      <c r="BN79" s="104"/>
      <c r="BO79" s="733"/>
      <c r="BP79" s="36">
        <v>0</v>
      </c>
      <c r="BQ79" s="36">
        <v>0</v>
      </c>
      <c r="BR79" s="36">
        <v>0</v>
      </c>
      <c r="BS79" s="36">
        <v>0</v>
      </c>
      <c r="BT79" s="104">
        <f>SUM(BT58:BT78)</f>
        <v>17</v>
      </c>
      <c r="BU79" s="36"/>
      <c r="BV79" s="36" t="s">
        <v>656</v>
      </c>
      <c r="BW79" s="36">
        <v>0</v>
      </c>
      <c r="BX79" s="36">
        <v>0</v>
      </c>
      <c r="BY79" s="663"/>
      <c r="BZ79" s="663"/>
      <c r="CA79" s="36">
        <v>0</v>
      </c>
      <c r="CB79" s="50">
        <v>0</v>
      </c>
      <c r="CC79" s="36">
        <v>0</v>
      </c>
      <c r="CD79" s="36"/>
      <c r="CE79" s="36">
        <v>0</v>
      </c>
      <c r="CF79" s="36">
        <v>0</v>
      </c>
      <c r="CG79" s="161">
        <v>0</v>
      </c>
      <c r="CH79" s="36">
        <v>0</v>
      </c>
      <c r="CI79" s="36">
        <v>0</v>
      </c>
      <c r="CJ79" s="36">
        <v>0</v>
      </c>
      <c r="CK79" s="36">
        <v>0</v>
      </c>
      <c r="CL79" s="36">
        <v>0</v>
      </c>
      <c r="CM79" s="115" t="s">
        <v>539</v>
      </c>
      <c r="CN79" s="36">
        <v>0</v>
      </c>
      <c r="CO79" s="36">
        <v>0</v>
      </c>
      <c r="CP79" s="36">
        <v>0</v>
      </c>
      <c r="CQ79" s="36">
        <v>0</v>
      </c>
      <c r="CR79" s="132"/>
      <c r="CS79" s="36"/>
      <c r="CT79" s="36"/>
      <c r="CU79" s="36"/>
      <c r="CV79" s="663"/>
      <c r="CW79" s="36" t="s">
        <v>656</v>
      </c>
      <c r="CX79" s="734" t="s">
        <v>656</v>
      </c>
      <c r="CY79" s="36" t="s">
        <v>1447</v>
      </c>
      <c r="CZ79" s="36" t="s">
        <v>1447</v>
      </c>
      <c r="DA79" s="36">
        <v>4</v>
      </c>
      <c r="DB79" s="36">
        <v>0</v>
      </c>
      <c r="DC79" s="36"/>
      <c r="DD79" s="36" t="s">
        <v>656</v>
      </c>
      <c r="DE79" s="36">
        <v>0</v>
      </c>
      <c r="DF79" s="36" t="s">
        <v>656</v>
      </c>
      <c r="DG79" s="132"/>
      <c r="DH79" s="36">
        <v>6</v>
      </c>
      <c r="DI79" s="132">
        <v>20</v>
      </c>
      <c r="DJ79" s="736"/>
      <c r="DK79" s="737"/>
      <c r="DL79" s="132"/>
      <c r="DM79" s="132"/>
      <c r="DN79" s="36">
        <v>141</v>
      </c>
      <c r="DO79" s="36"/>
      <c r="DP79" s="36" t="s">
        <v>2520</v>
      </c>
      <c r="DQ79" s="29" t="s">
        <v>656</v>
      </c>
      <c r="DR79" s="36" t="s">
        <v>656</v>
      </c>
      <c r="DS79" s="36" t="s">
        <v>656</v>
      </c>
      <c r="DT79" s="36"/>
      <c r="DU79" s="36"/>
      <c r="DV79" s="36"/>
      <c r="DW79" s="36">
        <v>0</v>
      </c>
      <c r="DX79" s="36"/>
      <c r="DY79" s="104"/>
      <c r="DZ79" s="36"/>
      <c r="EA79" s="36">
        <v>0</v>
      </c>
      <c r="EB79" s="36"/>
      <c r="EC79" s="36">
        <v>0</v>
      </c>
      <c r="ED79" s="36" t="s">
        <v>3449</v>
      </c>
      <c r="EE79" s="36">
        <v>0</v>
      </c>
      <c r="EF79" s="36" t="s">
        <v>470</v>
      </c>
      <c r="EG79" s="663"/>
      <c r="EH79" s="733" t="s">
        <v>656</v>
      </c>
      <c r="EI79" s="733">
        <v>0</v>
      </c>
      <c r="EJ79" s="733" t="s">
        <v>656</v>
      </c>
      <c r="EK79" s="36" t="s">
        <v>2301</v>
      </c>
      <c r="EL79" s="36">
        <v>142</v>
      </c>
      <c r="EM79" s="733"/>
      <c r="EN79" s="36"/>
      <c r="EO79" s="36"/>
      <c r="EP79" s="36"/>
      <c r="EQ79" s="36">
        <v>0</v>
      </c>
      <c r="ER79" s="104">
        <f>SUM(ER58:ER78)</f>
        <v>93</v>
      </c>
      <c r="ES79" s="663"/>
      <c r="ET79" s="36">
        <v>0</v>
      </c>
      <c r="EU79" s="36">
        <v>0</v>
      </c>
      <c r="EV79" s="161" t="s">
        <v>656</v>
      </c>
      <c r="EW79" s="36"/>
      <c r="EX79" s="36"/>
      <c r="EY79" s="36"/>
      <c r="EZ79" s="663"/>
      <c r="FA79" s="36">
        <v>23</v>
      </c>
    </row>
    <row r="80" spans="1:157" ht="68" x14ac:dyDescent="0.2">
      <c r="A80" s="1205"/>
      <c r="B80" s="1207"/>
      <c r="C80" s="167" t="s">
        <v>164</v>
      </c>
      <c r="D80" s="168" t="s">
        <v>165</v>
      </c>
      <c r="E80" s="188" t="s">
        <v>117</v>
      </c>
      <c r="F80" s="36">
        <v>0</v>
      </c>
      <c r="G80" s="36" t="s">
        <v>656</v>
      </c>
      <c r="H80" s="161"/>
      <c r="I80" s="36" t="s">
        <v>656</v>
      </c>
      <c r="J80" s="36" t="s">
        <v>656</v>
      </c>
      <c r="K80" s="36" t="s">
        <v>656</v>
      </c>
      <c r="L80" s="36"/>
      <c r="M80" s="36"/>
      <c r="N80" s="50" t="s">
        <v>656</v>
      </c>
      <c r="O80" s="36">
        <v>0</v>
      </c>
      <c r="P80" s="34" t="s">
        <v>656</v>
      </c>
      <c r="Q80" s="36">
        <v>0</v>
      </c>
      <c r="R80" s="29" t="s">
        <v>656</v>
      </c>
      <c r="S80" s="36" t="s">
        <v>656</v>
      </c>
      <c r="T80" s="36">
        <v>0</v>
      </c>
      <c r="U80" s="36">
        <v>0</v>
      </c>
      <c r="V80" s="36">
        <v>0</v>
      </c>
      <c r="W80" s="36"/>
      <c r="X80" s="36"/>
      <c r="Y80" s="36"/>
      <c r="Z80" s="36"/>
      <c r="AA80" s="36"/>
      <c r="AB80" s="36"/>
      <c r="AC80" s="36"/>
      <c r="AD80" s="36" t="s">
        <v>656</v>
      </c>
      <c r="AE80" s="161">
        <v>0</v>
      </c>
      <c r="AF80" s="36"/>
      <c r="AG80" s="36"/>
      <c r="AH80" s="50" t="s">
        <v>656</v>
      </c>
      <c r="AI80" s="36"/>
      <c r="AJ80" s="36"/>
      <c r="AK80" s="663"/>
      <c r="AL80" s="36">
        <v>3</v>
      </c>
      <c r="AM80" s="36">
        <v>0</v>
      </c>
      <c r="AN80" s="29"/>
      <c r="AO80" s="36">
        <v>0</v>
      </c>
      <c r="AP80" s="663"/>
      <c r="AQ80" s="50"/>
      <c r="AR80" s="663"/>
      <c r="AS80" s="36"/>
      <c r="AT80" s="36"/>
      <c r="AU80" s="36"/>
      <c r="AV80" s="36"/>
      <c r="AW80" s="61"/>
      <c r="AX80" s="663"/>
      <c r="AY80" s="663"/>
      <c r="AZ80" s="36" t="s">
        <v>656</v>
      </c>
      <c r="BA80" s="36" t="s">
        <v>656</v>
      </c>
      <c r="BB80" s="36" t="s">
        <v>656</v>
      </c>
      <c r="BC80" s="36">
        <v>0</v>
      </c>
      <c r="BD80" s="36"/>
      <c r="BE80" s="36"/>
      <c r="BF80" s="36">
        <v>27</v>
      </c>
      <c r="BG80" s="36" t="s">
        <v>656</v>
      </c>
      <c r="BH80" s="36">
        <v>0</v>
      </c>
      <c r="BI80" s="36"/>
      <c r="BJ80" s="36">
        <v>0</v>
      </c>
      <c r="BK80" s="36">
        <v>0</v>
      </c>
      <c r="BL80" s="36"/>
      <c r="BM80" s="36" t="s">
        <v>656</v>
      </c>
      <c r="BN80" s="56"/>
      <c r="BO80" s="733"/>
      <c r="BP80" s="36">
        <v>0</v>
      </c>
      <c r="BQ80" s="36">
        <v>0</v>
      </c>
      <c r="BR80" s="36">
        <v>0</v>
      </c>
      <c r="BS80" s="36">
        <v>0</v>
      </c>
      <c r="BT80" s="37">
        <v>123.705</v>
      </c>
      <c r="BU80" s="36"/>
      <c r="BV80" s="36" t="s">
        <v>656</v>
      </c>
      <c r="BW80" s="36">
        <v>0</v>
      </c>
      <c r="BX80" s="36">
        <v>0</v>
      </c>
      <c r="BY80" s="663"/>
      <c r="BZ80" s="663"/>
      <c r="CA80" s="36">
        <v>0</v>
      </c>
      <c r="CB80" s="50">
        <v>0</v>
      </c>
      <c r="CC80" s="36">
        <v>0</v>
      </c>
      <c r="CD80" s="36"/>
      <c r="CE80" s="36">
        <v>0</v>
      </c>
      <c r="CF80" s="36">
        <v>0</v>
      </c>
      <c r="CG80" s="161">
        <v>0</v>
      </c>
      <c r="CH80" s="36">
        <v>0</v>
      </c>
      <c r="CI80" s="36">
        <v>0</v>
      </c>
      <c r="CJ80" s="36">
        <v>0</v>
      </c>
      <c r="CK80" s="36">
        <v>0</v>
      </c>
      <c r="CL80" s="36">
        <v>0</v>
      </c>
      <c r="CM80" s="115" t="s">
        <v>539</v>
      </c>
      <c r="CN80" s="36">
        <v>0</v>
      </c>
      <c r="CO80" s="36">
        <v>0</v>
      </c>
      <c r="CP80" s="36">
        <v>0</v>
      </c>
      <c r="CQ80" s="36">
        <v>0</v>
      </c>
      <c r="CR80" s="132"/>
      <c r="CS80" s="36"/>
      <c r="CT80" s="36">
        <v>1</v>
      </c>
      <c r="CU80" s="36"/>
      <c r="CV80" s="663"/>
      <c r="CW80" s="36" t="s">
        <v>656</v>
      </c>
      <c r="CX80" s="734" t="s">
        <v>656</v>
      </c>
      <c r="CY80" s="36" t="s">
        <v>1447</v>
      </c>
      <c r="CZ80" s="36" t="s">
        <v>1447</v>
      </c>
      <c r="DA80" s="29" t="s">
        <v>1482</v>
      </c>
      <c r="DB80" s="36">
        <v>0</v>
      </c>
      <c r="DC80" s="36"/>
      <c r="DD80" s="36" t="s">
        <v>656</v>
      </c>
      <c r="DE80" s="36">
        <v>0</v>
      </c>
      <c r="DF80" s="36" t="s">
        <v>656</v>
      </c>
      <c r="DG80" s="132"/>
      <c r="DH80" s="36"/>
      <c r="DI80" s="132">
        <v>0</v>
      </c>
      <c r="DJ80" s="736"/>
      <c r="DK80" s="737"/>
      <c r="DL80" s="132"/>
      <c r="DM80" s="132"/>
      <c r="DN80" s="36"/>
      <c r="DO80" s="36"/>
      <c r="DP80" s="36" t="s">
        <v>2520</v>
      </c>
      <c r="DQ80" s="29" t="s">
        <v>656</v>
      </c>
      <c r="DR80" s="36" t="s">
        <v>656</v>
      </c>
      <c r="DS80" s="36" t="s">
        <v>656</v>
      </c>
      <c r="DT80" s="36"/>
      <c r="DU80" s="36"/>
      <c r="DV80" s="36"/>
      <c r="DW80" s="36"/>
      <c r="DX80" s="36"/>
      <c r="DY80" s="37"/>
      <c r="DZ80" s="36"/>
      <c r="EA80" s="36"/>
      <c r="EB80" s="36"/>
      <c r="EC80" s="36">
        <v>0</v>
      </c>
      <c r="ED80" s="36">
        <v>0</v>
      </c>
      <c r="EE80" s="36">
        <v>0</v>
      </c>
      <c r="EF80" s="36" t="s">
        <v>470</v>
      </c>
      <c r="EG80" s="663"/>
      <c r="EH80" s="733" t="s">
        <v>656</v>
      </c>
      <c r="EI80" s="733">
        <v>0</v>
      </c>
      <c r="EJ80" s="733" t="s">
        <v>656</v>
      </c>
      <c r="EK80" s="36">
        <v>0</v>
      </c>
      <c r="EL80" s="36"/>
      <c r="EM80" s="733">
        <v>10</v>
      </c>
      <c r="EN80" s="36"/>
      <c r="EO80" s="36"/>
      <c r="EP80" s="36"/>
      <c r="EQ80" s="36">
        <v>0</v>
      </c>
      <c r="ER80" s="37"/>
      <c r="ES80" s="663"/>
      <c r="ET80" s="36">
        <v>0</v>
      </c>
      <c r="EU80" s="36">
        <v>0</v>
      </c>
      <c r="EV80" s="161" t="s">
        <v>656</v>
      </c>
      <c r="EW80" s="36"/>
      <c r="EX80" s="36"/>
      <c r="EY80" s="36"/>
      <c r="EZ80" s="663"/>
      <c r="FA80" s="36">
        <v>0</v>
      </c>
    </row>
    <row r="81" spans="1:157" ht="153" x14ac:dyDescent="0.2">
      <c r="A81" s="1205"/>
      <c r="B81" s="1207"/>
      <c r="C81" s="167" t="s">
        <v>166</v>
      </c>
      <c r="D81" s="168" t="s">
        <v>167</v>
      </c>
      <c r="E81" s="188" t="s">
        <v>117</v>
      </c>
      <c r="F81" s="36">
        <v>0</v>
      </c>
      <c r="G81" s="36" t="s">
        <v>656</v>
      </c>
      <c r="H81" s="161"/>
      <c r="I81" s="36" t="s">
        <v>656</v>
      </c>
      <c r="J81" s="36" t="s">
        <v>656</v>
      </c>
      <c r="K81" s="36" t="s">
        <v>656</v>
      </c>
      <c r="L81" s="36"/>
      <c r="M81" s="36"/>
      <c r="N81" s="50" t="s">
        <v>656</v>
      </c>
      <c r="O81" s="36">
        <v>0</v>
      </c>
      <c r="P81" s="34" t="s">
        <v>656</v>
      </c>
      <c r="Q81" s="36">
        <v>0</v>
      </c>
      <c r="R81" s="29" t="s">
        <v>656</v>
      </c>
      <c r="S81" s="36" t="s">
        <v>656</v>
      </c>
      <c r="T81" s="36">
        <v>0</v>
      </c>
      <c r="U81" s="36">
        <v>0</v>
      </c>
      <c r="V81" s="36">
        <v>0</v>
      </c>
      <c r="W81" s="36"/>
      <c r="X81" s="36"/>
      <c r="Y81" s="36"/>
      <c r="Z81" s="36"/>
      <c r="AA81" s="36"/>
      <c r="AB81" s="36"/>
      <c r="AC81" s="36"/>
      <c r="AD81" s="36" t="s">
        <v>656</v>
      </c>
      <c r="AE81" s="161">
        <v>0</v>
      </c>
      <c r="AF81" s="36"/>
      <c r="AG81" s="36"/>
      <c r="AH81" s="50" t="s">
        <v>656</v>
      </c>
      <c r="AI81" s="36"/>
      <c r="AJ81" s="36"/>
      <c r="AK81" s="663"/>
      <c r="AL81" s="36">
        <v>0</v>
      </c>
      <c r="AM81" s="36">
        <v>0</v>
      </c>
      <c r="AN81" s="29"/>
      <c r="AO81" s="36">
        <v>0</v>
      </c>
      <c r="AP81" s="663"/>
      <c r="AQ81" s="50"/>
      <c r="AR81" s="663"/>
      <c r="AS81" s="36"/>
      <c r="AT81" s="36"/>
      <c r="AU81" s="36"/>
      <c r="AV81" s="36"/>
      <c r="AW81" s="61">
        <v>50</v>
      </c>
      <c r="AX81" s="663"/>
      <c r="AY81" s="663"/>
      <c r="AZ81" s="36" t="s">
        <v>656</v>
      </c>
      <c r="BA81" s="36" t="s">
        <v>656</v>
      </c>
      <c r="BB81" s="36" t="s">
        <v>656</v>
      </c>
      <c r="BC81" s="36">
        <v>0</v>
      </c>
      <c r="BD81" s="36"/>
      <c r="BE81" s="36"/>
      <c r="BF81" s="36">
        <v>4</v>
      </c>
      <c r="BG81" s="36" t="s">
        <v>656</v>
      </c>
      <c r="BH81" s="36">
        <v>0</v>
      </c>
      <c r="BI81" s="36"/>
      <c r="BJ81" s="36">
        <v>0</v>
      </c>
      <c r="BK81" s="36">
        <v>0</v>
      </c>
      <c r="BL81" s="36"/>
      <c r="BM81" s="36" t="s">
        <v>656</v>
      </c>
      <c r="BN81" s="54"/>
      <c r="BO81" s="733"/>
      <c r="BP81" s="36">
        <v>0</v>
      </c>
      <c r="BQ81" s="36">
        <v>0</v>
      </c>
      <c r="BR81" s="36">
        <v>0</v>
      </c>
      <c r="BS81" s="36">
        <v>0</v>
      </c>
      <c r="BT81" s="29" t="s">
        <v>3575</v>
      </c>
      <c r="BU81" s="36"/>
      <c r="BV81" s="36" t="s">
        <v>656</v>
      </c>
      <c r="BW81" s="36">
        <v>0</v>
      </c>
      <c r="BX81" s="36">
        <v>0</v>
      </c>
      <c r="BY81" s="663"/>
      <c r="BZ81" s="663"/>
      <c r="CA81" s="36">
        <v>0</v>
      </c>
      <c r="CB81" s="50">
        <v>0</v>
      </c>
      <c r="CC81" s="36">
        <v>0</v>
      </c>
      <c r="CD81" s="36"/>
      <c r="CE81" s="36">
        <v>0</v>
      </c>
      <c r="CF81" s="36">
        <v>0</v>
      </c>
      <c r="CG81" s="161">
        <v>0</v>
      </c>
      <c r="CH81" s="36">
        <v>0</v>
      </c>
      <c r="CI81" s="36">
        <v>0</v>
      </c>
      <c r="CJ81" s="36">
        <v>0</v>
      </c>
      <c r="CK81" s="36">
        <v>0</v>
      </c>
      <c r="CL81" s="36">
        <v>0</v>
      </c>
      <c r="CM81" s="115" t="s">
        <v>539</v>
      </c>
      <c r="CN81" s="36">
        <v>0</v>
      </c>
      <c r="CO81" s="36">
        <v>0</v>
      </c>
      <c r="CP81" s="36">
        <v>0</v>
      </c>
      <c r="CQ81" s="36">
        <v>0</v>
      </c>
      <c r="CR81" s="132"/>
      <c r="CS81" s="36"/>
      <c r="CT81" s="104">
        <f>SUM(CT60:CT80)</f>
        <v>171</v>
      </c>
      <c r="CU81" s="36"/>
      <c r="CV81" s="663"/>
      <c r="CW81" s="36" t="s">
        <v>656</v>
      </c>
      <c r="CX81" s="734" t="s">
        <v>656</v>
      </c>
      <c r="CY81" s="36" t="s">
        <v>1447</v>
      </c>
      <c r="CZ81" s="36" t="s">
        <v>1447</v>
      </c>
      <c r="DA81" s="29" t="s">
        <v>1482</v>
      </c>
      <c r="DB81" s="36">
        <v>0</v>
      </c>
      <c r="DC81" s="36"/>
      <c r="DD81" s="36" t="s">
        <v>656</v>
      </c>
      <c r="DE81" s="36">
        <v>0</v>
      </c>
      <c r="DF81" s="36" t="s">
        <v>656</v>
      </c>
      <c r="DG81" s="132">
        <v>1</v>
      </c>
      <c r="DH81" s="36"/>
      <c r="DI81" s="132">
        <v>0</v>
      </c>
      <c r="DJ81" s="736"/>
      <c r="DK81" s="737"/>
      <c r="DL81" s="132"/>
      <c r="DM81" s="132"/>
      <c r="DN81" s="36"/>
      <c r="DO81" s="36"/>
      <c r="DP81" s="36" t="s">
        <v>2520</v>
      </c>
      <c r="DQ81" s="29" t="s">
        <v>656</v>
      </c>
      <c r="DR81" s="36" t="s">
        <v>656</v>
      </c>
      <c r="DS81" s="36" t="s">
        <v>656</v>
      </c>
      <c r="DT81" s="36"/>
      <c r="DU81" s="36"/>
      <c r="DV81" s="36"/>
      <c r="DW81" s="36"/>
      <c r="DX81" s="36"/>
      <c r="DY81" s="29"/>
      <c r="DZ81" s="36"/>
      <c r="EA81" s="36"/>
      <c r="EB81" s="36"/>
      <c r="EC81" s="36">
        <v>0</v>
      </c>
      <c r="ED81" s="36">
        <v>0</v>
      </c>
      <c r="EE81" s="36">
        <v>0</v>
      </c>
      <c r="EF81" s="36" t="s">
        <v>470</v>
      </c>
      <c r="EG81" s="663"/>
      <c r="EH81" s="733" t="s">
        <v>656</v>
      </c>
      <c r="EI81" s="733">
        <v>0</v>
      </c>
      <c r="EJ81" s="733" t="s">
        <v>656</v>
      </c>
      <c r="EK81" s="36">
        <v>0</v>
      </c>
      <c r="EL81" s="36"/>
      <c r="EM81" s="733"/>
      <c r="EN81" s="36"/>
      <c r="EO81" s="36"/>
      <c r="EP81" s="36"/>
      <c r="EQ81" s="36">
        <v>0</v>
      </c>
      <c r="ER81" s="29"/>
      <c r="ES81" s="663"/>
      <c r="ET81" s="36">
        <v>0</v>
      </c>
      <c r="EU81" s="36">
        <v>0</v>
      </c>
      <c r="EV81" s="161">
        <v>2</v>
      </c>
      <c r="EW81" s="36"/>
      <c r="EX81" s="36"/>
      <c r="EY81" s="36"/>
      <c r="EZ81" s="663"/>
      <c r="FA81" s="36">
        <v>0</v>
      </c>
    </row>
    <row r="82" spans="1:157" ht="51" x14ac:dyDescent="0.2">
      <c r="A82" s="1205"/>
      <c r="B82" s="1207"/>
      <c r="C82" s="167" t="s">
        <v>168</v>
      </c>
      <c r="D82" s="168" t="s">
        <v>169</v>
      </c>
      <c r="E82" s="188" t="s">
        <v>117</v>
      </c>
      <c r="F82" s="36">
        <v>0</v>
      </c>
      <c r="G82" s="36" t="s">
        <v>656</v>
      </c>
      <c r="H82" s="161"/>
      <c r="I82" s="36" t="s">
        <v>656</v>
      </c>
      <c r="J82" s="36" t="s">
        <v>656</v>
      </c>
      <c r="K82" s="36" t="s">
        <v>656</v>
      </c>
      <c r="L82" s="36"/>
      <c r="M82" s="36"/>
      <c r="N82" s="50" t="s">
        <v>656</v>
      </c>
      <c r="O82" s="36">
        <v>0</v>
      </c>
      <c r="P82" s="34" t="s">
        <v>656</v>
      </c>
      <c r="Q82" s="36">
        <v>0</v>
      </c>
      <c r="R82" s="29" t="s">
        <v>656</v>
      </c>
      <c r="S82" s="36" t="s">
        <v>656</v>
      </c>
      <c r="T82" s="36">
        <v>0</v>
      </c>
      <c r="U82" s="36">
        <v>1</v>
      </c>
      <c r="V82" s="36">
        <v>0</v>
      </c>
      <c r="W82" s="36"/>
      <c r="X82" s="36"/>
      <c r="Y82" s="36"/>
      <c r="Z82" s="36"/>
      <c r="AA82" s="36"/>
      <c r="AB82" s="36"/>
      <c r="AC82" s="36"/>
      <c r="AD82" s="36" t="s">
        <v>656</v>
      </c>
      <c r="AE82" s="161">
        <v>0</v>
      </c>
      <c r="AF82" s="36"/>
      <c r="AG82" s="36"/>
      <c r="AH82" s="50" t="s">
        <v>656</v>
      </c>
      <c r="AI82" s="36"/>
      <c r="AJ82" s="36"/>
      <c r="AK82" s="663"/>
      <c r="AL82" s="36">
        <v>2</v>
      </c>
      <c r="AM82" s="36">
        <v>0</v>
      </c>
      <c r="AN82" s="29"/>
      <c r="AO82" s="36">
        <v>0</v>
      </c>
      <c r="AP82" s="663"/>
      <c r="AQ82" s="50"/>
      <c r="AR82" s="663"/>
      <c r="AS82" s="36"/>
      <c r="AT82" s="36"/>
      <c r="AU82" s="36"/>
      <c r="AV82" s="36"/>
      <c r="AW82" s="61"/>
      <c r="AX82" s="663"/>
      <c r="AY82" s="663"/>
      <c r="AZ82" s="36" t="s">
        <v>656</v>
      </c>
      <c r="BA82" s="36" t="s">
        <v>656</v>
      </c>
      <c r="BB82" s="36" t="s">
        <v>656</v>
      </c>
      <c r="BC82" s="36">
        <v>0</v>
      </c>
      <c r="BD82" s="36"/>
      <c r="BE82" s="36"/>
      <c r="BF82" s="36"/>
      <c r="BG82" s="36" t="s">
        <v>656</v>
      </c>
      <c r="BH82" s="36">
        <v>0</v>
      </c>
      <c r="BI82" s="36"/>
      <c r="BJ82" s="36">
        <v>0</v>
      </c>
      <c r="BK82" s="36">
        <v>0</v>
      </c>
      <c r="BL82" s="36"/>
      <c r="BM82" s="36" t="s">
        <v>656</v>
      </c>
      <c r="BN82" s="29"/>
      <c r="BO82" s="733"/>
      <c r="BP82" s="36">
        <v>0</v>
      </c>
      <c r="BQ82" s="36">
        <v>0</v>
      </c>
      <c r="BR82" s="36">
        <v>0</v>
      </c>
      <c r="BS82" s="36">
        <v>0</v>
      </c>
      <c r="BT82" s="29" t="s">
        <v>656</v>
      </c>
      <c r="BU82" s="36"/>
      <c r="BV82" s="36" t="s">
        <v>656</v>
      </c>
      <c r="BW82" s="36">
        <v>0</v>
      </c>
      <c r="BX82" s="36">
        <v>0</v>
      </c>
      <c r="BY82" s="663"/>
      <c r="BZ82" s="663"/>
      <c r="CA82" s="36">
        <v>0</v>
      </c>
      <c r="CB82" s="50">
        <v>0</v>
      </c>
      <c r="CC82" s="36">
        <v>0</v>
      </c>
      <c r="CD82" s="36"/>
      <c r="CE82" s="36">
        <v>0</v>
      </c>
      <c r="CF82" s="36">
        <v>0</v>
      </c>
      <c r="CG82" s="161">
        <v>0</v>
      </c>
      <c r="CH82" s="36">
        <v>0</v>
      </c>
      <c r="CI82" s="36">
        <v>0</v>
      </c>
      <c r="CJ82" s="36">
        <v>0</v>
      </c>
      <c r="CK82" s="36">
        <v>0</v>
      </c>
      <c r="CL82" s="36">
        <v>0</v>
      </c>
      <c r="CM82" s="115" t="s">
        <v>539</v>
      </c>
      <c r="CN82" s="36">
        <v>0</v>
      </c>
      <c r="CO82" s="36">
        <v>0</v>
      </c>
      <c r="CP82" s="36">
        <v>0</v>
      </c>
      <c r="CQ82" s="36">
        <v>0</v>
      </c>
      <c r="CR82" s="132"/>
      <c r="CS82" s="36"/>
      <c r="CT82" s="37">
        <v>575.13900000000001</v>
      </c>
      <c r="CU82" s="36"/>
      <c r="CV82" s="663"/>
      <c r="CW82" s="36" t="s">
        <v>656</v>
      </c>
      <c r="CX82" s="734" t="s">
        <v>656</v>
      </c>
      <c r="CY82" s="36" t="s">
        <v>1447</v>
      </c>
      <c r="CZ82" s="36">
        <v>1</v>
      </c>
      <c r="DA82" s="29" t="s">
        <v>1482</v>
      </c>
      <c r="DB82" s="36">
        <v>0</v>
      </c>
      <c r="DC82" s="36"/>
      <c r="DD82" s="36" t="s">
        <v>656</v>
      </c>
      <c r="DE82" s="36">
        <v>0</v>
      </c>
      <c r="DF82" s="36" t="s">
        <v>656</v>
      </c>
      <c r="DG82" s="132"/>
      <c r="DH82" s="36"/>
      <c r="DI82" s="132">
        <v>0</v>
      </c>
      <c r="DJ82" s="736"/>
      <c r="DK82" s="737"/>
      <c r="DL82" s="132"/>
      <c r="DM82" s="132"/>
      <c r="DN82" s="36"/>
      <c r="DO82" s="36"/>
      <c r="DP82" s="36" t="s">
        <v>2520</v>
      </c>
      <c r="DQ82" s="29" t="s">
        <v>656</v>
      </c>
      <c r="DR82" s="36" t="s">
        <v>656</v>
      </c>
      <c r="DS82" s="36" t="s">
        <v>656</v>
      </c>
      <c r="DT82" s="36"/>
      <c r="DU82" s="36"/>
      <c r="DV82" s="36"/>
      <c r="DW82" s="36"/>
      <c r="DX82" s="36"/>
      <c r="DY82" s="29"/>
      <c r="DZ82" s="36"/>
      <c r="EA82" s="36"/>
      <c r="EB82" s="36"/>
      <c r="EC82" s="36">
        <v>0</v>
      </c>
      <c r="ED82" s="36">
        <v>0</v>
      </c>
      <c r="EE82" s="36">
        <v>0</v>
      </c>
      <c r="EF82" s="36" t="s">
        <v>470</v>
      </c>
      <c r="EG82" s="663"/>
      <c r="EH82" s="733" t="s">
        <v>656</v>
      </c>
      <c r="EI82" s="733">
        <v>1</v>
      </c>
      <c r="EJ82" s="733" t="s">
        <v>656</v>
      </c>
      <c r="EK82" s="36">
        <v>0</v>
      </c>
      <c r="EL82" s="36"/>
      <c r="EM82" s="733"/>
      <c r="EN82" s="36"/>
      <c r="EO82" s="36"/>
      <c r="EP82" s="36"/>
      <c r="EQ82" s="36">
        <v>0</v>
      </c>
      <c r="ER82" s="29"/>
      <c r="ES82" s="663"/>
      <c r="ET82" s="36">
        <v>0</v>
      </c>
      <c r="EU82" s="36">
        <v>0</v>
      </c>
      <c r="EV82" s="161" t="s">
        <v>656</v>
      </c>
      <c r="EW82" s="36"/>
      <c r="EX82" s="36"/>
      <c r="EY82" s="36"/>
      <c r="EZ82" s="663"/>
      <c r="FA82" s="36">
        <v>0</v>
      </c>
    </row>
    <row r="83" spans="1:157" ht="204" x14ac:dyDescent="0.2">
      <c r="A83" s="1205"/>
      <c r="B83" s="1207"/>
      <c r="C83" s="167" t="s">
        <v>170</v>
      </c>
      <c r="D83" s="169" t="s">
        <v>171</v>
      </c>
      <c r="E83" s="188" t="s">
        <v>117</v>
      </c>
      <c r="F83" s="36">
        <v>1</v>
      </c>
      <c r="G83" s="36"/>
      <c r="H83" s="161"/>
      <c r="I83" s="36" t="s">
        <v>656</v>
      </c>
      <c r="J83" s="36" t="s">
        <v>656</v>
      </c>
      <c r="K83" s="36" t="s">
        <v>656</v>
      </c>
      <c r="L83" s="36"/>
      <c r="M83" s="36">
        <v>7</v>
      </c>
      <c r="N83" s="50" t="s">
        <v>656</v>
      </c>
      <c r="O83" s="36">
        <v>10</v>
      </c>
      <c r="P83" s="34" t="s">
        <v>656</v>
      </c>
      <c r="Q83" s="36">
        <v>0</v>
      </c>
      <c r="R83" s="29" t="s">
        <v>656</v>
      </c>
      <c r="S83" s="36" t="s">
        <v>656</v>
      </c>
      <c r="T83" s="36">
        <f>11+8+2+6+1+1</f>
        <v>29</v>
      </c>
      <c r="U83" s="36"/>
      <c r="V83" s="36">
        <v>0</v>
      </c>
      <c r="W83" s="36">
        <v>2</v>
      </c>
      <c r="X83" s="36"/>
      <c r="Y83" s="36"/>
      <c r="Z83" s="36"/>
      <c r="AA83" s="36">
        <v>7</v>
      </c>
      <c r="AB83" s="36"/>
      <c r="AC83" s="36"/>
      <c r="AD83" s="36" t="s">
        <v>656</v>
      </c>
      <c r="AE83" s="161"/>
      <c r="AF83" s="36">
        <v>10</v>
      </c>
      <c r="AG83" s="36">
        <v>19</v>
      </c>
      <c r="AH83" s="50">
        <v>9</v>
      </c>
      <c r="AI83" s="36"/>
      <c r="AJ83" s="36"/>
      <c r="AK83" s="663"/>
      <c r="AL83" s="36"/>
      <c r="AM83" s="36">
        <v>0</v>
      </c>
      <c r="AN83" s="36">
        <v>0</v>
      </c>
      <c r="AO83" s="36"/>
      <c r="AP83" s="663"/>
      <c r="AQ83" s="50"/>
      <c r="AR83" s="663"/>
      <c r="AS83" s="36"/>
      <c r="AT83" s="36">
        <v>1</v>
      </c>
      <c r="AU83" s="36">
        <v>10</v>
      </c>
      <c r="AV83" s="36"/>
      <c r="AW83" s="61"/>
      <c r="AX83" s="663"/>
      <c r="AY83" s="663"/>
      <c r="AZ83" s="36">
        <v>3</v>
      </c>
      <c r="BA83" s="36" t="s">
        <v>656</v>
      </c>
      <c r="BB83" s="36" t="s">
        <v>656</v>
      </c>
      <c r="BC83" s="36">
        <v>0</v>
      </c>
      <c r="BD83" s="36"/>
      <c r="BE83" s="36"/>
      <c r="BF83" s="36"/>
      <c r="BG83" s="36" t="s">
        <v>656</v>
      </c>
      <c r="BH83" s="36">
        <v>0</v>
      </c>
      <c r="BI83" s="36"/>
      <c r="BJ83" s="36">
        <v>0</v>
      </c>
      <c r="BK83" s="36">
        <v>0</v>
      </c>
      <c r="BL83" s="36"/>
      <c r="BM83" s="36" t="s">
        <v>656</v>
      </c>
      <c r="BN83" s="34"/>
      <c r="BO83" s="733"/>
      <c r="BP83" s="36">
        <v>3</v>
      </c>
      <c r="BQ83" s="36"/>
      <c r="BR83" s="36">
        <v>10</v>
      </c>
      <c r="BS83" s="36">
        <v>4</v>
      </c>
      <c r="BT83" s="34">
        <f>BT80/BT84</f>
        <v>0.11107768838445513</v>
      </c>
      <c r="BU83" s="36"/>
      <c r="BV83" s="36">
        <v>2</v>
      </c>
      <c r="BW83" s="36">
        <v>1</v>
      </c>
      <c r="BX83" s="36">
        <v>0</v>
      </c>
      <c r="BY83" s="663"/>
      <c r="BZ83" s="663"/>
      <c r="CA83" s="36">
        <v>0</v>
      </c>
      <c r="CB83" s="50">
        <v>17</v>
      </c>
      <c r="CC83" s="36">
        <v>0</v>
      </c>
      <c r="CD83" s="36">
        <v>4</v>
      </c>
      <c r="CE83" s="36">
        <v>0</v>
      </c>
      <c r="CF83" s="36">
        <v>0</v>
      </c>
      <c r="CG83" s="161">
        <v>2</v>
      </c>
      <c r="CH83" s="36">
        <v>0</v>
      </c>
      <c r="CI83" s="36">
        <v>0</v>
      </c>
      <c r="CJ83" s="36">
        <v>0</v>
      </c>
      <c r="CK83" s="36">
        <v>17</v>
      </c>
      <c r="CL83" s="36">
        <v>0</v>
      </c>
      <c r="CM83" s="115">
        <v>2</v>
      </c>
      <c r="CN83" s="36">
        <v>0</v>
      </c>
      <c r="CO83" s="36">
        <v>0</v>
      </c>
      <c r="CP83" s="36"/>
      <c r="CQ83" s="36">
        <v>0</v>
      </c>
      <c r="CR83" s="132"/>
      <c r="CS83" s="36"/>
      <c r="CT83" s="29" t="s">
        <v>3097</v>
      </c>
      <c r="CU83" s="36"/>
      <c r="CV83" s="663"/>
      <c r="CW83" s="36" t="s">
        <v>656</v>
      </c>
      <c r="CX83" s="734" t="s">
        <v>656</v>
      </c>
      <c r="CY83" s="36" t="s">
        <v>1447</v>
      </c>
      <c r="CZ83" s="36" t="s">
        <v>1447</v>
      </c>
      <c r="DA83" s="29" t="s">
        <v>1482</v>
      </c>
      <c r="DB83" s="36">
        <v>1</v>
      </c>
      <c r="DC83" s="36"/>
      <c r="DD83" s="36" t="s">
        <v>656</v>
      </c>
      <c r="DE83" s="36">
        <v>1</v>
      </c>
      <c r="DF83" s="36">
        <v>1</v>
      </c>
      <c r="DG83" s="132"/>
      <c r="DH83" s="179"/>
      <c r="DI83" s="132"/>
      <c r="DJ83" s="736"/>
      <c r="DK83" s="737"/>
      <c r="DL83" s="132"/>
      <c r="DM83" s="132">
        <v>54</v>
      </c>
      <c r="DN83" s="36"/>
      <c r="DO83" s="36">
        <v>1</v>
      </c>
      <c r="DP83" s="36" t="s">
        <v>2520</v>
      </c>
      <c r="DQ83" s="29" t="s">
        <v>656</v>
      </c>
      <c r="DR83" s="36" t="s">
        <v>656</v>
      </c>
      <c r="DS83" s="36" t="s">
        <v>656</v>
      </c>
      <c r="DT83" s="36"/>
      <c r="DU83" s="36"/>
      <c r="DV83" s="36"/>
      <c r="DW83" s="36">
        <v>1</v>
      </c>
      <c r="DX83" s="36"/>
      <c r="DY83" s="36">
        <v>138</v>
      </c>
      <c r="DZ83" s="36"/>
      <c r="EA83" s="36">
        <v>0</v>
      </c>
      <c r="EB83" s="36"/>
      <c r="EC83" s="36">
        <v>0</v>
      </c>
      <c r="ED83" s="36">
        <v>0</v>
      </c>
      <c r="EE83" s="36">
        <v>1</v>
      </c>
      <c r="EF83" s="36" t="s">
        <v>470</v>
      </c>
      <c r="EG83" s="663"/>
      <c r="EH83" s="733" t="s">
        <v>656</v>
      </c>
      <c r="EI83" s="733">
        <v>0</v>
      </c>
      <c r="EJ83" s="733" t="s">
        <v>656</v>
      </c>
      <c r="EK83" s="36">
        <v>2</v>
      </c>
      <c r="EL83" s="36"/>
      <c r="EM83" s="733"/>
      <c r="EN83" s="36"/>
      <c r="EO83" s="36"/>
      <c r="EP83" s="36"/>
      <c r="EQ83" s="36"/>
      <c r="ER83" s="34"/>
      <c r="ES83" s="663"/>
      <c r="ET83" s="36">
        <v>0</v>
      </c>
      <c r="EU83" s="36">
        <v>2</v>
      </c>
      <c r="EV83" s="161" t="s">
        <v>656</v>
      </c>
      <c r="EW83" s="36"/>
      <c r="EX83" s="36">
        <v>84</v>
      </c>
      <c r="EY83" s="36">
        <v>5</v>
      </c>
      <c r="EZ83" s="663"/>
      <c r="FA83" s="36"/>
    </row>
    <row r="84" spans="1:157" ht="165" customHeight="1" x14ac:dyDescent="0.2">
      <c r="A84" s="1205"/>
      <c r="B84" s="1207"/>
      <c r="C84" s="167" t="s">
        <v>172</v>
      </c>
      <c r="D84" s="28" t="s">
        <v>9480</v>
      </c>
      <c r="E84" s="188" t="s">
        <v>173</v>
      </c>
      <c r="F84" s="104">
        <f>SUM(F60:F83)</f>
        <v>16</v>
      </c>
      <c r="G84" s="104">
        <f>SUM(G60:G83)</f>
        <v>6</v>
      </c>
      <c r="H84" s="738">
        <v>1</v>
      </c>
      <c r="I84" s="104">
        <f t="shared" ref="I84:AB84" si="70">SUM(I60:I83)</f>
        <v>21</v>
      </c>
      <c r="J84" s="104">
        <f t="shared" si="70"/>
        <v>407</v>
      </c>
      <c r="K84" s="104">
        <f t="shared" si="70"/>
        <v>94</v>
      </c>
      <c r="L84" s="104">
        <f t="shared" si="70"/>
        <v>132</v>
      </c>
      <c r="M84" s="104">
        <f t="shared" si="70"/>
        <v>48</v>
      </c>
      <c r="N84" s="104">
        <f t="shared" si="70"/>
        <v>31</v>
      </c>
      <c r="O84" s="36">
        <f t="shared" si="70"/>
        <v>720</v>
      </c>
      <c r="P84" s="104">
        <f t="shared" si="70"/>
        <v>5</v>
      </c>
      <c r="Q84" s="104">
        <f t="shared" si="70"/>
        <v>200</v>
      </c>
      <c r="R84" s="104">
        <f t="shared" si="70"/>
        <v>60</v>
      </c>
      <c r="S84" s="104">
        <f t="shared" si="70"/>
        <v>645</v>
      </c>
      <c r="T84" s="104">
        <f t="shared" si="70"/>
        <v>830</v>
      </c>
      <c r="U84" s="104">
        <f t="shared" si="70"/>
        <v>47</v>
      </c>
      <c r="V84" s="104">
        <f t="shared" si="70"/>
        <v>101</v>
      </c>
      <c r="W84" s="104">
        <f t="shared" si="70"/>
        <v>125</v>
      </c>
      <c r="X84" s="104">
        <f t="shared" si="70"/>
        <v>1070</v>
      </c>
      <c r="Y84" s="104">
        <f t="shared" si="70"/>
        <v>132</v>
      </c>
      <c r="Z84" s="104">
        <f t="shared" si="70"/>
        <v>47</v>
      </c>
      <c r="AA84" s="104">
        <f t="shared" si="70"/>
        <v>225</v>
      </c>
      <c r="AB84" s="104">
        <f t="shared" si="70"/>
        <v>0</v>
      </c>
      <c r="AC84" s="104"/>
      <c r="AD84" s="104">
        <f>SUM(AD60:AD83)</f>
        <v>1335</v>
      </c>
      <c r="AE84" s="738">
        <v>69</v>
      </c>
      <c r="AF84" s="104">
        <f>SUM(AF60:AF83)</f>
        <v>209</v>
      </c>
      <c r="AG84" s="104">
        <f>SUM(AG60:AG83)</f>
        <v>35</v>
      </c>
      <c r="AH84" s="50">
        <f>SUM(AH60:AH83)</f>
        <v>9</v>
      </c>
      <c r="AI84" s="104">
        <f>SUM(AI60:AI83)</f>
        <v>128</v>
      </c>
      <c r="AJ84" s="104">
        <f>SUM(AJ60:AJ83)</f>
        <v>6</v>
      </c>
      <c r="AK84" s="663"/>
      <c r="AL84" s="104">
        <f>SUM(AL60:AL83)</f>
        <v>29</v>
      </c>
      <c r="AM84" s="36">
        <f>SUM(AM60:AM83)</f>
        <v>239</v>
      </c>
      <c r="AN84" s="104">
        <f>SUM(AN60:AN83)</f>
        <v>7</v>
      </c>
      <c r="AO84" s="104">
        <f>SUM(AO60:AO83)</f>
        <v>128</v>
      </c>
      <c r="AP84" s="663"/>
      <c r="AQ84" s="739">
        <f>SUM(AQ60:AQ83)</f>
        <v>1359</v>
      </c>
      <c r="AR84" s="663"/>
      <c r="AS84" s="36">
        <f>SUM(AS60:AS83)</f>
        <v>15</v>
      </c>
      <c r="AT84" s="104">
        <f>SUM(AT60:AT83)</f>
        <v>53</v>
      </c>
      <c r="AU84" s="104">
        <f>SUM(AU60:AU83)</f>
        <v>252</v>
      </c>
      <c r="AV84" s="739">
        <f>SUM(AV60:AV83)</f>
        <v>20</v>
      </c>
      <c r="AW84" s="104">
        <f>SUM(AW60:AW81)</f>
        <v>297</v>
      </c>
      <c r="AX84" s="663"/>
      <c r="AY84" s="663"/>
      <c r="AZ84" s="104">
        <f t="shared" ref="AZ84:BM84" si="71">SUM(AZ60:AZ83)</f>
        <v>97</v>
      </c>
      <c r="BA84" s="104">
        <f t="shared" si="71"/>
        <v>174</v>
      </c>
      <c r="BB84" s="104">
        <f t="shared" si="71"/>
        <v>38</v>
      </c>
      <c r="BC84" s="104">
        <f t="shared" si="71"/>
        <v>125</v>
      </c>
      <c r="BD84" s="104">
        <f t="shared" si="71"/>
        <v>26</v>
      </c>
      <c r="BE84" s="104">
        <f t="shared" si="71"/>
        <v>265</v>
      </c>
      <c r="BF84" s="104">
        <f t="shared" si="71"/>
        <v>533</v>
      </c>
      <c r="BG84" s="104">
        <f t="shared" si="71"/>
        <v>8</v>
      </c>
      <c r="BH84" s="104">
        <f t="shared" si="71"/>
        <v>71</v>
      </c>
      <c r="BI84" s="104">
        <f t="shared" si="71"/>
        <v>185</v>
      </c>
      <c r="BJ84" s="104">
        <f t="shared" si="71"/>
        <v>69</v>
      </c>
      <c r="BK84" s="104">
        <f t="shared" si="71"/>
        <v>86</v>
      </c>
      <c r="BL84" s="104">
        <f t="shared" si="71"/>
        <v>252</v>
      </c>
      <c r="BM84" s="104">
        <f t="shared" si="71"/>
        <v>12</v>
      </c>
      <c r="BN84" s="37"/>
      <c r="BO84" s="740">
        <f>SUM(BO60:BO83)</f>
        <v>3</v>
      </c>
      <c r="BP84" s="104">
        <f>SUM(BP60:BP83)</f>
        <v>341</v>
      </c>
      <c r="BQ84" s="104">
        <f>SUM(BQ60:BQ83)</f>
        <v>63</v>
      </c>
      <c r="BR84" s="104">
        <f>SUM(BR60:BR83)</f>
        <v>275</v>
      </c>
      <c r="BS84" s="104">
        <f>SUM(BS60:BS83)</f>
        <v>216</v>
      </c>
      <c r="BT84" s="37">
        <v>1113.68</v>
      </c>
      <c r="BU84" s="104">
        <f>SUM(BU60:BU83)</f>
        <v>2</v>
      </c>
      <c r="BV84" s="104">
        <f>SUM(BV60:BV83)</f>
        <v>92</v>
      </c>
      <c r="BW84" s="104">
        <f>SUM(BW60:BW83)</f>
        <v>44</v>
      </c>
      <c r="BX84" s="104">
        <f>SUM(BX60:BX83)</f>
        <v>49</v>
      </c>
      <c r="BY84" s="663"/>
      <c r="BZ84" s="663"/>
      <c r="CA84" s="104">
        <f t="shared" ref="CA84:CF84" si="72">SUM(CA60:CA83)</f>
        <v>801</v>
      </c>
      <c r="CB84" s="739">
        <f t="shared" si="72"/>
        <v>54</v>
      </c>
      <c r="CC84" s="104">
        <f t="shared" si="72"/>
        <v>17</v>
      </c>
      <c r="CD84" s="104">
        <f t="shared" si="72"/>
        <v>431</v>
      </c>
      <c r="CE84" s="104">
        <f t="shared" si="72"/>
        <v>261</v>
      </c>
      <c r="CF84" s="104">
        <f t="shared" si="72"/>
        <v>57</v>
      </c>
      <c r="CG84" s="738">
        <v>2</v>
      </c>
      <c r="CH84" s="104">
        <f t="shared" ref="CH84:CO84" si="73">SUM(CH60:CH83)</f>
        <v>22</v>
      </c>
      <c r="CI84" s="104">
        <f t="shared" si="73"/>
        <v>18</v>
      </c>
      <c r="CJ84" s="104">
        <f t="shared" si="73"/>
        <v>49</v>
      </c>
      <c r="CK84" s="104">
        <f t="shared" si="73"/>
        <v>162</v>
      </c>
      <c r="CL84" s="104">
        <f t="shared" si="73"/>
        <v>79</v>
      </c>
      <c r="CM84" s="741">
        <f t="shared" si="73"/>
        <v>240</v>
      </c>
      <c r="CN84" s="104">
        <f t="shared" si="73"/>
        <v>43</v>
      </c>
      <c r="CO84" s="104">
        <f t="shared" si="73"/>
        <v>95</v>
      </c>
      <c r="CP84" s="104">
        <v>79</v>
      </c>
      <c r="CQ84" s="104">
        <f>SUM(CQ60:CQ83)</f>
        <v>1</v>
      </c>
      <c r="CR84" s="742">
        <f>SUM(CR60:CR83)</f>
        <v>225</v>
      </c>
      <c r="CS84" s="104">
        <f>SUM(CS60:CS83)</f>
        <v>3</v>
      </c>
      <c r="CT84" s="29"/>
      <c r="CU84" s="104">
        <f>SUM(CU60:CU83)</f>
        <v>9</v>
      </c>
      <c r="CV84" s="663"/>
      <c r="CW84" s="104">
        <f t="shared" ref="CW84:DG84" si="74">SUM(CW60:CW83)</f>
        <v>222</v>
      </c>
      <c r="CX84" s="743">
        <f t="shared" si="74"/>
        <v>87</v>
      </c>
      <c r="CY84" s="104">
        <f t="shared" si="74"/>
        <v>14</v>
      </c>
      <c r="CZ84" s="104">
        <f t="shared" si="74"/>
        <v>206</v>
      </c>
      <c r="DA84" s="104">
        <f t="shared" si="74"/>
        <v>181</v>
      </c>
      <c r="DB84" s="104">
        <f t="shared" si="74"/>
        <v>256</v>
      </c>
      <c r="DC84" s="104">
        <f t="shared" si="74"/>
        <v>24</v>
      </c>
      <c r="DD84" s="104">
        <f t="shared" si="74"/>
        <v>6</v>
      </c>
      <c r="DE84" s="104">
        <f t="shared" si="74"/>
        <v>190</v>
      </c>
      <c r="DF84" s="104">
        <f t="shared" si="74"/>
        <v>28</v>
      </c>
      <c r="DG84" s="742">
        <f t="shared" si="74"/>
        <v>19</v>
      </c>
      <c r="DH84" s="104">
        <f t="shared" ref="DH84:DM84" si="75">SUM(DH60:DH83)</f>
        <v>6</v>
      </c>
      <c r="DI84" s="742">
        <f t="shared" si="75"/>
        <v>20</v>
      </c>
      <c r="DJ84" s="744">
        <f t="shared" si="75"/>
        <v>128</v>
      </c>
      <c r="DK84" s="745">
        <f t="shared" si="75"/>
        <v>7</v>
      </c>
      <c r="DL84" s="742">
        <f t="shared" si="75"/>
        <v>412</v>
      </c>
      <c r="DM84" s="742">
        <f t="shared" si="75"/>
        <v>459</v>
      </c>
      <c r="DN84" s="104">
        <f t="shared" ref="DN84:DS84" si="76">SUM(DN60:DN83)</f>
        <v>141</v>
      </c>
      <c r="DO84" s="104">
        <f t="shared" si="76"/>
        <v>42</v>
      </c>
      <c r="DP84" s="104">
        <f t="shared" si="76"/>
        <v>73</v>
      </c>
      <c r="DQ84" s="104">
        <f t="shared" si="76"/>
        <v>1</v>
      </c>
      <c r="DR84" s="104">
        <f t="shared" si="76"/>
        <v>58</v>
      </c>
      <c r="DS84" s="104">
        <f t="shared" si="76"/>
        <v>50</v>
      </c>
      <c r="DT84" s="104">
        <f>SUM(DT60:DT83)</f>
        <v>1</v>
      </c>
      <c r="DU84" s="104">
        <f>SUM(DU60:DU83)</f>
        <v>4</v>
      </c>
      <c r="DV84" s="104">
        <f>SUM(DV60:DV83)</f>
        <v>173</v>
      </c>
      <c r="DW84" s="36">
        <f>SUM(DW60:DW83)</f>
        <v>484</v>
      </c>
      <c r="DX84" s="36">
        <f>SUM(DX60:DX83)</f>
        <v>4</v>
      </c>
      <c r="DY84" s="36">
        <v>239</v>
      </c>
      <c r="DZ84" s="104">
        <f t="shared" ref="DZ84:EF84" si="77">SUM(DZ60:DZ83)</f>
        <v>2</v>
      </c>
      <c r="EA84" s="36">
        <f t="shared" si="77"/>
        <v>28</v>
      </c>
      <c r="EB84" s="104">
        <f t="shared" si="77"/>
        <v>4433</v>
      </c>
      <c r="EC84" s="104">
        <f t="shared" si="77"/>
        <v>220</v>
      </c>
      <c r="ED84" s="104">
        <f t="shared" si="77"/>
        <v>0</v>
      </c>
      <c r="EE84" s="104">
        <f t="shared" si="77"/>
        <v>70</v>
      </c>
      <c r="EF84" s="104">
        <f t="shared" si="77"/>
        <v>249</v>
      </c>
      <c r="EG84" s="663"/>
      <c r="EH84" s="740">
        <f t="shared" ref="EH84:EP84" si="78">SUM(EH60:EH83)</f>
        <v>5</v>
      </c>
      <c r="EI84" s="740">
        <f t="shared" si="78"/>
        <v>68</v>
      </c>
      <c r="EJ84" s="740">
        <f t="shared" si="78"/>
        <v>19</v>
      </c>
      <c r="EK84" s="104">
        <f t="shared" si="78"/>
        <v>266</v>
      </c>
      <c r="EL84" s="104">
        <f t="shared" si="78"/>
        <v>142</v>
      </c>
      <c r="EM84" s="740">
        <f t="shared" si="78"/>
        <v>84</v>
      </c>
      <c r="EN84" s="739">
        <f t="shared" si="78"/>
        <v>154</v>
      </c>
      <c r="EO84" s="104">
        <f t="shared" si="78"/>
        <v>55</v>
      </c>
      <c r="EP84" s="104">
        <f t="shared" si="78"/>
        <v>36</v>
      </c>
      <c r="EQ84" s="104">
        <f>SUM(EQ60:EQ83)</f>
        <v>341</v>
      </c>
      <c r="ER84" s="37">
        <v>1298.9780000000001</v>
      </c>
      <c r="ES84" s="663"/>
      <c r="ET84" s="104">
        <f>SUM(ET60:ET83)</f>
        <v>82</v>
      </c>
      <c r="EU84" s="175">
        <f>SUM(EU60:EU83)</f>
        <v>68</v>
      </c>
      <c r="EV84" s="738">
        <v>509</v>
      </c>
      <c r="EW84" s="104">
        <f>SUM(EW60:EW83)</f>
        <v>6</v>
      </c>
      <c r="EX84" s="104">
        <f>SUM(EX60:EX83)</f>
        <v>961</v>
      </c>
      <c r="EY84" s="104">
        <f>SUM(EY60:EY83)</f>
        <v>26</v>
      </c>
      <c r="EZ84" s="663"/>
      <c r="FA84" s="104">
        <f>SUM(FA60:FA83)</f>
        <v>466</v>
      </c>
    </row>
    <row r="85" spans="1:157" ht="85" x14ac:dyDescent="0.2">
      <c r="A85" s="1205" t="s">
        <v>174</v>
      </c>
      <c r="B85" s="1206" t="s">
        <v>175</v>
      </c>
      <c r="C85" s="167" t="s">
        <v>176</v>
      </c>
      <c r="D85" s="168" t="s">
        <v>177</v>
      </c>
      <c r="E85" s="699" t="s">
        <v>178</v>
      </c>
      <c r="F85" s="37">
        <v>86110</v>
      </c>
      <c r="G85" s="37">
        <v>4.3529999999999998</v>
      </c>
      <c r="H85" s="159">
        <v>1.425</v>
      </c>
      <c r="I85" s="37">
        <v>120.508</v>
      </c>
      <c r="J85" s="37">
        <v>353.96199999999999</v>
      </c>
      <c r="K85" s="37"/>
      <c r="L85" s="38">
        <v>88.3</v>
      </c>
      <c r="M85" s="37" t="s">
        <v>3295</v>
      </c>
      <c r="N85" s="36" t="s">
        <v>1873</v>
      </c>
      <c r="O85" s="37" t="s">
        <v>1481</v>
      </c>
      <c r="P85" s="37">
        <v>3.2280000000000002</v>
      </c>
      <c r="Q85" s="37">
        <v>55.25</v>
      </c>
      <c r="R85" s="37">
        <v>33.164000000000001</v>
      </c>
      <c r="S85" s="37">
        <v>869.59</v>
      </c>
      <c r="T85" s="38">
        <v>725</v>
      </c>
      <c r="U85" s="86">
        <v>2.3450000000000002</v>
      </c>
      <c r="V85" s="37">
        <v>10.11</v>
      </c>
      <c r="W85" s="37">
        <v>300</v>
      </c>
      <c r="X85" s="37" t="s">
        <v>3622</v>
      </c>
      <c r="Y85" s="37">
        <v>1048.3900000000001</v>
      </c>
      <c r="Z85" s="37">
        <v>30.655999999999999</v>
      </c>
      <c r="AA85" s="37">
        <v>475.12700000000001</v>
      </c>
      <c r="AB85" s="37"/>
      <c r="AC85" s="37"/>
      <c r="AD85" s="37">
        <v>136.61000000000001</v>
      </c>
      <c r="AE85" s="159">
        <v>1407.367</v>
      </c>
      <c r="AF85" s="56">
        <v>507.82100000000003</v>
      </c>
      <c r="AG85" s="37">
        <v>343.53199999999998</v>
      </c>
      <c r="AH85" s="37"/>
      <c r="AI85" s="37" t="s">
        <v>934</v>
      </c>
      <c r="AJ85" s="37">
        <v>22.155999999999999</v>
      </c>
      <c r="AK85" s="663"/>
      <c r="AL85" s="37">
        <v>512.322</v>
      </c>
      <c r="AM85" s="37">
        <v>688.96699999999998</v>
      </c>
      <c r="AN85" s="37">
        <v>3.6080000000000001</v>
      </c>
      <c r="AO85" s="37">
        <v>513.4</v>
      </c>
      <c r="AP85" s="663"/>
      <c r="AQ85" s="68">
        <v>1694.7080000000001</v>
      </c>
      <c r="AR85" s="663"/>
      <c r="AS85" s="37">
        <v>3.6429999999999998</v>
      </c>
      <c r="AT85" s="36" t="s">
        <v>1986</v>
      </c>
      <c r="AU85" s="37" t="s">
        <v>1986</v>
      </c>
      <c r="AV85" s="74">
        <v>51.2</v>
      </c>
      <c r="AW85" s="37">
        <v>448.97500000000002</v>
      </c>
      <c r="AX85" s="663"/>
      <c r="AY85" s="663"/>
      <c r="AZ85" s="37">
        <v>362.86399999999998</v>
      </c>
      <c r="BA85" s="37">
        <v>110.801</v>
      </c>
      <c r="BB85" s="37">
        <v>110</v>
      </c>
      <c r="BC85" s="37">
        <v>1821.8309999999999</v>
      </c>
      <c r="BD85" s="37" t="s">
        <v>1814</v>
      </c>
      <c r="BE85" s="37">
        <v>322.14100000000002</v>
      </c>
      <c r="BF85" s="37">
        <v>620.34400000000005</v>
      </c>
      <c r="BG85" s="37">
        <v>4.4550000000000001</v>
      </c>
      <c r="BH85" s="38">
        <v>11.86</v>
      </c>
      <c r="BI85" s="37">
        <v>259.3</v>
      </c>
      <c r="BJ85" s="38">
        <v>441.28</v>
      </c>
      <c r="BK85" s="37">
        <v>165.166</v>
      </c>
      <c r="BL85" s="37">
        <v>350.97800000000001</v>
      </c>
      <c r="BM85" s="37"/>
      <c r="BN85" s="34"/>
      <c r="BO85" s="746">
        <v>1</v>
      </c>
      <c r="BP85" s="37">
        <v>572</v>
      </c>
      <c r="BQ85" s="37">
        <v>67.5</v>
      </c>
      <c r="BR85" s="37">
        <v>98.07</v>
      </c>
      <c r="BS85" s="37">
        <v>614.71699999999998</v>
      </c>
      <c r="BT85" s="106" t="s">
        <v>1902</v>
      </c>
      <c r="BU85" s="37">
        <v>6.2240000000000002</v>
      </c>
      <c r="BV85" s="37">
        <v>562.70799999999997</v>
      </c>
      <c r="BW85" s="37">
        <v>387.50299999999999</v>
      </c>
      <c r="BX85" s="29">
        <v>8.8740000000000006</v>
      </c>
      <c r="BY85" s="663"/>
      <c r="BZ85" s="663"/>
      <c r="CA85" s="37" t="s">
        <v>481</v>
      </c>
      <c r="CB85" s="68">
        <v>182.94900000000001</v>
      </c>
      <c r="CC85" s="37">
        <v>12.776999999999999</v>
      </c>
      <c r="CD85" s="52">
        <v>852.08</v>
      </c>
      <c r="CE85" s="37">
        <v>164.55799999999999</v>
      </c>
      <c r="CF85" s="52">
        <v>63.066000000000003</v>
      </c>
      <c r="CG85" s="729">
        <v>27.47</v>
      </c>
      <c r="CH85" s="37">
        <v>62.435000000000002</v>
      </c>
      <c r="CI85" s="37">
        <v>37.027999999999999</v>
      </c>
      <c r="CJ85" s="37">
        <v>57.978000000000002</v>
      </c>
      <c r="CK85" s="37">
        <v>32.816000000000003</v>
      </c>
      <c r="CL85" s="37">
        <v>117.226</v>
      </c>
      <c r="CM85" s="116">
        <v>450.1</v>
      </c>
      <c r="CN85" s="37">
        <v>52.825000000000003</v>
      </c>
      <c r="CO85" s="37" t="s">
        <v>3007</v>
      </c>
      <c r="CP85" s="37">
        <v>27.533000000000001</v>
      </c>
      <c r="CQ85" s="37">
        <v>1.42</v>
      </c>
      <c r="CR85" s="131">
        <v>229.89699999999999</v>
      </c>
      <c r="CS85" s="37">
        <v>0.76900000000000002</v>
      </c>
      <c r="CT85" s="34">
        <f>CT82/CT86</f>
        <v>0.81002868921147619</v>
      </c>
      <c r="CU85" s="37">
        <v>7.2009999999999996</v>
      </c>
      <c r="CV85" s="663"/>
      <c r="CW85" s="37" t="s">
        <v>656</v>
      </c>
      <c r="CX85" s="700">
        <v>92.963999999999999</v>
      </c>
      <c r="CY85" s="37">
        <v>65.828999999999994</v>
      </c>
      <c r="CZ85" s="37">
        <v>105.553</v>
      </c>
      <c r="DA85" s="52">
        <v>687.27099999999996</v>
      </c>
      <c r="DB85" s="76">
        <v>510</v>
      </c>
      <c r="DC85" s="37" t="s">
        <v>656</v>
      </c>
      <c r="DD85" s="37">
        <v>3.5379999999999998</v>
      </c>
      <c r="DE85" s="37">
        <v>418.30500000000001</v>
      </c>
      <c r="DF85" s="37">
        <v>80.361999999999995</v>
      </c>
      <c r="DG85" s="131">
        <v>2176.4380000000001</v>
      </c>
      <c r="DH85" s="37">
        <v>4</v>
      </c>
      <c r="DI85" s="131">
        <v>20.515000000000001</v>
      </c>
      <c r="DJ85" s="666">
        <v>423.4</v>
      </c>
      <c r="DK85" s="747">
        <v>6.9</v>
      </c>
      <c r="DL85" s="131">
        <v>1856.134</v>
      </c>
      <c r="DM85" s="131">
        <v>658.5</v>
      </c>
      <c r="DN85" s="37" t="s">
        <v>656</v>
      </c>
      <c r="DO85" s="37" t="s">
        <v>656</v>
      </c>
      <c r="DP85" s="37">
        <v>928.62800000000004</v>
      </c>
      <c r="DQ85" s="37">
        <v>0.52500000000000002</v>
      </c>
      <c r="DR85" s="52">
        <v>3320.1729999999998</v>
      </c>
      <c r="DS85" s="36">
        <v>13500</v>
      </c>
      <c r="DT85" s="37">
        <v>1.5</v>
      </c>
      <c r="DU85" s="37">
        <v>2</v>
      </c>
      <c r="DV85" s="29">
        <f>786.661+66.362+1.923</f>
        <v>854.94599999999991</v>
      </c>
      <c r="DW85" s="37">
        <v>856.62099999999998</v>
      </c>
      <c r="DX85" s="37">
        <v>0.378</v>
      </c>
      <c r="DY85" s="38">
        <v>837.9</v>
      </c>
      <c r="DZ85" s="37">
        <v>2.9220000000000002</v>
      </c>
      <c r="EA85" s="37">
        <v>54.585999999999999</v>
      </c>
      <c r="EB85" s="37">
        <v>1108.1020000000001</v>
      </c>
      <c r="EC85" s="37">
        <v>192.1</v>
      </c>
      <c r="ED85" s="37">
        <v>36.93</v>
      </c>
      <c r="EE85" s="37">
        <v>68.045000000000002</v>
      </c>
      <c r="EF85" s="37" t="s">
        <v>3653</v>
      </c>
      <c r="EG85" s="663"/>
      <c r="EH85" s="675">
        <v>9.7560000000000002</v>
      </c>
      <c r="EI85" s="675">
        <v>238.596</v>
      </c>
      <c r="EJ85" s="675">
        <v>151.02699999999999</v>
      </c>
      <c r="EK85" s="37" t="s">
        <v>481</v>
      </c>
      <c r="EL85" s="37"/>
      <c r="EM85" s="675">
        <v>110.69799999999999</v>
      </c>
      <c r="EN85" s="68">
        <v>297</v>
      </c>
      <c r="EO85" s="37">
        <v>75.563999999999993</v>
      </c>
      <c r="EP85" s="37">
        <v>82.816000000000003</v>
      </c>
      <c r="EQ85" s="37">
        <v>92.6</v>
      </c>
      <c r="ER85" s="41" t="s">
        <v>1560</v>
      </c>
      <c r="ES85" s="663"/>
      <c r="ET85" s="37">
        <v>1702.24</v>
      </c>
      <c r="EU85" s="169">
        <v>805.6</v>
      </c>
      <c r="EV85" s="748">
        <v>3135.3939999999998</v>
      </c>
      <c r="EW85" s="37">
        <v>21.643000000000001</v>
      </c>
      <c r="EX85" s="37">
        <f>429.195+340</f>
        <v>769.19499999999994</v>
      </c>
      <c r="EY85" s="37">
        <v>37.231999999999999</v>
      </c>
      <c r="EZ85" s="663"/>
      <c r="FA85" s="37">
        <v>807.04</v>
      </c>
    </row>
    <row r="86" spans="1:157" ht="409.6" x14ac:dyDescent="0.2">
      <c r="A86" s="1205"/>
      <c r="B86" s="1206"/>
      <c r="C86" s="1208" t="s">
        <v>179</v>
      </c>
      <c r="D86" s="1204" t="s">
        <v>180</v>
      </c>
      <c r="E86" s="185" t="s">
        <v>15</v>
      </c>
      <c r="F86" s="29" t="s">
        <v>1003</v>
      </c>
      <c r="G86" s="29" t="s">
        <v>1031</v>
      </c>
      <c r="H86" s="662" t="s">
        <v>3592</v>
      </c>
      <c r="I86" s="29" t="s">
        <v>1031</v>
      </c>
      <c r="J86" s="29" t="s">
        <v>2025</v>
      </c>
      <c r="K86" s="29"/>
      <c r="L86" s="29" t="s">
        <v>683</v>
      </c>
      <c r="M86" s="29" t="s">
        <v>3296</v>
      </c>
      <c r="N86" s="50" t="s">
        <v>656</v>
      </c>
      <c r="O86" s="54" t="s">
        <v>1482</v>
      </c>
      <c r="P86" s="60" t="s">
        <v>656</v>
      </c>
      <c r="Q86" s="29" t="s">
        <v>1506</v>
      </c>
      <c r="R86" s="29" t="s">
        <v>656</v>
      </c>
      <c r="S86" s="29" t="s">
        <v>1530</v>
      </c>
      <c r="T86" s="29" t="s">
        <v>1900</v>
      </c>
      <c r="U86" s="29" t="s">
        <v>1935</v>
      </c>
      <c r="V86" s="29" t="s">
        <v>1935</v>
      </c>
      <c r="W86" s="29" t="s">
        <v>536</v>
      </c>
      <c r="X86" s="29" t="s">
        <v>3623</v>
      </c>
      <c r="Y86" s="29" t="s">
        <v>849</v>
      </c>
      <c r="Z86" s="29" t="s">
        <v>878</v>
      </c>
      <c r="AA86" s="29" t="s">
        <v>903</v>
      </c>
      <c r="AB86" s="29"/>
      <c r="AC86" s="29"/>
      <c r="AD86" s="29" t="s">
        <v>662</v>
      </c>
      <c r="AE86" s="662" t="s">
        <v>772</v>
      </c>
      <c r="AF86" s="54" t="s">
        <v>798</v>
      </c>
      <c r="AG86" s="29" t="s">
        <v>826</v>
      </c>
      <c r="AH86" s="29"/>
      <c r="AI86" s="29"/>
      <c r="AJ86" s="29" t="s">
        <v>957</v>
      </c>
      <c r="AK86" s="663"/>
      <c r="AL86" s="29" t="s">
        <v>656</v>
      </c>
      <c r="AM86" s="29" t="s">
        <v>1924</v>
      </c>
      <c r="AN86" s="29" t="s">
        <v>3514</v>
      </c>
      <c r="AO86" s="29" t="s">
        <v>1362</v>
      </c>
      <c r="AP86" s="663"/>
      <c r="AQ86" s="48" t="s">
        <v>635</v>
      </c>
      <c r="AR86" s="663"/>
      <c r="AS86" s="29" t="s">
        <v>1967</v>
      </c>
      <c r="AT86" s="36"/>
      <c r="AU86" s="29"/>
      <c r="AV86" s="29" t="s">
        <v>724</v>
      </c>
      <c r="AW86" s="29" t="s">
        <v>2059</v>
      </c>
      <c r="AX86" s="663"/>
      <c r="AY86" s="663"/>
      <c r="AZ86" s="29" t="s">
        <v>1742</v>
      </c>
      <c r="BA86" s="29" t="s">
        <v>1742</v>
      </c>
      <c r="BB86" s="29" t="s">
        <v>1742</v>
      </c>
      <c r="BC86" s="29" t="s">
        <v>975</v>
      </c>
      <c r="BD86" s="29"/>
      <c r="BE86" s="29" t="s">
        <v>1839</v>
      </c>
      <c r="BF86" s="29" t="s">
        <v>1683</v>
      </c>
      <c r="BG86" s="29" t="s">
        <v>470</v>
      </c>
      <c r="BH86" s="29" t="s">
        <v>1072</v>
      </c>
      <c r="BI86" s="29" t="s">
        <v>1072</v>
      </c>
      <c r="BJ86" s="29" t="s">
        <v>1112</v>
      </c>
      <c r="BK86" s="29" t="s">
        <v>1717</v>
      </c>
      <c r="BL86" s="29" t="s">
        <v>2105</v>
      </c>
      <c r="BM86" s="29"/>
      <c r="BN86" s="29"/>
      <c r="BO86" s="186"/>
      <c r="BP86" s="29" t="s">
        <v>562</v>
      </c>
      <c r="BQ86" s="29" t="s">
        <v>3037</v>
      </c>
      <c r="BR86" s="29" t="s">
        <v>2137</v>
      </c>
      <c r="BS86" s="29" t="s">
        <v>2166</v>
      </c>
      <c r="BT86" s="54" t="s">
        <v>470</v>
      </c>
      <c r="BU86" s="32" t="s">
        <v>617</v>
      </c>
      <c r="BV86" s="29" t="s">
        <v>2947</v>
      </c>
      <c r="BW86" s="29" t="s">
        <v>3006</v>
      </c>
      <c r="BX86" s="29" t="s">
        <v>2982</v>
      </c>
      <c r="BY86" s="663"/>
      <c r="BZ86" s="663"/>
      <c r="CA86" s="29"/>
      <c r="CB86" s="48" t="s">
        <v>1125</v>
      </c>
      <c r="CC86" s="29" t="s">
        <v>1155</v>
      </c>
      <c r="CD86" s="29" t="s">
        <v>2187</v>
      </c>
      <c r="CE86" s="29" t="s">
        <v>1207</v>
      </c>
      <c r="CF86" s="52"/>
      <c r="CG86" s="729"/>
      <c r="CH86" s="29" t="s">
        <v>1265</v>
      </c>
      <c r="CI86" s="29" t="s">
        <v>1287</v>
      </c>
      <c r="CJ86" s="29" t="s">
        <v>1304</v>
      </c>
      <c r="CK86" s="29" t="s">
        <v>1318</v>
      </c>
      <c r="CL86" s="29" t="s">
        <v>1335</v>
      </c>
      <c r="CM86" s="110" t="s">
        <v>1176</v>
      </c>
      <c r="CN86" s="29" t="s">
        <v>470</v>
      </c>
      <c r="CO86" s="29" t="s">
        <v>470</v>
      </c>
      <c r="CP86" s="29" t="s">
        <v>470</v>
      </c>
      <c r="CQ86" s="29" t="s">
        <v>470</v>
      </c>
      <c r="CR86" s="127" t="s">
        <v>1394</v>
      </c>
      <c r="CS86" s="29" t="s">
        <v>3097</v>
      </c>
      <c r="CT86" s="37">
        <v>710.02300000000002</v>
      </c>
      <c r="CU86" s="29"/>
      <c r="CV86" s="663"/>
      <c r="CW86" s="29" t="s">
        <v>3068</v>
      </c>
      <c r="CX86" s="664" t="s">
        <v>3246</v>
      </c>
      <c r="CY86" s="29" t="s">
        <v>1455</v>
      </c>
      <c r="CZ86" s="29" t="s">
        <v>1455</v>
      </c>
      <c r="DA86" s="29" t="s">
        <v>2890</v>
      </c>
      <c r="DB86" s="29" t="s">
        <v>2843</v>
      </c>
      <c r="DC86" s="29" t="s">
        <v>656</v>
      </c>
      <c r="DD86" s="29" t="s">
        <v>470</v>
      </c>
      <c r="DE86" s="29" t="s">
        <v>2618</v>
      </c>
      <c r="DF86" s="29" t="s">
        <v>3320</v>
      </c>
      <c r="DG86" s="127" t="s">
        <v>2695</v>
      </c>
      <c r="DH86" s="29" t="s">
        <v>2753</v>
      </c>
      <c r="DI86" s="127" t="s">
        <v>2722</v>
      </c>
      <c r="DJ86" s="666" t="s">
        <v>2785</v>
      </c>
      <c r="DK86" s="737" t="s">
        <v>2825</v>
      </c>
      <c r="DL86" s="127" t="s">
        <v>2807</v>
      </c>
      <c r="DM86" s="127" t="s">
        <v>584</v>
      </c>
      <c r="DN86" s="29" t="s">
        <v>976</v>
      </c>
      <c r="DO86" s="29" t="s">
        <v>976</v>
      </c>
      <c r="DP86" s="29" t="s">
        <v>2521</v>
      </c>
      <c r="DQ86" s="29" t="s">
        <v>2590</v>
      </c>
      <c r="DR86" s="29" t="s">
        <v>2558</v>
      </c>
      <c r="DS86" s="29" t="s">
        <v>705</v>
      </c>
      <c r="DT86" s="29"/>
      <c r="DU86" s="29" t="s">
        <v>482</v>
      </c>
      <c r="DV86" s="29" t="s">
        <v>2488</v>
      </c>
      <c r="DW86" s="29" t="s">
        <v>2413</v>
      </c>
      <c r="DX86" s="29" t="s">
        <v>539</v>
      </c>
      <c r="DY86" s="29" t="s">
        <v>2470</v>
      </c>
      <c r="DZ86" s="29" t="s">
        <v>539</v>
      </c>
      <c r="EA86" s="29" t="s">
        <v>2432</v>
      </c>
      <c r="EB86" s="29" t="s">
        <v>2931</v>
      </c>
      <c r="EC86" s="29" t="s">
        <v>3422</v>
      </c>
      <c r="ED86" s="29" t="s">
        <v>3450</v>
      </c>
      <c r="EE86" s="29" t="s">
        <v>508</v>
      </c>
      <c r="EF86" s="29" t="s">
        <v>3654</v>
      </c>
      <c r="EG86" s="663"/>
      <c r="EH86" s="733" t="s">
        <v>2350</v>
      </c>
      <c r="EI86" s="186" t="s">
        <v>2395</v>
      </c>
      <c r="EJ86" s="186" t="s">
        <v>2371</v>
      </c>
      <c r="EK86" s="29"/>
      <c r="EL86" s="29"/>
      <c r="EM86" s="186" t="s">
        <v>2213</v>
      </c>
      <c r="EN86" s="29" t="s">
        <v>2241</v>
      </c>
      <c r="EO86" s="29" t="s">
        <v>2268</v>
      </c>
      <c r="EP86" s="29" t="s">
        <v>1558</v>
      </c>
      <c r="EQ86" s="29" t="s">
        <v>1654</v>
      </c>
      <c r="ER86" s="29" t="s">
        <v>470</v>
      </c>
      <c r="ES86" s="663"/>
      <c r="ET86" s="29" t="s">
        <v>470</v>
      </c>
      <c r="EU86" s="176" t="s">
        <v>3373</v>
      </c>
      <c r="EV86" s="662" t="s">
        <v>1588</v>
      </c>
      <c r="EW86" s="29" t="s">
        <v>747</v>
      </c>
      <c r="EX86" s="169" t="s">
        <v>1428</v>
      </c>
      <c r="EY86" s="29" t="s">
        <v>2082</v>
      </c>
      <c r="EZ86" s="663"/>
      <c r="FA86" s="29" t="s">
        <v>1623</v>
      </c>
    </row>
    <row r="87" spans="1:157" ht="323" customHeight="1" x14ac:dyDescent="0.2">
      <c r="A87" s="1205"/>
      <c r="B87" s="1206"/>
      <c r="C87" s="1208"/>
      <c r="D87" s="1204"/>
      <c r="E87" s="185" t="s">
        <v>34</v>
      </c>
      <c r="F87" s="29" t="s">
        <v>1004</v>
      </c>
      <c r="G87" s="29" t="s">
        <v>1032</v>
      </c>
      <c r="H87" s="662"/>
      <c r="I87" s="29" t="s">
        <v>1032</v>
      </c>
      <c r="J87" s="29" t="s">
        <v>656</v>
      </c>
      <c r="K87" s="29"/>
      <c r="L87" s="29"/>
      <c r="M87" s="29"/>
      <c r="N87" s="50" t="s">
        <v>656</v>
      </c>
      <c r="O87" s="54" t="s">
        <v>1482</v>
      </c>
      <c r="P87" s="60" t="s">
        <v>656</v>
      </c>
      <c r="Q87" s="29" t="s">
        <v>539</v>
      </c>
      <c r="R87" s="29" t="s">
        <v>656</v>
      </c>
      <c r="S87" s="29" t="s">
        <v>656</v>
      </c>
      <c r="T87" s="32" t="s">
        <v>1901</v>
      </c>
      <c r="U87" s="29" t="s">
        <v>1924</v>
      </c>
      <c r="V87" s="29" t="s">
        <v>1924</v>
      </c>
      <c r="W87" s="29" t="s">
        <v>537</v>
      </c>
      <c r="X87" s="29"/>
      <c r="Y87" s="29"/>
      <c r="Z87" s="29"/>
      <c r="AA87" s="29"/>
      <c r="AB87" s="32"/>
      <c r="AC87" s="32"/>
      <c r="AD87" s="728" t="s">
        <v>655</v>
      </c>
      <c r="AE87" s="662"/>
      <c r="AF87" s="29"/>
      <c r="AG87" s="29" t="s">
        <v>656</v>
      </c>
      <c r="AH87" s="29"/>
      <c r="AI87" s="29"/>
      <c r="AJ87" s="29"/>
      <c r="AK87" s="663"/>
      <c r="AL87" s="29"/>
      <c r="AM87" s="29"/>
      <c r="AN87" s="29" t="s">
        <v>656</v>
      </c>
      <c r="AO87" s="32" t="s">
        <v>1355</v>
      </c>
      <c r="AP87" s="663"/>
      <c r="AQ87" s="29"/>
      <c r="AR87" s="663"/>
      <c r="AS87" s="29"/>
      <c r="AT87" s="36"/>
      <c r="AU87" s="29"/>
      <c r="AV87" s="32" t="s">
        <v>719</v>
      </c>
      <c r="AW87" s="60"/>
      <c r="AX87" s="663"/>
      <c r="AY87" s="663"/>
      <c r="AZ87" s="29" t="s">
        <v>656</v>
      </c>
      <c r="BA87" s="29" t="s">
        <v>656</v>
      </c>
      <c r="BB87" s="29" t="s">
        <v>656</v>
      </c>
      <c r="BC87" s="29" t="s">
        <v>976</v>
      </c>
      <c r="BD87" s="29"/>
      <c r="BE87" s="29"/>
      <c r="BF87" s="29"/>
      <c r="BG87" s="29" t="s">
        <v>470</v>
      </c>
      <c r="BH87" s="135" t="s">
        <v>656</v>
      </c>
      <c r="BI87" s="29" t="s">
        <v>656</v>
      </c>
      <c r="BJ87" s="29" t="s">
        <v>656</v>
      </c>
      <c r="BK87" s="29"/>
      <c r="BL87" s="29"/>
      <c r="BM87" s="29"/>
      <c r="BN87" s="29"/>
      <c r="BO87" s="186"/>
      <c r="BP87" s="29" t="s">
        <v>470</v>
      </c>
      <c r="BQ87" s="32" t="s">
        <v>3038</v>
      </c>
      <c r="BR87" s="29" t="s">
        <v>656</v>
      </c>
      <c r="BS87" s="102" t="s">
        <v>2167</v>
      </c>
      <c r="BT87" s="54" t="s">
        <v>656</v>
      </c>
      <c r="BU87" s="29" t="s">
        <v>618</v>
      </c>
      <c r="BV87" s="32" t="s">
        <v>2948</v>
      </c>
      <c r="BW87" s="29" t="s">
        <v>3001</v>
      </c>
      <c r="BX87" s="29"/>
      <c r="BY87" s="663"/>
      <c r="BZ87" s="663"/>
      <c r="CA87" s="29"/>
      <c r="CB87" s="48" t="s">
        <v>1126</v>
      </c>
      <c r="CC87" s="29" t="s">
        <v>470</v>
      </c>
      <c r="CD87" s="29"/>
      <c r="CE87" s="32" t="s">
        <v>1208</v>
      </c>
      <c r="CF87" s="54" t="s">
        <v>1240</v>
      </c>
      <c r="CG87" s="695" t="s">
        <v>1254</v>
      </c>
      <c r="CH87" s="32" t="s">
        <v>1259</v>
      </c>
      <c r="CI87" s="32" t="s">
        <v>1282</v>
      </c>
      <c r="CJ87" s="32" t="s">
        <v>1282</v>
      </c>
      <c r="CK87" s="32" t="s">
        <v>1319</v>
      </c>
      <c r="CL87" s="32" t="s">
        <v>1331</v>
      </c>
      <c r="CM87" s="110" t="s">
        <v>539</v>
      </c>
      <c r="CN87" s="29" t="s">
        <v>470</v>
      </c>
      <c r="CO87" s="29" t="s">
        <v>470</v>
      </c>
      <c r="CP87" s="29" t="s">
        <v>470</v>
      </c>
      <c r="CQ87" s="29" t="s">
        <v>3179</v>
      </c>
      <c r="CR87" s="127"/>
      <c r="CS87" s="29"/>
      <c r="CT87" s="41" t="s">
        <v>3098</v>
      </c>
      <c r="CU87" s="29"/>
      <c r="CV87" s="663"/>
      <c r="CW87" s="29" t="s">
        <v>656</v>
      </c>
      <c r="CX87" s="687" t="s">
        <v>3247</v>
      </c>
      <c r="CY87" s="29" t="s">
        <v>1447</v>
      </c>
      <c r="CZ87" s="29" t="s">
        <v>1447</v>
      </c>
      <c r="DA87" s="29" t="s">
        <v>1482</v>
      </c>
      <c r="DB87" s="29" t="s">
        <v>1924</v>
      </c>
      <c r="DC87" s="29" t="s">
        <v>656</v>
      </c>
      <c r="DD87" s="29" t="s">
        <v>470</v>
      </c>
      <c r="DE87" s="32" t="s">
        <v>2619</v>
      </c>
      <c r="DF87" s="29"/>
      <c r="DG87" s="127" t="s">
        <v>2696</v>
      </c>
      <c r="DH87" s="665"/>
      <c r="DI87" s="749" t="s">
        <v>2723</v>
      </c>
      <c r="DJ87" s="666"/>
      <c r="DK87" s="667"/>
      <c r="DL87" s="750" t="s">
        <v>2808</v>
      </c>
      <c r="DM87" s="127" t="s">
        <v>579</v>
      </c>
      <c r="DN87" s="29" t="s">
        <v>656</v>
      </c>
      <c r="DO87" s="29" t="s">
        <v>656</v>
      </c>
      <c r="DP87" s="29"/>
      <c r="DQ87" s="29"/>
      <c r="DR87" s="29"/>
      <c r="DS87" s="29" t="s">
        <v>656</v>
      </c>
      <c r="DT87" s="29"/>
      <c r="DU87" s="29" t="s">
        <v>470</v>
      </c>
      <c r="DV87" s="29" t="s">
        <v>656</v>
      </c>
      <c r="DW87" s="54"/>
      <c r="DX87" s="29"/>
      <c r="DY87" s="29"/>
      <c r="DZ87" s="29"/>
      <c r="EA87" s="57" t="s">
        <v>2405</v>
      </c>
      <c r="EB87" s="29"/>
      <c r="EC87" s="29" t="s">
        <v>1447</v>
      </c>
      <c r="ED87" s="29"/>
      <c r="EE87" s="57" t="s">
        <v>509</v>
      </c>
      <c r="EF87" s="29" t="s">
        <v>470</v>
      </c>
      <c r="EG87" s="663"/>
      <c r="EH87" s="733" t="s">
        <v>656</v>
      </c>
      <c r="EI87" s="186" t="s">
        <v>656</v>
      </c>
      <c r="EJ87" s="186" t="s">
        <v>656</v>
      </c>
      <c r="EK87" s="29"/>
      <c r="EL87" s="29"/>
      <c r="EM87" s="186" t="s">
        <v>2214</v>
      </c>
      <c r="EN87" s="29" t="s">
        <v>2242</v>
      </c>
      <c r="EO87" s="57" t="s">
        <v>2269</v>
      </c>
      <c r="EP87" s="29" t="s">
        <v>1559</v>
      </c>
      <c r="EQ87" s="29"/>
      <c r="ER87" s="29"/>
      <c r="ES87" s="663"/>
      <c r="ET87" s="29" t="s">
        <v>470</v>
      </c>
      <c r="EU87" s="169" t="s">
        <v>470</v>
      </c>
      <c r="EV87" s="662" t="s">
        <v>656</v>
      </c>
      <c r="EW87" s="29"/>
      <c r="EX87" s="54" t="s">
        <v>656</v>
      </c>
      <c r="EY87" s="29" t="s">
        <v>656</v>
      </c>
      <c r="EZ87" s="663"/>
      <c r="FA87" s="29" t="s">
        <v>656</v>
      </c>
    </row>
    <row r="88" spans="1:157" ht="68" x14ac:dyDescent="0.2">
      <c r="A88" s="1205"/>
      <c r="B88" s="1206"/>
      <c r="C88" s="167" t="s">
        <v>181</v>
      </c>
      <c r="D88" s="168" t="s">
        <v>182</v>
      </c>
      <c r="E88" s="185" t="s">
        <v>64</v>
      </c>
      <c r="F88" s="34">
        <v>0.18390000000000001</v>
      </c>
      <c r="G88" s="34">
        <v>1.9647136880018415E-2</v>
      </c>
      <c r="H88" s="160">
        <v>6.4000000000000003E-3</v>
      </c>
      <c r="I88" s="34">
        <v>0.54</v>
      </c>
      <c r="J88" s="34">
        <v>0.156</v>
      </c>
      <c r="K88" s="34"/>
      <c r="L88" s="34">
        <v>0.1143</v>
      </c>
      <c r="M88" s="34"/>
      <c r="N88" s="50" t="s">
        <v>656</v>
      </c>
      <c r="O88" s="37" t="s">
        <v>1481</v>
      </c>
      <c r="P88" s="34">
        <f>P85/P89</f>
        <v>7.8892937542357911E-4</v>
      </c>
      <c r="Q88" s="34">
        <f>Q85/Q89</f>
        <v>1.3503205697692918E-2</v>
      </c>
      <c r="R88" s="34">
        <f>R85/R89</f>
        <v>8.1053450453988773E-3</v>
      </c>
      <c r="S88" s="34">
        <f>S85/S89</f>
        <v>0.21252945959559794</v>
      </c>
      <c r="T88" s="34">
        <f>T85/T89</f>
        <v>0.47186205226799688</v>
      </c>
      <c r="U88" s="34" t="s">
        <v>1936</v>
      </c>
      <c r="V88" s="34">
        <v>6.6E-3</v>
      </c>
      <c r="W88" s="34">
        <v>0.25679999999999997</v>
      </c>
      <c r="X88" s="34">
        <v>0.2646</v>
      </c>
      <c r="Y88" s="34">
        <v>0.79200000000000004</v>
      </c>
      <c r="Z88" s="34">
        <f>Z85/Z89</f>
        <v>2.316004348552006E-2</v>
      </c>
      <c r="AA88" s="34">
        <v>0.36099999999999999</v>
      </c>
      <c r="AB88" s="34"/>
      <c r="AC88" s="34"/>
      <c r="AD88" s="69">
        <f>AD85/AD89</f>
        <v>0.11999922700153898</v>
      </c>
      <c r="AE88" s="160">
        <v>0.61519999999999997</v>
      </c>
      <c r="AF88" s="63">
        <f>AF85/2287.7</f>
        <v>0.22197884337981383</v>
      </c>
      <c r="AG88" s="34">
        <f>AG85/AG89</f>
        <v>0.15032367996597354</v>
      </c>
      <c r="AH88" s="34"/>
      <c r="AI88" s="34"/>
      <c r="AJ88" s="34"/>
      <c r="AK88" s="663"/>
      <c r="AL88" s="34">
        <v>0.49</v>
      </c>
      <c r="AM88" s="34">
        <f>AM85/AM89</f>
        <v>0.66024628653569717</v>
      </c>
      <c r="AN88" s="34">
        <f>AN85/AN89</f>
        <v>3.4575946334451367E-3</v>
      </c>
      <c r="AO88" s="34">
        <v>0.52500000000000002</v>
      </c>
      <c r="AP88" s="663"/>
      <c r="AQ88" s="49">
        <v>0.71899999999999997</v>
      </c>
      <c r="AR88" s="663"/>
      <c r="AS88" s="34">
        <f>3.643/4.288</f>
        <v>0.84958022388059695</v>
      </c>
      <c r="AT88" s="36"/>
      <c r="AU88" s="34"/>
      <c r="AV88" s="49">
        <f>AV85/AV89</f>
        <v>0.1912188709123232</v>
      </c>
      <c r="AW88" s="34">
        <v>0.44330000000000003</v>
      </c>
      <c r="AX88" s="663"/>
      <c r="AY88" s="663"/>
      <c r="AZ88" s="34">
        <f>AZ85/AZ89</f>
        <v>0.68739865120860799</v>
      </c>
      <c r="BA88" s="34">
        <f>BA85/BA89</f>
        <v>0.20989808289762826</v>
      </c>
      <c r="BB88" s="34">
        <f>BB85/BB89</f>
        <v>0.20838069258164735</v>
      </c>
      <c r="BC88" s="45">
        <v>0.6996</v>
      </c>
      <c r="BD88" s="34"/>
      <c r="BE88" s="34">
        <v>0.26079999999999998</v>
      </c>
      <c r="BF88" s="34">
        <v>0.84470000000000001</v>
      </c>
      <c r="BG88" s="34">
        <f>BG85/BG89</f>
        <v>7.1765016688789523E-3</v>
      </c>
      <c r="BH88" s="34">
        <f>BH85/BH89</f>
        <v>1.9105120043300644E-2</v>
      </c>
      <c r="BI88" s="34">
        <f>BI85/BI89</f>
        <v>0.41770300398211274</v>
      </c>
      <c r="BJ88" s="34">
        <f>BJ85/BJ89</f>
        <v>0.71085222366844081</v>
      </c>
      <c r="BK88" s="34">
        <v>2.8400000000000002E-2</v>
      </c>
      <c r="BL88" s="34">
        <f>BL85/BL89</f>
        <v>0.12318609391018925</v>
      </c>
      <c r="BM88" s="34"/>
      <c r="BN88" s="29"/>
      <c r="BO88" s="704">
        <v>1.1999999999999999E-3</v>
      </c>
      <c r="BP88" s="34">
        <v>0.52790000000000004</v>
      </c>
      <c r="BQ88" s="34">
        <f>BQ85/BQ89</f>
        <v>3.5593887975751859E-2</v>
      </c>
      <c r="BR88" s="34">
        <v>5.1299999999999998E-2</v>
      </c>
      <c r="BS88" s="34">
        <v>0.32200000000000001</v>
      </c>
      <c r="BT88" s="54" t="s">
        <v>656</v>
      </c>
      <c r="BU88" s="34">
        <v>4.5100000000000001E-2</v>
      </c>
      <c r="BV88" s="34">
        <v>0.83799999999999997</v>
      </c>
      <c r="BW88" s="34">
        <v>0.5746</v>
      </c>
      <c r="BX88" s="34">
        <f>BX85/BX89</f>
        <v>1.3216075537452248E-2</v>
      </c>
      <c r="BY88" s="663"/>
      <c r="BZ88" s="663"/>
      <c r="CA88" s="34"/>
      <c r="CB88" s="49">
        <v>0.2525</v>
      </c>
      <c r="CC88" s="34">
        <v>0.28689999999999999</v>
      </c>
      <c r="CD88" s="34">
        <v>0.27089999999999997</v>
      </c>
      <c r="CE88" s="34">
        <v>0.28075389547349999</v>
      </c>
      <c r="CF88" s="54" t="s">
        <v>1241</v>
      </c>
      <c r="CG88" s="695" t="s">
        <v>1241</v>
      </c>
      <c r="CH88" s="34">
        <v>0.1065</v>
      </c>
      <c r="CI88" s="34">
        <v>6.5199999999999994E-2</v>
      </c>
      <c r="CJ88" s="34">
        <v>9.8900000000000002E-2</v>
      </c>
      <c r="CK88" s="34">
        <v>5.5987675068099998E-2</v>
      </c>
      <c r="CL88" s="34">
        <v>0.2</v>
      </c>
      <c r="CM88" s="113">
        <f>CM85/CM89</f>
        <v>0.4724467303453343</v>
      </c>
      <c r="CN88" s="34">
        <v>2.8500000000000001E-2</v>
      </c>
      <c r="CO88" s="34" t="s">
        <v>470</v>
      </c>
      <c r="CP88" s="34">
        <f>CP85/CP89</f>
        <v>1.4870645422630301E-2</v>
      </c>
      <c r="CQ88" s="34">
        <f>CQ85/CQ89</f>
        <v>7.6694571968674043E-4</v>
      </c>
      <c r="CR88" s="130">
        <f>CR85/CR89</f>
        <v>0.12485058735935117</v>
      </c>
      <c r="CS88" s="34">
        <f>CS85/CS89</f>
        <v>1.0830635063934549E-3</v>
      </c>
      <c r="CT88" s="29" t="s">
        <v>470</v>
      </c>
      <c r="CU88" s="34">
        <f>CU85/CU89</f>
        <v>1.0141924979895016E-2</v>
      </c>
      <c r="CV88" s="663"/>
      <c r="CW88" s="34" t="s">
        <v>656</v>
      </c>
      <c r="CX88" s="751">
        <v>5.0500000000000003E-2</v>
      </c>
      <c r="CY88" s="34">
        <v>0.10732899999999999</v>
      </c>
      <c r="CZ88" s="34">
        <v>0.17208999999999999</v>
      </c>
      <c r="DA88" s="34">
        <f>SUM(DA85/DA89)</f>
        <v>0.16545744184249317</v>
      </c>
      <c r="DB88" s="34">
        <v>0.47</v>
      </c>
      <c r="DC88" s="34" t="s">
        <v>656</v>
      </c>
      <c r="DD88" s="80">
        <v>0.32</v>
      </c>
      <c r="DE88" s="34">
        <f>DE85/DE89</f>
        <v>9.7999755882082137E-2</v>
      </c>
      <c r="DF88" s="34">
        <f>DF85/DF89</f>
        <v>2.5395780031753412E-2</v>
      </c>
      <c r="DG88" s="130"/>
      <c r="DH88" s="752">
        <v>7.3999999999999996E-2</v>
      </c>
      <c r="DI88" s="145">
        <v>0.381496765320261</v>
      </c>
      <c r="DJ88" s="707">
        <v>0.4113</v>
      </c>
      <c r="DK88" s="747">
        <v>0.25900000000000001</v>
      </c>
      <c r="DL88" s="130">
        <v>0.76349999999999996</v>
      </c>
      <c r="DM88" s="130">
        <v>0.65900000000000003</v>
      </c>
      <c r="DN88" s="34" t="s">
        <v>656</v>
      </c>
      <c r="DO88" s="34" t="s">
        <v>656</v>
      </c>
      <c r="DP88" s="34">
        <f>DP85/DP89</f>
        <v>0.21842741705959365</v>
      </c>
      <c r="DQ88" s="39">
        <f>DQ85/DQ89</f>
        <v>1.2348797791611566E-4</v>
      </c>
      <c r="DR88" s="34">
        <f>DR85/DR89</f>
        <v>0.7809551430508257</v>
      </c>
      <c r="DS88" s="34">
        <v>2.5999999999999999E-2</v>
      </c>
      <c r="DT88" s="34">
        <v>0.12</v>
      </c>
      <c r="DU88" s="34">
        <v>2.2000000000000001E-3</v>
      </c>
      <c r="DV88" s="153">
        <f>DV85/DV89</f>
        <v>0.29455960557528021</v>
      </c>
      <c r="DW88" s="34">
        <v>0.87480000000000002</v>
      </c>
      <c r="DX88" s="34">
        <f>DX85/DX89</f>
        <v>3.8604084475541041E-4</v>
      </c>
      <c r="DY88" s="29">
        <v>85.6</v>
      </c>
      <c r="DZ88" s="34">
        <v>3.0000000000000001E-3</v>
      </c>
      <c r="EA88" s="52">
        <v>5.57</v>
      </c>
      <c r="EB88" s="34">
        <v>0.28510000000000002</v>
      </c>
      <c r="EC88" s="34">
        <f>EC85/EC89</f>
        <v>0.15615347098032839</v>
      </c>
      <c r="ED88" s="153">
        <f>ED85/ED89</f>
        <v>3.0019509022923101E-2</v>
      </c>
      <c r="EE88" s="34">
        <f>EE85/EE89</f>
        <v>6.3694416570564183E-2</v>
      </c>
      <c r="EF88" s="34">
        <v>6.3100000000000003E-2</v>
      </c>
      <c r="EG88" s="663"/>
      <c r="EH88" s="704">
        <f>EH85/EH89/100%</f>
        <v>6.2854830853758797E-3</v>
      </c>
      <c r="EI88" s="704">
        <f>EI85/EI89/100%</f>
        <v>0.15371987722820249</v>
      </c>
      <c r="EJ88" s="704">
        <f>EJ85/EJ89/100%</f>
        <v>9.7301932547669417E-2</v>
      </c>
      <c r="EK88" s="34"/>
      <c r="EL88" s="34"/>
      <c r="EM88" s="704">
        <v>9.3700000000000006E-2</v>
      </c>
      <c r="EN88" s="34">
        <v>0.20599999999999999</v>
      </c>
      <c r="EO88" s="34">
        <v>6.2799999999999995E-2</v>
      </c>
      <c r="EP88" s="34"/>
      <c r="EQ88" s="34">
        <v>7.1199999999999999E-2</v>
      </c>
      <c r="ER88" s="29"/>
      <c r="ES88" s="663"/>
      <c r="ET88" s="34">
        <f>ET85/ET89</f>
        <v>1</v>
      </c>
      <c r="EU88" s="177">
        <f>EU85/EU89*100</f>
        <v>47.325876492151522</v>
      </c>
      <c r="EV88" s="160">
        <f>(EV85*100%)/EV89</f>
        <v>0.9171573158602937</v>
      </c>
      <c r="EW88" s="34">
        <v>1.44E-2</v>
      </c>
      <c r="EX88" s="45">
        <f>EX85/EX89</f>
        <v>0.64183610376584666</v>
      </c>
      <c r="EY88" s="34">
        <f>EY85/50.04*100%</f>
        <v>0.74404476418864907</v>
      </c>
      <c r="EZ88" s="663"/>
      <c r="FA88" s="34"/>
    </row>
    <row r="89" spans="1:157" ht="17" x14ac:dyDescent="0.2">
      <c r="A89" s="1205"/>
      <c r="B89" s="1206"/>
      <c r="C89" s="1211" t="s">
        <v>183</v>
      </c>
      <c r="D89" s="1204" t="s">
        <v>184</v>
      </c>
      <c r="E89" s="185" t="s">
        <v>178</v>
      </c>
      <c r="F89" s="37">
        <v>468190</v>
      </c>
      <c r="G89" s="37">
        <v>221.559</v>
      </c>
      <c r="H89" s="159">
        <v>221.6</v>
      </c>
      <c r="I89" s="37">
        <v>221.559</v>
      </c>
      <c r="J89" s="37">
        <v>2268.1790000000001</v>
      </c>
      <c r="K89" s="37"/>
      <c r="L89" s="38">
        <v>772.5</v>
      </c>
      <c r="M89" s="37"/>
      <c r="N89" s="52">
        <v>989.43</v>
      </c>
      <c r="O89" s="37">
        <v>4091.6210000000001</v>
      </c>
      <c r="P89" s="37">
        <v>4091.6210000000001</v>
      </c>
      <c r="Q89" s="37">
        <v>4091.6210000000001</v>
      </c>
      <c r="R89" s="37">
        <v>4091.6210000000001</v>
      </c>
      <c r="S89" s="37">
        <v>4091.6210000000001</v>
      </c>
      <c r="T89" s="37">
        <v>1536.4659999999999</v>
      </c>
      <c r="U89" s="37">
        <v>1536.4659999999999</v>
      </c>
      <c r="V89" s="37">
        <v>1536.4659999999999</v>
      </c>
      <c r="W89" s="37">
        <v>1168</v>
      </c>
      <c r="X89" s="37">
        <v>982.6</v>
      </c>
      <c r="Y89" s="37">
        <v>1323.6590000000001</v>
      </c>
      <c r="Z89" s="37">
        <v>1323.6590000000001</v>
      </c>
      <c r="AA89" s="37">
        <v>1323.6590000000001</v>
      </c>
      <c r="AB89" s="37"/>
      <c r="AC89" s="37"/>
      <c r="AD89" s="37">
        <v>1138.424</v>
      </c>
      <c r="AE89" s="159">
        <v>2287.6779999999999</v>
      </c>
      <c r="AF89" s="37">
        <v>2287.6999999999998</v>
      </c>
      <c r="AG89" s="37">
        <v>2285.2820000000002</v>
      </c>
      <c r="AH89" s="68">
        <v>3153.857</v>
      </c>
      <c r="AI89" s="37"/>
      <c r="AJ89" s="37">
        <v>3153.857</v>
      </c>
      <c r="AK89" s="663"/>
      <c r="AL89" s="37">
        <v>1043.5</v>
      </c>
      <c r="AM89" s="38">
        <v>1043.5</v>
      </c>
      <c r="AN89" s="38">
        <v>1043.5</v>
      </c>
      <c r="AO89" s="37">
        <v>976.91800000000001</v>
      </c>
      <c r="AP89" s="663"/>
      <c r="AQ89" s="68">
        <v>2357.134</v>
      </c>
      <c r="AR89" s="663"/>
      <c r="AS89" s="37">
        <v>1032.3430000000001</v>
      </c>
      <c r="AT89" s="37">
        <v>1027.6780000000001</v>
      </c>
      <c r="AU89" s="37">
        <v>1027.6780000000001</v>
      </c>
      <c r="AV89" s="68">
        <v>267.75599999999997</v>
      </c>
      <c r="AW89" s="37">
        <v>1012.8440000000001</v>
      </c>
      <c r="AX89" s="663"/>
      <c r="AY89" s="663"/>
      <c r="AZ89" s="37">
        <v>527.88</v>
      </c>
      <c r="BA89" s="37">
        <v>527.88</v>
      </c>
      <c r="BB89" s="37">
        <v>527.88</v>
      </c>
      <c r="BC89" s="37">
        <v>2604.2719999999999</v>
      </c>
      <c r="BD89" s="37"/>
      <c r="BE89" s="37">
        <v>1234.78</v>
      </c>
      <c r="BF89" s="37">
        <v>734.36300000000006</v>
      </c>
      <c r="BG89" s="38">
        <v>620.77599999999995</v>
      </c>
      <c r="BH89" s="38">
        <v>620.77599999999995</v>
      </c>
      <c r="BI89" s="38">
        <v>620.77599999999995</v>
      </c>
      <c r="BJ89" s="38">
        <v>620.77599999999995</v>
      </c>
      <c r="BK89" s="37">
        <v>5687.3779999999997</v>
      </c>
      <c r="BL89" s="37">
        <v>2849.1689999999999</v>
      </c>
      <c r="BM89" s="37">
        <v>776.66099999999994</v>
      </c>
      <c r="BN89" s="36"/>
      <c r="BO89" s="675">
        <v>805.5</v>
      </c>
      <c r="BP89" s="37">
        <v>1083.5840000000001</v>
      </c>
      <c r="BQ89" s="37">
        <v>1896.393</v>
      </c>
      <c r="BR89" s="37">
        <v>1911.586</v>
      </c>
      <c r="BS89" s="37">
        <v>1911.586</v>
      </c>
      <c r="BT89" s="55" t="s">
        <v>656</v>
      </c>
      <c r="BU89" s="37">
        <v>137.767</v>
      </c>
      <c r="BV89" s="37">
        <v>671.45500000000004</v>
      </c>
      <c r="BW89" s="37">
        <v>671.45500000000004</v>
      </c>
      <c r="BX89" s="37">
        <v>671.45500000000004</v>
      </c>
      <c r="BY89" s="663"/>
      <c r="BZ89" s="663"/>
      <c r="CA89" s="37"/>
      <c r="CB89" s="68">
        <v>724.452</v>
      </c>
      <c r="CC89" s="37">
        <v>44.54</v>
      </c>
      <c r="CD89" s="189">
        <v>3144.2539999999999</v>
      </c>
      <c r="CE89" s="37">
        <v>586.12900000000002</v>
      </c>
      <c r="CF89" s="34">
        <v>0.108</v>
      </c>
      <c r="CG89" s="160">
        <v>4.7E-2</v>
      </c>
      <c r="CH89" s="37">
        <v>586.12900000000002</v>
      </c>
      <c r="CI89" s="37">
        <v>586.12900000000002</v>
      </c>
      <c r="CJ89" s="37">
        <v>586.12900000000002</v>
      </c>
      <c r="CK89" s="37">
        <v>586.12900000000002</v>
      </c>
      <c r="CL89" s="37">
        <v>586.12900000000002</v>
      </c>
      <c r="CM89" s="116">
        <v>952.7</v>
      </c>
      <c r="CN89" s="37">
        <v>1851.5</v>
      </c>
      <c r="CO89" s="38">
        <v>1851.5</v>
      </c>
      <c r="CP89" s="38">
        <v>1851.5</v>
      </c>
      <c r="CQ89" s="37">
        <v>1851.5</v>
      </c>
      <c r="CR89" s="131">
        <v>1841.377</v>
      </c>
      <c r="CS89" s="37">
        <v>710.02300000000002</v>
      </c>
      <c r="CT89" s="29"/>
      <c r="CU89" s="37">
        <v>710.02300000000002</v>
      </c>
      <c r="CV89" s="663"/>
      <c r="CW89" s="37">
        <v>2556.8519999999999</v>
      </c>
      <c r="CX89" s="753">
        <v>1842</v>
      </c>
      <c r="CY89" s="37">
        <v>613.33600000000001</v>
      </c>
      <c r="CZ89" s="37">
        <v>613.33600000000001</v>
      </c>
      <c r="DA89" s="52">
        <v>4153.7629999999999</v>
      </c>
      <c r="DB89" s="76">
        <v>1085.152</v>
      </c>
      <c r="DC89" s="37" t="s">
        <v>656</v>
      </c>
      <c r="DD89" s="37">
        <v>1085.152</v>
      </c>
      <c r="DE89" s="37">
        <v>4268.4290000000001</v>
      </c>
      <c r="DF89" s="37">
        <v>3164.384</v>
      </c>
      <c r="DG89" s="132">
        <v>5377</v>
      </c>
      <c r="DH89" s="131">
        <v>5377.5029999999997</v>
      </c>
      <c r="DI89" s="131">
        <v>5377.5029999999997</v>
      </c>
      <c r="DJ89" s="701">
        <v>2431.0120000000002</v>
      </c>
      <c r="DK89" s="701">
        <v>2431.0120000000002</v>
      </c>
      <c r="DL89" s="701">
        <v>2431.0120000000002</v>
      </c>
      <c r="DM89" s="131">
        <v>997833</v>
      </c>
      <c r="DN89" s="37">
        <v>484.17700000000002</v>
      </c>
      <c r="DO89" s="37">
        <v>484.17700000000002</v>
      </c>
      <c r="DP89" s="37">
        <v>4251.4260000000004</v>
      </c>
      <c r="DQ89" s="37">
        <v>4251.4260000000004</v>
      </c>
      <c r="DR89" s="37">
        <v>4251.4260000000004</v>
      </c>
      <c r="DS89" s="36">
        <v>522057</v>
      </c>
      <c r="DT89" s="37">
        <v>12.45</v>
      </c>
      <c r="DU89" s="37">
        <v>909.85599999999999</v>
      </c>
      <c r="DV89" s="37">
        <v>2902.4549999999999</v>
      </c>
      <c r="DW89" s="37">
        <v>979.17100000000005</v>
      </c>
      <c r="DX89" s="37">
        <v>979.17100000000005</v>
      </c>
      <c r="DY89" s="37">
        <v>979.17100000000005</v>
      </c>
      <c r="DZ89" s="37">
        <v>979.17100000000005</v>
      </c>
      <c r="EA89" s="37">
        <v>979.17100000000005</v>
      </c>
      <c r="EB89" s="37">
        <v>3886.395</v>
      </c>
      <c r="EC89" s="37">
        <v>1230.2</v>
      </c>
      <c r="ED89" s="37">
        <v>1230.2</v>
      </c>
      <c r="EE89" s="37">
        <v>1068.3040000000001</v>
      </c>
      <c r="EF89" s="37">
        <v>1432.57</v>
      </c>
      <c r="EG89" s="663"/>
      <c r="EH89" s="186">
        <v>1552.1479999999999</v>
      </c>
      <c r="EI89" s="675">
        <v>1552.1479999999999</v>
      </c>
      <c r="EJ89" s="675">
        <v>1552.1479999999999</v>
      </c>
      <c r="EK89" s="37">
        <v>1484.46</v>
      </c>
      <c r="EL89" s="37">
        <v>1484.46</v>
      </c>
      <c r="EM89" s="675">
        <v>1181.0060000000001</v>
      </c>
      <c r="EN89" s="37">
        <v>1203.9690000000001</v>
      </c>
      <c r="EO89" s="37">
        <v>1203.9690000000001</v>
      </c>
      <c r="EP89" s="37">
        <v>1298.9780000000001</v>
      </c>
      <c r="EQ89" s="37">
        <v>1298.9780000000001</v>
      </c>
      <c r="ER89" s="36"/>
      <c r="ES89" s="663"/>
      <c r="ET89" s="37">
        <v>1702.24</v>
      </c>
      <c r="EU89" s="178">
        <v>1702.24</v>
      </c>
      <c r="EV89" s="729">
        <v>3418.6</v>
      </c>
      <c r="EW89" s="37">
        <v>1498</v>
      </c>
      <c r="EX89" s="37">
        <v>1198.4290000000001</v>
      </c>
      <c r="EY89" s="37">
        <v>50.04</v>
      </c>
      <c r="EZ89" s="663"/>
      <c r="FA89" s="37">
        <v>1227.383</v>
      </c>
    </row>
    <row r="90" spans="1:157" ht="409.6" x14ac:dyDescent="0.2">
      <c r="A90" s="1214"/>
      <c r="B90" s="1206"/>
      <c r="C90" s="1211"/>
      <c r="D90" s="1204"/>
      <c r="E90" s="185" t="s">
        <v>34</v>
      </c>
      <c r="F90" s="34" t="s">
        <v>1005</v>
      </c>
      <c r="G90" s="34" t="s">
        <v>1032</v>
      </c>
      <c r="H90" s="160" t="s">
        <v>1032</v>
      </c>
      <c r="I90" s="34" t="s">
        <v>1032</v>
      </c>
      <c r="J90" s="41" t="s">
        <v>2026</v>
      </c>
      <c r="K90" s="34"/>
      <c r="L90" s="41" t="s">
        <v>684</v>
      </c>
      <c r="M90" s="34"/>
      <c r="N90" s="41" t="s">
        <v>1874</v>
      </c>
      <c r="O90" s="41" t="s">
        <v>1483</v>
      </c>
      <c r="P90" s="41" t="s">
        <v>1483</v>
      </c>
      <c r="Q90" s="32" t="s">
        <v>1507</v>
      </c>
      <c r="R90" s="41" t="s">
        <v>1483</v>
      </c>
      <c r="S90" s="41" t="s">
        <v>1483</v>
      </c>
      <c r="T90" s="754" t="s">
        <v>1902</v>
      </c>
      <c r="U90" s="754" t="s">
        <v>1937</v>
      </c>
      <c r="V90" s="754" t="s">
        <v>1937</v>
      </c>
      <c r="W90" s="78" t="s">
        <v>538</v>
      </c>
      <c r="X90" s="34" t="s">
        <v>3624</v>
      </c>
      <c r="Y90" s="78" t="s">
        <v>850</v>
      </c>
      <c r="Z90" s="41" t="s">
        <v>850</v>
      </c>
      <c r="AA90" s="78" t="s">
        <v>850</v>
      </c>
      <c r="AB90" s="41"/>
      <c r="AC90" s="41"/>
      <c r="AD90" s="57" t="s">
        <v>663</v>
      </c>
      <c r="AE90" s="160" t="s">
        <v>773</v>
      </c>
      <c r="AF90" s="41" t="s">
        <v>799</v>
      </c>
      <c r="AG90" s="34" t="s">
        <v>827</v>
      </c>
      <c r="AH90" s="41" t="s">
        <v>917</v>
      </c>
      <c r="AI90" s="34"/>
      <c r="AJ90" s="41" t="s">
        <v>958</v>
      </c>
      <c r="AK90" s="663"/>
      <c r="AL90" s="78" t="s">
        <v>3470</v>
      </c>
      <c r="AM90" s="41" t="s">
        <v>3496</v>
      </c>
      <c r="AN90" s="41" t="s">
        <v>3496</v>
      </c>
      <c r="AO90" s="85" t="s">
        <v>1363</v>
      </c>
      <c r="AP90" s="663"/>
      <c r="AQ90" s="81" t="s">
        <v>636</v>
      </c>
      <c r="AR90" s="663"/>
      <c r="AS90" s="41" t="s">
        <v>1968</v>
      </c>
      <c r="AT90" s="41" t="s">
        <v>1987</v>
      </c>
      <c r="AU90" s="34" t="s">
        <v>1987</v>
      </c>
      <c r="AV90" s="41" t="s">
        <v>725</v>
      </c>
      <c r="AW90" s="32" t="s">
        <v>2060</v>
      </c>
      <c r="AX90" s="663"/>
      <c r="AY90" s="663"/>
      <c r="AZ90" s="754" t="s">
        <v>1743</v>
      </c>
      <c r="BA90" s="754" t="s">
        <v>1743</v>
      </c>
      <c r="BB90" s="29" t="s">
        <v>1743</v>
      </c>
      <c r="BC90" s="41" t="s">
        <v>977</v>
      </c>
      <c r="BD90" s="34"/>
      <c r="BE90" s="34" t="s">
        <v>1840</v>
      </c>
      <c r="BF90" s="41" t="s">
        <v>1684</v>
      </c>
      <c r="BG90" s="41" t="s">
        <v>1052</v>
      </c>
      <c r="BH90" s="41" t="s">
        <v>1052</v>
      </c>
      <c r="BI90" s="41" t="s">
        <v>1052</v>
      </c>
      <c r="BJ90" s="41" t="s">
        <v>1052</v>
      </c>
      <c r="BK90" s="34" t="s">
        <v>1718</v>
      </c>
      <c r="BL90" s="41" t="s">
        <v>2106</v>
      </c>
      <c r="BM90" s="34"/>
      <c r="BN90" s="36"/>
      <c r="BO90" s="755" t="s">
        <v>3554</v>
      </c>
      <c r="BP90" s="78" t="s">
        <v>563</v>
      </c>
      <c r="BQ90" s="34" t="s">
        <v>3039</v>
      </c>
      <c r="BR90" s="756" t="s">
        <v>2138</v>
      </c>
      <c r="BS90" s="41" t="s">
        <v>2168</v>
      </c>
      <c r="BT90" s="36" t="s">
        <v>656</v>
      </c>
      <c r="BU90" s="41" t="s">
        <v>618</v>
      </c>
      <c r="BV90" s="41" t="s">
        <v>2948</v>
      </c>
      <c r="BW90" s="41" t="s">
        <v>2983</v>
      </c>
      <c r="BX90" s="41" t="s">
        <v>2983</v>
      </c>
      <c r="BY90" s="663"/>
      <c r="BZ90" s="663"/>
      <c r="CA90" s="34"/>
      <c r="CB90" s="68" t="s">
        <v>1127</v>
      </c>
      <c r="CC90" s="41" t="s">
        <v>1156</v>
      </c>
      <c r="CD90" s="41" t="s">
        <v>2188</v>
      </c>
      <c r="CE90" s="41" t="s">
        <v>1209</v>
      </c>
      <c r="CF90" s="37">
        <v>586.12900000000002</v>
      </c>
      <c r="CG90" s="159">
        <v>586.12900000000002</v>
      </c>
      <c r="CH90" s="41" t="s">
        <v>1209</v>
      </c>
      <c r="CI90" s="87" t="s">
        <v>1288</v>
      </c>
      <c r="CJ90" s="41" t="s">
        <v>1209</v>
      </c>
      <c r="CK90" s="41" t="s">
        <v>1209</v>
      </c>
      <c r="CL90" s="41" t="s">
        <v>1209</v>
      </c>
      <c r="CM90" s="117" t="s">
        <v>1177</v>
      </c>
      <c r="CN90" s="78" t="s">
        <v>3155</v>
      </c>
      <c r="CO90" s="757" t="s">
        <v>3180</v>
      </c>
      <c r="CP90" s="757" t="s">
        <v>3180</v>
      </c>
      <c r="CQ90" s="758" t="s">
        <v>3180</v>
      </c>
      <c r="CR90" s="130" t="s">
        <v>1395</v>
      </c>
      <c r="CS90" s="41" t="s">
        <v>3098</v>
      </c>
      <c r="CT90" s="29"/>
      <c r="CU90" s="41" t="s">
        <v>3098</v>
      </c>
      <c r="CV90" s="663"/>
      <c r="CW90" s="41" t="s">
        <v>3069</v>
      </c>
      <c r="CX90" s="751" t="s">
        <v>3248</v>
      </c>
      <c r="CY90" s="78" t="s">
        <v>1456</v>
      </c>
      <c r="CZ90" s="78" t="s">
        <v>1456</v>
      </c>
      <c r="DA90" s="41" t="s">
        <v>2891</v>
      </c>
      <c r="DB90" s="41" t="s">
        <v>2844</v>
      </c>
      <c r="DC90" s="34" t="s">
        <v>656</v>
      </c>
      <c r="DD90" s="63" t="s">
        <v>2868</v>
      </c>
      <c r="DE90" s="34" t="s">
        <v>2620</v>
      </c>
      <c r="DF90" s="34" t="s">
        <v>3321</v>
      </c>
      <c r="DG90" s="688" t="s">
        <v>2697</v>
      </c>
      <c r="DH90" s="759" t="s">
        <v>2724</v>
      </c>
      <c r="DI90" s="759" t="s">
        <v>2724</v>
      </c>
      <c r="DJ90" s="760" t="s">
        <v>2489</v>
      </c>
      <c r="DK90" s="760" t="s">
        <v>2489</v>
      </c>
      <c r="DL90" s="760" t="s">
        <v>2489</v>
      </c>
      <c r="DM90" s="688" t="s">
        <v>585</v>
      </c>
      <c r="DN90" s="41" t="s">
        <v>2655</v>
      </c>
      <c r="DO90" s="41" t="s">
        <v>1902</v>
      </c>
      <c r="DP90" s="34" t="s">
        <v>2522</v>
      </c>
      <c r="DQ90" s="34" t="s">
        <v>2522</v>
      </c>
      <c r="DR90" s="106" t="s">
        <v>2559</v>
      </c>
      <c r="DS90" s="34" t="s">
        <v>706</v>
      </c>
      <c r="DT90" s="34"/>
      <c r="DU90" s="34" t="s">
        <v>483</v>
      </c>
      <c r="DV90" s="37" t="s">
        <v>2489</v>
      </c>
      <c r="DW90" s="78" t="s">
        <v>2414</v>
      </c>
      <c r="DX90" s="78" t="s">
        <v>2414</v>
      </c>
      <c r="DY90" s="78" t="s">
        <v>2414</v>
      </c>
      <c r="DZ90" s="41" t="s">
        <v>2414</v>
      </c>
      <c r="EA90" s="78" t="s">
        <v>2414</v>
      </c>
      <c r="EB90" s="41" t="s">
        <v>2932</v>
      </c>
      <c r="EC90" s="34" t="s">
        <v>3423</v>
      </c>
      <c r="ED90" s="34" t="s">
        <v>1902</v>
      </c>
      <c r="EE90" s="34" t="s">
        <v>510</v>
      </c>
      <c r="EF90" s="34" t="s">
        <v>3655</v>
      </c>
      <c r="EG90" s="663"/>
      <c r="EH90" s="761" t="s">
        <v>2351</v>
      </c>
      <c r="EI90" s="761" t="s">
        <v>2351</v>
      </c>
      <c r="EJ90" s="761" t="s">
        <v>2351</v>
      </c>
      <c r="EK90" s="78" t="s">
        <v>2302</v>
      </c>
      <c r="EL90" s="78" t="s">
        <v>2302</v>
      </c>
      <c r="EM90" s="704" t="s">
        <v>2214</v>
      </c>
      <c r="EN90" s="41" t="s">
        <v>2243</v>
      </c>
      <c r="EO90" s="78" t="s">
        <v>2270</v>
      </c>
      <c r="EP90" s="41" t="s">
        <v>1560</v>
      </c>
      <c r="EQ90" s="34" t="s">
        <v>1655</v>
      </c>
      <c r="ER90" s="36"/>
      <c r="ES90" s="663"/>
      <c r="ET90" s="34" t="s">
        <v>3345</v>
      </c>
      <c r="EU90" s="169" t="s">
        <v>3374</v>
      </c>
      <c r="EV90" s="762" t="s">
        <v>1589</v>
      </c>
      <c r="EW90" s="41" t="s">
        <v>748</v>
      </c>
      <c r="EX90" s="169" t="s">
        <v>1429</v>
      </c>
      <c r="EY90" s="34" t="s">
        <v>2083</v>
      </c>
      <c r="EZ90" s="663"/>
      <c r="FA90" s="41" t="s">
        <v>1624</v>
      </c>
    </row>
    <row r="91" spans="1:157" ht="170" x14ac:dyDescent="0.2">
      <c r="A91" s="1205" t="s">
        <v>185</v>
      </c>
      <c r="B91" s="1206" t="s">
        <v>186</v>
      </c>
      <c r="C91" s="167" t="s">
        <v>187</v>
      </c>
      <c r="D91" s="168" t="s">
        <v>188</v>
      </c>
      <c r="E91" s="185" t="s">
        <v>102</v>
      </c>
      <c r="F91" s="29" t="s">
        <v>470</v>
      </c>
      <c r="G91" s="29" t="s">
        <v>470</v>
      </c>
      <c r="H91" s="662" t="s">
        <v>470</v>
      </c>
      <c r="I91" s="29" t="s">
        <v>470</v>
      </c>
      <c r="J91" s="29" t="s">
        <v>540</v>
      </c>
      <c r="K91" s="29" t="s">
        <v>3200</v>
      </c>
      <c r="L91" s="29" t="s">
        <v>479</v>
      </c>
      <c r="M91" s="29" t="s">
        <v>470</v>
      </c>
      <c r="N91" s="29" t="s">
        <v>470</v>
      </c>
      <c r="O91" s="54" t="s">
        <v>539</v>
      </c>
      <c r="P91" s="29" t="s">
        <v>540</v>
      </c>
      <c r="Q91" s="29" t="s">
        <v>539</v>
      </c>
      <c r="R91" s="29" t="s">
        <v>540</v>
      </c>
      <c r="S91" s="29" t="s">
        <v>540</v>
      </c>
      <c r="T91" s="29" t="s">
        <v>470</v>
      </c>
      <c r="U91" s="29" t="s">
        <v>873</v>
      </c>
      <c r="V91" s="29" t="s">
        <v>470</v>
      </c>
      <c r="W91" s="29" t="s">
        <v>539</v>
      </c>
      <c r="X91" s="29" t="s">
        <v>479</v>
      </c>
      <c r="Y91" s="29"/>
      <c r="Z91" s="29" t="s">
        <v>539</v>
      </c>
      <c r="AA91" s="29" t="s">
        <v>470</v>
      </c>
      <c r="AB91" s="54"/>
      <c r="AC91" s="54"/>
      <c r="AD91" s="29" t="s">
        <v>470</v>
      </c>
      <c r="AE91" s="662" t="s">
        <v>470</v>
      </c>
      <c r="AF91" s="54" t="s">
        <v>479</v>
      </c>
      <c r="AG91" s="29" t="s">
        <v>470</v>
      </c>
      <c r="AH91" s="48" t="s">
        <v>470</v>
      </c>
      <c r="AI91" s="29" t="s">
        <v>470</v>
      </c>
      <c r="AJ91" s="29" t="s">
        <v>470</v>
      </c>
      <c r="AK91" s="663"/>
      <c r="AL91" s="29" t="s">
        <v>470</v>
      </c>
      <c r="AM91" s="29" t="s">
        <v>470</v>
      </c>
      <c r="AN91" s="29" t="s">
        <v>470</v>
      </c>
      <c r="AO91" s="29" t="s">
        <v>470</v>
      </c>
      <c r="AP91" s="663"/>
      <c r="AQ91" s="48" t="s">
        <v>479</v>
      </c>
      <c r="AR91" s="663"/>
      <c r="AS91" s="29" t="s">
        <v>539</v>
      </c>
      <c r="AT91" s="29" t="s">
        <v>470</v>
      </c>
      <c r="AU91" s="29" t="s">
        <v>470</v>
      </c>
      <c r="AV91" s="48" t="s">
        <v>470</v>
      </c>
      <c r="AW91" s="29" t="s">
        <v>470</v>
      </c>
      <c r="AX91" s="663"/>
      <c r="AY91" s="663"/>
      <c r="AZ91" s="29" t="s">
        <v>470</v>
      </c>
      <c r="BA91" s="29" t="s">
        <v>470</v>
      </c>
      <c r="BB91" s="29" t="s">
        <v>470</v>
      </c>
      <c r="BC91" s="29" t="s">
        <v>470</v>
      </c>
      <c r="BD91" s="29" t="s">
        <v>470</v>
      </c>
      <c r="BE91" s="29" t="s">
        <v>470</v>
      </c>
      <c r="BF91" s="29" t="s">
        <v>479</v>
      </c>
      <c r="BG91" s="29" t="s">
        <v>470</v>
      </c>
      <c r="BH91" s="29" t="s">
        <v>470</v>
      </c>
      <c r="BI91" s="29" t="s">
        <v>1092</v>
      </c>
      <c r="BJ91" s="29" t="s">
        <v>470</v>
      </c>
      <c r="BK91" s="29" t="s">
        <v>470</v>
      </c>
      <c r="BL91" s="29" t="s">
        <v>479</v>
      </c>
      <c r="BM91" s="29" t="s">
        <v>470</v>
      </c>
      <c r="BN91" s="36"/>
      <c r="BO91" s="186" t="s">
        <v>470</v>
      </c>
      <c r="BP91" s="29" t="s">
        <v>470</v>
      </c>
      <c r="BQ91" s="29" t="s">
        <v>479</v>
      </c>
      <c r="BR91" s="29" t="s">
        <v>479</v>
      </c>
      <c r="BS91" s="29" t="s">
        <v>479</v>
      </c>
      <c r="BT91" s="36">
        <v>3</v>
      </c>
      <c r="BU91" s="29" t="s">
        <v>470</v>
      </c>
      <c r="BV91" s="29" t="s">
        <v>470</v>
      </c>
      <c r="BW91" s="29" t="s">
        <v>470</v>
      </c>
      <c r="BX91" s="29" t="s">
        <v>470</v>
      </c>
      <c r="BY91" s="663"/>
      <c r="BZ91" s="663"/>
      <c r="CA91" s="29" t="s">
        <v>470</v>
      </c>
      <c r="CB91" s="48" t="s">
        <v>470</v>
      </c>
      <c r="CC91" s="29" t="s">
        <v>470</v>
      </c>
      <c r="CD91" s="29" t="s">
        <v>470</v>
      </c>
      <c r="CE91" s="29" t="s">
        <v>479</v>
      </c>
      <c r="CF91" s="78" t="s">
        <v>1242</v>
      </c>
      <c r="CG91" s="763" t="s">
        <v>1242</v>
      </c>
      <c r="CH91" s="29" t="s">
        <v>479</v>
      </c>
      <c r="CI91" s="29" t="s">
        <v>479</v>
      </c>
      <c r="CJ91" s="29" t="s">
        <v>479</v>
      </c>
      <c r="CK91" s="29" t="s">
        <v>479</v>
      </c>
      <c r="CL91" s="29" t="s">
        <v>470</v>
      </c>
      <c r="CM91" s="110" t="s">
        <v>540</v>
      </c>
      <c r="CN91" s="29" t="s">
        <v>470</v>
      </c>
      <c r="CO91" s="29" t="s">
        <v>470</v>
      </c>
      <c r="CP91" s="29" t="s">
        <v>470</v>
      </c>
      <c r="CQ91" s="29" t="s">
        <v>470</v>
      </c>
      <c r="CR91" s="127" t="s">
        <v>539</v>
      </c>
      <c r="CS91" s="29" t="s">
        <v>470</v>
      </c>
      <c r="CT91" s="36"/>
      <c r="CU91" s="29" t="s">
        <v>470</v>
      </c>
      <c r="CV91" s="663"/>
      <c r="CW91" s="29" t="s">
        <v>470</v>
      </c>
      <c r="CX91" s="664" t="s">
        <v>470</v>
      </c>
      <c r="CY91" s="29" t="s">
        <v>470</v>
      </c>
      <c r="CZ91" s="29" t="s">
        <v>470</v>
      </c>
      <c r="DA91" s="29" t="s">
        <v>470</v>
      </c>
      <c r="DB91" s="29" t="s">
        <v>470</v>
      </c>
      <c r="DC91" s="29" t="s">
        <v>470</v>
      </c>
      <c r="DD91" s="29" t="s">
        <v>470</v>
      </c>
      <c r="DE91" s="29" t="s">
        <v>539</v>
      </c>
      <c r="DF91" s="29" t="s">
        <v>470</v>
      </c>
      <c r="DG91" s="127" t="s">
        <v>479</v>
      </c>
      <c r="DH91" s="29" t="s">
        <v>479</v>
      </c>
      <c r="DI91" s="127" t="s">
        <v>540</v>
      </c>
      <c r="DJ91" s="666" t="s">
        <v>470</v>
      </c>
      <c r="DK91" s="667" t="s">
        <v>470</v>
      </c>
      <c r="DL91" s="127"/>
      <c r="DM91" s="127" t="s">
        <v>586</v>
      </c>
      <c r="DN91" s="29" t="s">
        <v>470</v>
      </c>
      <c r="DO91" s="29" t="s">
        <v>470</v>
      </c>
      <c r="DP91" s="29" t="s">
        <v>470</v>
      </c>
      <c r="DQ91" s="29" t="s">
        <v>470</v>
      </c>
      <c r="DR91" s="29" t="s">
        <v>479</v>
      </c>
      <c r="DS91" s="29" t="s">
        <v>470</v>
      </c>
      <c r="DT91" s="29" t="s">
        <v>470</v>
      </c>
      <c r="DU91" s="29" t="s">
        <v>470</v>
      </c>
      <c r="DV91" s="29" t="s">
        <v>479</v>
      </c>
      <c r="DW91" s="54" t="s">
        <v>539</v>
      </c>
      <c r="DX91" s="29" t="s">
        <v>539</v>
      </c>
      <c r="DY91" s="36" t="s">
        <v>539</v>
      </c>
      <c r="DZ91" s="29" t="s">
        <v>539</v>
      </c>
      <c r="EA91" s="54" t="s">
        <v>539</v>
      </c>
      <c r="EB91" s="29"/>
      <c r="EC91" s="29" t="s">
        <v>470</v>
      </c>
      <c r="ED91" s="29" t="s">
        <v>470</v>
      </c>
      <c r="EE91" s="29" t="s">
        <v>470</v>
      </c>
      <c r="EF91" s="29" t="s">
        <v>470</v>
      </c>
      <c r="EG91" s="663"/>
      <c r="EH91" s="186" t="s">
        <v>470</v>
      </c>
      <c r="EI91" s="186" t="s">
        <v>470</v>
      </c>
      <c r="EJ91" s="186" t="s">
        <v>470</v>
      </c>
      <c r="EK91" s="29" t="s">
        <v>479</v>
      </c>
      <c r="EL91" s="29" t="s">
        <v>479</v>
      </c>
      <c r="EM91" s="186" t="s">
        <v>479</v>
      </c>
      <c r="EN91" s="48" t="s">
        <v>470</v>
      </c>
      <c r="EO91" s="29" t="s">
        <v>479</v>
      </c>
      <c r="EP91" s="29" t="s">
        <v>656</v>
      </c>
      <c r="EQ91" s="29" t="s">
        <v>479</v>
      </c>
      <c r="ER91" s="36"/>
      <c r="ES91" s="663"/>
      <c r="ET91" s="29" t="s">
        <v>479</v>
      </c>
      <c r="EU91" s="127" t="s">
        <v>479</v>
      </c>
      <c r="EV91" s="662" t="s">
        <v>539</v>
      </c>
      <c r="EW91" s="29" t="s">
        <v>470</v>
      </c>
      <c r="EX91" s="29" t="s">
        <v>470</v>
      </c>
      <c r="EY91" s="29" t="s">
        <v>470</v>
      </c>
      <c r="EZ91" s="663"/>
      <c r="FA91" s="29" t="s">
        <v>479</v>
      </c>
    </row>
    <row r="92" spans="1:157" ht="356" x14ac:dyDescent="0.2">
      <c r="A92" s="1205"/>
      <c r="B92" s="1206"/>
      <c r="C92" s="1208" t="s">
        <v>189</v>
      </c>
      <c r="D92" s="168" t="s">
        <v>190</v>
      </c>
      <c r="E92" s="185" t="s">
        <v>15</v>
      </c>
      <c r="F92" s="29" t="s">
        <v>470</v>
      </c>
      <c r="G92" s="29" t="s">
        <v>656</v>
      </c>
      <c r="H92" s="662" t="s">
        <v>656</v>
      </c>
      <c r="I92" s="29" t="s">
        <v>656</v>
      </c>
      <c r="J92" s="29" t="s">
        <v>2027</v>
      </c>
      <c r="K92" s="29" t="s">
        <v>3202</v>
      </c>
      <c r="L92" s="29" t="s">
        <v>685</v>
      </c>
      <c r="M92" s="29"/>
      <c r="N92" s="50" t="s">
        <v>656</v>
      </c>
      <c r="O92" s="54" t="s">
        <v>1482</v>
      </c>
      <c r="P92" s="29" t="s">
        <v>1531</v>
      </c>
      <c r="Q92" s="29" t="s">
        <v>1482</v>
      </c>
      <c r="R92" s="29" t="s">
        <v>1531</v>
      </c>
      <c r="S92" s="29" t="s">
        <v>1531</v>
      </c>
      <c r="T92" s="29" t="s">
        <v>470</v>
      </c>
      <c r="U92" s="29" t="s">
        <v>1924</v>
      </c>
      <c r="V92" s="29" t="s">
        <v>1930</v>
      </c>
      <c r="W92" s="29"/>
      <c r="X92" s="29" t="s">
        <v>3625</v>
      </c>
      <c r="Y92" s="29"/>
      <c r="Z92" s="29"/>
      <c r="AA92" s="29"/>
      <c r="AB92" s="54"/>
      <c r="AC92" s="54"/>
      <c r="AD92" s="29" t="s">
        <v>656</v>
      </c>
      <c r="AE92" s="662"/>
      <c r="AF92" s="54" t="s">
        <v>800</v>
      </c>
      <c r="AG92" s="29"/>
      <c r="AH92" s="48" t="s">
        <v>470</v>
      </c>
      <c r="AI92" s="29"/>
      <c r="AJ92" s="29" t="s">
        <v>470</v>
      </c>
      <c r="AK92" s="663"/>
      <c r="AL92" s="29" t="s">
        <v>656</v>
      </c>
      <c r="AM92" s="29"/>
      <c r="AN92" s="29" t="s">
        <v>656</v>
      </c>
      <c r="AO92" s="29"/>
      <c r="AP92" s="663"/>
      <c r="AQ92" s="48" t="s">
        <v>637</v>
      </c>
      <c r="AR92" s="663"/>
      <c r="AS92" s="29"/>
      <c r="AT92" s="29"/>
      <c r="AU92" s="29"/>
      <c r="AV92" s="48"/>
      <c r="AW92" s="29" t="s">
        <v>2061</v>
      </c>
      <c r="AX92" s="663"/>
      <c r="AY92" s="663"/>
      <c r="AZ92" s="29" t="s">
        <v>656</v>
      </c>
      <c r="BA92" s="29" t="s">
        <v>656</v>
      </c>
      <c r="BB92" s="29" t="s">
        <v>656</v>
      </c>
      <c r="BC92" s="29" t="s">
        <v>470</v>
      </c>
      <c r="BD92" s="29"/>
      <c r="BE92" s="29"/>
      <c r="BF92" s="29" t="s">
        <v>1685</v>
      </c>
      <c r="BG92" s="29"/>
      <c r="BH92" s="29" t="s">
        <v>656</v>
      </c>
      <c r="BI92" s="29" t="s">
        <v>656</v>
      </c>
      <c r="BJ92" s="29" t="s">
        <v>656</v>
      </c>
      <c r="BK92" s="29"/>
      <c r="BL92" s="101" t="s">
        <v>2107</v>
      </c>
      <c r="BM92" s="29" t="s">
        <v>656</v>
      </c>
      <c r="BN92" s="29" t="s">
        <v>470</v>
      </c>
      <c r="BO92" s="186"/>
      <c r="BP92" s="29" t="s">
        <v>470</v>
      </c>
      <c r="BQ92" s="169" t="s">
        <v>9505</v>
      </c>
      <c r="BR92" s="29" t="s">
        <v>2139</v>
      </c>
      <c r="BS92" s="29" t="s">
        <v>2139</v>
      </c>
      <c r="BT92" s="54" t="s">
        <v>470</v>
      </c>
      <c r="BU92" s="29"/>
      <c r="BV92" s="29" t="s">
        <v>656</v>
      </c>
      <c r="BW92" s="29" t="s">
        <v>470</v>
      </c>
      <c r="BX92" s="29" t="s">
        <v>470</v>
      </c>
      <c r="BY92" s="663"/>
      <c r="BZ92" s="663"/>
      <c r="CA92" s="29"/>
      <c r="CB92" s="48" t="s">
        <v>470</v>
      </c>
      <c r="CC92" s="29" t="s">
        <v>470</v>
      </c>
      <c r="CD92" s="29"/>
      <c r="CE92" s="54" t="s">
        <v>1210</v>
      </c>
      <c r="CF92" s="29" t="s">
        <v>470</v>
      </c>
      <c r="CG92" s="662" t="s">
        <v>470</v>
      </c>
      <c r="CH92" s="29" t="s">
        <v>1210</v>
      </c>
      <c r="CI92" s="29" t="s">
        <v>1210</v>
      </c>
      <c r="CJ92" s="29" t="s">
        <v>1210</v>
      </c>
      <c r="CK92" s="54" t="s">
        <v>1210</v>
      </c>
      <c r="CL92" s="54" t="s">
        <v>470</v>
      </c>
      <c r="CM92" s="110" t="s">
        <v>1178</v>
      </c>
      <c r="CN92" s="29" t="s">
        <v>470</v>
      </c>
      <c r="CO92" s="29" t="s">
        <v>470</v>
      </c>
      <c r="CP92" s="29" t="s">
        <v>470</v>
      </c>
      <c r="CQ92" s="29" t="s">
        <v>470</v>
      </c>
      <c r="CR92" s="127"/>
      <c r="CS92" s="29"/>
      <c r="CT92" s="36"/>
      <c r="CU92" s="29" t="s">
        <v>656</v>
      </c>
      <c r="CV92" s="663"/>
      <c r="CW92" s="29" t="s">
        <v>656</v>
      </c>
      <c r="CX92" s="664" t="s">
        <v>656</v>
      </c>
      <c r="CY92" s="29" t="s">
        <v>1447</v>
      </c>
      <c r="CZ92" s="29" t="s">
        <v>1447</v>
      </c>
      <c r="DA92" s="29" t="s">
        <v>1482</v>
      </c>
      <c r="DB92" s="29" t="s">
        <v>1924</v>
      </c>
      <c r="DC92" s="29" t="s">
        <v>656</v>
      </c>
      <c r="DD92" s="29" t="s">
        <v>470</v>
      </c>
      <c r="DE92" s="29" t="s">
        <v>2621</v>
      </c>
      <c r="DF92" s="29"/>
      <c r="DG92" s="127" t="s">
        <v>2698</v>
      </c>
      <c r="DH92" s="29" t="s">
        <v>2754</v>
      </c>
      <c r="DI92" s="127" t="s">
        <v>2725</v>
      </c>
      <c r="DJ92" s="666"/>
      <c r="DK92" s="667"/>
      <c r="DL92" s="127"/>
      <c r="DM92" s="127" t="s">
        <v>470</v>
      </c>
      <c r="DN92" s="29" t="s">
        <v>656</v>
      </c>
      <c r="DO92" s="29" t="s">
        <v>656</v>
      </c>
      <c r="DP92" s="29"/>
      <c r="DQ92" s="29"/>
      <c r="DR92" s="29" t="s">
        <v>2560</v>
      </c>
      <c r="DS92" s="29" t="s">
        <v>656</v>
      </c>
      <c r="DT92" s="29"/>
      <c r="DU92" s="29" t="s">
        <v>470</v>
      </c>
      <c r="DV92" s="29" t="s">
        <v>2490</v>
      </c>
      <c r="DW92" s="54"/>
      <c r="DX92" s="29"/>
      <c r="DY92" s="29"/>
      <c r="DZ92" s="29" t="s">
        <v>539</v>
      </c>
      <c r="EA92" s="54"/>
      <c r="EB92" s="29"/>
      <c r="EC92" s="29" t="s">
        <v>1447</v>
      </c>
      <c r="ED92" s="29"/>
      <c r="EE92" s="29"/>
      <c r="EF92" s="29" t="s">
        <v>470</v>
      </c>
      <c r="EG92" s="663"/>
      <c r="EH92" s="186" t="s">
        <v>656</v>
      </c>
      <c r="EI92" s="186" t="s">
        <v>656</v>
      </c>
      <c r="EJ92" s="186" t="s">
        <v>656</v>
      </c>
      <c r="EK92" s="29" t="s">
        <v>2303</v>
      </c>
      <c r="EL92" s="29" t="s">
        <v>2303</v>
      </c>
      <c r="EM92" s="186" t="s">
        <v>2215</v>
      </c>
      <c r="EN92" s="48" t="s">
        <v>2234</v>
      </c>
      <c r="EO92" s="29" t="s">
        <v>2271</v>
      </c>
      <c r="EP92" s="29" t="s">
        <v>656</v>
      </c>
      <c r="EQ92" s="29" t="s">
        <v>1656</v>
      </c>
      <c r="ER92" s="29" t="s">
        <v>479</v>
      </c>
      <c r="ES92" s="663"/>
      <c r="ET92" s="29" t="s">
        <v>3346</v>
      </c>
      <c r="EU92" s="127" t="s">
        <v>3375</v>
      </c>
      <c r="EV92" s="662" t="s">
        <v>656</v>
      </c>
      <c r="EW92" s="29"/>
      <c r="EX92" s="29" t="s">
        <v>656</v>
      </c>
      <c r="EY92" s="29" t="s">
        <v>656</v>
      </c>
      <c r="EZ92" s="663"/>
      <c r="FA92" s="29" t="s">
        <v>1625</v>
      </c>
    </row>
    <row r="93" spans="1:157" ht="238" x14ac:dyDescent="0.2">
      <c r="A93" s="1205"/>
      <c r="B93" s="1206"/>
      <c r="C93" s="1211"/>
      <c r="D93" s="168" t="s">
        <v>191</v>
      </c>
      <c r="E93" s="185" t="s">
        <v>34</v>
      </c>
      <c r="F93" s="29" t="s">
        <v>470</v>
      </c>
      <c r="G93" s="29" t="s">
        <v>656</v>
      </c>
      <c r="H93" s="662" t="s">
        <v>656</v>
      </c>
      <c r="I93" s="29" t="s">
        <v>656</v>
      </c>
      <c r="J93" s="32" t="s">
        <v>2028</v>
      </c>
      <c r="K93" s="29" t="s">
        <v>3203</v>
      </c>
      <c r="L93" s="29" t="s">
        <v>686</v>
      </c>
      <c r="M93" s="29"/>
      <c r="N93" s="50" t="s">
        <v>656</v>
      </c>
      <c r="O93" s="54" t="s">
        <v>1482</v>
      </c>
      <c r="P93" s="32" t="s">
        <v>1532</v>
      </c>
      <c r="Q93" s="54" t="s">
        <v>1482</v>
      </c>
      <c r="R93" s="29" t="s">
        <v>1532</v>
      </c>
      <c r="S93" s="29" t="s">
        <v>1532</v>
      </c>
      <c r="T93" s="29" t="s">
        <v>470</v>
      </c>
      <c r="U93" s="29" t="s">
        <v>1930</v>
      </c>
      <c r="V93" s="29" t="s">
        <v>1924</v>
      </c>
      <c r="W93" s="29"/>
      <c r="X93" s="29"/>
      <c r="Y93" s="29"/>
      <c r="Z93" s="29"/>
      <c r="AA93" s="29"/>
      <c r="AB93" s="54"/>
      <c r="AC93" s="54"/>
      <c r="AD93" s="29" t="s">
        <v>656</v>
      </c>
      <c r="AE93" s="662"/>
      <c r="AF93" s="54"/>
      <c r="AG93" s="29"/>
      <c r="AH93" s="48" t="s">
        <v>470</v>
      </c>
      <c r="AI93" s="29"/>
      <c r="AJ93" s="29" t="s">
        <v>470</v>
      </c>
      <c r="AK93" s="663"/>
      <c r="AL93" s="29"/>
      <c r="AM93" s="29"/>
      <c r="AN93" s="29" t="s">
        <v>656</v>
      </c>
      <c r="AO93" s="29"/>
      <c r="AP93" s="663"/>
      <c r="AQ93" s="48" t="s">
        <v>638</v>
      </c>
      <c r="AR93" s="663"/>
      <c r="AS93" s="29"/>
      <c r="AT93" s="29"/>
      <c r="AU93" s="29"/>
      <c r="AV93" s="48"/>
      <c r="AW93" s="60"/>
      <c r="AX93" s="663"/>
      <c r="AY93" s="663"/>
      <c r="AZ93" s="29" t="s">
        <v>656</v>
      </c>
      <c r="BA93" s="29" t="s">
        <v>656</v>
      </c>
      <c r="BB93" s="29" t="s">
        <v>656</v>
      </c>
      <c r="BC93" s="29" t="s">
        <v>470</v>
      </c>
      <c r="BD93" s="29"/>
      <c r="BE93" s="29"/>
      <c r="BF93" s="29"/>
      <c r="BG93" s="29"/>
      <c r="BH93" s="29" t="s">
        <v>656</v>
      </c>
      <c r="BI93" s="29" t="s">
        <v>656</v>
      </c>
      <c r="BJ93" s="29" t="s">
        <v>656</v>
      </c>
      <c r="BK93" s="29" t="s">
        <v>1719</v>
      </c>
      <c r="BL93" s="101" t="s">
        <v>2108</v>
      </c>
      <c r="BM93" s="29" t="s">
        <v>656</v>
      </c>
      <c r="BN93" s="29"/>
      <c r="BO93" s="186"/>
      <c r="BP93" s="29" t="s">
        <v>470</v>
      </c>
      <c r="BQ93" s="32" t="s">
        <v>3040</v>
      </c>
      <c r="BR93" s="102" t="s">
        <v>2140</v>
      </c>
      <c r="BS93" s="169" t="s">
        <v>2140</v>
      </c>
      <c r="BT93" s="54" t="s">
        <v>656</v>
      </c>
      <c r="BU93" s="29"/>
      <c r="BV93" s="29" t="s">
        <v>656</v>
      </c>
      <c r="BW93" s="29" t="s">
        <v>470</v>
      </c>
      <c r="BX93" s="29" t="s">
        <v>470</v>
      </c>
      <c r="BY93" s="663"/>
      <c r="BZ93" s="663"/>
      <c r="CA93" s="29"/>
      <c r="CB93" s="48" t="s">
        <v>470</v>
      </c>
      <c r="CC93" s="29" t="s">
        <v>470</v>
      </c>
      <c r="CD93" s="29"/>
      <c r="CE93" s="32" t="s">
        <v>1211</v>
      </c>
      <c r="CF93" s="29" t="s">
        <v>470</v>
      </c>
      <c r="CG93" s="662" t="s">
        <v>470</v>
      </c>
      <c r="CH93" s="32" t="s">
        <v>1211</v>
      </c>
      <c r="CI93" s="32" t="s">
        <v>1211</v>
      </c>
      <c r="CJ93" s="32" t="s">
        <v>1211</v>
      </c>
      <c r="CK93" s="32" t="s">
        <v>1211</v>
      </c>
      <c r="CL93" s="29" t="s">
        <v>656</v>
      </c>
      <c r="CM93" s="118" t="s">
        <v>1179</v>
      </c>
      <c r="CN93" s="57" t="s">
        <v>3156</v>
      </c>
      <c r="CO93" s="29" t="s">
        <v>470</v>
      </c>
      <c r="CP93" s="29" t="s">
        <v>470</v>
      </c>
      <c r="CQ93" s="29" t="s">
        <v>470</v>
      </c>
      <c r="CR93" s="127"/>
      <c r="CS93" s="29"/>
      <c r="CT93" s="36">
        <v>4</v>
      </c>
      <c r="CU93" s="29" t="s">
        <v>656</v>
      </c>
      <c r="CV93" s="663"/>
      <c r="CW93" s="29" t="s">
        <v>656</v>
      </c>
      <c r="CX93" s="664" t="s">
        <v>656</v>
      </c>
      <c r="CY93" s="29" t="s">
        <v>1447</v>
      </c>
      <c r="CZ93" s="29" t="s">
        <v>1447</v>
      </c>
      <c r="DA93" s="29" t="s">
        <v>1482</v>
      </c>
      <c r="DB93" s="29" t="s">
        <v>1924</v>
      </c>
      <c r="DC93" s="29" t="s">
        <v>656</v>
      </c>
      <c r="DD93" s="29" t="s">
        <v>470</v>
      </c>
      <c r="DE93" s="29" t="s">
        <v>2622</v>
      </c>
      <c r="DF93" s="29"/>
      <c r="DG93" s="127"/>
      <c r="DH93" s="29"/>
      <c r="DI93" s="749" t="s">
        <v>2726</v>
      </c>
      <c r="DJ93" s="666"/>
      <c r="DK93" s="667"/>
      <c r="DL93" s="127"/>
      <c r="DM93" s="127" t="s">
        <v>470</v>
      </c>
      <c r="DN93" s="29" t="s">
        <v>656</v>
      </c>
      <c r="DO93" s="29" t="s">
        <v>656</v>
      </c>
      <c r="DP93" s="29"/>
      <c r="DQ93" s="29"/>
      <c r="DR93" s="728" t="s">
        <v>2556</v>
      </c>
      <c r="DS93" s="29" t="s">
        <v>656</v>
      </c>
      <c r="DT93" s="29"/>
      <c r="DU93" s="29" t="s">
        <v>470</v>
      </c>
      <c r="DV93" s="154" t="s">
        <v>2491</v>
      </c>
      <c r="DW93" s="29"/>
      <c r="DX93" s="29"/>
      <c r="DY93" s="29"/>
      <c r="DZ93" s="29"/>
      <c r="EA93" s="29"/>
      <c r="EB93" s="29"/>
      <c r="EC93" s="29" t="s">
        <v>1447</v>
      </c>
      <c r="ED93" s="29"/>
      <c r="EE93" s="29"/>
      <c r="EF93" s="29" t="s">
        <v>470</v>
      </c>
      <c r="EG93" s="663"/>
      <c r="EH93" s="186" t="s">
        <v>656</v>
      </c>
      <c r="EI93" s="186" t="s">
        <v>656</v>
      </c>
      <c r="EJ93" s="186" t="s">
        <v>656</v>
      </c>
      <c r="EK93" s="57" t="s">
        <v>2304</v>
      </c>
      <c r="EL93" s="57" t="s">
        <v>2330</v>
      </c>
      <c r="EM93" s="764" t="s">
        <v>2216</v>
      </c>
      <c r="EN93" s="48" t="s">
        <v>2234</v>
      </c>
      <c r="EO93" s="57" t="s">
        <v>2272</v>
      </c>
      <c r="EP93" s="29" t="s">
        <v>656</v>
      </c>
      <c r="EQ93" s="29"/>
      <c r="ER93" s="29" t="s">
        <v>3685</v>
      </c>
      <c r="ES93" s="663"/>
      <c r="ET93" s="36" t="s">
        <v>3347</v>
      </c>
      <c r="EU93" s="127" t="s">
        <v>3369</v>
      </c>
      <c r="EV93" s="662" t="s">
        <v>656</v>
      </c>
      <c r="EW93" s="29"/>
      <c r="EX93" s="29" t="s">
        <v>656</v>
      </c>
      <c r="EY93" s="29" t="s">
        <v>656</v>
      </c>
      <c r="EZ93" s="663"/>
      <c r="FA93" s="32" t="s">
        <v>1614</v>
      </c>
    </row>
    <row r="94" spans="1:157" ht="289" x14ac:dyDescent="0.2">
      <c r="A94" s="1205"/>
      <c r="B94" s="1206"/>
      <c r="C94" s="167" t="s">
        <v>192</v>
      </c>
      <c r="D94" s="168" t="s">
        <v>193</v>
      </c>
      <c r="E94" s="185" t="s">
        <v>15</v>
      </c>
      <c r="F94" s="29" t="s">
        <v>470</v>
      </c>
      <c r="G94" s="29" t="s">
        <v>656</v>
      </c>
      <c r="H94" s="662" t="s">
        <v>656</v>
      </c>
      <c r="I94" s="29" t="s">
        <v>656</v>
      </c>
      <c r="J94" s="29" t="s">
        <v>2029</v>
      </c>
      <c r="K94" s="29" t="s">
        <v>2029</v>
      </c>
      <c r="L94" s="29" t="s">
        <v>687</v>
      </c>
      <c r="M94" s="36"/>
      <c r="N94" s="50" t="s">
        <v>656</v>
      </c>
      <c r="O94" s="54" t="s">
        <v>1482</v>
      </c>
      <c r="P94" s="169" t="s">
        <v>1533</v>
      </c>
      <c r="Q94" s="54" t="s">
        <v>1482</v>
      </c>
      <c r="R94" s="29" t="s">
        <v>1533</v>
      </c>
      <c r="S94" s="29" t="s">
        <v>1533</v>
      </c>
      <c r="T94" s="29" t="s">
        <v>470</v>
      </c>
      <c r="U94" s="29" t="s">
        <v>1930</v>
      </c>
      <c r="V94" s="29" t="s">
        <v>1924</v>
      </c>
      <c r="W94" s="29"/>
      <c r="X94" s="29" t="s">
        <v>3626</v>
      </c>
      <c r="Y94" s="29"/>
      <c r="Z94" s="29"/>
      <c r="AA94" s="29"/>
      <c r="AB94" s="55"/>
      <c r="AC94" s="55"/>
      <c r="AD94" s="29" t="s">
        <v>656</v>
      </c>
      <c r="AE94" s="662"/>
      <c r="AF94" s="54" t="s">
        <v>801</v>
      </c>
      <c r="AG94" s="29"/>
      <c r="AH94" s="48" t="s">
        <v>470</v>
      </c>
      <c r="AI94" s="29"/>
      <c r="AJ94" s="29" t="s">
        <v>470</v>
      </c>
      <c r="AK94" s="663"/>
      <c r="AL94" s="29" t="s">
        <v>656</v>
      </c>
      <c r="AM94" s="29"/>
      <c r="AN94" s="36" t="s">
        <v>656</v>
      </c>
      <c r="AO94" s="29"/>
      <c r="AP94" s="663"/>
      <c r="AQ94" s="48" t="s">
        <v>639</v>
      </c>
      <c r="AR94" s="663"/>
      <c r="AS94" s="29"/>
      <c r="AT94" s="29"/>
      <c r="AU94" s="29"/>
      <c r="AV94" s="48"/>
      <c r="AW94" s="107"/>
      <c r="AX94" s="663"/>
      <c r="AY94" s="663"/>
      <c r="AZ94" s="29" t="s">
        <v>656</v>
      </c>
      <c r="BA94" s="29" t="s">
        <v>656</v>
      </c>
      <c r="BB94" s="29" t="s">
        <v>656</v>
      </c>
      <c r="BC94" s="29" t="s">
        <v>470</v>
      </c>
      <c r="BD94" s="29"/>
      <c r="BE94" s="29"/>
      <c r="BF94" s="29" t="s">
        <v>1677</v>
      </c>
      <c r="BG94" s="29"/>
      <c r="BH94" s="29" t="s">
        <v>656</v>
      </c>
      <c r="BI94" s="29" t="s">
        <v>656</v>
      </c>
      <c r="BJ94" s="36" t="s">
        <v>656</v>
      </c>
      <c r="BK94" s="29"/>
      <c r="BL94" s="101"/>
      <c r="BM94" s="29" t="s">
        <v>656</v>
      </c>
      <c r="BN94" s="36"/>
      <c r="BO94" s="186"/>
      <c r="BP94" s="29" t="s">
        <v>470</v>
      </c>
      <c r="BQ94" s="29" t="s">
        <v>3041</v>
      </c>
      <c r="BR94" s="29" t="s">
        <v>2141</v>
      </c>
      <c r="BS94" s="29" t="s">
        <v>2141</v>
      </c>
      <c r="BT94" s="55" t="s">
        <v>656</v>
      </c>
      <c r="BU94" s="29"/>
      <c r="BV94" s="29" t="s">
        <v>656</v>
      </c>
      <c r="BW94" s="36" t="s">
        <v>470</v>
      </c>
      <c r="BX94" s="29" t="s">
        <v>470</v>
      </c>
      <c r="BY94" s="663"/>
      <c r="BZ94" s="663"/>
      <c r="CA94" s="29"/>
      <c r="CB94" s="48" t="s">
        <v>470</v>
      </c>
      <c r="CC94" s="29" t="s">
        <v>470</v>
      </c>
      <c r="CD94" s="36"/>
      <c r="CE94" s="29" t="s">
        <v>1212</v>
      </c>
      <c r="CF94" s="29" t="s">
        <v>470</v>
      </c>
      <c r="CG94" s="662" t="s">
        <v>470</v>
      </c>
      <c r="CH94" s="29" t="s">
        <v>1212</v>
      </c>
      <c r="CI94" s="29" t="s">
        <v>1212</v>
      </c>
      <c r="CJ94" s="29" t="s">
        <v>1212</v>
      </c>
      <c r="CK94" s="29" t="s">
        <v>1212</v>
      </c>
      <c r="CL94" s="29" t="s">
        <v>656</v>
      </c>
      <c r="CM94" s="110" t="s">
        <v>1180</v>
      </c>
      <c r="CN94" s="29" t="s">
        <v>470</v>
      </c>
      <c r="CO94" s="29" t="s">
        <v>470</v>
      </c>
      <c r="CP94" s="29" t="s">
        <v>470</v>
      </c>
      <c r="CQ94" s="29" t="s">
        <v>470</v>
      </c>
      <c r="CR94" s="127"/>
      <c r="CS94" s="29"/>
      <c r="CT94" s="29"/>
      <c r="CU94" s="29" t="s">
        <v>656</v>
      </c>
      <c r="CV94" s="663"/>
      <c r="CW94" s="36" t="s">
        <v>656</v>
      </c>
      <c r="CX94" s="664" t="s">
        <v>656</v>
      </c>
      <c r="CY94" s="29" t="s">
        <v>1447</v>
      </c>
      <c r="CZ94" s="29" t="s">
        <v>1447</v>
      </c>
      <c r="DA94" s="29" t="s">
        <v>1482</v>
      </c>
      <c r="DB94" s="29" t="s">
        <v>1924</v>
      </c>
      <c r="DC94" s="29" t="s">
        <v>656</v>
      </c>
      <c r="DD94" s="29" t="s">
        <v>470</v>
      </c>
      <c r="DE94" s="29" t="s">
        <v>2613</v>
      </c>
      <c r="DF94" s="29"/>
      <c r="DG94" s="127" t="s">
        <v>2699</v>
      </c>
      <c r="DH94" s="29" t="s">
        <v>2755</v>
      </c>
      <c r="DI94" s="127" t="s">
        <v>2727</v>
      </c>
      <c r="DJ94" s="666"/>
      <c r="DK94" s="667"/>
      <c r="DL94" s="127"/>
      <c r="DM94" s="132" t="s">
        <v>587</v>
      </c>
      <c r="DN94" s="29" t="s">
        <v>656</v>
      </c>
      <c r="DO94" s="36" t="s">
        <v>656</v>
      </c>
      <c r="DP94" s="29"/>
      <c r="DQ94" s="29"/>
      <c r="DR94" s="29" t="s">
        <v>2561</v>
      </c>
      <c r="DS94" s="29" t="s">
        <v>656</v>
      </c>
      <c r="DT94" s="29"/>
      <c r="DU94" s="29" t="s">
        <v>470</v>
      </c>
      <c r="DV94" s="29" t="s">
        <v>2492</v>
      </c>
      <c r="DW94" s="36"/>
      <c r="DX94" s="29"/>
      <c r="DY94" s="36"/>
      <c r="DZ94" s="29"/>
      <c r="EA94" s="36">
        <v>0</v>
      </c>
      <c r="EB94" s="29"/>
      <c r="EC94" s="29" t="s">
        <v>1447</v>
      </c>
      <c r="ED94" s="29"/>
      <c r="EE94" s="29"/>
      <c r="EF94" s="29" t="s">
        <v>470</v>
      </c>
      <c r="EG94" s="663"/>
      <c r="EH94" s="186" t="s">
        <v>656</v>
      </c>
      <c r="EI94" s="186" t="s">
        <v>656</v>
      </c>
      <c r="EJ94" s="186" t="s">
        <v>656</v>
      </c>
      <c r="EK94" s="29" t="s">
        <v>2305</v>
      </c>
      <c r="EL94" s="29" t="s">
        <v>2305</v>
      </c>
      <c r="EM94" s="186" t="s">
        <v>2217</v>
      </c>
      <c r="EN94" s="48" t="s">
        <v>2234</v>
      </c>
      <c r="EO94" s="29" t="s">
        <v>2273</v>
      </c>
      <c r="EP94" s="36" t="s">
        <v>656</v>
      </c>
      <c r="EQ94" s="29" t="s">
        <v>1649</v>
      </c>
      <c r="ER94" s="36">
        <v>78872</v>
      </c>
      <c r="ES94" s="663"/>
      <c r="ET94" s="29" t="s">
        <v>3348</v>
      </c>
      <c r="EU94" s="127" t="s">
        <v>3348</v>
      </c>
      <c r="EV94" s="662" t="s">
        <v>656</v>
      </c>
      <c r="EW94" s="29"/>
      <c r="EX94" s="36" t="s">
        <v>656</v>
      </c>
      <c r="EY94" s="29" t="s">
        <v>656</v>
      </c>
      <c r="EZ94" s="663"/>
      <c r="FA94" s="29" t="s">
        <v>1626</v>
      </c>
    </row>
    <row r="95" spans="1:157" ht="85" x14ac:dyDescent="0.2">
      <c r="A95" s="1205"/>
      <c r="B95" s="1206"/>
      <c r="C95" s="167" t="s">
        <v>194</v>
      </c>
      <c r="D95" s="168" t="s">
        <v>195</v>
      </c>
      <c r="E95" s="185" t="s">
        <v>117</v>
      </c>
      <c r="F95" s="36" t="s">
        <v>470</v>
      </c>
      <c r="G95" s="36" t="s">
        <v>656</v>
      </c>
      <c r="H95" s="161" t="s">
        <v>656</v>
      </c>
      <c r="I95" s="36" t="s">
        <v>656</v>
      </c>
      <c r="J95" s="36">
        <v>8</v>
      </c>
      <c r="K95" s="36">
        <v>5</v>
      </c>
      <c r="L95" s="36">
        <v>2</v>
      </c>
      <c r="M95" s="36"/>
      <c r="N95" s="50" t="s">
        <v>656</v>
      </c>
      <c r="O95" s="54" t="s">
        <v>1482</v>
      </c>
      <c r="P95" s="61">
        <v>2</v>
      </c>
      <c r="Q95" s="54" t="s">
        <v>1482</v>
      </c>
      <c r="R95" s="36">
        <v>2</v>
      </c>
      <c r="S95" s="36">
        <v>3</v>
      </c>
      <c r="T95" s="29">
        <v>0</v>
      </c>
      <c r="U95" s="36">
        <v>0</v>
      </c>
      <c r="V95" s="36">
        <v>0</v>
      </c>
      <c r="W95" s="36"/>
      <c r="X95" s="36">
        <v>5</v>
      </c>
      <c r="Y95" s="36"/>
      <c r="Z95" s="36"/>
      <c r="AA95" s="36"/>
      <c r="AB95" s="36"/>
      <c r="AC95" s="36"/>
      <c r="AD95" s="36" t="s">
        <v>656</v>
      </c>
      <c r="AE95" s="161"/>
      <c r="AF95" s="55">
        <v>7</v>
      </c>
      <c r="AG95" s="36"/>
      <c r="AH95" s="50" t="s">
        <v>470</v>
      </c>
      <c r="AI95" s="36"/>
      <c r="AJ95" s="29" t="s">
        <v>470</v>
      </c>
      <c r="AK95" s="663"/>
      <c r="AL95" s="36"/>
      <c r="AM95" s="36"/>
      <c r="AN95" s="36" t="s">
        <v>656</v>
      </c>
      <c r="AO95" s="36"/>
      <c r="AP95" s="663"/>
      <c r="AQ95" s="50">
        <v>25</v>
      </c>
      <c r="AR95" s="663"/>
      <c r="AS95" s="36"/>
      <c r="AT95" s="36"/>
      <c r="AU95" s="36"/>
      <c r="AV95" s="50"/>
      <c r="AW95" s="107"/>
      <c r="AX95" s="663"/>
      <c r="AY95" s="663"/>
      <c r="AZ95" s="36" t="s">
        <v>656</v>
      </c>
      <c r="BA95" s="36" t="s">
        <v>656</v>
      </c>
      <c r="BB95" s="36" t="s">
        <v>656</v>
      </c>
      <c r="BC95" s="36" t="s">
        <v>470</v>
      </c>
      <c r="BD95" s="36"/>
      <c r="BE95" s="36"/>
      <c r="BF95" s="36">
        <v>3</v>
      </c>
      <c r="BG95" s="36"/>
      <c r="BH95" s="29"/>
      <c r="BI95" s="29" t="s">
        <v>656</v>
      </c>
      <c r="BJ95" s="36" t="s">
        <v>656</v>
      </c>
      <c r="BK95" s="36"/>
      <c r="BL95" s="36">
        <v>9</v>
      </c>
      <c r="BM95" s="36" t="s">
        <v>656</v>
      </c>
      <c r="BN95" s="29"/>
      <c r="BO95" s="733"/>
      <c r="BP95" s="36" t="s">
        <v>470</v>
      </c>
      <c r="BQ95" s="29">
        <v>8</v>
      </c>
      <c r="BR95" s="36">
        <v>3</v>
      </c>
      <c r="BS95" s="36">
        <v>3</v>
      </c>
      <c r="BT95" s="54" t="s">
        <v>656</v>
      </c>
      <c r="BU95" s="36"/>
      <c r="BV95" s="36" t="s">
        <v>656</v>
      </c>
      <c r="BW95" s="36" t="s">
        <v>470</v>
      </c>
      <c r="BX95" s="29" t="s">
        <v>470</v>
      </c>
      <c r="BY95" s="663"/>
      <c r="BZ95" s="663"/>
      <c r="CA95" s="36"/>
      <c r="CB95" s="50" t="s">
        <v>470</v>
      </c>
      <c r="CC95" s="29" t="s">
        <v>470</v>
      </c>
      <c r="CD95" s="36"/>
      <c r="CE95" s="36">
        <v>5</v>
      </c>
      <c r="CF95" s="29" t="s">
        <v>470</v>
      </c>
      <c r="CG95" s="662" t="s">
        <v>470</v>
      </c>
      <c r="CH95" s="36">
        <v>3</v>
      </c>
      <c r="CI95" s="36">
        <v>5</v>
      </c>
      <c r="CJ95" s="36">
        <v>5</v>
      </c>
      <c r="CK95" s="36">
        <v>5</v>
      </c>
      <c r="CL95" s="36">
        <v>0</v>
      </c>
      <c r="CM95" s="115">
        <v>4</v>
      </c>
      <c r="CN95" s="36" t="s">
        <v>470</v>
      </c>
      <c r="CO95" s="29" t="s">
        <v>470</v>
      </c>
      <c r="CP95" s="29" t="s">
        <v>470</v>
      </c>
      <c r="CQ95" s="36" t="s">
        <v>470</v>
      </c>
      <c r="CR95" s="132"/>
      <c r="CS95" s="36"/>
      <c r="CT95" s="29"/>
      <c r="CU95" s="36" t="s">
        <v>656</v>
      </c>
      <c r="CV95" s="663"/>
      <c r="CW95" s="36" t="s">
        <v>656</v>
      </c>
      <c r="CX95" s="734" t="s">
        <v>656</v>
      </c>
      <c r="CY95" s="36" t="s">
        <v>1447</v>
      </c>
      <c r="CZ95" s="36" t="s">
        <v>1447</v>
      </c>
      <c r="DA95" s="29" t="s">
        <v>1482</v>
      </c>
      <c r="DB95" s="36">
        <v>0</v>
      </c>
      <c r="DC95" s="36" t="s">
        <v>656</v>
      </c>
      <c r="DD95" s="29" t="s">
        <v>470</v>
      </c>
      <c r="DE95" s="36" t="s">
        <v>470</v>
      </c>
      <c r="DF95" s="36"/>
      <c r="DG95" s="132">
        <v>0</v>
      </c>
      <c r="DH95" s="179">
        <f>'[3]Учетная политика'!$Y$15</f>
        <v>1</v>
      </c>
      <c r="DI95" s="132">
        <v>97</v>
      </c>
      <c r="DJ95" s="736"/>
      <c r="DK95" s="737"/>
      <c r="DL95" s="132"/>
      <c r="DM95" s="132" t="s">
        <v>470</v>
      </c>
      <c r="DN95" s="36" t="s">
        <v>656</v>
      </c>
      <c r="DO95" s="36" t="s">
        <v>656</v>
      </c>
      <c r="DP95" s="36"/>
      <c r="DQ95" s="36"/>
      <c r="DR95" s="36">
        <f>6+35</f>
        <v>41</v>
      </c>
      <c r="DS95" s="36" t="s">
        <v>656</v>
      </c>
      <c r="DT95" s="36"/>
      <c r="DU95" s="36" t="s">
        <v>470</v>
      </c>
      <c r="DV95" s="29">
        <v>5</v>
      </c>
      <c r="DW95" s="36"/>
      <c r="DX95" s="36"/>
      <c r="DY95" s="29"/>
      <c r="DZ95" s="36"/>
      <c r="EA95" s="36">
        <v>0</v>
      </c>
      <c r="EB95" s="36"/>
      <c r="EC95" s="36" t="s">
        <v>1447</v>
      </c>
      <c r="ED95" s="36"/>
      <c r="EE95" s="36"/>
      <c r="EF95" s="29" t="s">
        <v>470</v>
      </c>
      <c r="EG95" s="663"/>
      <c r="EH95" s="733" t="s">
        <v>656</v>
      </c>
      <c r="EI95" s="733" t="s">
        <v>656</v>
      </c>
      <c r="EJ95" s="733" t="s">
        <v>656</v>
      </c>
      <c r="EK95" s="36">
        <v>5</v>
      </c>
      <c r="EL95" s="36">
        <v>5</v>
      </c>
      <c r="EM95" s="733">
        <v>5</v>
      </c>
      <c r="EN95" s="50" t="s">
        <v>2234</v>
      </c>
      <c r="EO95" s="36">
        <v>3</v>
      </c>
      <c r="EP95" s="36" t="s">
        <v>656</v>
      </c>
      <c r="EQ95" s="36">
        <v>1</v>
      </c>
      <c r="ER95" s="29"/>
      <c r="ES95" s="663"/>
      <c r="ET95" s="36">
        <v>7</v>
      </c>
      <c r="EU95" s="132">
        <v>3</v>
      </c>
      <c r="EV95" s="161" t="s">
        <v>656</v>
      </c>
      <c r="EW95" s="36"/>
      <c r="EX95" s="36" t="s">
        <v>656</v>
      </c>
      <c r="EY95" s="36" t="s">
        <v>656</v>
      </c>
      <c r="EZ95" s="663"/>
      <c r="FA95" s="36">
        <v>4</v>
      </c>
    </row>
    <row r="96" spans="1:157" ht="340" x14ac:dyDescent="0.2">
      <c r="A96" s="1205"/>
      <c r="B96" s="1206"/>
      <c r="C96" s="167" t="s">
        <v>196</v>
      </c>
      <c r="D96" s="168" t="s">
        <v>197</v>
      </c>
      <c r="E96" s="185" t="s">
        <v>117</v>
      </c>
      <c r="F96" s="36" t="s">
        <v>470</v>
      </c>
      <c r="G96" s="36" t="s">
        <v>656</v>
      </c>
      <c r="H96" s="161" t="s">
        <v>656</v>
      </c>
      <c r="I96" s="36" t="s">
        <v>656</v>
      </c>
      <c r="J96" s="36" t="s">
        <v>656</v>
      </c>
      <c r="K96" s="36" t="s">
        <v>656</v>
      </c>
      <c r="L96" s="36">
        <v>0</v>
      </c>
      <c r="M96" s="36"/>
      <c r="N96" s="50" t="s">
        <v>656</v>
      </c>
      <c r="O96" s="54" t="s">
        <v>1482</v>
      </c>
      <c r="P96" s="61" t="s">
        <v>656</v>
      </c>
      <c r="Q96" s="54" t="s">
        <v>1482</v>
      </c>
      <c r="R96" s="36" t="s">
        <v>656</v>
      </c>
      <c r="S96" s="36" t="s">
        <v>656</v>
      </c>
      <c r="T96" s="29">
        <v>0</v>
      </c>
      <c r="U96" s="36">
        <v>0</v>
      </c>
      <c r="V96" s="36">
        <v>0</v>
      </c>
      <c r="W96" s="36"/>
      <c r="X96" s="36">
        <v>0</v>
      </c>
      <c r="Y96" s="36">
        <v>761</v>
      </c>
      <c r="Z96" s="36"/>
      <c r="AA96" s="36"/>
      <c r="AB96" s="36"/>
      <c r="AC96" s="36"/>
      <c r="AD96" s="36" t="s">
        <v>656</v>
      </c>
      <c r="AE96" s="161"/>
      <c r="AF96" s="36"/>
      <c r="AG96" s="36"/>
      <c r="AH96" s="50" t="s">
        <v>470</v>
      </c>
      <c r="AI96" s="36"/>
      <c r="AJ96" s="29" t="s">
        <v>470</v>
      </c>
      <c r="AK96" s="663"/>
      <c r="AL96" s="36" t="s">
        <v>656</v>
      </c>
      <c r="AM96" s="36"/>
      <c r="AN96" s="36"/>
      <c r="AO96" s="36"/>
      <c r="AP96" s="663"/>
      <c r="AQ96" s="36"/>
      <c r="AR96" s="663"/>
      <c r="AS96" s="36"/>
      <c r="AT96" s="36"/>
      <c r="AU96" s="36"/>
      <c r="AV96" s="50"/>
      <c r="AW96" s="107"/>
      <c r="AX96" s="663"/>
      <c r="AY96" s="663"/>
      <c r="AZ96" s="36" t="s">
        <v>656</v>
      </c>
      <c r="BA96" s="36" t="s">
        <v>656</v>
      </c>
      <c r="BB96" s="36" t="s">
        <v>656</v>
      </c>
      <c r="BC96" s="36" t="s">
        <v>470</v>
      </c>
      <c r="BD96" s="36"/>
      <c r="BE96" s="36"/>
      <c r="BF96" s="36"/>
      <c r="BG96" s="36"/>
      <c r="BH96" s="29" t="s">
        <v>656</v>
      </c>
      <c r="BI96" s="29" t="s">
        <v>656</v>
      </c>
      <c r="BJ96" s="36"/>
      <c r="BK96" s="36">
        <v>0</v>
      </c>
      <c r="BL96" s="36"/>
      <c r="BM96" s="36" t="s">
        <v>656</v>
      </c>
      <c r="BN96" s="29"/>
      <c r="BO96" s="733"/>
      <c r="BP96" s="36" t="s">
        <v>470</v>
      </c>
      <c r="BQ96" s="36">
        <v>0</v>
      </c>
      <c r="BR96" s="36">
        <v>0</v>
      </c>
      <c r="BS96" s="36">
        <v>0</v>
      </c>
      <c r="BT96" s="169" t="s">
        <v>656</v>
      </c>
      <c r="BU96" s="36"/>
      <c r="BV96" s="36" t="s">
        <v>656</v>
      </c>
      <c r="BW96" s="36" t="s">
        <v>470</v>
      </c>
      <c r="BX96" s="29" t="s">
        <v>470</v>
      </c>
      <c r="BY96" s="663"/>
      <c r="BZ96" s="663"/>
      <c r="CA96" s="36"/>
      <c r="CB96" s="50" t="s">
        <v>470</v>
      </c>
      <c r="CC96" s="29" t="s">
        <v>470</v>
      </c>
      <c r="CD96" s="36"/>
      <c r="CE96" s="36">
        <v>101</v>
      </c>
      <c r="CF96" s="36" t="s">
        <v>470</v>
      </c>
      <c r="CG96" s="161" t="s">
        <v>470</v>
      </c>
      <c r="CH96" s="36">
        <v>15</v>
      </c>
      <c r="CI96" s="36">
        <f>99+120</f>
        <v>219</v>
      </c>
      <c r="CJ96" s="36">
        <v>815</v>
      </c>
      <c r="CK96" s="36">
        <v>37</v>
      </c>
      <c r="CL96" s="36">
        <v>730</v>
      </c>
      <c r="CM96" s="115" t="s">
        <v>539</v>
      </c>
      <c r="CN96" s="36" t="s">
        <v>470</v>
      </c>
      <c r="CO96" s="29" t="s">
        <v>470</v>
      </c>
      <c r="CP96" s="29" t="s">
        <v>470</v>
      </c>
      <c r="CQ96" s="36" t="s">
        <v>470</v>
      </c>
      <c r="CR96" s="132"/>
      <c r="CS96" s="36"/>
      <c r="CT96" s="36"/>
      <c r="CU96" s="36" t="s">
        <v>656</v>
      </c>
      <c r="CV96" s="663"/>
      <c r="CW96" s="36" t="s">
        <v>656</v>
      </c>
      <c r="CX96" s="734" t="s">
        <v>656</v>
      </c>
      <c r="CY96" s="36" t="s">
        <v>1447</v>
      </c>
      <c r="CZ96" s="36" t="s">
        <v>1447</v>
      </c>
      <c r="DA96" s="29" t="s">
        <v>1482</v>
      </c>
      <c r="DB96" s="36">
        <v>0</v>
      </c>
      <c r="DC96" s="36" t="s">
        <v>656</v>
      </c>
      <c r="DD96" s="29" t="s">
        <v>470</v>
      </c>
      <c r="DE96" s="36" t="s">
        <v>470</v>
      </c>
      <c r="DF96" s="36"/>
      <c r="DG96" s="132">
        <v>0</v>
      </c>
      <c r="DH96" s="179">
        <v>12</v>
      </c>
      <c r="DI96" s="132" t="s">
        <v>873</v>
      </c>
      <c r="DJ96" s="736"/>
      <c r="DK96" s="737"/>
      <c r="DL96" s="132"/>
      <c r="DM96" s="132" t="s">
        <v>470</v>
      </c>
      <c r="DN96" s="36" t="s">
        <v>656</v>
      </c>
      <c r="DO96" s="36" t="s">
        <v>656</v>
      </c>
      <c r="DP96" s="36"/>
      <c r="DQ96" s="36"/>
      <c r="DR96" s="36">
        <v>4885</v>
      </c>
      <c r="DS96" s="36" t="s">
        <v>656</v>
      </c>
      <c r="DT96" s="36"/>
      <c r="DU96" s="36" t="s">
        <v>470</v>
      </c>
      <c r="DV96" s="36" t="s">
        <v>656</v>
      </c>
      <c r="DW96" s="36"/>
      <c r="DX96" s="36"/>
      <c r="DY96" s="29"/>
      <c r="DZ96" s="36"/>
      <c r="EA96" s="36"/>
      <c r="EB96" s="36"/>
      <c r="EC96" s="36" t="s">
        <v>1447</v>
      </c>
      <c r="ED96" s="36"/>
      <c r="EE96" s="36"/>
      <c r="EF96" s="36" t="s">
        <v>470</v>
      </c>
      <c r="EG96" s="663"/>
      <c r="EH96" s="733" t="s">
        <v>656</v>
      </c>
      <c r="EI96" s="733" t="s">
        <v>656</v>
      </c>
      <c r="EJ96" s="733" t="s">
        <v>2372</v>
      </c>
      <c r="EK96" s="36" t="s">
        <v>470</v>
      </c>
      <c r="EL96" s="36" t="s">
        <v>470</v>
      </c>
      <c r="EM96" s="733"/>
      <c r="EN96" s="50" t="s">
        <v>2234</v>
      </c>
      <c r="EO96" s="36">
        <v>0</v>
      </c>
      <c r="EP96" s="36" t="s">
        <v>656</v>
      </c>
      <c r="EQ96" s="36" t="s">
        <v>470</v>
      </c>
      <c r="ER96" s="29"/>
      <c r="ES96" s="663"/>
      <c r="ET96" s="36" t="s">
        <v>3349</v>
      </c>
      <c r="EU96" s="132">
        <v>2200</v>
      </c>
      <c r="EV96" s="161" t="s">
        <v>656</v>
      </c>
      <c r="EW96" s="36"/>
      <c r="EX96" s="36" t="s">
        <v>656</v>
      </c>
      <c r="EY96" s="36" t="s">
        <v>656</v>
      </c>
      <c r="EZ96" s="663"/>
      <c r="FA96" s="36" t="s">
        <v>1627</v>
      </c>
    </row>
    <row r="97" spans="1:157" ht="136" x14ac:dyDescent="0.2">
      <c r="A97" s="1205"/>
      <c r="B97" s="1206"/>
      <c r="C97" s="167" t="s">
        <v>198</v>
      </c>
      <c r="D97" s="168" t="s">
        <v>199</v>
      </c>
      <c r="E97" s="185" t="s">
        <v>117</v>
      </c>
      <c r="F97" s="36">
        <v>1</v>
      </c>
      <c r="G97" s="36">
        <v>2</v>
      </c>
      <c r="H97" s="161" t="s">
        <v>656</v>
      </c>
      <c r="I97" s="36" t="s">
        <v>656</v>
      </c>
      <c r="J97" s="36">
        <v>1</v>
      </c>
      <c r="K97" s="36">
        <v>4</v>
      </c>
      <c r="L97" s="36">
        <v>1</v>
      </c>
      <c r="M97" s="36"/>
      <c r="N97" s="36">
        <v>2</v>
      </c>
      <c r="O97" s="36">
        <v>2</v>
      </c>
      <c r="P97" s="61" t="s">
        <v>656</v>
      </c>
      <c r="Q97" s="36">
        <v>6</v>
      </c>
      <c r="R97" s="36" t="s">
        <v>656</v>
      </c>
      <c r="S97" s="36" t="s">
        <v>656</v>
      </c>
      <c r="T97" s="36">
        <v>5</v>
      </c>
      <c r="U97" s="36">
        <v>2</v>
      </c>
      <c r="V97" s="36">
        <v>2</v>
      </c>
      <c r="W97" s="36"/>
      <c r="X97" s="36">
        <v>6</v>
      </c>
      <c r="Y97" s="36">
        <v>5</v>
      </c>
      <c r="Z97" s="36">
        <v>1</v>
      </c>
      <c r="AA97" s="36">
        <v>3</v>
      </c>
      <c r="AB97" s="36">
        <v>13</v>
      </c>
      <c r="AC97" s="36">
        <v>13</v>
      </c>
      <c r="AD97" s="36">
        <v>6</v>
      </c>
      <c r="AE97" s="161">
        <v>4</v>
      </c>
      <c r="AF97" s="36"/>
      <c r="AG97" s="36"/>
      <c r="AH97" s="50">
        <v>4</v>
      </c>
      <c r="AI97" s="36"/>
      <c r="AJ97" s="29" t="s">
        <v>470</v>
      </c>
      <c r="AK97" s="663"/>
      <c r="AL97" s="36"/>
      <c r="AM97" s="36">
        <v>4</v>
      </c>
      <c r="AN97" s="36" t="s">
        <v>656</v>
      </c>
      <c r="AO97" s="36">
        <v>2</v>
      </c>
      <c r="AP97" s="663"/>
      <c r="AQ97" s="50">
        <v>7</v>
      </c>
      <c r="AR97" s="663"/>
      <c r="AS97" s="36">
        <v>5</v>
      </c>
      <c r="AT97" s="36"/>
      <c r="AU97" s="36"/>
      <c r="AV97" s="50">
        <v>3</v>
      </c>
      <c r="AW97" s="61">
        <v>4</v>
      </c>
      <c r="AX97" s="663"/>
      <c r="AY97" s="663"/>
      <c r="AZ97" s="36">
        <v>1</v>
      </c>
      <c r="BA97" s="36">
        <v>1</v>
      </c>
      <c r="BB97" s="36">
        <v>1</v>
      </c>
      <c r="BC97" s="36">
        <v>7</v>
      </c>
      <c r="BD97" s="36" t="s">
        <v>1815</v>
      </c>
      <c r="BE97" s="36" t="s">
        <v>1841</v>
      </c>
      <c r="BF97" s="36">
        <v>2</v>
      </c>
      <c r="BG97" s="36">
        <v>1</v>
      </c>
      <c r="BH97" s="36">
        <v>2</v>
      </c>
      <c r="BI97" s="36">
        <v>2</v>
      </c>
      <c r="BJ97" s="36">
        <v>2</v>
      </c>
      <c r="BK97" s="36">
        <v>4</v>
      </c>
      <c r="BL97" s="36"/>
      <c r="BM97" s="36" t="s">
        <v>656</v>
      </c>
      <c r="BN97" s="36"/>
      <c r="BO97" s="733"/>
      <c r="BP97" s="36">
        <v>8</v>
      </c>
      <c r="BQ97" s="36">
        <v>0</v>
      </c>
      <c r="BR97" s="36">
        <v>6</v>
      </c>
      <c r="BS97" s="36">
        <v>6</v>
      </c>
      <c r="BT97" s="55" t="s">
        <v>656</v>
      </c>
      <c r="BU97" s="36"/>
      <c r="BV97" s="36" t="s">
        <v>656</v>
      </c>
      <c r="BW97" s="36">
        <v>4</v>
      </c>
      <c r="BX97" s="36">
        <v>4</v>
      </c>
      <c r="BY97" s="663"/>
      <c r="BZ97" s="663"/>
      <c r="CA97" s="36">
        <v>8</v>
      </c>
      <c r="CB97" s="50" t="s">
        <v>1128</v>
      </c>
      <c r="CC97" s="29">
        <v>1</v>
      </c>
      <c r="CD97" s="36">
        <v>5</v>
      </c>
      <c r="CE97" s="36">
        <v>0</v>
      </c>
      <c r="CF97" s="36" t="s">
        <v>470</v>
      </c>
      <c r="CG97" s="161" t="s">
        <v>470</v>
      </c>
      <c r="CH97" s="36">
        <v>0</v>
      </c>
      <c r="CI97" s="36">
        <v>0</v>
      </c>
      <c r="CJ97" s="36">
        <v>0</v>
      </c>
      <c r="CK97" s="36">
        <v>0</v>
      </c>
      <c r="CL97" s="36">
        <v>4</v>
      </c>
      <c r="CM97" s="115" t="s">
        <v>539</v>
      </c>
      <c r="CN97" s="36">
        <v>4</v>
      </c>
      <c r="CO97" s="29" t="s">
        <v>470</v>
      </c>
      <c r="CP97" s="29" t="s">
        <v>470</v>
      </c>
      <c r="CQ97" s="36">
        <v>4</v>
      </c>
      <c r="CR97" s="132">
        <v>9</v>
      </c>
      <c r="CS97" s="36">
        <v>2</v>
      </c>
      <c r="CT97" s="29"/>
      <c r="CU97" s="36">
        <v>3</v>
      </c>
      <c r="CV97" s="663"/>
      <c r="CW97" s="36">
        <v>5</v>
      </c>
      <c r="CX97" s="734">
        <v>2</v>
      </c>
      <c r="CY97" s="36">
        <v>3</v>
      </c>
      <c r="CZ97" s="36">
        <v>3</v>
      </c>
      <c r="DA97" s="36">
        <v>17</v>
      </c>
      <c r="DB97" s="36">
        <v>5</v>
      </c>
      <c r="DC97" s="36" t="s">
        <v>656</v>
      </c>
      <c r="DD97" s="36">
        <v>2</v>
      </c>
      <c r="DE97" s="36">
        <v>10</v>
      </c>
      <c r="DF97" s="36"/>
      <c r="DG97" s="132">
        <v>4</v>
      </c>
      <c r="DH97" s="36">
        <v>0</v>
      </c>
      <c r="DI97" s="132">
        <v>4</v>
      </c>
      <c r="DJ97" s="736">
        <v>4</v>
      </c>
      <c r="DK97" s="737"/>
      <c r="DL97" s="132">
        <v>3</v>
      </c>
      <c r="DM97" s="132" t="s">
        <v>588</v>
      </c>
      <c r="DN97" s="36">
        <v>6</v>
      </c>
      <c r="DO97" s="36">
        <v>6</v>
      </c>
      <c r="DP97" s="36"/>
      <c r="DQ97" s="36"/>
      <c r="DR97" s="36">
        <v>12</v>
      </c>
      <c r="DS97" s="36" t="s">
        <v>656</v>
      </c>
      <c r="DT97" s="36"/>
      <c r="DU97" s="36">
        <v>1</v>
      </c>
      <c r="DV97" s="36">
        <v>5</v>
      </c>
      <c r="DW97" s="36">
        <v>1</v>
      </c>
      <c r="DX97" s="36"/>
      <c r="DY97" s="36"/>
      <c r="DZ97" s="36"/>
      <c r="EA97" s="36">
        <v>1</v>
      </c>
      <c r="EB97" s="36"/>
      <c r="EC97" s="36">
        <v>2</v>
      </c>
      <c r="ED97" s="36">
        <v>1</v>
      </c>
      <c r="EE97" s="36">
        <v>2</v>
      </c>
      <c r="EF97" s="36">
        <v>1</v>
      </c>
      <c r="EG97" s="663"/>
      <c r="EH97" s="733">
        <v>1</v>
      </c>
      <c r="EI97" s="733">
        <v>6</v>
      </c>
      <c r="EJ97" s="733">
        <v>4</v>
      </c>
      <c r="EK97" s="36">
        <v>4</v>
      </c>
      <c r="EL97" s="36">
        <v>4</v>
      </c>
      <c r="EM97" s="733">
        <v>1</v>
      </c>
      <c r="EN97" s="50">
        <v>10</v>
      </c>
      <c r="EO97" s="36">
        <v>2</v>
      </c>
      <c r="EP97" s="36" t="s">
        <v>656</v>
      </c>
      <c r="EQ97" s="36" t="s">
        <v>470</v>
      </c>
      <c r="ER97" s="36"/>
      <c r="ES97" s="663"/>
      <c r="ET97" s="36">
        <v>40</v>
      </c>
      <c r="EU97" s="132">
        <v>52</v>
      </c>
      <c r="EV97" s="161">
        <v>6</v>
      </c>
      <c r="EW97" s="36">
        <v>4</v>
      </c>
      <c r="EX97" s="36">
        <v>30</v>
      </c>
      <c r="EY97" s="36" t="s">
        <v>656</v>
      </c>
      <c r="EZ97" s="663"/>
      <c r="FA97" s="36" t="s">
        <v>656</v>
      </c>
    </row>
    <row r="98" spans="1:157" ht="68" x14ac:dyDescent="0.2">
      <c r="A98" s="1205" t="s">
        <v>200</v>
      </c>
      <c r="B98" s="1206" t="s">
        <v>201</v>
      </c>
      <c r="C98" s="1208" t="s">
        <v>202</v>
      </c>
      <c r="D98" s="1204" t="s">
        <v>203</v>
      </c>
      <c r="E98" s="185" t="s">
        <v>204</v>
      </c>
      <c r="F98" s="29" t="s">
        <v>479</v>
      </c>
      <c r="G98" s="29" t="s">
        <v>470</v>
      </c>
      <c r="H98" s="662" t="s">
        <v>479</v>
      </c>
      <c r="I98" s="29" t="s">
        <v>656</v>
      </c>
      <c r="J98" s="29" t="s">
        <v>540</v>
      </c>
      <c r="K98" s="29" t="s">
        <v>539</v>
      </c>
      <c r="L98" s="29" t="s">
        <v>479</v>
      </c>
      <c r="M98" s="29" t="s">
        <v>479</v>
      </c>
      <c r="N98" s="29" t="s">
        <v>470</v>
      </c>
      <c r="O98" s="29" t="s">
        <v>539</v>
      </c>
      <c r="P98" s="29" t="s">
        <v>539</v>
      </c>
      <c r="Q98" s="29" t="s">
        <v>540</v>
      </c>
      <c r="R98" s="29" t="s">
        <v>539</v>
      </c>
      <c r="S98" s="29" t="s">
        <v>540</v>
      </c>
      <c r="T98" s="29" t="s">
        <v>479</v>
      </c>
      <c r="U98" s="29" t="s">
        <v>873</v>
      </c>
      <c r="V98" s="29" t="s">
        <v>470</v>
      </c>
      <c r="W98" s="29" t="s">
        <v>539</v>
      </c>
      <c r="X98" s="29" t="s">
        <v>470</v>
      </c>
      <c r="Y98" s="29" t="s">
        <v>479</v>
      </c>
      <c r="Z98" s="29" t="s">
        <v>539</v>
      </c>
      <c r="AA98" s="29"/>
      <c r="AB98" s="29"/>
      <c r="AC98" s="29"/>
      <c r="AD98" s="29" t="s">
        <v>539</v>
      </c>
      <c r="AE98" s="662" t="s">
        <v>470</v>
      </c>
      <c r="AF98" s="54" t="s">
        <v>479</v>
      </c>
      <c r="AG98" s="29" t="s">
        <v>470</v>
      </c>
      <c r="AH98" s="48" t="s">
        <v>470</v>
      </c>
      <c r="AI98" s="29" t="s">
        <v>470</v>
      </c>
      <c r="AJ98" s="29" t="s">
        <v>959</v>
      </c>
      <c r="AK98" s="663"/>
      <c r="AL98" s="29" t="s">
        <v>470</v>
      </c>
      <c r="AM98" s="29" t="s">
        <v>470</v>
      </c>
      <c r="AN98" s="29" t="s">
        <v>479</v>
      </c>
      <c r="AO98" s="29" t="s">
        <v>479</v>
      </c>
      <c r="AP98" s="663"/>
      <c r="AQ98" s="48" t="s">
        <v>470</v>
      </c>
      <c r="AR98" s="663"/>
      <c r="AS98" s="29"/>
      <c r="AT98" s="29" t="s">
        <v>479</v>
      </c>
      <c r="AU98" s="29" t="s">
        <v>479</v>
      </c>
      <c r="AV98" s="48" t="s">
        <v>470</v>
      </c>
      <c r="AW98" s="29" t="s">
        <v>479</v>
      </c>
      <c r="AX98" s="663"/>
      <c r="AY98" s="663"/>
      <c r="AZ98" s="29" t="s">
        <v>470</v>
      </c>
      <c r="BA98" s="29" t="s">
        <v>470</v>
      </c>
      <c r="BB98" s="29" t="s">
        <v>470</v>
      </c>
      <c r="BC98" s="29"/>
      <c r="BD98" s="29" t="s">
        <v>470</v>
      </c>
      <c r="BE98" s="29" t="s">
        <v>470</v>
      </c>
      <c r="BF98" s="29" t="s">
        <v>540</v>
      </c>
      <c r="BG98" s="29" t="s">
        <v>470</v>
      </c>
      <c r="BH98" s="29" t="s">
        <v>479</v>
      </c>
      <c r="BI98" s="29" t="s">
        <v>479</v>
      </c>
      <c r="BJ98" s="29" t="s">
        <v>479</v>
      </c>
      <c r="BK98" s="29" t="s">
        <v>479</v>
      </c>
      <c r="BL98" s="29" t="s">
        <v>479</v>
      </c>
      <c r="BM98" s="29" t="s">
        <v>470</v>
      </c>
      <c r="BN98" s="36" t="s">
        <v>479</v>
      </c>
      <c r="BO98" s="186" t="s">
        <v>479</v>
      </c>
      <c r="BP98" s="29" t="s">
        <v>470</v>
      </c>
      <c r="BQ98" s="29" t="s">
        <v>479</v>
      </c>
      <c r="BR98" s="29" t="s">
        <v>479</v>
      </c>
      <c r="BS98" s="29" t="s">
        <v>479</v>
      </c>
      <c r="BT98" s="36" t="s">
        <v>470</v>
      </c>
      <c r="BU98" s="29" t="s">
        <v>479</v>
      </c>
      <c r="BV98" s="29" t="s">
        <v>479</v>
      </c>
      <c r="BW98" s="29" t="s">
        <v>479</v>
      </c>
      <c r="BX98" s="29" t="s">
        <v>470</v>
      </c>
      <c r="BY98" s="663"/>
      <c r="BZ98" s="663"/>
      <c r="CA98" s="29" t="s">
        <v>470</v>
      </c>
      <c r="CB98" s="48" t="s">
        <v>479</v>
      </c>
      <c r="CC98" s="29" t="s">
        <v>479</v>
      </c>
      <c r="CD98" s="29" t="s">
        <v>470</v>
      </c>
      <c r="CE98" s="29" t="s">
        <v>479</v>
      </c>
      <c r="CF98" s="36" t="s">
        <v>470</v>
      </c>
      <c r="CG98" s="161" t="s">
        <v>470</v>
      </c>
      <c r="CH98" s="29" t="s">
        <v>470</v>
      </c>
      <c r="CI98" s="29" t="s">
        <v>479</v>
      </c>
      <c r="CJ98" s="29" t="s">
        <v>479</v>
      </c>
      <c r="CK98" s="29" t="s">
        <v>470</v>
      </c>
      <c r="CL98" s="29" t="s">
        <v>479</v>
      </c>
      <c r="CM98" s="110" t="s">
        <v>540</v>
      </c>
      <c r="CN98" s="29" t="s">
        <v>479</v>
      </c>
      <c r="CO98" s="29" t="s">
        <v>470</v>
      </c>
      <c r="CP98" s="29" t="s">
        <v>470</v>
      </c>
      <c r="CQ98" s="36" t="s">
        <v>470</v>
      </c>
      <c r="CR98" s="127" t="s">
        <v>540</v>
      </c>
      <c r="CS98" s="29" t="s">
        <v>479</v>
      </c>
      <c r="CT98" s="29"/>
      <c r="CU98" s="29"/>
      <c r="CV98" s="663"/>
      <c r="CW98" s="54" t="s">
        <v>479</v>
      </c>
      <c r="CX98" s="664" t="s">
        <v>470</v>
      </c>
      <c r="CY98" s="29" t="s">
        <v>479</v>
      </c>
      <c r="CZ98" s="29" t="s">
        <v>470</v>
      </c>
      <c r="DA98" s="29" t="s">
        <v>1482</v>
      </c>
      <c r="DB98" s="29" t="s">
        <v>470</v>
      </c>
      <c r="DC98" s="29" t="s">
        <v>656</v>
      </c>
      <c r="DD98" s="29" t="s">
        <v>470</v>
      </c>
      <c r="DE98" s="29" t="s">
        <v>479</v>
      </c>
      <c r="DF98" s="29" t="s">
        <v>470</v>
      </c>
      <c r="DG98" s="127" t="s">
        <v>470</v>
      </c>
      <c r="DH98" s="29"/>
      <c r="DI98" s="127"/>
      <c r="DJ98" s="666">
        <v>25</v>
      </c>
      <c r="DK98" s="667" t="s">
        <v>470</v>
      </c>
      <c r="DL98" s="127" t="s">
        <v>479</v>
      </c>
      <c r="DM98" s="127" t="s">
        <v>540</v>
      </c>
      <c r="DN98" s="29" t="s">
        <v>470</v>
      </c>
      <c r="DO98" s="29" t="s">
        <v>479</v>
      </c>
      <c r="DP98" s="29" t="s">
        <v>2523</v>
      </c>
      <c r="DQ98" s="29" t="s">
        <v>470</v>
      </c>
      <c r="DR98" s="29" t="s">
        <v>479</v>
      </c>
      <c r="DS98" s="29" t="s">
        <v>470</v>
      </c>
      <c r="DT98" s="29" t="s">
        <v>479</v>
      </c>
      <c r="DU98" s="29" t="s">
        <v>470</v>
      </c>
      <c r="DV98" s="29" t="s">
        <v>479</v>
      </c>
      <c r="DW98" s="54" t="s">
        <v>540</v>
      </c>
      <c r="DX98" s="29" t="s">
        <v>539</v>
      </c>
      <c r="DY98" s="29"/>
      <c r="DZ98" s="29" t="s">
        <v>539</v>
      </c>
      <c r="EA98" s="54" t="s">
        <v>540</v>
      </c>
      <c r="EB98" s="29"/>
      <c r="EC98" s="29" t="s">
        <v>479</v>
      </c>
      <c r="ED98" s="29" t="s">
        <v>479</v>
      </c>
      <c r="EE98" s="29" t="s">
        <v>479</v>
      </c>
      <c r="EF98" s="29" t="s">
        <v>470</v>
      </c>
      <c r="EG98" s="663"/>
      <c r="EH98" s="186" t="s">
        <v>479</v>
      </c>
      <c r="EI98" s="186" t="s">
        <v>479</v>
      </c>
      <c r="EJ98" s="186" t="s">
        <v>470</v>
      </c>
      <c r="EK98" s="29" t="s">
        <v>470</v>
      </c>
      <c r="EL98" s="29" t="s">
        <v>470</v>
      </c>
      <c r="EM98" s="186" t="s">
        <v>470</v>
      </c>
      <c r="EN98" s="29" t="s">
        <v>479</v>
      </c>
      <c r="EO98" s="29" t="s">
        <v>470</v>
      </c>
      <c r="EP98" s="29" t="s">
        <v>540</v>
      </c>
      <c r="EQ98" s="29" t="s">
        <v>470</v>
      </c>
      <c r="ER98" s="36"/>
      <c r="ES98" s="663"/>
      <c r="ET98" s="29" t="s">
        <v>470</v>
      </c>
      <c r="EU98" s="132" t="s">
        <v>479</v>
      </c>
      <c r="EV98" s="662" t="s">
        <v>540</v>
      </c>
      <c r="EW98" s="29" t="s">
        <v>470</v>
      </c>
      <c r="EX98" s="36" t="s">
        <v>479</v>
      </c>
      <c r="EY98" s="29" t="s">
        <v>479</v>
      </c>
      <c r="EZ98" s="663"/>
      <c r="FA98" s="29" t="s">
        <v>479</v>
      </c>
    </row>
    <row r="99" spans="1:157" ht="409.6" x14ac:dyDescent="0.2">
      <c r="A99" s="1205"/>
      <c r="B99" s="1206"/>
      <c r="C99" s="1208"/>
      <c r="D99" s="1204"/>
      <c r="E99" s="185" t="s">
        <v>205</v>
      </c>
      <c r="F99" s="29" t="s">
        <v>1006</v>
      </c>
      <c r="G99" s="29" t="s">
        <v>656</v>
      </c>
      <c r="H99" s="662" t="s">
        <v>640</v>
      </c>
      <c r="I99" s="29" t="s">
        <v>656</v>
      </c>
      <c r="J99" s="29" t="s">
        <v>2030</v>
      </c>
      <c r="K99" s="29" t="s">
        <v>656</v>
      </c>
      <c r="L99" s="29" t="s">
        <v>688</v>
      </c>
      <c r="M99" s="29" t="s">
        <v>3297</v>
      </c>
      <c r="N99" s="50" t="s">
        <v>656</v>
      </c>
      <c r="O99" s="29" t="s">
        <v>656</v>
      </c>
      <c r="P99" s="29" t="s">
        <v>656</v>
      </c>
      <c r="Q99" s="29" t="s">
        <v>1508</v>
      </c>
      <c r="R99" s="29" t="s">
        <v>656</v>
      </c>
      <c r="S99" s="29" t="s">
        <v>1534</v>
      </c>
      <c r="T99" s="29" t="s">
        <v>1903</v>
      </c>
      <c r="U99" s="29" t="s">
        <v>1930</v>
      </c>
      <c r="V99" s="29" t="s">
        <v>1924</v>
      </c>
      <c r="W99" s="29"/>
      <c r="X99" s="29"/>
      <c r="Y99" s="29" t="s">
        <v>851</v>
      </c>
      <c r="Z99" s="29"/>
      <c r="AA99" s="29"/>
      <c r="AB99" s="29"/>
      <c r="AC99" s="29"/>
      <c r="AD99" s="29" t="s">
        <v>656</v>
      </c>
      <c r="AE99" s="662" t="s">
        <v>656</v>
      </c>
      <c r="AF99" s="54" t="s">
        <v>802</v>
      </c>
      <c r="AG99" s="29"/>
      <c r="AH99" s="48" t="s">
        <v>470</v>
      </c>
      <c r="AI99" s="29"/>
      <c r="AJ99" s="29" t="s">
        <v>960</v>
      </c>
      <c r="AK99" s="663"/>
      <c r="AL99" s="29"/>
      <c r="AM99" s="29"/>
      <c r="AN99" s="29" t="s">
        <v>3521</v>
      </c>
      <c r="AO99" s="29" t="s">
        <v>1364</v>
      </c>
      <c r="AP99" s="663"/>
      <c r="AQ99" s="29"/>
      <c r="AR99" s="663"/>
      <c r="AS99" s="29"/>
      <c r="AT99" s="29" t="s">
        <v>1988</v>
      </c>
      <c r="AU99" s="29" t="s">
        <v>2006</v>
      </c>
      <c r="AV99" s="48"/>
      <c r="AW99" s="29" t="s">
        <v>2062</v>
      </c>
      <c r="AX99" s="663"/>
      <c r="AY99" s="663"/>
      <c r="AZ99" s="29" t="s">
        <v>656</v>
      </c>
      <c r="BA99" s="29" t="s">
        <v>656</v>
      </c>
      <c r="BB99" s="29" t="s">
        <v>656</v>
      </c>
      <c r="BC99" s="29"/>
      <c r="BD99" s="29"/>
      <c r="BE99" s="29"/>
      <c r="BF99" s="29" t="s">
        <v>1686</v>
      </c>
      <c r="BG99" s="29"/>
      <c r="BH99" s="29" t="s">
        <v>1073</v>
      </c>
      <c r="BI99" s="29" t="s">
        <v>1093</v>
      </c>
      <c r="BJ99" s="29" t="s">
        <v>1112</v>
      </c>
      <c r="BK99" s="29" t="s">
        <v>1720</v>
      </c>
      <c r="BL99" s="29" t="s">
        <v>2109</v>
      </c>
      <c r="BM99" s="29" t="s">
        <v>656</v>
      </c>
      <c r="BN99" s="36"/>
      <c r="BO99" s="186" t="s">
        <v>1876</v>
      </c>
      <c r="BP99" s="29" t="s">
        <v>470</v>
      </c>
      <c r="BQ99" s="29" t="s">
        <v>9506</v>
      </c>
      <c r="BR99" s="29" t="s">
        <v>2142</v>
      </c>
      <c r="BS99" s="29" t="s">
        <v>2142</v>
      </c>
      <c r="BT99" s="36"/>
      <c r="BU99" s="29" t="s">
        <v>619</v>
      </c>
      <c r="BV99" s="29" t="s">
        <v>2949</v>
      </c>
      <c r="BW99" s="29" t="s">
        <v>3007</v>
      </c>
      <c r="BX99" s="29" t="s">
        <v>470</v>
      </c>
      <c r="BY99" s="663"/>
      <c r="BZ99" s="663"/>
      <c r="CA99" s="29"/>
      <c r="CB99" s="48" t="s">
        <v>1129</v>
      </c>
      <c r="CC99" s="29" t="s">
        <v>1157</v>
      </c>
      <c r="CD99" s="29"/>
      <c r="CE99" s="29" t="s">
        <v>1213</v>
      </c>
      <c r="CF99" s="29" t="s">
        <v>470</v>
      </c>
      <c r="CG99" s="662" t="s">
        <v>470</v>
      </c>
      <c r="CH99" s="29" t="s">
        <v>656</v>
      </c>
      <c r="CI99" s="29" t="s">
        <v>1289</v>
      </c>
      <c r="CJ99" s="29" t="s">
        <v>9510</v>
      </c>
      <c r="CK99" s="29" t="s">
        <v>656</v>
      </c>
      <c r="CL99" s="29" t="s">
        <v>1336</v>
      </c>
      <c r="CM99" s="110" t="s">
        <v>1181</v>
      </c>
      <c r="CN99" s="29" t="s">
        <v>3157</v>
      </c>
      <c r="CO99" s="29" t="s">
        <v>470</v>
      </c>
      <c r="CP99" s="29" t="s">
        <v>470</v>
      </c>
      <c r="CQ99" s="36" t="s">
        <v>470</v>
      </c>
      <c r="CR99" s="127" t="s">
        <v>1396</v>
      </c>
      <c r="CS99" s="29" t="s">
        <v>3099</v>
      </c>
      <c r="CT99" s="36"/>
      <c r="CU99" s="29"/>
      <c r="CV99" s="663"/>
      <c r="CW99" s="54" t="s">
        <v>3070</v>
      </c>
      <c r="CX99" s="664" t="s">
        <v>656</v>
      </c>
      <c r="CY99" s="29" t="s">
        <v>1457</v>
      </c>
      <c r="CZ99" s="29" t="s">
        <v>1447</v>
      </c>
      <c r="DA99" s="29" t="s">
        <v>1482</v>
      </c>
      <c r="DB99" s="29" t="s">
        <v>1924</v>
      </c>
      <c r="DC99" s="29" t="s">
        <v>656</v>
      </c>
      <c r="DD99" s="29" t="s">
        <v>470</v>
      </c>
      <c r="DE99" s="29" t="s">
        <v>2623</v>
      </c>
      <c r="DF99" s="29"/>
      <c r="DG99" s="127"/>
      <c r="DH99" s="29"/>
      <c r="DI99" s="127"/>
      <c r="DJ99" s="666" t="s">
        <v>2786</v>
      </c>
      <c r="DK99" s="667"/>
      <c r="DL99" s="127" t="s">
        <v>2809</v>
      </c>
      <c r="DM99" s="127" t="s">
        <v>589</v>
      </c>
      <c r="DN99" s="29" t="s">
        <v>656</v>
      </c>
      <c r="DO99" s="29" t="s">
        <v>2675</v>
      </c>
      <c r="DP99" s="29" t="s">
        <v>1876</v>
      </c>
      <c r="DQ99" s="29"/>
      <c r="DR99" s="29" t="s">
        <v>2562</v>
      </c>
      <c r="DS99" s="29" t="s">
        <v>656</v>
      </c>
      <c r="DT99" s="29" t="s">
        <v>1876</v>
      </c>
      <c r="DU99" s="29"/>
      <c r="DV99" s="29" t="s">
        <v>656</v>
      </c>
      <c r="DW99" s="29" t="s">
        <v>2415</v>
      </c>
      <c r="DX99" s="29"/>
      <c r="DY99" s="36"/>
      <c r="DZ99" s="29"/>
      <c r="EA99" s="29" t="s">
        <v>2433</v>
      </c>
      <c r="EB99" s="29"/>
      <c r="EC99" s="29" t="s">
        <v>3424</v>
      </c>
      <c r="ED99" s="29" t="s">
        <v>3451</v>
      </c>
      <c r="EE99" s="54" t="s">
        <v>511</v>
      </c>
      <c r="EF99" s="29" t="s">
        <v>470</v>
      </c>
      <c r="EG99" s="663"/>
      <c r="EH99" s="186" t="s">
        <v>2352</v>
      </c>
      <c r="EI99" s="186" t="s">
        <v>2396</v>
      </c>
      <c r="EJ99" s="186" t="s">
        <v>656</v>
      </c>
      <c r="EK99" s="29" t="s">
        <v>2306</v>
      </c>
      <c r="EL99" s="29"/>
      <c r="EM99" s="186"/>
      <c r="EN99" s="29" t="s">
        <v>1508</v>
      </c>
      <c r="EO99" s="29"/>
      <c r="EP99" s="29" t="s">
        <v>1561</v>
      </c>
      <c r="EQ99" s="29" t="s">
        <v>470</v>
      </c>
      <c r="ER99" s="36"/>
      <c r="ES99" s="663"/>
      <c r="ET99" s="29" t="s">
        <v>470</v>
      </c>
      <c r="EU99" s="132" t="s">
        <v>3376</v>
      </c>
      <c r="EV99" s="662" t="s">
        <v>1590</v>
      </c>
      <c r="EW99" s="29"/>
      <c r="EX99" s="29" t="s">
        <v>1430</v>
      </c>
      <c r="EY99" s="29" t="s">
        <v>2084</v>
      </c>
      <c r="EZ99" s="663"/>
      <c r="FA99" s="29" t="s">
        <v>1628</v>
      </c>
    </row>
    <row r="100" spans="1:157" ht="51" x14ac:dyDescent="0.2">
      <c r="A100" s="1205"/>
      <c r="B100" s="1206"/>
      <c r="C100" s="1208"/>
      <c r="D100" s="1204"/>
      <c r="E100" s="185" t="s">
        <v>206</v>
      </c>
      <c r="F100" s="36">
        <v>2734</v>
      </c>
      <c r="G100" s="36" t="s">
        <v>656</v>
      </c>
      <c r="H100" s="161"/>
      <c r="I100" s="36" t="s">
        <v>656</v>
      </c>
      <c r="J100" s="36">
        <v>82151</v>
      </c>
      <c r="K100" s="36" t="s">
        <v>656</v>
      </c>
      <c r="L100" s="36">
        <v>27775</v>
      </c>
      <c r="M100" s="36" t="s">
        <v>3298</v>
      </c>
      <c r="N100" s="50" t="s">
        <v>656</v>
      </c>
      <c r="O100" s="36" t="s">
        <v>656</v>
      </c>
      <c r="P100" s="36" t="s">
        <v>656</v>
      </c>
      <c r="Q100" s="36">
        <v>5780</v>
      </c>
      <c r="R100" s="36" t="s">
        <v>656</v>
      </c>
      <c r="S100" s="36">
        <v>164009</v>
      </c>
      <c r="T100" s="36">
        <v>24460</v>
      </c>
      <c r="U100" s="36">
        <v>0</v>
      </c>
      <c r="V100" s="36">
        <v>0</v>
      </c>
      <c r="W100" s="36"/>
      <c r="X100" s="36"/>
      <c r="Y100" s="36">
        <v>21928</v>
      </c>
      <c r="Z100" s="36"/>
      <c r="AA100" s="36"/>
      <c r="AB100" s="36"/>
      <c r="AC100" s="36"/>
      <c r="AD100" s="36" t="s">
        <v>656</v>
      </c>
      <c r="AE100" s="161" t="s">
        <v>656</v>
      </c>
      <c r="AF100" s="36">
        <v>17301</v>
      </c>
      <c r="AG100" s="36"/>
      <c r="AH100" s="50" t="s">
        <v>470</v>
      </c>
      <c r="AI100" s="36"/>
      <c r="AJ100" s="36"/>
      <c r="AK100" s="663"/>
      <c r="AL100" s="36"/>
      <c r="AM100" s="36"/>
      <c r="AN100" s="37" t="s">
        <v>3522</v>
      </c>
      <c r="AO100" s="36">
        <v>28440</v>
      </c>
      <c r="AP100" s="663"/>
      <c r="AQ100" s="36"/>
      <c r="AR100" s="663"/>
      <c r="AS100" s="36"/>
      <c r="AT100" s="36">
        <v>15873</v>
      </c>
      <c r="AU100" s="36">
        <v>255</v>
      </c>
      <c r="AV100" s="50"/>
      <c r="AW100" s="36">
        <v>25589</v>
      </c>
      <c r="AX100" s="663"/>
      <c r="AY100" s="663"/>
      <c r="AZ100" s="36" t="s">
        <v>656</v>
      </c>
      <c r="BA100" s="36" t="s">
        <v>656</v>
      </c>
      <c r="BB100" s="36" t="s">
        <v>656</v>
      </c>
      <c r="BC100" s="36"/>
      <c r="BD100" s="36"/>
      <c r="BE100" s="36"/>
      <c r="BF100" s="36">
        <v>81572</v>
      </c>
      <c r="BG100" s="36"/>
      <c r="BH100" s="36">
        <v>11860</v>
      </c>
      <c r="BI100" s="36">
        <v>3000</v>
      </c>
      <c r="BJ100" s="36">
        <v>3862</v>
      </c>
      <c r="BK100" s="36">
        <v>360082</v>
      </c>
      <c r="BL100" s="36">
        <v>61917</v>
      </c>
      <c r="BM100" s="36" t="s">
        <v>656</v>
      </c>
      <c r="BN100" s="36"/>
      <c r="BO100" s="733">
        <v>166</v>
      </c>
      <c r="BP100" s="36" t="s">
        <v>470</v>
      </c>
      <c r="BQ100" s="36" t="s">
        <v>3042</v>
      </c>
      <c r="BR100" s="36">
        <v>5514</v>
      </c>
      <c r="BS100" s="36">
        <v>4861</v>
      </c>
      <c r="BT100" s="107"/>
      <c r="BU100" s="36">
        <v>15</v>
      </c>
      <c r="BV100" s="36">
        <v>40757</v>
      </c>
      <c r="BW100" s="36" t="s">
        <v>3007</v>
      </c>
      <c r="BX100" s="29" t="s">
        <v>470</v>
      </c>
      <c r="BY100" s="663"/>
      <c r="BZ100" s="663"/>
      <c r="CA100" s="36"/>
      <c r="CB100" s="50">
        <v>46959</v>
      </c>
      <c r="CC100" s="36">
        <v>694</v>
      </c>
      <c r="CD100" s="36"/>
      <c r="CE100" s="36">
        <v>16745</v>
      </c>
      <c r="CF100" s="29"/>
      <c r="CG100" s="662"/>
      <c r="CH100" s="36" t="s">
        <v>656</v>
      </c>
      <c r="CI100" s="36">
        <v>46651</v>
      </c>
      <c r="CJ100" s="36">
        <v>29930</v>
      </c>
      <c r="CK100" s="36">
        <v>0</v>
      </c>
      <c r="CL100" s="36">
        <v>36228</v>
      </c>
      <c r="CM100" s="115">
        <v>29985</v>
      </c>
      <c r="CN100" s="36">
        <v>5211</v>
      </c>
      <c r="CO100" s="29" t="s">
        <v>470</v>
      </c>
      <c r="CP100" s="29" t="s">
        <v>470</v>
      </c>
      <c r="CQ100" s="36" t="s">
        <v>470</v>
      </c>
      <c r="CR100" s="132">
        <v>91636</v>
      </c>
      <c r="CS100" s="36">
        <v>210</v>
      </c>
      <c r="CT100" s="36" t="s">
        <v>479</v>
      </c>
      <c r="CU100" s="36"/>
      <c r="CV100" s="663"/>
      <c r="CW100" s="55" t="s">
        <v>3071</v>
      </c>
      <c r="CX100" s="734" t="s">
        <v>656</v>
      </c>
      <c r="CY100" s="36">
        <v>4964</v>
      </c>
      <c r="CZ100" s="29" t="s">
        <v>1447</v>
      </c>
      <c r="DA100" s="29" t="s">
        <v>1482</v>
      </c>
      <c r="DB100" s="36">
        <v>0</v>
      </c>
      <c r="DC100" s="36" t="s">
        <v>656</v>
      </c>
      <c r="DD100" s="29" t="s">
        <v>470</v>
      </c>
      <c r="DE100" s="36">
        <v>1500</v>
      </c>
      <c r="DF100" s="36"/>
      <c r="DG100" s="132"/>
      <c r="DH100" s="36"/>
      <c r="DI100" s="132"/>
      <c r="DJ100" s="736">
        <v>11745</v>
      </c>
      <c r="DK100" s="737"/>
      <c r="DL100" s="132">
        <v>187742</v>
      </c>
      <c r="DM100" s="132">
        <v>382896</v>
      </c>
      <c r="DN100" s="36" t="s">
        <v>656</v>
      </c>
      <c r="DO100" s="36">
        <v>4612</v>
      </c>
      <c r="DP100" s="36">
        <v>26742</v>
      </c>
      <c r="DQ100" s="36"/>
      <c r="DR100" s="36" t="s">
        <v>2563</v>
      </c>
      <c r="DS100" s="36" t="s">
        <v>656</v>
      </c>
      <c r="DT100" s="36">
        <v>505</v>
      </c>
      <c r="DU100" s="36"/>
      <c r="DV100" s="36">
        <v>24465</v>
      </c>
      <c r="DW100" s="36">
        <v>300000</v>
      </c>
      <c r="DX100" s="36"/>
      <c r="DY100" s="36"/>
      <c r="DZ100" s="36"/>
      <c r="EA100" s="36">
        <v>5000</v>
      </c>
      <c r="EB100" s="36"/>
      <c r="EC100" s="29" t="s">
        <v>3425</v>
      </c>
      <c r="ED100" s="36" t="s">
        <v>3452</v>
      </c>
      <c r="EE100" s="36">
        <v>9593</v>
      </c>
      <c r="EF100" s="36" t="s">
        <v>470</v>
      </c>
      <c r="EG100" s="663"/>
      <c r="EH100" s="733">
        <v>311</v>
      </c>
      <c r="EI100" s="733">
        <v>3193</v>
      </c>
      <c r="EJ100" s="733" t="s">
        <v>656</v>
      </c>
      <c r="EK100" s="36"/>
      <c r="EL100" s="36"/>
      <c r="EM100" s="733"/>
      <c r="EN100" s="36">
        <v>90763</v>
      </c>
      <c r="EO100" s="36"/>
      <c r="EP100" s="36">
        <v>41417</v>
      </c>
      <c r="EQ100" s="36" t="s">
        <v>470</v>
      </c>
      <c r="ER100" s="36"/>
      <c r="ES100" s="663"/>
      <c r="ET100" s="36">
        <v>0</v>
      </c>
      <c r="EU100" s="132">
        <v>17753</v>
      </c>
      <c r="EV100" s="161">
        <v>25352</v>
      </c>
      <c r="EW100" s="29"/>
      <c r="EX100" s="36">
        <v>4635</v>
      </c>
      <c r="EY100" s="36">
        <v>108</v>
      </c>
      <c r="EZ100" s="663"/>
      <c r="FA100" s="36"/>
    </row>
    <row r="101" spans="1:157" ht="68" x14ac:dyDescent="0.2">
      <c r="A101" s="1205"/>
      <c r="B101" s="1206"/>
      <c r="C101" s="1208" t="s">
        <v>207</v>
      </c>
      <c r="D101" s="1204" t="s">
        <v>208</v>
      </c>
      <c r="E101" s="185" t="s">
        <v>204</v>
      </c>
      <c r="F101" s="29" t="s">
        <v>479</v>
      </c>
      <c r="G101" s="29" t="s">
        <v>479</v>
      </c>
      <c r="H101" s="662" t="s">
        <v>479</v>
      </c>
      <c r="I101" s="29" t="s">
        <v>479</v>
      </c>
      <c r="J101" s="29" t="s">
        <v>540</v>
      </c>
      <c r="K101" s="29" t="s">
        <v>539</v>
      </c>
      <c r="L101" s="29" t="s">
        <v>689</v>
      </c>
      <c r="M101" s="29" t="s">
        <v>479</v>
      </c>
      <c r="N101" s="29" t="s">
        <v>479</v>
      </c>
      <c r="O101" s="54" t="s">
        <v>540</v>
      </c>
      <c r="P101" s="29" t="s">
        <v>539</v>
      </c>
      <c r="Q101" s="29" t="s">
        <v>540</v>
      </c>
      <c r="R101" s="29" t="s">
        <v>539</v>
      </c>
      <c r="S101" s="29" t="s">
        <v>540</v>
      </c>
      <c r="T101" s="29" t="s">
        <v>479</v>
      </c>
      <c r="U101" s="29" t="s">
        <v>873</v>
      </c>
      <c r="V101" s="29" t="s">
        <v>470</v>
      </c>
      <c r="W101" s="29" t="s">
        <v>540</v>
      </c>
      <c r="X101" s="29" t="s">
        <v>470</v>
      </c>
      <c r="Y101" s="29" t="s">
        <v>479</v>
      </c>
      <c r="Z101" s="29" t="s">
        <v>539</v>
      </c>
      <c r="AA101" s="29" t="s">
        <v>479</v>
      </c>
      <c r="AB101" s="29" t="s">
        <v>1794</v>
      </c>
      <c r="AC101" s="29" t="s">
        <v>1794</v>
      </c>
      <c r="AD101" s="29" t="s">
        <v>479</v>
      </c>
      <c r="AE101" s="662" t="s">
        <v>479</v>
      </c>
      <c r="AF101" s="54" t="s">
        <v>479</v>
      </c>
      <c r="AG101" s="29" t="s">
        <v>470</v>
      </c>
      <c r="AH101" s="48" t="s">
        <v>470</v>
      </c>
      <c r="AI101" s="29" t="s">
        <v>479</v>
      </c>
      <c r="AJ101" s="29" t="s">
        <v>479</v>
      </c>
      <c r="AK101" s="663"/>
      <c r="AL101" s="29" t="s">
        <v>470</v>
      </c>
      <c r="AM101" s="29" t="s">
        <v>470</v>
      </c>
      <c r="AN101" s="29" t="s">
        <v>479</v>
      </c>
      <c r="AO101" s="29" t="s">
        <v>479</v>
      </c>
      <c r="AP101" s="663"/>
      <c r="AQ101" s="48" t="s">
        <v>479</v>
      </c>
      <c r="AR101" s="663"/>
      <c r="AS101" s="29" t="s">
        <v>540</v>
      </c>
      <c r="AT101" s="29" t="s">
        <v>479</v>
      </c>
      <c r="AU101" s="29" t="s">
        <v>479</v>
      </c>
      <c r="AV101" s="48" t="s">
        <v>479</v>
      </c>
      <c r="AW101" s="29" t="s">
        <v>479</v>
      </c>
      <c r="AX101" s="663"/>
      <c r="AY101" s="663"/>
      <c r="AZ101" s="29" t="s">
        <v>479</v>
      </c>
      <c r="BA101" s="29" t="s">
        <v>479</v>
      </c>
      <c r="BB101" s="29" t="s">
        <v>479</v>
      </c>
      <c r="BC101" s="29" t="s">
        <v>479</v>
      </c>
      <c r="BD101" s="29" t="s">
        <v>479</v>
      </c>
      <c r="BE101" s="29" t="s">
        <v>479</v>
      </c>
      <c r="BF101" s="29" t="s">
        <v>540</v>
      </c>
      <c r="BG101" s="29" t="s">
        <v>479</v>
      </c>
      <c r="BH101" s="29" t="s">
        <v>470</v>
      </c>
      <c r="BI101" s="29" t="s">
        <v>479</v>
      </c>
      <c r="BJ101" s="29" t="s">
        <v>470</v>
      </c>
      <c r="BK101" s="29" t="s">
        <v>479</v>
      </c>
      <c r="BL101" s="29" t="s">
        <v>479</v>
      </c>
      <c r="BM101" s="29" t="s">
        <v>479</v>
      </c>
      <c r="BN101" s="36"/>
      <c r="BO101" s="186" t="s">
        <v>479</v>
      </c>
      <c r="BP101" s="29" t="s">
        <v>479</v>
      </c>
      <c r="BQ101" s="29" t="s">
        <v>470</v>
      </c>
      <c r="BR101" s="29" t="s">
        <v>479</v>
      </c>
      <c r="BS101" s="29" t="s">
        <v>479</v>
      </c>
      <c r="BT101" s="54" t="s">
        <v>470</v>
      </c>
      <c r="BU101" s="29"/>
      <c r="BV101" s="29" t="s">
        <v>479</v>
      </c>
      <c r="BW101" s="29" t="s">
        <v>479</v>
      </c>
      <c r="BX101" s="29" t="s">
        <v>479</v>
      </c>
      <c r="BY101" s="663"/>
      <c r="BZ101" s="663"/>
      <c r="CA101" s="29" t="s">
        <v>470</v>
      </c>
      <c r="CB101" s="48" t="s">
        <v>479</v>
      </c>
      <c r="CC101" s="29" t="s">
        <v>479</v>
      </c>
      <c r="CD101" s="29" t="s">
        <v>479</v>
      </c>
      <c r="CE101" s="29" t="s">
        <v>479</v>
      </c>
      <c r="CF101" s="36"/>
      <c r="CG101" s="161"/>
      <c r="CH101" s="29" t="s">
        <v>479</v>
      </c>
      <c r="CI101" s="29" t="s">
        <v>479</v>
      </c>
      <c r="CJ101" s="29" t="s">
        <v>479</v>
      </c>
      <c r="CK101" s="29" t="s">
        <v>470</v>
      </c>
      <c r="CL101" s="29" t="s">
        <v>470</v>
      </c>
      <c r="CM101" s="110" t="s">
        <v>540</v>
      </c>
      <c r="CN101" s="29" t="s">
        <v>479</v>
      </c>
      <c r="CO101" s="29" t="s">
        <v>470</v>
      </c>
      <c r="CP101" s="29" t="s">
        <v>479</v>
      </c>
      <c r="CQ101" s="36" t="s">
        <v>470</v>
      </c>
      <c r="CR101" s="127" t="s">
        <v>540</v>
      </c>
      <c r="CS101" s="29" t="s">
        <v>479</v>
      </c>
      <c r="CT101" s="36" t="s">
        <v>484</v>
      </c>
      <c r="CU101" s="29" t="s">
        <v>540</v>
      </c>
      <c r="CV101" s="663"/>
      <c r="CW101" s="54" t="s">
        <v>479</v>
      </c>
      <c r="CX101" s="664" t="s">
        <v>470</v>
      </c>
      <c r="CY101" s="29" t="s">
        <v>479</v>
      </c>
      <c r="CZ101" s="29" t="s">
        <v>470</v>
      </c>
      <c r="DA101" s="29" t="s">
        <v>479</v>
      </c>
      <c r="DB101" s="29" t="s">
        <v>470</v>
      </c>
      <c r="DC101" s="29" t="s">
        <v>656</v>
      </c>
      <c r="DD101" s="54" t="s">
        <v>479</v>
      </c>
      <c r="DE101" s="29" t="s">
        <v>540</v>
      </c>
      <c r="DF101" s="29" t="s">
        <v>470</v>
      </c>
      <c r="DG101" s="127" t="s">
        <v>470</v>
      </c>
      <c r="DH101" s="29"/>
      <c r="DI101" s="127"/>
      <c r="DJ101" s="666" t="s">
        <v>479</v>
      </c>
      <c r="DK101" s="667" t="s">
        <v>479</v>
      </c>
      <c r="DL101" s="127" t="s">
        <v>479</v>
      </c>
      <c r="DM101" s="127" t="s">
        <v>540</v>
      </c>
      <c r="DN101" s="29" t="s">
        <v>479</v>
      </c>
      <c r="DO101" s="29" t="s">
        <v>479</v>
      </c>
      <c r="DP101" s="29" t="s">
        <v>2524</v>
      </c>
      <c r="DQ101" s="29" t="s">
        <v>479</v>
      </c>
      <c r="DR101" s="29" t="s">
        <v>479</v>
      </c>
      <c r="DS101" s="29" t="s">
        <v>479</v>
      </c>
      <c r="DT101" s="29" t="s">
        <v>470</v>
      </c>
      <c r="DU101" s="29" t="s">
        <v>470</v>
      </c>
      <c r="DV101" s="29" t="s">
        <v>479</v>
      </c>
      <c r="DW101" s="54" t="s">
        <v>540</v>
      </c>
      <c r="DX101" s="29" t="s">
        <v>540</v>
      </c>
      <c r="DY101" s="36"/>
      <c r="DZ101" s="29" t="s">
        <v>540</v>
      </c>
      <c r="EA101" s="54" t="s">
        <v>540</v>
      </c>
      <c r="EB101" s="29"/>
      <c r="EC101" s="29" t="s">
        <v>479</v>
      </c>
      <c r="ED101" s="29" t="s">
        <v>479</v>
      </c>
      <c r="EE101" s="54" t="s">
        <v>479</v>
      </c>
      <c r="EF101" s="29" t="s">
        <v>479</v>
      </c>
      <c r="EG101" s="663"/>
      <c r="EH101" s="733" t="s">
        <v>479</v>
      </c>
      <c r="EI101" s="186" t="s">
        <v>479</v>
      </c>
      <c r="EJ101" s="186" t="s">
        <v>479</v>
      </c>
      <c r="EK101" s="29" t="s">
        <v>479</v>
      </c>
      <c r="EL101" s="29" t="s">
        <v>470</v>
      </c>
      <c r="EM101" s="186" t="s">
        <v>479</v>
      </c>
      <c r="EN101" s="29" t="s">
        <v>479</v>
      </c>
      <c r="EO101" s="29" t="s">
        <v>470</v>
      </c>
      <c r="EP101" s="29" t="s">
        <v>540</v>
      </c>
      <c r="EQ101" s="29" t="s">
        <v>479</v>
      </c>
      <c r="ER101" s="36"/>
      <c r="ES101" s="663"/>
      <c r="ET101" s="29" t="s">
        <v>470</v>
      </c>
      <c r="EU101" s="132" t="s">
        <v>479</v>
      </c>
      <c r="EV101" s="662" t="s">
        <v>540</v>
      </c>
      <c r="EW101" s="29" t="s">
        <v>479</v>
      </c>
      <c r="EX101" s="29" t="s">
        <v>479</v>
      </c>
      <c r="EY101" s="29" t="s">
        <v>479</v>
      </c>
      <c r="EZ101" s="663"/>
      <c r="FA101" s="29" t="s">
        <v>479</v>
      </c>
    </row>
    <row r="102" spans="1:157" ht="409.6" x14ac:dyDescent="0.2">
      <c r="A102" s="1205"/>
      <c r="B102" s="1206"/>
      <c r="C102" s="1208"/>
      <c r="D102" s="1204"/>
      <c r="E102" s="185" t="s">
        <v>205</v>
      </c>
      <c r="F102" s="29" t="s">
        <v>1007</v>
      </c>
      <c r="G102" s="29" t="s">
        <v>1033</v>
      </c>
      <c r="H102" s="662" t="s">
        <v>640</v>
      </c>
      <c r="I102" s="29" t="s">
        <v>3605</v>
      </c>
      <c r="J102" s="29" t="s">
        <v>2031</v>
      </c>
      <c r="K102" s="29" t="s">
        <v>656</v>
      </c>
      <c r="L102" s="29" t="s">
        <v>690</v>
      </c>
      <c r="M102" s="29" t="s">
        <v>3299</v>
      </c>
      <c r="N102" s="29" t="s">
        <v>1875</v>
      </c>
      <c r="O102" s="54" t="s">
        <v>1484</v>
      </c>
      <c r="P102" s="29" t="s">
        <v>656</v>
      </c>
      <c r="Q102" s="29" t="s">
        <v>1509</v>
      </c>
      <c r="R102" s="29" t="s">
        <v>656</v>
      </c>
      <c r="S102" s="29" t="s">
        <v>1535</v>
      </c>
      <c r="T102" s="29" t="s">
        <v>1904</v>
      </c>
      <c r="U102" s="29" t="s">
        <v>1930</v>
      </c>
      <c r="V102" s="29" t="s">
        <v>1924</v>
      </c>
      <c r="W102" s="29" t="s">
        <v>541</v>
      </c>
      <c r="X102" s="29"/>
      <c r="Y102" s="29" t="s">
        <v>852</v>
      </c>
      <c r="Z102" s="29"/>
      <c r="AA102" s="29" t="s">
        <v>904</v>
      </c>
      <c r="AB102" s="29" t="s">
        <v>1795</v>
      </c>
      <c r="AC102" s="29" t="s">
        <v>1858</v>
      </c>
      <c r="AD102" s="29" t="s">
        <v>541</v>
      </c>
      <c r="AE102" s="662" t="s">
        <v>774</v>
      </c>
      <c r="AF102" s="54" t="s">
        <v>802</v>
      </c>
      <c r="AG102" s="29"/>
      <c r="AH102" s="48" t="s">
        <v>470</v>
      </c>
      <c r="AI102" s="29" t="s">
        <v>935</v>
      </c>
      <c r="AJ102" s="29" t="s">
        <v>959</v>
      </c>
      <c r="AK102" s="663"/>
      <c r="AL102" s="29"/>
      <c r="AM102" s="29" t="s">
        <v>656</v>
      </c>
      <c r="AN102" s="29" t="s">
        <v>3523</v>
      </c>
      <c r="AO102" s="29" t="s">
        <v>1365</v>
      </c>
      <c r="AP102" s="663"/>
      <c r="AQ102" s="48"/>
      <c r="AR102" s="663"/>
      <c r="AS102" s="29" t="s">
        <v>1969</v>
      </c>
      <c r="AT102" s="29" t="s">
        <v>1989</v>
      </c>
      <c r="AU102" s="29"/>
      <c r="AV102" s="48" t="s">
        <v>726</v>
      </c>
      <c r="AW102" s="29" t="s">
        <v>2063</v>
      </c>
      <c r="AX102" s="663"/>
      <c r="AY102" s="663"/>
      <c r="AZ102" s="29" t="s">
        <v>1744</v>
      </c>
      <c r="BA102" s="29" t="s">
        <v>1744</v>
      </c>
      <c r="BB102" s="29" t="s">
        <v>1777</v>
      </c>
      <c r="BC102" s="29" t="s">
        <v>978</v>
      </c>
      <c r="BD102" s="54" t="s">
        <v>9494</v>
      </c>
      <c r="BE102" s="29" t="s">
        <v>1842</v>
      </c>
      <c r="BF102" s="54" t="s">
        <v>1687</v>
      </c>
      <c r="BG102" s="29" t="s">
        <v>1053</v>
      </c>
      <c r="BH102" s="29" t="s">
        <v>656</v>
      </c>
      <c r="BI102" s="29" t="s">
        <v>1094</v>
      </c>
      <c r="BJ102" s="29" t="s">
        <v>656</v>
      </c>
      <c r="BK102" s="29" t="s">
        <v>1721</v>
      </c>
      <c r="BL102" s="29" t="s">
        <v>2110</v>
      </c>
      <c r="BM102" s="29"/>
      <c r="BN102" s="36"/>
      <c r="BO102" s="186" t="s">
        <v>1365</v>
      </c>
      <c r="BP102" s="29" t="s">
        <v>564</v>
      </c>
      <c r="BQ102" s="29"/>
      <c r="BR102" s="29" t="s">
        <v>2143</v>
      </c>
      <c r="BS102" s="29" t="s">
        <v>2169</v>
      </c>
      <c r="BT102" s="54" t="s">
        <v>656</v>
      </c>
      <c r="BU102" s="29"/>
      <c r="BV102" s="29" t="s">
        <v>2950</v>
      </c>
      <c r="BW102" s="29" t="s">
        <v>3007</v>
      </c>
      <c r="BX102" s="29" t="s">
        <v>2984</v>
      </c>
      <c r="BY102" s="663"/>
      <c r="BZ102" s="663"/>
      <c r="CA102" s="29"/>
      <c r="CB102" s="48" t="s">
        <v>1130</v>
      </c>
      <c r="CC102" s="36" t="s">
        <v>1158</v>
      </c>
      <c r="CD102" s="29" t="s">
        <v>2189</v>
      </c>
      <c r="CE102" s="29" t="s">
        <v>1214</v>
      </c>
      <c r="CF102" s="29" t="s">
        <v>470</v>
      </c>
      <c r="CG102" s="662" t="s">
        <v>470</v>
      </c>
      <c r="CH102" s="32" t="s">
        <v>1266</v>
      </c>
      <c r="CI102" s="29" t="s">
        <v>1290</v>
      </c>
      <c r="CJ102" s="29" t="s">
        <v>1305</v>
      </c>
      <c r="CK102" s="29" t="s">
        <v>656</v>
      </c>
      <c r="CL102" s="29" t="s">
        <v>656</v>
      </c>
      <c r="CM102" s="110" t="s">
        <v>1182</v>
      </c>
      <c r="CN102" s="29" t="s">
        <v>1007</v>
      </c>
      <c r="CO102" s="29" t="s">
        <v>470</v>
      </c>
      <c r="CP102" s="29" t="s">
        <v>3404</v>
      </c>
      <c r="CQ102" s="29" t="s">
        <v>3181</v>
      </c>
      <c r="CR102" s="127" t="s">
        <v>1397</v>
      </c>
      <c r="CS102" s="29" t="s">
        <v>3099</v>
      </c>
      <c r="CT102" s="36">
        <v>9768</v>
      </c>
      <c r="CU102" s="29"/>
      <c r="CV102" s="663"/>
      <c r="CW102" s="36" t="s">
        <v>3072</v>
      </c>
      <c r="CX102" s="734" t="s">
        <v>656</v>
      </c>
      <c r="CY102" s="29" t="s">
        <v>640</v>
      </c>
      <c r="CZ102" s="29" t="s">
        <v>1447</v>
      </c>
      <c r="DA102" s="29" t="s">
        <v>2892</v>
      </c>
      <c r="DB102" s="29" t="s">
        <v>1924</v>
      </c>
      <c r="DC102" s="29" t="s">
        <v>656</v>
      </c>
      <c r="DD102" s="54" t="s">
        <v>2869</v>
      </c>
      <c r="DE102" s="29" t="s">
        <v>2624</v>
      </c>
      <c r="DF102" s="29"/>
      <c r="DG102" s="127"/>
      <c r="DH102" s="29"/>
      <c r="DI102" s="127"/>
      <c r="DJ102" s="666" t="s">
        <v>2787</v>
      </c>
      <c r="DK102" s="667" t="s">
        <v>2826</v>
      </c>
      <c r="DL102" s="127" t="s">
        <v>1033</v>
      </c>
      <c r="DM102" s="127" t="s">
        <v>590</v>
      </c>
      <c r="DN102" s="29" t="s">
        <v>2656</v>
      </c>
      <c r="DO102" s="29" t="s">
        <v>2676</v>
      </c>
      <c r="DP102" s="29" t="s">
        <v>2525</v>
      </c>
      <c r="DQ102" s="29" t="s">
        <v>2591</v>
      </c>
      <c r="DR102" s="29" t="s">
        <v>2562</v>
      </c>
      <c r="DS102" s="29" t="s">
        <v>707</v>
      </c>
      <c r="DT102" s="29"/>
      <c r="DU102" s="29"/>
      <c r="DV102" s="29" t="s">
        <v>656</v>
      </c>
      <c r="DW102" s="54" t="s">
        <v>2416</v>
      </c>
      <c r="DX102" s="29" t="s">
        <v>541</v>
      </c>
      <c r="DY102" s="36"/>
      <c r="DZ102" s="29" t="s">
        <v>2459</v>
      </c>
      <c r="EA102" s="54" t="s">
        <v>2433</v>
      </c>
      <c r="EB102" s="29"/>
      <c r="EC102" s="29" t="s">
        <v>3426</v>
      </c>
      <c r="ED102" s="29" t="s">
        <v>3453</v>
      </c>
      <c r="EE102" s="54" t="s">
        <v>512</v>
      </c>
      <c r="EF102" s="29" t="s">
        <v>3656</v>
      </c>
      <c r="EG102" s="663"/>
      <c r="EH102" s="733" t="s">
        <v>2353</v>
      </c>
      <c r="EI102" s="186" t="s">
        <v>2353</v>
      </c>
      <c r="EJ102" s="186" t="s">
        <v>2373</v>
      </c>
      <c r="EK102" s="29" t="s">
        <v>2307</v>
      </c>
      <c r="EL102" s="29"/>
      <c r="EM102" s="186" t="s">
        <v>1365</v>
      </c>
      <c r="EN102" s="29" t="s">
        <v>1508</v>
      </c>
      <c r="EO102" s="29"/>
      <c r="EP102" s="29" t="s">
        <v>1561</v>
      </c>
      <c r="EQ102" s="29" t="s">
        <v>1657</v>
      </c>
      <c r="ER102" s="36"/>
      <c r="ES102" s="663"/>
      <c r="ET102" s="29" t="s">
        <v>470</v>
      </c>
      <c r="EU102" s="132" t="s">
        <v>3376</v>
      </c>
      <c r="EV102" s="662" t="s">
        <v>541</v>
      </c>
      <c r="EW102" s="29" t="s">
        <v>621</v>
      </c>
      <c r="EX102" s="29" t="s">
        <v>1431</v>
      </c>
      <c r="EY102" s="29" t="s">
        <v>2085</v>
      </c>
      <c r="EZ102" s="663"/>
      <c r="FA102" s="29" t="s">
        <v>1629</v>
      </c>
    </row>
    <row r="103" spans="1:157" ht="102" x14ac:dyDescent="0.2">
      <c r="A103" s="1205"/>
      <c r="B103" s="1206"/>
      <c r="C103" s="1208"/>
      <c r="D103" s="1204"/>
      <c r="E103" s="185" t="s">
        <v>209</v>
      </c>
      <c r="F103" s="36">
        <v>4381</v>
      </c>
      <c r="G103" s="36">
        <v>694</v>
      </c>
      <c r="H103" s="161"/>
      <c r="I103" s="36">
        <v>500</v>
      </c>
      <c r="J103" s="36">
        <v>19902</v>
      </c>
      <c r="K103" s="36" t="s">
        <v>656</v>
      </c>
      <c r="L103" s="36">
        <v>1898</v>
      </c>
      <c r="M103" s="36" t="s">
        <v>3298</v>
      </c>
      <c r="N103" s="36">
        <v>2065</v>
      </c>
      <c r="O103" s="37" t="s">
        <v>1481</v>
      </c>
      <c r="P103" s="36" t="s">
        <v>656</v>
      </c>
      <c r="Q103" s="36">
        <v>37860</v>
      </c>
      <c r="R103" s="36" t="s">
        <v>656</v>
      </c>
      <c r="S103" s="36">
        <v>212805</v>
      </c>
      <c r="T103" s="36">
        <v>48920</v>
      </c>
      <c r="U103" s="36">
        <v>0</v>
      </c>
      <c r="V103" s="36">
        <v>0</v>
      </c>
      <c r="W103" s="36">
        <v>25600</v>
      </c>
      <c r="X103" s="36"/>
      <c r="Y103" s="36">
        <v>20680</v>
      </c>
      <c r="Z103" s="36"/>
      <c r="AA103" s="36">
        <v>6842</v>
      </c>
      <c r="AB103" s="36">
        <v>1445</v>
      </c>
      <c r="AC103" s="36">
        <v>12984</v>
      </c>
      <c r="AD103" s="29">
        <v>99122</v>
      </c>
      <c r="AE103" s="161">
        <v>279912</v>
      </c>
      <c r="AF103" s="36">
        <v>19488</v>
      </c>
      <c r="AG103" s="36"/>
      <c r="AH103" s="50" t="s">
        <v>470</v>
      </c>
      <c r="AI103" s="36" t="s">
        <v>934</v>
      </c>
      <c r="AJ103" s="36"/>
      <c r="AK103" s="663"/>
      <c r="AL103" s="36"/>
      <c r="AM103" s="36"/>
      <c r="AN103" s="37" t="s">
        <v>3522</v>
      </c>
      <c r="AO103" s="36">
        <v>20229</v>
      </c>
      <c r="AP103" s="663"/>
      <c r="AQ103" s="50">
        <v>844</v>
      </c>
      <c r="AR103" s="663"/>
      <c r="AS103" s="36">
        <v>1492</v>
      </c>
      <c r="AT103" s="36">
        <v>601</v>
      </c>
      <c r="AU103" s="36">
        <v>50</v>
      </c>
      <c r="AV103" s="50">
        <v>5610</v>
      </c>
      <c r="AW103" s="36" t="s">
        <v>2064</v>
      </c>
      <c r="AX103" s="663"/>
      <c r="AY103" s="663"/>
      <c r="AZ103" s="36">
        <v>107506</v>
      </c>
      <c r="BA103" s="36">
        <v>7868</v>
      </c>
      <c r="BB103" s="36" t="s">
        <v>656</v>
      </c>
      <c r="BC103" s="36">
        <v>180694</v>
      </c>
      <c r="BD103" s="55" t="s">
        <v>1816</v>
      </c>
      <c r="BE103" s="36">
        <v>107306</v>
      </c>
      <c r="BF103" s="36">
        <v>19558</v>
      </c>
      <c r="BG103" s="36">
        <v>2250</v>
      </c>
      <c r="BH103" s="36" t="s">
        <v>656</v>
      </c>
      <c r="BI103" s="36">
        <v>14000</v>
      </c>
      <c r="BJ103" s="36" t="s">
        <v>656</v>
      </c>
      <c r="BK103" s="36">
        <v>43490</v>
      </c>
      <c r="BL103" s="36">
        <v>9077</v>
      </c>
      <c r="BM103" s="36"/>
      <c r="BN103" s="36"/>
      <c r="BO103" s="733">
        <v>166</v>
      </c>
      <c r="BP103" s="36">
        <v>18232</v>
      </c>
      <c r="BQ103" s="36"/>
      <c r="BR103" s="36">
        <v>5514</v>
      </c>
      <c r="BS103" s="36">
        <v>4861</v>
      </c>
      <c r="BT103" s="55" t="s">
        <v>656</v>
      </c>
      <c r="BU103" s="36"/>
      <c r="BV103" s="36">
        <v>54448</v>
      </c>
      <c r="BW103" s="36" t="s">
        <v>3007</v>
      </c>
      <c r="BX103" s="36">
        <v>3739</v>
      </c>
      <c r="BY103" s="663"/>
      <c r="BZ103" s="663"/>
      <c r="CA103" s="36"/>
      <c r="CB103" s="50">
        <v>8199</v>
      </c>
      <c r="CC103" s="36">
        <v>25</v>
      </c>
      <c r="CD103" s="36">
        <v>99362</v>
      </c>
      <c r="CE103" s="36">
        <v>6320</v>
      </c>
      <c r="CF103" s="29"/>
      <c r="CG103" s="662"/>
      <c r="CH103" s="36">
        <v>52</v>
      </c>
      <c r="CI103" s="36">
        <v>35205</v>
      </c>
      <c r="CJ103" s="36">
        <v>20963</v>
      </c>
      <c r="CK103" s="36">
        <v>0</v>
      </c>
      <c r="CL103" s="36">
        <v>0</v>
      </c>
      <c r="CM103" s="115">
        <v>15281</v>
      </c>
      <c r="CN103" s="36">
        <v>22674</v>
      </c>
      <c r="CO103" s="29" t="s">
        <v>470</v>
      </c>
      <c r="CP103" s="29" t="s">
        <v>1154</v>
      </c>
      <c r="CQ103" s="36">
        <v>1572</v>
      </c>
      <c r="CR103" s="132">
        <v>0</v>
      </c>
      <c r="CS103" s="36">
        <v>210</v>
      </c>
      <c r="CT103" s="36"/>
      <c r="CU103" s="36">
        <v>225</v>
      </c>
      <c r="CV103" s="663"/>
      <c r="CW103" s="55" t="s">
        <v>3071</v>
      </c>
      <c r="CX103" s="734" t="s">
        <v>656</v>
      </c>
      <c r="CY103" s="36">
        <v>1636</v>
      </c>
      <c r="CZ103" s="29" t="s">
        <v>1447</v>
      </c>
      <c r="DA103" s="36">
        <v>40776</v>
      </c>
      <c r="DB103" s="36">
        <v>0</v>
      </c>
      <c r="DC103" s="36" t="s">
        <v>656</v>
      </c>
      <c r="DD103" s="55">
        <v>184</v>
      </c>
      <c r="DE103" s="36">
        <v>14000</v>
      </c>
      <c r="DF103" s="36"/>
      <c r="DG103" s="132"/>
      <c r="DH103" s="36"/>
      <c r="DI103" s="132"/>
      <c r="DJ103" s="736">
        <v>18364</v>
      </c>
      <c r="DK103" s="737" t="s">
        <v>481</v>
      </c>
      <c r="DL103" s="132">
        <v>96123</v>
      </c>
      <c r="DM103" s="132">
        <v>166421</v>
      </c>
      <c r="DN103" s="36">
        <v>8822</v>
      </c>
      <c r="DO103" s="36">
        <v>2824</v>
      </c>
      <c r="DP103" s="36">
        <v>5878</v>
      </c>
      <c r="DQ103" s="36">
        <v>57</v>
      </c>
      <c r="DR103" s="36" t="s">
        <v>2563</v>
      </c>
      <c r="DS103" s="36">
        <v>84</v>
      </c>
      <c r="DT103" s="36"/>
      <c r="DU103" s="36"/>
      <c r="DV103" s="36">
        <v>4241</v>
      </c>
      <c r="DW103" s="55">
        <v>15000</v>
      </c>
      <c r="DX103" s="36">
        <v>71</v>
      </c>
      <c r="DY103" s="36"/>
      <c r="DZ103" s="36">
        <v>2988</v>
      </c>
      <c r="EA103" s="55">
        <v>5000</v>
      </c>
      <c r="EB103" s="36"/>
      <c r="EC103" s="36">
        <v>8561</v>
      </c>
      <c r="ED103" s="36" t="s">
        <v>3452</v>
      </c>
      <c r="EE103" s="36">
        <v>6754</v>
      </c>
      <c r="EF103" s="36" t="s">
        <v>3657</v>
      </c>
      <c r="EG103" s="663"/>
      <c r="EH103" s="733">
        <v>156</v>
      </c>
      <c r="EI103" s="733">
        <v>712</v>
      </c>
      <c r="EJ103" s="733">
        <v>349</v>
      </c>
      <c r="EK103" s="36">
        <v>59772</v>
      </c>
      <c r="EL103" s="36"/>
      <c r="EM103" s="733">
        <v>60990</v>
      </c>
      <c r="EN103" s="36">
        <v>90763</v>
      </c>
      <c r="EO103" s="36"/>
      <c r="EP103" s="36">
        <v>41852</v>
      </c>
      <c r="EQ103" s="36">
        <v>500</v>
      </c>
      <c r="ER103" s="36"/>
      <c r="ES103" s="663"/>
      <c r="ET103" s="36">
        <v>0</v>
      </c>
      <c r="EU103" s="127">
        <v>15200</v>
      </c>
      <c r="EV103" s="161">
        <v>30033</v>
      </c>
      <c r="EW103" s="29">
        <v>5704</v>
      </c>
      <c r="EX103" s="29">
        <f>369045+4635</f>
        <v>373680</v>
      </c>
      <c r="EY103" s="36">
        <v>21</v>
      </c>
      <c r="EZ103" s="663"/>
      <c r="FA103" s="36">
        <v>13445</v>
      </c>
    </row>
    <row r="104" spans="1:157" ht="221" x14ac:dyDescent="0.2">
      <c r="A104" s="1205"/>
      <c r="B104" s="1206"/>
      <c r="C104" s="1208" t="s">
        <v>210</v>
      </c>
      <c r="D104" s="1204" t="s">
        <v>211</v>
      </c>
      <c r="E104" s="185" t="s">
        <v>204</v>
      </c>
      <c r="F104" s="36" t="s">
        <v>470</v>
      </c>
      <c r="G104" s="36" t="s">
        <v>470</v>
      </c>
      <c r="H104" s="161" t="s">
        <v>470</v>
      </c>
      <c r="I104" s="36" t="s">
        <v>470</v>
      </c>
      <c r="J104" s="36" t="s">
        <v>539</v>
      </c>
      <c r="K104" s="36" t="s">
        <v>539</v>
      </c>
      <c r="L104" s="36" t="s">
        <v>470</v>
      </c>
      <c r="M104" s="36" t="s">
        <v>3300</v>
      </c>
      <c r="N104" s="36" t="s">
        <v>470</v>
      </c>
      <c r="O104" s="54" t="s">
        <v>539</v>
      </c>
      <c r="P104" s="29" t="s">
        <v>539</v>
      </c>
      <c r="Q104" s="36" t="s">
        <v>539</v>
      </c>
      <c r="R104" s="29" t="s">
        <v>539</v>
      </c>
      <c r="S104" s="36" t="s">
        <v>540</v>
      </c>
      <c r="T104" s="36" t="s">
        <v>479</v>
      </c>
      <c r="U104" s="36" t="s">
        <v>873</v>
      </c>
      <c r="V104" s="36" t="s">
        <v>470</v>
      </c>
      <c r="W104" s="36" t="s">
        <v>540</v>
      </c>
      <c r="X104" s="36" t="s">
        <v>470</v>
      </c>
      <c r="Y104" s="36"/>
      <c r="Z104" s="36" t="s">
        <v>539</v>
      </c>
      <c r="AA104" s="36"/>
      <c r="AB104" s="36"/>
      <c r="AC104" s="36"/>
      <c r="AD104" s="29" t="s">
        <v>539</v>
      </c>
      <c r="AE104" s="662" t="s">
        <v>479</v>
      </c>
      <c r="AF104" s="36" t="s">
        <v>479</v>
      </c>
      <c r="AG104" s="36" t="s">
        <v>470</v>
      </c>
      <c r="AH104" s="50" t="s">
        <v>470</v>
      </c>
      <c r="AI104" s="36" t="s">
        <v>470</v>
      </c>
      <c r="AJ104" s="36" t="s">
        <v>470</v>
      </c>
      <c r="AK104" s="663"/>
      <c r="AL104" s="36" t="s">
        <v>479</v>
      </c>
      <c r="AM104" s="36" t="s">
        <v>470</v>
      </c>
      <c r="AN104" s="36" t="s">
        <v>470</v>
      </c>
      <c r="AO104" s="36" t="s">
        <v>479</v>
      </c>
      <c r="AP104" s="663"/>
      <c r="AQ104" s="50" t="s">
        <v>470</v>
      </c>
      <c r="AR104" s="663"/>
      <c r="AS104" s="36"/>
      <c r="AT104" s="36" t="s">
        <v>470</v>
      </c>
      <c r="AU104" s="36" t="s">
        <v>470</v>
      </c>
      <c r="AV104" s="50" t="s">
        <v>470</v>
      </c>
      <c r="AW104" s="29" t="s">
        <v>2065</v>
      </c>
      <c r="AX104" s="663"/>
      <c r="AY104" s="663"/>
      <c r="AZ104" s="36" t="s">
        <v>470</v>
      </c>
      <c r="BA104" s="36"/>
      <c r="BB104" s="29" t="s">
        <v>470</v>
      </c>
      <c r="BC104" s="36" t="s">
        <v>470</v>
      </c>
      <c r="BD104" s="36" t="s">
        <v>470</v>
      </c>
      <c r="BE104" s="36" t="s">
        <v>479</v>
      </c>
      <c r="BF104" s="36" t="s">
        <v>479</v>
      </c>
      <c r="BG104" s="36" t="s">
        <v>470</v>
      </c>
      <c r="BH104" s="36" t="s">
        <v>470</v>
      </c>
      <c r="BI104" s="36" t="s">
        <v>470</v>
      </c>
      <c r="BJ104" s="36" t="s">
        <v>470</v>
      </c>
      <c r="BK104" s="36" t="s">
        <v>479</v>
      </c>
      <c r="BL104" s="36" t="s">
        <v>479</v>
      </c>
      <c r="BM104" s="36" t="s">
        <v>479</v>
      </c>
      <c r="BN104" s="29"/>
      <c r="BO104" s="733" t="s">
        <v>470</v>
      </c>
      <c r="BP104" s="36" t="s">
        <v>470</v>
      </c>
      <c r="BQ104" s="36" t="s">
        <v>470</v>
      </c>
      <c r="BR104" s="36" t="s">
        <v>470</v>
      </c>
      <c r="BS104" s="36" t="s">
        <v>470</v>
      </c>
      <c r="BT104" s="54" t="s">
        <v>470</v>
      </c>
      <c r="BU104" s="36" t="s">
        <v>470</v>
      </c>
      <c r="BV104" s="36" t="s">
        <v>656</v>
      </c>
      <c r="BW104" s="36" t="s">
        <v>3007</v>
      </c>
      <c r="BX104" s="36" t="s">
        <v>470</v>
      </c>
      <c r="BY104" s="663"/>
      <c r="BZ104" s="663"/>
      <c r="CA104" s="36" t="s">
        <v>470</v>
      </c>
      <c r="CB104" s="50" t="s">
        <v>470</v>
      </c>
      <c r="CC104" s="36" t="s">
        <v>479</v>
      </c>
      <c r="CD104" s="36" t="s">
        <v>479</v>
      </c>
      <c r="CE104" s="36" t="s">
        <v>470</v>
      </c>
      <c r="CF104" s="36"/>
      <c r="CG104" s="161"/>
      <c r="CH104" s="36" t="s">
        <v>470</v>
      </c>
      <c r="CI104" s="36" t="s">
        <v>470</v>
      </c>
      <c r="CJ104" s="36" t="s">
        <v>470</v>
      </c>
      <c r="CK104" s="36" t="s">
        <v>479</v>
      </c>
      <c r="CL104" s="36" t="s">
        <v>470</v>
      </c>
      <c r="CM104" s="110" t="s">
        <v>540</v>
      </c>
      <c r="CN104" s="29" t="s">
        <v>470</v>
      </c>
      <c r="CO104" s="36" t="s">
        <v>470</v>
      </c>
      <c r="CP104" s="36" t="s">
        <v>470</v>
      </c>
      <c r="CQ104" s="36" t="s">
        <v>470</v>
      </c>
      <c r="CR104" s="132" t="s">
        <v>470</v>
      </c>
      <c r="CS104" s="36" t="s">
        <v>470</v>
      </c>
      <c r="CT104" s="36"/>
      <c r="CU104" s="36"/>
      <c r="CV104" s="663"/>
      <c r="CW104" s="36" t="s">
        <v>479</v>
      </c>
      <c r="CX104" s="734" t="s">
        <v>479</v>
      </c>
      <c r="CY104" s="36" t="s">
        <v>479</v>
      </c>
      <c r="CZ104" s="36" t="s">
        <v>479</v>
      </c>
      <c r="DA104" s="29" t="s">
        <v>1482</v>
      </c>
      <c r="DB104" s="36" t="s">
        <v>479</v>
      </c>
      <c r="DC104" s="36" t="s">
        <v>656</v>
      </c>
      <c r="DD104" s="36" t="s">
        <v>470</v>
      </c>
      <c r="DE104" s="36" t="s">
        <v>540</v>
      </c>
      <c r="DF104" s="29" t="s">
        <v>470</v>
      </c>
      <c r="DG104" s="127" t="s">
        <v>470</v>
      </c>
      <c r="DH104" s="36"/>
      <c r="DI104" s="132"/>
      <c r="DJ104" s="736" t="s">
        <v>479</v>
      </c>
      <c r="DK104" s="737" t="s">
        <v>470</v>
      </c>
      <c r="DL104" s="132" t="s">
        <v>470</v>
      </c>
      <c r="DM104" s="132" t="s">
        <v>470</v>
      </c>
      <c r="DN104" s="36" t="s">
        <v>470</v>
      </c>
      <c r="DO104" s="36" t="s">
        <v>470</v>
      </c>
      <c r="DP104" s="36" t="s">
        <v>470</v>
      </c>
      <c r="DQ104" s="36" t="s">
        <v>470</v>
      </c>
      <c r="DR104" s="36"/>
      <c r="DS104" s="36" t="s">
        <v>479</v>
      </c>
      <c r="DT104" s="36" t="s">
        <v>479</v>
      </c>
      <c r="DU104" s="36" t="s">
        <v>479</v>
      </c>
      <c r="DV104" s="29" t="s">
        <v>479</v>
      </c>
      <c r="DW104" s="54" t="s">
        <v>539</v>
      </c>
      <c r="DX104" s="36" t="s">
        <v>539</v>
      </c>
      <c r="DY104" s="29"/>
      <c r="DZ104" s="36" t="s">
        <v>539</v>
      </c>
      <c r="EA104" s="54" t="s">
        <v>539</v>
      </c>
      <c r="EB104" s="36"/>
      <c r="EC104" s="36" t="s">
        <v>470</v>
      </c>
      <c r="ED104" s="36" t="s">
        <v>470</v>
      </c>
      <c r="EE104" s="36" t="s">
        <v>470</v>
      </c>
      <c r="EF104" s="36" t="s">
        <v>479</v>
      </c>
      <c r="EG104" s="663"/>
      <c r="EH104" s="733" t="s">
        <v>470</v>
      </c>
      <c r="EI104" s="733" t="s">
        <v>479</v>
      </c>
      <c r="EJ104" s="733" t="s">
        <v>470</v>
      </c>
      <c r="EK104" s="36" t="s">
        <v>470</v>
      </c>
      <c r="EL104" s="36" t="s">
        <v>470</v>
      </c>
      <c r="EM104" s="733" t="s">
        <v>470</v>
      </c>
      <c r="EN104" s="50" t="s">
        <v>470</v>
      </c>
      <c r="EO104" s="36" t="s">
        <v>470</v>
      </c>
      <c r="EP104" s="36" t="s">
        <v>539</v>
      </c>
      <c r="EQ104" s="36" t="s">
        <v>479</v>
      </c>
      <c r="ER104" s="29"/>
      <c r="ES104" s="663"/>
      <c r="ET104" s="36" t="s">
        <v>470</v>
      </c>
      <c r="EU104" s="127" t="s">
        <v>479</v>
      </c>
      <c r="EV104" s="161" t="s">
        <v>540</v>
      </c>
      <c r="EW104" s="36" t="s">
        <v>470</v>
      </c>
      <c r="EX104" s="36" t="s">
        <v>470</v>
      </c>
      <c r="EY104" s="36" t="s">
        <v>470</v>
      </c>
      <c r="EZ104" s="663"/>
      <c r="FA104" s="36" t="s">
        <v>656</v>
      </c>
    </row>
    <row r="105" spans="1:157" ht="404" x14ac:dyDescent="0.2">
      <c r="A105" s="1205"/>
      <c r="B105" s="1206"/>
      <c r="C105" s="1211"/>
      <c r="D105" s="1204"/>
      <c r="E105" s="185" t="s">
        <v>205</v>
      </c>
      <c r="F105" s="36" t="s">
        <v>470</v>
      </c>
      <c r="G105" s="36" t="s">
        <v>656</v>
      </c>
      <c r="H105" s="161"/>
      <c r="I105" s="36" t="s">
        <v>656</v>
      </c>
      <c r="J105" s="36" t="s">
        <v>656</v>
      </c>
      <c r="K105" s="36" t="s">
        <v>656</v>
      </c>
      <c r="L105" s="36"/>
      <c r="M105" s="36"/>
      <c r="N105" s="50" t="s">
        <v>656</v>
      </c>
      <c r="O105" s="54" t="s">
        <v>1482</v>
      </c>
      <c r="P105" s="29" t="s">
        <v>656</v>
      </c>
      <c r="Q105" s="54" t="s">
        <v>656</v>
      </c>
      <c r="R105" s="29" t="s">
        <v>656</v>
      </c>
      <c r="S105" s="29" t="s">
        <v>1536</v>
      </c>
      <c r="T105" s="36" t="s">
        <v>1903</v>
      </c>
      <c r="U105" s="36" t="s">
        <v>1930</v>
      </c>
      <c r="V105" s="36" t="s">
        <v>1924</v>
      </c>
      <c r="W105" s="36" t="s">
        <v>542</v>
      </c>
      <c r="X105" s="36"/>
      <c r="Y105" s="36"/>
      <c r="Z105" s="36"/>
      <c r="AA105" s="36"/>
      <c r="AB105" s="36"/>
      <c r="AC105" s="36"/>
      <c r="AD105" s="29" t="s">
        <v>656</v>
      </c>
      <c r="AE105" s="662" t="s">
        <v>774</v>
      </c>
      <c r="AF105" s="36" t="s">
        <v>802</v>
      </c>
      <c r="AG105" s="36"/>
      <c r="AH105" s="50" t="s">
        <v>470</v>
      </c>
      <c r="AI105" s="36"/>
      <c r="AJ105" s="36" t="s">
        <v>470</v>
      </c>
      <c r="AK105" s="663"/>
      <c r="AL105" s="79" t="s">
        <v>3471</v>
      </c>
      <c r="AM105" s="36"/>
      <c r="AN105" s="36" t="s">
        <v>656</v>
      </c>
      <c r="AO105" s="36" t="s">
        <v>1366</v>
      </c>
      <c r="AP105" s="663"/>
      <c r="AQ105" s="50"/>
      <c r="AR105" s="663"/>
      <c r="AS105" s="36"/>
      <c r="AT105" s="36"/>
      <c r="AU105" s="36"/>
      <c r="AV105" s="50"/>
      <c r="AW105" s="107"/>
      <c r="AX105" s="663"/>
      <c r="AY105" s="663"/>
      <c r="AZ105" s="36" t="s">
        <v>656</v>
      </c>
      <c r="BA105" s="36"/>
      <c r="BB105" s="29" t="s">
        <v>656</v>
      </c>
      <c r="BC105" s="36" t="s">
        <v>470</v>
      </c>
      <c r="BD105" s="36"/>
      <c r="BE105" s="36"/>
      <c r="BF105" s="36" t="s">
        <v>1688</v>
      </c>
      <c r="BG105" s="36"/>
      <c r="BH105" s="36" t="s">
        <v>656</v>
      </c>
      <c r="BI105" s="36" t="s">
        <v>656</v>
      </c>
      <c r="BJ105" s="36" t="s">
        <v>656</v>
      </c>
      <c r="BK105" s="36" t="s">
        <v>1722</v>
      </c>
      <c r="BL105" s="36" t="s">
        <v>2111</v>
      </c>
      <c r="BM105" s="36"/>
      <c r="BN105" s="29"/>
      <c r="BO105" s="733"/>
      <c r="BP105" s="36" t="s">
        <v>470</v>
      </c>
      <c r="BQ105" s="36"/>
      <c r="BR105" s="36" t="s">
        <v>656</v>
      </c>
      <c r="BS105" s="36" t="s">
        <v>656</v>
      </c>
      <c r="BT105" s="54" t="s">
        <v>656</v>
      </c>
      <c r="BU105" s="36"/>
      <c r="BV105" s="36" t="s">
        <v>656</v>
      </c>
      <c r="BW105" s="36" t="s">
        <v>3007</v>
      </c>
      <c r="BX105" s="36" t="s">
        <v>470</v>
      </c>
      <c r="BY105" s="663"/>
      <c r="BZ105" s="663"/>
      <c r="CA105" s="36"/>
      <c r="CB105" s="50" t="s">
        <v>470</v>
      </c>
      <c r="CC105" s="36" t="s">
        <v>1158</v>
      </c>
      <c r="CD105" s="36" t="s">
        <v>2189</v>
      </c>
      <c r="CE105" s="36" t="s">
        <v>656</v>
      </c>
      <c r="CF105" s="36" t="s">
        <v>470</v>
      </c>
      <c r="CG105" s="161" t="s">
        <v>470</v>
      </c>
      <c r="CH105" s="36" t="s">
        <v>656</v>
      </c>
      <c r="CI105" s="765" t="s">
        <v>656</v>
      </c>
      <c r="CJ105" s="765" t="s">
        <v>656</v>
      </c>
      <c r="CK105" s="36" t="s">
        <v>1320</v>
      </c>
      <c r="CL105" s="29" t="s">
        <v>656</v>
      </c>
      <c r="CM105" s="110" t="s">
        <v>1183</v>
      </c>
      <c r="CN105" s="29" t="s">
        <v>470</v>
      </c>
      <c r="CO105" s="29" t="s">
        <v>470</v>
      </c>
      <c r="CP105" s="29" t="s">
        <v>470</v>
      </c>
      <c r="CQ105" s="36" t="s">
        <v>470</v>
      </c>
      <c r="CR105" s="132"/>
      <c r="CS105" s="36"/>
      <c r="CT105" s="36"/>
      <c r="CU105" s="36"/>
      <c r="CV105" s="663"/>
      <c r="CW105" s="36" t="s">
        <v>3072</v>
      </c>
      <c r="CX105" s="734" t="s">
        <v>3249</v>
      </c>
      <c r="CY105" s="36" t="s">
        <v>640</v>
      </c>
      <c r="CZ105" s="36" t="s">
        <v>640</v>
      </c>
      <c r="DA105" s="29" t="s">
        <v>1482</v>
      </c>
      <c r="DB105" s="36" t="s">
        <v>2845</v>
      </c>
      <c r="DC105" s="36" t="s">
        <v>656</v>
      </c>
      <c r="DD105" s="36" t="s">
        <v>470</v>
      </c>
      <c r="DE105" s="36" t="s">
        <v>2625</v>
      </c>
      <c r="DF105" s="36"/>
      <c r="DG105" s="132"/>
      <c r="DH105" s="36"/>
      <c r="DI105" s="132"/>
      <c r="DJ105" s="666" t="s">
        <v>2788</v>
      </c>
      <c r="DK105" s="737"/>
      <c r="DL105" s="132"/>
      <c r="DM105" s="132"/>
      <c r="DN105" s="36" t="s">
        <v>656</v>
      </c>
      <c r="DO105" s="36" t="s">
        <v>656</v>
      </c>
      <c r="DP105" s="36"/>
      <c r="DQ105" s="36"/>
      <c r="DR105" s="36"/>
      <c r="DS105" s="36" t="s">
        <v>708</v>
      </c>
      <c r="DT105" s="36" t="s">
        <v>2914</v>
      </c>
      <c r="DU105" s="36" t="s">
        <v>484</v>
      </c>
      <c r="DV105" s="29" t="s">
        <v>656</v>
      </c>
      <c r="DW105" s="29"/>
      <c r="DX105" s="36"/>
      <c r="DY105" s="29"/>
      <c r="DZ105" s="36"/>
      <c r="EA105" s="29"/>
      <c r="EB105" s="36"/>
      <c r="EC105" s="36" t="s">
        <v>1447</v>
      </c>
      <c r="ED105" s="36"/>
      <c r="EE105" s="36"/>
      <c r="EF105" s="36" t="s">
        <v>3658</v>
      </c>
      <c r="EG105" s="663"/>
      <c r="EH105" s="733" t="s">
        <v>656</v>
      </c>
      <c r="EI105" s="733" t="s">
        <v>2397</v>
      </c>
      <c r="EJ105" s="733" t="s">
        <v>656</v>
      </c>
      <c r="EK105" s="36"/>
      <c r="EL105" s="36"/>
      <c r="EM105" s="733"/>
      <c r="EN105" s="50" t="s">
        <v>2234</v>
      </c>
      <c r="EO105" s="36"/>
      <c r="EP105" s="36" t="s">
        <v>656</v>
      </c>
      <c r="EQ105" s="36" t="s">
        <v>1658</v>
      </c>
      <c r="ER105" s="29"/>
      <c r="ES105" s="663"/>
      <c r="ET105" s="36" t="s">
        <v>470</v>
      </c>
      <c r="EU105" s="132" t="s">
        <v>3376</v>
      </c>
      <c r="EV105" s="161" t="s">
        <v>1591</v>
      </c>
      <c r="EW105" s="36"/>
      <c r="EX105" s="36" t="s">
        <v>656</v>
      </c>
      <c r="EY105" s="36" t="s">
        <v>656</v>
      </c>
      <c r="EZ105" s="663"/>
      <c r="FA105" s="36" t="s">
        <v>656</v>
      </c>
    </row>
    <row r="106" spans="1:157" ht="51" x14ac:dyDescent="0.2">
      <c r="A106" s="1205"/>
      <c r="B106" s="1206"/>
      <c r="C106" s="1211"/>
      <c r="D106" s="1204"/>
      <c r="E106" s="185" t="s">
        <v>209</v>
      </c>
      <c r="F106" s="36" t="s">
        <v>470</v>
      </c>
      <c r="G106" s="36" t="s">
        <v>656</v>
      </c>
      <c r="H106" s="161"/>
      <c r="I106" s="36" t="s">
        <v>656</v>
      </c>
      <c r="J106" s="36" t="s">
        <v>656</v>
      </c>
      <c r="K106" s="36" t="s">
        <v>656</v>
      </c>
      <c r="L106" s="36"/>
      <c r="M106" s="36"/>
      <c r="N106" s="50" t="s">
        <v>656</v>
      </c>
      <c r="O106" s="54" t="s">
        <v>1482</v>
      </c>
      <c r="P106" s="36" t="s">
        <v>656</v>
      </c>
      <c r="Q106" s="54" t="s">
        <v>656</v>
      </c>
      <c r="R106" s="36" t="s">
        <v>656</v>
      </c>
      <c r="S106" s="36">
        <v>9000</v>
      </c>
      <c r="T106" s="36">
        <v>5800</v>
      </c>
      <c r="U106" s="36">
        <v>0</v>
      </c>
      <c r="V106" s="36">
        <v>0</v>
      </c>
      <c r="W106" s="36">
        <v>2560</v>
      </c>
      <c r="X106" s="36"/>
      <c r="Y106" s="36"/>
      <c r="Z106" s="36"/>
      <c r="AA106" s="36"/>
      <c r="AB106" s="36"/>
      <c r="AC106" s="36"/>
      <c r="AD106" s="36" t="s">
        <v>656</v>
      </c>
      <c r="AE106" s="161">
        <v>55118</v>
      </c>
      <c r="AF106" s="36">
        <v>20815</v>
      </c>
      <c r="AG106" s="36"/>
      <c r="AH106" s="50" t="s">
        <v>470</v>
      </c>
      <c r="AI106" s="36"/>
      <c r="AJ106" s="36" t="s">
        <v>470</v>
      </c>
      <c r="AK106" s="663"/>
      <c r="AL106" s="36">
        <v>123</v>
      </c>
      <c r="AM106" s="36"/>
      <c r="AN106" s="36" t="s">
        <v>656</v>
      </c>
      <c r="AO106" s="36">
        <v>8211</v>
      </c>
      <c r="AP106" s="663"/>
      <c r="AQ106" s="50"/>
      <c r="AR106" s="663"/>
      <c r="AS106" s="36"/>
      <c r="AT106" s="36"/>
      <c r="AU106" s="36"/>
      <c r="AV106" s="50"/>
      <c r="AW106" s="107"/>
      <c r="AX106" s="663"/>
      <c r="AY106" s="663"/>
      <c r="AZ106" s="36" t="s">
        <v>656</v>
      </c>
      <c r="BA106" s="36"/>
      <c r="BB106" s="36" t="s">
        <v>656</v>
      </c>
      <c r="BC106" s="36" t="s">
        <v>470</v>
      </c>
      <c r="BD106" s="36"/>
      <c r="BE106" s="36"/>
      <c r="BF106" s="36">
        <v>8</v>
      </c>
      <c r="BG106" s="36"/>
      <c r="BH106" s="36" t="s">
        <v>656</v>
      </c>
      <c r="BI106" s="36" t="s">
        <v>656</v>
      </c>
      <c r="BJ106" s="36" t="s">
        <v>656</v>
      </c>
      <c r="BK106" s="36">
        <v>5121</v>
      </c>
      <c r="BL106" s="36">
        <v>126</v>
      </c>
      <c r="BM106" s="36"/>
      <c r="BN106" s="36"/>
      <c r="BO106" s="733"/>
      <c r="BP106" s="36" t="s">
        <v>470</v>
      </c>
      <c r="BQ106" s="36"/>
      <c r="BR106" s="36" t="s">
        <v>656</v>
      </c>
      <c r="BS106" s="36" t="s">
        <v>656</v>
      </c>
      <c r="BT106" s="55" t="s">
        <v>656</v>
      </c>
      <c r="BU106" s="36"/>
      <c r="BV106" s="36" t="s">
        <v>656</v>
      </c>
      <c r="BW106" s="36" t="s">
        <v>3007</v>
      </c>
      <c r="BX106" s="36" t="s">
        <v>470</v>
      </c>
      <c r="BY106" s="663"/>
      <c r="BZ106" s="663"/>
      <c r="CA106" s="36"/>
      <c r="CB106" s="50">
        <v>0</v>
      </c>
      <c r="CC106" s="36">
        <v>39</v>
      </c>
      <c r="CD106" s="36">
        <v>47440</v>
      </c>
      <c r="CE106" s="36">
        <v>0</v>
      </c>
      <c r="CF106" s="36"/>
      <c r="CG106" s="161"/>
      <c r="CH106" s="36" t="s">
        <v>656</v>
      </c>
      <c r="CI106" s="36"/>
      <c r="CJ106" s="36"/>
      <c r="CK106" s="36">
        <v>9801</v>
      </c>
      <c r="CL106" s="36">
        <v>0</v>
      </c>
      <c r="CM106" s="115">
        <v>388</v>
      </c>
      <c r="CN106" s="29" t="s">
        <v>470</v>
      </c>
      <c r="CO106" s="29" t="s">
        <v>470</v>
      </c>
      <c r="CP106" s="29" t="s">
        <v>470</v>
      </c>
      <c r="CQ106" s="36" t="s">
        <v>470</v>
      </c>
      <c r="CR106" s="132"/>
      <c r="CS106" s="36"/>
      <c r="CT106" s="29"/>
      <c r="CU106" s="36"/>
      <c r="CV106" s="663"/>
      <c r="CW106" s="55">
        <v>40</v>
      </c>
      <c r="CX106" s="734" t="s">
        <v>3250</v>
      </c>
      <c r="CY106" s="36">
        <v>97</v>
      </c>
      <c r="CZ106" s="36">
        <v>7548</v>
      </c>
      <c r="DA106" s="29" t="s">
        <v>1482</v>
      </c>
      <c r="DB106" s="36">
        <v>21</v>
      </c>
      <c r="DC106" s="36" t="s">
        <v>656</v>
      </c>
      <c r="DD106" s="36" t="s">
        <v>470</v>
      </c>
      <c r="DE106" s="36">
        <v>2382</v>
      </c>
      <c r="DF106" s="36"/>
      <c r="DG106" s="132"/>
      <c r="DH106" s="36"/>
      <c r="DI106" s="132"/>
      <c r="DJ106" s="736">
        <v>82</v>
      </c>
      <c r="DK106" s="737"/>
      <c r="DL106" s="132"/>
      <c r="DM106" s="132"/>
      <c r="DN106" s="36" t="s">
        <v>656</v>
      </c>
      <c r="DO106" s="36" t="s">
        <v>656</v>
      </c>
      <c r="DP106" s="36"/>
      <c r="DQ106" s="36"/>
      <c r="DR106" s="36"/>
      <c r="DS106" s="36">
        <v>15</v>
      </c>
      <c r="DT106" s="36">
        <v>45</v>
      </c>
      <c r="DU106" s="36">
        <v>1075</v>
      </c>
      <c r="DV106" s="36">
        <v>145</v>
      </c>
      <c r="DW106" s="29"/>
      <c r="DX106" s="36"/>
      <c r="DY106" s="36"/>
      <c r="DZ106" s="36"/>
      <c r="EA106" s="29"/>
      <c r="EB106" s="36"/>
      <c r="EC106" s="36" t="s">
        <v>1447</v>
      </c>
      <c r="ED106" s="36"/>
      <c r="EE106" s="36"/>
      <c r="EF106" s="36">
        <v>133</v>
      </c>
      <c r="EG106" s="663"/>
      <c r="EH106" s="733" t="s">
        <v>656</v>
      </c>
      <c r="EI106" s="733">
        <v>239</v>
      </c>
      <c r="EJ106" s="733" t="s">
        <v>656</v>
      </c>
      <c r="EK106" s="36"/>
      <c r="EL106" s="36"/>
      <c r="EM106" s="733"/>
      <c r="EN106" s="50" t="s">
        <v>2234</v>
      </c>
      <c r="EO106" s="36"/>
      <c r="EP106" s="36" t="s">
        <v>656</v>
      </c>
      <c r="EQ106" s="36" t="s">
        <v>1659</v>
      </c>
      <c r="ER106" s="36"/>
      <c r="ES106" s="663"/>
      <c r="ET106" s="36">
        <v>0</v>
      </c>
      <c r="EU106" s="127">
        <v>100</v>
      </c>
      <c r="EV106" s="161">
        <v>2927</v>
      </c>
      <c r="EW106" s="36"/>
      <c r="EX106" s="36" t="s">
        <v>656</v>
      </c>
      <c r="EY106" s="36" t="s">
        <v>656</v>
      </c>
      <c r="EZ106" s="663"/>
      <c r="FA106" s="36" t="s">
        <v>656</v>
      </c>
    </row>
    <row r="107" spans="1:157" ht="68" x14ac:dyDescent="0.2">
      <c r="A107" s="1205"/>
      <c r="B107" s="1206"/>
      <c r="C107" s="1211" t="s">
        <v>212</v>
      </c>
      <c r="D107" s="1204" t="s">
        <v>213</v>
      </c>
      <c r="E107" s="185" t="s">
        <v>204</v>
      </c>
      <c r="F107" s="36" t="s">
        <v>470</v>
      </c>
      <c r="G107" s="36" t="s">
        <v>470</v>
      </c>
      <c r="H107" s="161" t="s">
        <v>470</v>
      </c>
      <c r="I107" s="36" t="s">
        <v>470</v>
      </c>
      <c r="J107" s="36" t="s">
        <v>539</v>
      </c>
      <c r="K107" s="36" t="s">
        <v>539</v>
      </c>
      <c r="L107" s="36" t="s">
        <v>470</v>
      </c>
      <c r="M107" s="36" t="s">
        <v>873</v>
      </c>
      <c r="N107" s="36" t="s">
        <v>470</v>
      </c>
      <c r="O107" s="54" t="s">
        <v>539</v>
      </c>
      <c r="P107" s="29" t="s">
        <v>470</v>
      </c>
      <c r="Q107" s="36" t="s">
        <v>539</v>
      </c>
      <c r="R107" s="29" t="s">
        <v>539</v>
      </c>
      <c r="S107" s="36" t="s">
        <v>539</v>
      </c>
      <c r="T107" s="36" t="s">
        <v>479</v>
      </c>
      <c r="U107" s="36" t="s">
        <v>479</v>
      </c>
      <c r="V107" s="36" t="s">
        <v>479</v>
      </c>
      <c r="W107" s="36" t="s">
        <v>539</v>
      </c>
      <c r="X107" s="36" t="s">
        <v>470</v>
      </c>
      <c r="Y107" s="36"/>
      <c r="Z107" s="36" t="s">
        <v>539</v>
      </c>
      <c r="AA107" s="36"/>
      <c r="AB107" s="36"/>
      <c r="AC107" s="36"/>
      <c r="AD107" s="29" t="s">
        <v>539</v>
      </c>
      <c r="AE107" s="161" t="s">
        <v>470</v>
      </c>
      <c r="AF107" s="36" t="s">
        <v>470</v>
      </c>
      <c r="AG107" s="36" t="s">
        <v>470</v>
      </c>
      <c r="AH107" s="50" t="s">
        <v>470</v>
      </c>
      <c r="AI107" s="36" t="s">
        <v>470</v>
      </c>
      <c r="AJ107" s="36" t="s">
        <v>470</v>
      </c>
      <c r="AK107" s="663"/>
      <c r="AL107" s="36" t="s">
        <v>470</v>
      </c>
      <c r="AM107" s="36" t="s">
        <v>470</v>
      </c>
      <c r="AN107" s="36" t="s">
        <v>470</v>
      </c>
      <c r="AO107" s="36" t="s">
        <v>470</v>
      </c>
      <c r="AP107" s="663"/>
      <c r="AQ107" s="50" t="s">
        <v>470</v>
      </c>
      <c r="AR107" s="663"/>
      <c r="AS107" s="36"/>
      <c r="AT107" s="36" t="s">
        <v>470</v>
      </c>
      <c r="AU107" s="36" t="s">
        <v>470</v>
      </c>
      <c r="AV107" s="50" t="s">
        <v>470</v>
      </c>
      <c r="AW107" s="36" t="s">
        <v>470</v>
      </c>
      <c r="AX107" s="663"/>
      <c r="AY107" s="663"/>
      <c r="AZ107" s="36" t="s">
        <v>470</v>
      </c>
      <c r="BA107" s="36" t="s">
        <v>470</v>
      </c>
      <c r="BB107" s="36" t="s">
        <v>470</v>
      </c>
      <c r="BC107" s="36" t="s">
        <v>470</v>
      </c>
      <c r="BD107" s="36" t="s">
        <v>470</v>
      </c>
      <c r="BE107" s="36" t="s">
        <v>470</v>
      </c>
      <c r="BF107" s="36" t="s">
        <v>479</v>
      </c>
      <c r="BG107" s="36" t="s">
        <v>470</v>
      </c>
      <c r="BH107" s="36" t="s">
        <v>470</v>
      </c>
      <c r="BI107" s="36" t="s">
        <v>470</v>
      </c>
      <c r="BJ107" s="36" t="s">
        <v>470</v>
      </c>
      <c r="BK107" s="36" t="s">
        <v>470</v>
      </c>
      <c r="BL107" s="101" t="s">
        <v>470</v>
      </c>
      <c r="BM107" s="36" t="s">
        <v>479</v>
      </c>
      <c r="BN107" s="29"/>
      <c r="BO107" s="733" t="s">
        <v>470</v>
      </c>
      <c r="BP107" s="36" t="s">
        <v>470</v>
      </c>
      <c r="BQ107" s="36" t="s">
        <v>470</v>
      </c>
      <c r="BR107" s="36" t="s">
        <v>479</v>
      </c>
      <c r="BS107" s="36" t="s">
        <v>470</v>
      </c>
      <c r="BT107" s="54" t="s">
        <v>470</v>
      </c>
      <c r="BU107" s="36" t="s">
        <v>470</v>
      </c>
      <c r="BV107" s="36" t="s">
        <v>656</v>
      </c>
      <c r="BW107" s="36" t="s">
        <v>3007</v>
      </c>
      <c r="BX107" s="36" t="s">
        <v>470</v>
      </c>
      <c r="BY107" s="663"/>
      <c r="BZ107" s="663"/>
      <c r="CA107" s="36" t="s">
        <v>470</v>
      </c>
      <c r="CB107" s="50" t="s">
        <v>470</v>
      </c>
      <c r="CC107" s="36" t="s">
        <v>470</v>
      </c>
      <c r="CD107" s="36" t="s">
        <v>479</v>
      </c>
      <c r="CE107" s="36" t="s">
        <v>470</v>
      </c>
      <c r="CF107" s="36"/>
      <c r="CG107" s="161"/>
      <c r="CH107" s="36" t="s">
        <v>470</v>
      </c>
      <c r="CI107" s="36" t="s">
        <v>470</v>
      </c>
      <c r="CJ107" s="36" t="s">
        <v>470</v>
      </c>
      <c r="CK107" s="36" t="s">
        <v>470</v>
      </c>
      <c r="CL107" s="36" t="s">
        <v>470</v>
      </c>
      <c r="CM107" s="110" t="s">
        <v>540</v>
      </c>
      <c r="CN107" s="29" t="s">
        <v>470</v>
      </c>
      <c r="CO107" s="36" t="s">
        <v>470</v>
      </c>
      <c r="CP107" s="36" t="s">
        <v>470</v>
      </c>
      <c r="CQ107" s="36" t="s">
        <v>470</v>
      </c>
      <c r="CR107" s="132" t="s">
        <v>470</v>
      </c>
      <c r="CS107" s="36" t="s">
        <v>470</v>
      </c>
      <c r="CT107" s="29"/>
      <c r="CU107" s="36"/>
      <c r="CV107" s="663"/>
      <c r="CW107" s="36" t="s">
        <v>479</v>
      </c>
      <c r="CX107" s="664" t="s">
        <v>470</v>
      </c>
      <c r="CY107" s="36" t="s">
        <v>470</v>
      </c>
      <c r="CZ107" s="36" t="s">
        <v>470</v>
      </c>
      <c r="DA107" s="29" t="s">
        <v>1482</v>
      </c>
      <c r="DB107" s="36" t="s">
        <v>479</v>
      </c>
      <c r="DC107" s="36" t="s">
        <v>656</v>
      </c>
      <c r="DD107" s="36" t="s">
        <v>470</v>
      </c>
      <c r="DE107" s="36" t="s">
        <v>470</v>
      </c>
      <c r="DF107" s="29" t="s">
        <v>470</v>
      </c>
      <c r="DG107" s="127" t="s">
        <v>470</v>
      </c>
      <c r="DH107" s="36"/>
      <c r="DI107" s="132"/>
      <c r="DJ107" s="736"/>
      <c r="DK107" s="737" t="s">
        <v>470</v>
      </c>
      <c r="DL107" s="132" t="s">
        <v>470</v>
      </c>
      <c r="DM107" s="132" t="s">
        <v>540</v>
      </c>
      <c r="DN107" s="36" t="s">
        <v>470</v>
      </c>
      <c r="DO107" s="36" t="s">
        <v>470</v>
      </c>
      <c r="DP107" s="36" t="s">
        <v>470</v>
      </c>
      <c r="DQ107" s="36" t="s">
        <v>470</v>
      </c>
      <c r="DR107" s="36"/>
      <c r="DS107" s="36" t="s">
        <v>470</v>
      </c>
      <c r="DT107" s="36" t="s">
        <v>470</v>
      </c>
      <c r="DU107" s="36" t="s">
        <v>470</v>
      </c>
      <c r="DV107" s="29" t="s">
        <v>470</v>
      </c>
      <c r="DW107" s="54" t="s">
        <v>539</v>
      </c>
      <c r="DX107" s="36" t="s">
        <v>539</v>
      </c>
      <c r="DY107" s="29"/>
      <c r="DZ107" s="36" t="s">
        <v>539</v>
      </c>
      <c r="EA107" s="54" t="s">
        <v>539</v>
      </c>
      <c r="EB107" s="36"/>
      <c r="EC107" s="36" t="s">
        <v>470</v>
      </c>
      <c r="ED107" s="36" t="s">
        <v>470</v>
      </c>
      <c r="EE107" s="36" t="s">
        <v>470</v>
      </c>
      <c r="EF107" s="36" t="s">
        <v>479</v>
      </c>
      <c r="EG107" s="663"/>
      <c r="EH107" s="733" t="s">
        <v>470</v>
      </c>
      <c r="EI107" s="733" t="s">
        <v>470</v>
      </c>
      <c r="EJ107" s="733" t="s">
        <v>470</v>
      </c>
      <c r="EK107" s="36" t="s">
        <v>470</v>
      </c>
      <c r="EL107" s="36" t="s">
        <v>470</v>
      </c>
      <c r="EM107" s="733" t="s">
        <v>470</v>
      </c>
      <c r="EN107" s="50" t="s">
        <v>470</v>
      </c>
      <c r="EO107" s="36" t="s">
        <v>470</v>
      </c>
      <c r="EP107" s="36" t="s">
        <v>539</v>
      </c>
      <c r="EQ107" s="36" t="s">
        <v>470</v>
      </c>
      <c r="ER107" s="29"/>
      <c r="ES107" s="663"/>
      <c r="ET107" s="36" t="s">
        <v>470</v>
      </c>
      <c r="EU107" s="180" t="s">
        <v>479</v>
      </c>
      <c r="EV107" s="161" t="s">
        <v>540</v>
      </c>
      <c r="EW107" s="36" t="s">
        <v>470</v>
      </c>
      <c r="EX107" s="36" t="s">
        <v>470</v>
      </c>
      <c r="EY107" s="36" t="s">
        <v>470</v>
      </c>
      <c r="EZ107" s="663"/>
      <c r="FA107" s="36" t="s">
        <v>656</v>
      </c>
    </row>
    <row r="108" spans="1:157" ht="404" x14ac:dyDescent="0.2">
      <c r="A108" s="1205"/>
      <c r="B108" s="1206"/>
      <c r="C108" s="1211"/>
      <c r="D108" s="1204"/>
      <c r="E108" s="185" t="s">
        <v>205</v>
      </c>
      <c r="F108" s="36" t="s">
        <v>470</v>
      </c>
      <c r="G108" s="36" t="s">
        <v>656</v>
      </c>
      <c r="H108" s="161"/>
      <c r="I108" s="36" t="s">
        <v>656</v>
      </c>
      <c r="J108" s="36" t="s">
        <v>656</v>
      </c>
      <c r="K108" s="36" t="s">
        <v>656</v>
      </c>
      <c r="L108" s="36"/>
      <c r="M108" s="36"/>
      <c r="N108" s="50" t="s">
        <v>656</v>
      </c>
      <c r="O108" s="54" t="s">
        <v>1482</v>
      </c>
      <c r="P108" s="29" t="s">
        <v>656</v>
      </c>
      <c r="Q108" s="54" t="s">
        <v>656</v>
      </c>
      <c r="R108" s="29" t="s">
        <v>656</v>
      </c>
      <c r="S108" s="36" t="s">
        <v>656</v>
      </c>
      <c r="T108" s="36" t="s">
        <v>1903</v>
      </c>
      <c r="U108" s="36" t="s">
        <v>1930</v>
      </c>
      <c r="V108" s="36" t="s">
        <v>1924</v>
      </c>
      <c r="W108" s="36"/>
      <c r="X108" s="36"/>
      <c r="Y108" s="36"/>
      <c r="Z108" s="36"/>
      <c r="AA108" s="36"/>
      <c r="AB108" s="36"/>
      <c r="AC108" s="36"/>
      <c r="AD108" s="29" t="s">
        <v>656</v>
      </c>
      <c r="AE108" s="161" t="s">
        <v>656</v>
      </c>
      <c r="AF108" s="36"/>
      <c r="AG108" s="36"/>
      <c r="AH108" s="50" t="s">
        <v>470</v>
      </c>
      <c r="AI108" s="36"/>
      <c r="AJ108" s="36" t="s">
        <v>470</v>
      </c>
      <c r="AK108" s="663"/>
      <c r="AL108" s="36"/>
      <c r="AM108" s="36"/>
      <c r="AN108" s="36" t="s">
        <v>656</v>
      </c>
      <c r="AO108" s="36"/>
      <c r="AP108" s="663"/>
      <c r="AQ108" s="50"/>
      <c r="AR108" s="663"/>
      <c r="AS108" s="36"/>
      <c r="AT108" s="36"/>
      <c r="AU108" s="36"/>
      <c r="AV108" s="50"/>
      <c r="AW108" s="107"/>
      <c r="AX108" s="663"/>
      <c r="AY108" s="663"/>
      <c r="AZ108" s="36" t="s">
        <v>656</v>
      </c>
      <c r="BA108" s="36" t="s">
        <v>656</v>
      </c>
      <c r="BB108" s="36" t="s">
        <v>656</v>
      </c>
      <c r="BC108" s="36" t="s">
        <v>470</v>
      </c>
      <c r="BD108" s="36"/>
      <c r="BE108" s="36"/>
      <c r="BF108" s="36" t="s">
        <v>1689</v>
      </c>
      <c r="BG108" s="36"/>
      <c r="BH108" s="36" t="s">
        <v>656</v>
      </c>
      <c r="BI108" s="36" t="s">
        <v>656</v>
      </c>
      <c r="BJ108" s="36" t="s">
        <v>656</v>
      </c>
      <c r="BK108" s="36"/>
      <c r="BL108" s="36"/>
      <c r="BM108" s="36"/>
      <c r="BN108" s="29"/>
      <c r="BO108" s="733"/>
      <c r="BP108" s="36" t="s">
        <v>470</v>
      </c>
      <c r="BQ108" s="36"/>
      <c r="BR108" s="36" t="s">
        <v>2144</v>
      </c>
      <c r="BS108" s="36" t="s">
        <v>656</v>
      </c>
      <c r="BT108" s="54" t="s">
        <v>656</v>
      </c>
      <c r="BU108" s="36"/>
      <c r="BV108" s="36" t="s">
        <v>656</v>
      </c>
      <c r="BW108" s="36" t="s">
        <v>3007</v>
      </c>
      <c r="BX108" s="36" t="s">
        <v>470</v>
      </c>
      <c r="BY108" s="663"/>
      <c r="BZ108" s="663"/>
      <c r="CA108" s="36"/>
      <c r="CB108" s="50" t="s">
        <v>470</v>
      </c>
      <c r="CC108" s="36" t="s">
        <v>470</v>
      </c>
      <c r="CD108" s="36" t="s">
        <v>2189</v>
      </c>
      <c r="CE108" s="36" t="s">
        <v>656</v>
      </c>
      <c r="CF108" s="36" t="s">
        <v>470</v>
      </c>
      <c r="CG108" s="161" t="s">
        <v>470</v>
      </c>
      <c r="CH108" s="36" t="s">
        <v>656</v>
      </c>
      <c r="CI108" s="36" t="s">
        <v>656</v>
      </c>
      <c r="CJ108" s="36" t="s">
        <v>656</v>
      </c>
      <c r="CK108" s="36" t="s">
        <v>656</v>
      </c>
      <c r="CL108" s="36" t="s">
        <v>656</v>
      </c>
      <c r="CM108" s="110" t="s">
        <v>1183</v>
      </c>
      <c r="CN108" s="29" t="s">
        <v>470</v>
      </c>
      <c r="CO108" s="29" t="s">
        <v>470</v>
      </c>
      <c r="CP108" s="29" t="s">
        <v>470</v>
      </c>
      <c r="CQ108" s="36" t="s">
        <v>470</v>
      </c>
      <c r="CR108" s="132"/>
      <c r="CS108" s="36"/>
      <c r="CT108" s="36"/>
      <c r="CU108" s="36"/>
      <c r="CV108" s="663"/>
      <c r="CW108" s="36" t="s">
        <v>3072</v>
      </c>
      <c r="CX108" s="734" t="s">
        <v>656</v>
      </c>
      <c r="CY108" s="36" t="s">
        <v>1447</v>
      </c>
      <c r="CZ108" s="36" t="s">
        <v>1447</v>
      </c>
      <c r="DA108" s="29" t="s">
        <v>1482</v>
      </c>
      <c r="DB108" s="36" t="s">
        <v>2846</v>
      </c>
      <c r="DC108" s="36" t="s">
        <v>656</v>
      </c>
      <c r="DD108" s="36" t="s">
        <v>470</v>
      </c>
      <c r="DE108" s="36" t="s">
        <v>470</v>
      </c>
      <c r="DF108" s="36"/>
      <c r="DG108" s="132"/>
      <c r="DH108" s="36"/>
      <c r="DI108" s="132"/>
      <c r="DJ108" s="736"/>
      <c r="DK108" s="737"/>
      <c r="DL108" s="132"/>
      <c r="DM108" s="132" t="s">
        <v>591</v>
      </c>
      <c r="DN108" s="36" t="s">
        <v>656</v>
      </c>
      <c r="DO108" s="36" t="s">
        <v>656</v>
      </c>
      <c r="DP108" s="36"/>
      <c r="DQ108" s="36"/>
      <c r="DR108" s="36"/>
      <c r="DS108" s="36" t="s">
        <v>656</v>
      </c>
      <c r="DT108" s="36"/>
      <c r="DU108" s="36"/>
      <c r="DV108" s="29" t="s">
        <v>656</v>
      </c>
      <c r="DW108" s="29"/>
      <c r="DX108" s="36"/>
      <c r="DY108" s="29"/>
      <c r="DZ108" s="36"/>
      <c r="EA108" s="29"/>
      <c r="EB108" s="36"/>
      <c r="EC108" s="36" t="s">
        <v>1447</v>
      </c>
      <c r="ED108" s="36"/>
      <c r="EE108" s="36"/>
      <c r="EF108" s="36" t="s">
        <v>3658</v>
      </c>
      <c r="EG108" s="663"/>
      <c r="EH108" s="733" t="s">
        <v>656</v>
      </c>
      <c r="EI108" s="733" t="s">
        <v>656</v>
      </c>
      <c r="EJ108" s="733" t="s">
        <v>656</v>
      </c>
      <c r="EK108" s="36"/>
      <c r="EL108" s="36"/>
      <c r="EM108" s="733"/>
      <c r="EN108" s="50" t="s">
        <v>2234</v>
      </c>
      <c r="EO108" s="36"/>
      <c r="EP108" s="36" t="s">
        <v>656</v>
      </c>
      <c r="EQ108" s="36" t="s">
        <v>470</v>
      </c>
      <c r="ER108" s="29"/>
      <c r="ES108" s="663"/>
      <c r="ET108" s="36" t="s">
        <v>470</v>
      </c>
      <c r="EU108" s="132" t="s">
        <v>3376</v>
      </c>
      <c r="EV108" s="161" t="s">
        <v>920</v>
      </c>
      <c r="EW108" s="36"/>
      <c r="EX108" s="36" t="s">
        <v>960</v>
      </c>
      <c r="EY108" s="36" t="s">
        <v>656</v>
      </c>
      <c r="EZ108" s="663"/>
      <c r="FA108" s="36" t="s">
        <v>656</v>
      </c>
    </row>
    <row r="109" spans="1:157" ht="51" x14ac:dyDescent="0.2">
      <c r="A109" s="1205"/>
      <c r="B109" s="1206"/>
      <c r="C109" s="1211"/>
      <c r="D109" s="1204"/>
      <c r="E109" s="185" t="s">
        <v>209</v>
      </c>
      <c r="F109" s="36" t="s">
        <v>470</v>
      </c>
      <c r="G109" s="36" t="s">
        <v>656</v>
      </c>
      <c r="H109" s="161"/>
      <c r="I109" s="36" t="s">
        <v>656</v>
      </c>
      <c r="J109" s="36" t="s">
        <v>656</v>
      </c>
      <c r="K109" s="36" t="s">
        <v>656</v>
      </c>
      <c r="L109" s="36"/>
      <c r="M109" s="36"/>
      <c r="N109" s="50" t="s">
        <v>656</v>
      </c>
      <c r="O109" s="54" t="s">
        <v>1482</v>
      </c>
      <c r="P109" s="36" t="s">
        <v>656</v>
      </c>
      <c r="Q109" s="54" t="s">
        <v>656</v>
      </c>
      <c r="R109" s="36" t="s">
        <v>656</v>
      </c>
      <c r="S109" s="36" t="s">
        <v>656</v>
      </c>
      <c r="T109" s="36">
        <v>630</v>
      </c>
      <c r="U109" s="36">
        <v>525</v>
      </c>
      <c r="V109" s="36">
        <v>3040</v>
      </c>
      <c r="W109" s="36"/>
      <c r="X109" s="36"/>
      <c r="Y109" s="36"/>
      <c r="Z109" s="36"/>
      <c r="AA109" s="36"/>
      <c r="AB109" s="36"/>
      <c r="AC109" s="36"/>
      <c r="AD109" s="36" t="s">
        <v>656</v>
      </c>
      <c r="AE109" s="161" t="s">
        <v>656</v>
      </c>
      <c r="AF109" s="36"/>
      <c r="AG109" s="36"/>
      <c r="AH109" s="50" t="s">
        <v>470</v>
      </c>
      <c r="AI109" s="36"/>
      <c r="AJ109" s="36" t="s">
        <v>470</v>
      </c>
      <c r="AK109" s="663"/>
      <c r="AL109" s="36"/>
      <c r="AM109" s="36"/>
      <c r="AN109" s="36" t="s">
        <v>656</v>
      </c>
      <c r="AO109" s="36"/>
      <c r="AP109" s="663"/>
      <c r="AQ109" s="50"/>
      <c r="AR109" s="663"/>
      <c r="AS109" s="36"/>
      <c r="AT109" s="36"/>
      <c r="AU109" s="36"/>
      <c r="AV109" s="50"/>
      <c r="AW109" s="107"/>
      <c r="AX109" s="663"/>
      <c r="AY109" s="663"/>
      <c r="AZ109" s="36" t="s">
        <v>656</v>
      </c>
      <c r="BA109" s="36" t="s">
        <v>656</v>
      </c>
      <c r="BB109" s="36" t="s">
        <v>656</v>
      </c>
      <c r="BC109" s="36" t="s">
        <v>470</v>
      </c>
      <c r="BD109" s="36"/>
      <c r="BE109" s="36"/>
      <c r="BF109" s="36">
        <v>13</v>
      </c>
      <c r="BG109" s="36"/>
      <c r="BH109" s="36" t="s">
        <v>656</v>
      </c>
      <c r="BI109" s="36" t="s">
        <v>656</v>
      </c>
      <c r="BJ109" s="36" t="s">
        <v>656</v>
      </c>
      <c r="BK109" s="36"/>
      <c r="BL109" s="36"/>
      <c r="BM109" s="36"/>
      <c r="BN109" s="36"/>
      <c r="BO109" s="733"/>
      <c r="BP109" s="36" t="s">
        <v>470</v>
      </c>
      <c r="BQ109" s="36"/>
      <c r="BR109" s="36">
        <v>531</v>
      </c>
      <c r="BS109" s="36" t="s">
        <v>656</v>
      </c>
      <c r="BT109" s="55" t="s">
        <v>656</v>
      </c>
      <c r="BU109" s="36"/>
      <c r="BV109" s="36" t="s">
        <v>656</v>
      </c>
      <c r="BW109" s="36" t="s">
        <v>3007</v>
      </c>
      <c r="BX109" s="36" t="s">
        <v>470</v>
      </c>
      <c r="BY109" s="663"/>
      <c r="BZ109" s="663"/>
      <c r="CA109" s="36"/>
      <c r="CB109" s="50">
        <v>0</v>
      </c>
      <c r="CC109" s="36" t="s">
        <v>470</v>
      </c>
      <c r="CD109" s="36">
        <v>30329</v>
      </c>
      <c r="CE109" s="36">
        <v>0</v>
      </c>
      <c r="CF109" s="36"/>
      <c r="CG109" s="161"/>
      <c r="CH109" s="36" t="s">
        <v>656</v>
      </c>
      <c r="CI109" s="36" t="s">
        <v>656</v>
      </c>
      <c r="CJ109" s="36" t="s">
        <v>656</v>
      </c>
      <c r="CK109" s="36">
        <v>0</v>
      </c>
      <c r="CL109" s="36">
        <v>0</v>
      </c>
      <c r="CM109" s="115">
        <v>2478</v>
      </c>
      <c r="CN109" s="29" t="s">
        <v>470</v>
      </c>
      <c r="CO109" s="29" t="s">
        <v>470</v>
      </c>
      <c r="CP109" s="29" t="s">
        <v>470</v>
      </c>
      <c r="CQ109" s="36" t="s">
        <v>470</v>
      </c>
      <c r="CR109" s="132"/>
      <c r="CS109" s="36"/>
      <c r="CT109" s="29"/>
      <c r="CU109" s="36"/>
      <c r="CV109" s="663"/>
      <c r="CW109" s="55">
        <v>17</v>
      </c>
      <c r="CX109" s="734" t="s">
        <v>656</v>
      </c>
      <c r="CY109" s="36" t="s">
        <v>1447</v>
      </c>
      <c r="CZ109" s="36" t="s">
        <v>1447</v>
      </c>
      <c r="DA109" s="29" t="s">
        <v>1482</v>
      </c>
      <c r="DB109" s="36">
        <v>115</v>
      </c>
      <c r="DC109" s="36" t="s">
        <v>656</v>
      </c>
      <c r="DD109" s="36" t="s">
        <v>470</v>
      </c>
      <c r="DE109" s="36" t="s">
        <v>470</v>
      </c>
      <c r="DF109" s="36"/>
      <c r="DG109" s="132"/>
      <c r="DH109" s="36"/>
      <c r="DI109" s="132"/>
      <c r="DJ109" s="736"/>
      <c r="DK109" s="737"/>
      <c r="DL109" s="132"/>
      <c r="DM109" s="132" t="s">
        <v>592</v>
      </c>
      <c r="DN109" s="36" t="s">
        <v>656</v>
      </c>
      <c r="DO109" s="36" t="s">
        <v>656</v>
      </c>
      <c r="DP109" s="36"/>
      <c r="DQ109" s="36"/>
      <c r="DR109" s="36"/>
      <c r="DS109" s="36" t="s">
        <v>656</v>
      </c>
      <c r="DT109" s="36"/>
      <c r="DU109" s="36"/>
      <c r="DV109" s="36" t="s">
        <v>656</v>
      </c>
      <c r="DW109" s="29"/>
      <c r="DX109" s="36"/>
      <c r="DY109" s="36"/>
      <c r="DZ109" s="36"/>
      <c r="EA109" s="29"/>
      <c r="EB109" s="36"/>
      <c r="EC109" s="36" t="s">
        <v>1447</v>
      </c>
      <c r="ED109" s="36"/>
      <c r="EE109" s="36"/>
      <c r="EF109" s="36">
        <v>150</v>
      </c>
      <c r="EG109" s="663"/>
      <c r="EH109" s="733" t="s">
        <v>656</v>
      </c>
      <c r="EI109" s="733" t="s">
        <v>656</v>
      </c>
      <c r="EJ109" s="733" t="s">
        <v>656</v>
      </c>
      <c r="EK109" s="36"/>
      <c r="EL109" s="36"/>
      <c r="EM109" s="733"/>
      <c r="EN109" s="50" t="s">
        <v>2234</v>
      </c>
      <c r="EO109" s="36"/>
      <c r="EP109" s="36" t="s">
        <v>656</v>
      </c>
      <c r="EQ109" s="36" t="s">
        <v>470</v>
      </c>
      <c r="ER109" s="36"/>
      <c r="ES109" s="663"/>
      <c r="ET109" s="36">
        <v>0</v>
      </c>
      <c r="EU109" s="127">
        <v>20</v>
      </c>
      <c r="EV109" s="161">
        <v>10</v>
      </c>
      <c r="EW109" s="36"/>
      <c r="EX109" s="36"/>
      <c r="EY109" s="36" t="s">
        <v>656</v>
      </c>
      <c r="EZ109" s="663"/>
      <c r="FA109" s="36" t="s">
        <v>656</v>
      </c>
    </row>
    <row r="110" spans="1:157" ht="68" x14ac:dyDescent="0.2">
      <c r="A110" s="1205"/>
      <c r="B110" s="1206"/>
      <c r="C110" s="1208" t="s">
        <v>214</v>
      </c>
      <c r="D110" s="1204" t="s">
        <v>215</v>
      </c>
      <c r="E110" s="185" t="s">
        <v>204</v>
      </c>
      <c r="F110" s="29" t="s">
        <v>470</v>
      </c>
      <c r="G110" s="29" t="s">
        <v>470</v>
      </c>
      <c r="H110" s="662" t="s">
        <v>470</v>
      </c>
      <c r="I110" s="29" t="s">
        <v>470</v>
      </c>
      <c r="J110" s="29" t="s">
        <v>539</v>
      </c>
      <c r="K110" s="29" t="s">
        <v>539</v>
      </c>
      <c r="L110" s="29" t="s">
        <v>470</v>
      </c>
      <c r="M110" s="29" t="s">
        <v>470</v>
      </c>
      <c r="N110" s="29" t="s">
        <v>470</v>
      </c>
      <c r="O110" s="54" t="s">
        <v>539</v>
      </c>
      <c r="P110" s="29" t="s">
        <v>539</v>
      </c>
      <c r="Q110" s="36" t="s">
        <v>539</v>
      </c>
      <c r="R110" s="29" t="s">
        <v>539</v>
      </c>
      <c r="S110" s="29" t="s">
        <v>539</v>
      </c>
      <c r="T110" s="29" t="s">
        <v>470</v>
      </c>
      <c r="U110" s="29" t="s">
        <v>873</v>
      </c>
      <c r="V110" s="29" t="s">
        <v>470</v>
      </c>
      <c r="W110" s="29" t="s">
        <v>539</v>
      </c>
      <c r="X110" s="29" t="s">
        <v>470</v>
      </c>
      <c r="Y110" s="29"/>
      <c r="Z110" s="29" t="s">
        <v>539</v>
      </c>
      <c r="AA110" s="29"/>
      <c r="AB110" s="29"/>
      <c r="AC110" s="29"/>
      <c r="AD110" s="29" t="s">
        <v>539</v>
      </c>
      <c r="AE110" s="662" t="s">
        <v>470</v>
      </c>
      <c r="AF110" s="29" t="s">
        <v>470</v>
      </c>
      <c r="AG110" s="29" t="s">
        <v>470</v>
      </c>
      <c r="AH110" s="48" t="s">
        <v>470</v>
      </c>
      <c r="AI110" s="29" t="s">
        <v>470</v>
      </c>
      <c r="AJ110" s="36" t="s">
        <v>470</v>
      </c>
      <c r="AK110" s="663"/>
      <c r="AL110" s="29" t="s">
        <v>470</v>
      </c>
      <c r="AM110" s="29" t="s">
        <v>470</v>
      </c>
      <c r="AN110" s="29" t="s">
        <v>470</v>
      </c>
      <c r="AO110" s="29" t="s">
        <v>470</v>
      </c>
      <c r="AP110" s="663"/>
      <c r="AQ110" s="48" t="s">
        <v>479</v>
      </c>
      <c r="AR110" s="663"/>
      <c r="AS110" s="29"/>
      <c r="AT110" s="29" t="s">
        <v>470</v>
      </c>
      <c r="AU110" s="29" t="s">
        <v>470</v>
      </c>
      <c r="AV110" s="48" t="s">
        <v>470</v>
      </c>
      <c r="AW110" s="29" t="s">
        <v>479</v>
      </c>
      <c r="AX110" s="663"/>
      <c r="AY110" s="663"/>
      <c r="AZ110" s="36" t="s">
        <v>470</v>
      </c>
      <c r="BA110" s="36" t="s">
        <v>470</v>
      </c>
      <c r="BB110" s="36" t="s">
        <v>470</v>
      </c>
      <c r="BC110" s="29" t="s">
        <v>470</v>
      </c>
      <c r="BD110" s="29" t="s">
        <v>470</v>
      </c>
      <c r="BE110" s="29" t="s">
        <v>470</v>
      </c>
      <c r="BF110" s="29" t="s">
        <v>873</v>
      </c>
      <c r="BG110" s="29" t="s">
        <v>470</v>
      </c>
      <c r="BH110" s="29" t="s">
        <v>470</v>
      </c>
      <c r="BI110" s="29" t="s">
        <v>470</v>
      </c>
      <c r="BJ110" s="29" t="s">
        <v>470</v>
      </c>
      <c r="BK110" s="29" t="s">
        <v>470</v>
      </c>
      <c r="BL110" s="101" t="s">
        <v>470</v>
      </c>
      <c r="BM110" s="29" t="s">
        <v>470</v>
      </c>
      <c r="BN110" s="29"/>
      <c r="BO110" s="186" t="s">
        <v>470</v>
      </c>
      <c r="BP110" s="29" t="s">
        <v>470</v>
      </c>
      <c r="BQ110" s="29" t="s">
        <v>470</v>
      </c>
      <c r="BR110" s="29" t="s">
        <v>470</v>
      </c>
      <c r="BS110" s="29" t="s">
        <v>873</v>
      </c>
      <c r="BT110" s="54" t="s">
        <v>470</v>
      </c>
      <c r="BU110" s="29" t="s">
        <v>470</v>
      </c>
      <c r="BV110" s="29" t="s">
        <v>656</v>
      </c>
      <c r="BW110" s="29" t="s">
        <v>479</v>
      </c>
      <c r="BX110" s="36" t="s">
        <v>470</v>
      </c>
      <c r="BY110" s="663"/>
      <c r="BZ110" s="663"/>
      <c r="CA110" s="29" t="s">
        <v>470</v>
      </c>
      <c r="CB110" s="50" t="s">
        <v>470</v>
      </c>
      <c r="CC110" s="29" t="s">
        <v>470</v>
      </c>
      <c r="CD110" s="29" t="s">
        <v>470</v>
      </c>
      <c r="CE110" s="29" t="s">
        <v>470</v>
      </c>
      <c r="CF110" s="36"/>
      <c r="CG110" s="161"/>
      <c r="CH110" s="29" t="s">
        <v>479</v>
      </c>
      <c r="CI110" s="29" t="s">
        <v>479</v>
      </c>
      <c r="CJ110" s="29" t="s">
        <v>470</v>
      </c>
      <c r="CK110" s="29" t="s">
        <v>470</v>
      </c>
      <c r="CL110" s="29" t="s">
        <v>470</v>
      </c>
      <c r="CM110" s="110" t="s">
        <v>539</v>
      </c>
      <c r="CN110" s="29" t="s">
        <v>470</v>
      </c>
      <c r="CO110" s="29" t="s">
        <v>470</v>
      </c>
      <c r="CP110" s="29" t="s">
        <v>470</v>
      </c>
      <c r="CQ110" s="36" t="s">
        <v>470</v>
      </c>
      <c r="CR110" s="127" t="s">
        <v>470</v>
      </c>
      <c r="CS110" s="36" t="s">
        <v>470</v>
      </c>
      <c r="CT110" s="29"/>
      <c r="CU110" s="29"/>
      <c r="CV110" s="663"/>
      <c r="CW110" s="54" t="s">
        <v>470</v>
      </c>
      <c r="CX110" s="664" t="s">
        <v>470</v>
      </c>
      <c r="CY110" s="29" t="s">
        <v>470</v>
      </c>
      <c r="CZ110" s="29" t="s">
        <v>470</v>
      </c>
      <c r="DA110" s="29" t="s">
        <v>1482</v>
      </c>
      <c r="DB110" s="29" t="s">
        <v>470</v>
      </c>
      <c r="DC110" s="29" t="s">
        <v>656</v>
      </c>
      <c r="DD110" s="29" t="s">
        <v>470</v>
      </c>
      <c r="DE110" s="29" t="s">
        <v>479</v>
      </c>
      <c r="DF110" s="29" t="s">
        <v>470</v>
      </c>
      <c r="DG110" s="127" t="s">
        <v>470</v>
      </c>
      <c r="DH110" s="29"/>
      <c r="DI110" s="127"/>
      <c r="DJ110" s="666"/>
      <c r="DK110" s="667" t="s">
        <v>470</v>
      </c>
      <c r="DL110" s="127" t="s">
        <v>479</v>
      </c>
      <c r="DM110" s="127" t="s">
        <v>540</v>
      </c>
      <c r="DN110" s="29" t="s">
        <v>470</v>
      </c>
      <c r="DO110" s="36" t="s">
        <v>470</v>
      </c>
      <c r="DP110" s="29" t="s">
        <v>470</v>
      </c>
      <c r="DQ110" s="29" t="s">
        <v>470</v>
      </c>
      <c r="DR110" s="29"/>
      <c r="DS110" s="29" t="s">
        <v>470</v>
      </c>
      <c r="DT110" s="29" t="s">
        <v>470</v>
      </c>
      <c r="DU110" s="29" t="s">
        <v>470</v>
      </c>
      <c r="DV110" s="29" t="s">
        <v>470</v>
      </c>
      <c r="DW110" s="54" t="s">
        <v>539</v>
      </c>
      <c r="DX110" s="29" t="s">
        <v>539</v>
      </c>
      <c r="DY110" s="29"/>
      <c r="DZ110" s="29" t="s">
        <v>539</v>
      </c>
      <c r="EA110" s="54" t="s">
        <v>539</v>
      </c>
      <c r="EB110" s="29"/>
      <c r="EC110" s="29" t="s">
        <v>470</v>
      </c>
      <c r="ED110" s="36" t="s">
        <v>470</v>
      </c>
      <c r="EE110" s="29" t="s">
        <v>470</v>
      </c>
      <c r="EF110" s="29" t="s">
        <v>470</v>
      </c>
      <c r="EG110" s="663"/>
      <c r="EH110" s="186" t="s">
        <v>470</v>
      </c>
      <c r="EI110" s="186" t="s">
        <v>470</v>
      </c>
      <c r="EJ110" s="186" t="s">
        <v>479</v>
      </c>
      <c r="EK110" s="29" t="s">
        <v>470</v>
      </c>
      <c r="EL110" s="29" t="s">
        <v>470</v>
      </c>
      <c r="EM110" s="186" t="s">
        <v>470</v>
      </c>
      <c r="EN110" s="50" t="s">
        <v>470</v>
      </c>
      <c r="EO110" s="29" t="s">
        <v>470</v>
      </c>
      <c r="EP110" s="36" t="s">
        <v>539</v>
      </c>
      <c r="EQ110" s="36" t="s">
        <v>470</v>
      </c>
      <c r="ER110" s="29"/>
      <c r="ES110" s="663"/>
      <c r="ET110" s="29" t="s">
        <v>470</v>
      </c>
      <c r="EU110" s="127" t="s">
        <v>470</v>
      </c>
      <c r="EV110" s="662" t="s">
        <v>656</v>
      </c>
      <c r="EW110" s="29" t="s">
        <v>470</v>
      </c>
      <c r="EX110" s="36"/>
      <c r="EY110" s="29" t="s">
        <v>470</v>
      </c>
      <c r="EZ110" s="663"/>
      <c r="FA110" s="29" t="s">
        <v>656</v>
      </c>
    </row>
    <row r="111" spans="1:157" ht="323" x14ac:dyDescent="0.2">
      <c r="A111" s="1205"/>
      <c r="B111" s="1206"/>
      <c r="C111" s="1208"/>
      <c r="D111" s="1204"/>
      <c r="E111" s="185" t="s">
        <v>205</v>
      </c>
      <c r="F111" s="29" t="s">
        <v>470</v>
      </c>
      <c r="G111" s="29" t="s">
        <v>656</v>
      </c>
      <c r="H111" s="662"/>
      <c r="I111" s="29" t="s">
        <v>656</v>
      </c>
      <c r="J111" s="29" t="s">
        <v>656</v>
      </c>
      <c r="K111" s="29" t="s">
        <v>656</v>
      </c>
      <c r="L111" s="29"/>
      <c r="M111" s="29"/>
      <c r="N111" s="50" t="s">
        <v>656</v>
      </c>
      <c r="O111" s="54" t="s">
        <v>1482</v>
      </c>
      <c r="P111" s="29" t="s">
        <v>656</v>
      </c>
      <c r="Q111" s="54" t="s">
        <v>656</v>
      </c>
      <c r="R111" s="29" t="s">
        <v>656</v>
      </c>
      <c r="S111" s="29" t="s">
        <v>656</v>
      </c>
      <c r="T111" s="29" t="s">
        <v>656</v>
      </c>
      <c r="U111" s="29" t="s">
        <v>1930</v>
      </c>
      <c r="V111" s="29" t="s">
        <v>1930</v>
      </c>
      <c r="W111" s="29"/>
      <c r="X111" s="29"/>
      <c r="Y111" s="29"/>
      <c r="Z111" s="29"/>
      <c r="AA111" s="29"/>
      <c r="AB111" s="29"/>
      <c r="AC111" s="29"/>
      <c r="AD111" s="29" t="s">
        <v>656</v>
      </c>
      <c r="AE111" s="662" t="s">
        <v>656</v>
      </c>
      <c r="AF111" s="29"/>
      <c r="AG111" s="29"/>
      <c r="AH111" s="48" t="s">
        <v>470</v>
      </c>
      <c r="AI111" s="29"/>
      <c r="AJ111" s="36" t="s">
        <v>470</v>
      </c>
      <c r="AK111" s="663"/>
      <c r="AL111" s="29"/>
      <c r="AM111" s="29"/>
      <c r="AN111" s="29" t="s">
        <v>656</v>
      </c>
      <c r="AO111" s="29"/>
      <c r="AP111" s="663"/>
      <c r="AQ111" s="48"/>
      <c r="AR111" s="663"/>
      <c r="AS111" s="29"/>
      <c r="AT111" s="29"/>
      <c r="AU111" s="29"/>
      <c r="AV111" s="48"/>
      <c r="AW111" s="36" t="s">
        <v>2066</v>
      </c>
      <c r="AX111" s="663"/>
      <c r="AY111" s="663"/>
      <c r="AZ111" s="36" t="s">
        <v>656</v>
      </c>
      <c r="BA111" s="36" t="s">
        <v>656</v>
      </c>
      <c r="BB111" s="36" t="s">
        <v>656</v>
      </c>
      <c r="BC111" s="29" t="s">
        <v>470</v>
      </c>
      <c r="BD111" s="29"/>
      <c r="BE111" s="29"/>
      <c r="BF111" s="29"/>
      <c r="BG111" s="29"/>
      <c r="BH111" s="29" t="s">
        <v>656</v>
      </c>
      <c r="BI111" s="29" t="s">
        <v>656</v>
      </c>
      <c r="BJ111" s="29"/>
      <c r="BK111" s="29"/>
      <c r="BL111" s="29"/>
      <c r="BM111" s="29" t="s">
        <v>656</v>
      </c>
      <c r="BN111" s="29"/>
      <c r="BO111" s="186"/>
      <c r="BP111" s="29" t="s">
        <v>470</v>
      </c>
      <c r="BQ111" s="29"/>
      <c r="BR111" s="29" t="s">
        <v>656</v>
      </c>
      <c r="BS111" s="29" t="s">
        <v>656</v>
      </c>
      <c r="BT111" s="54" t="s">
        <v>656</v>
      </c>
      <c r="BU111" s="29"/>
      <c r="BV111" s="29" t="s">
        <v>656</v>
      </c>
      <c r="BW111" s="29" t="s">
        <v>3007</v>
      </c>
      <c r="BX111" s="36" t="s">
        <v>470</v>
      </c>
      <c r="BY111" s="663"/>
      <c r="BZ111" s="663"/>
      <c r="CA111" s="29"/>
      <c r="CB111" s="50" t="s">
        <v>470</v>
      </c>
      <c r="CC111" s="29" t="s">
        <v>470</v>
      </c>
      <c r="CD111" s="29"/>
      <c r="CE111" s="29" t="s">
        <v>656</v>
      </c>
      <c r="CF111" s="29" t="s">
        <v>470</v>
      </c>
      <c r="CG111" s="662" t="s">
        <v>470</v>
      </c>
      <c r="CH111" s="29" t="s">
        <v>1267</v>
      </c>
      <c r="CI111" s="32" t="s">
        <v>9547</v>
      </c>
      <c r="CJ111" s="29" t="s">
        <v>656</v>
      </c>
      <c r="CK111" s="29" t="s">
        <v>656</v>
      </c>
      <c r="CL111" s="29" t="s">
        <v>656</v>
      </c>
      <c r="CM111" s="110" t="s">
        <v>539</v>
      </c>
      <c r="CN111" s="29" t="s">
        <v>470</v>
      </c>
      <c r="CO111" s="29" t="s">
        <v>470</v>
      </c>
      <c r="CP111" s="29" t="s">
        <v>470</v>
      </c>
      <c r="CQ111" s="36" t="s">
        <v>470</v>
      </c>
      <c r="CR111" s="127"/>
      <c r="CS111" s="29"/>
      <c r="CT111" s="36"/>
      <c r="CU111" s="29"/>
      <c r="CV111" s="663"/>
      <c r="CW111" s="54" t="s">
        <v>656</v>
      </c>
      <c r="CX111" s="734" t="s">
        <v>656</v>
      </c>
      <c r="CY111" s="29" t="s">
        <v>1447</v>
      </c>
      <c r="CZ111" s="29" t="s">
        <v>1447</v>
      </c>
      <c r="DA111" s="29" t="s">
        <v>1482</v>
      </c>
      <c r="DB111" s="29" t="s">
        <v>1924</v>
      </c>
      <c r="DC111" s="29" t="s">
        <v>656</v>
      </c>
      <c r="DD111" s="29" t="s">
        <v>470</v>
      </c>
      <c r="DE111" s="29" t="s">
        <v>2626</v>
      </c>
      <c r="DF111" s="29"/>
      <c r="DG111" s="127"/>
      <c r="DH111" s="29"/>
      <c r="DI111" s="127"/>
      <c r="DJ111" s="666"/>
      <c r="DK111" s="667"/>
      <c r="DL111" s="127" t="s">
        <v>2810</v>
      </c>
      <c r="DM111" s="127" t="s">
        <v>591</v>
      </c>
      <c r="DN111" s="29" t="s">
        <v>656</v>
      </c>
      <c r="DO111" s="36" t="s">
        <v>656</v>
      </c>
      <c r="DP111" s="29"/>
      <c r="DQ111" s="29"/>
      <c r="DR111" s="29"/>
      <c r="DS111" s="29" t="s">
        <v>656</v>
      </c>
      <c r="DT111" s="29"/>
      <c r="DU111" s="29"/>
      <c r="DV111" s="29" t="s">
        <v>656</v>
      </c>
      <c r="DW111" s="29"/>
      <c r="DX111" s="29"/>
      <c r="DY111" s="29"/>
      <c r="DZ111" s="29"/>
      <c r="EA111" s="29"/>
      <c r="EB111" s="29"/>
      <c r="EC111" s="29" t="s">
        <v>1447</v>
      </c>
      <c r="ED111" s="29"/>
      <c r="EE111" s="29"/>
      <c r="EF111" s="29" t="s">
        <v>470</v>
      </c>
      <c r="EG111" s="663"/>
      <c r="EH111" s="186" t="s">
        <v>656</v>
      </c>
      <c r="EI111" s="186" t="s">
        <v>656</v>
      </c>
      <c r="EJ111" s="186" t="s">
        <v>2374</v>
      </c>
      <c r="EK111" s="29"/>
      <c r="EL111" s="29"/>
      <c r="EM111" s="186"/>
      <c r="EN111" s="50" t="s">
        <v>2234</v>
      </c>
      <c r="EO111" s="29"/>
      <c r="EP111" s="36" t="s">
        <v>656</v>
      </c>
      <c r="EQ111" s="36" t="s">
        <v>470</v>
      </c>
      <c r="ER111" s="29"/>
      <c r="ES111" s="663"/>
      <c r="ET111" s="29" t="s">
        <v>470</v>
      </c>
      <c r="EU111" s="132"/>
      <c r="EV111" s="662" t="s">
        <v>656</v>
      </c>
      <c r="EW111" s="29"/>
      <c r="EX111" s="36"/>
      <c r="EY111" s="29" t="s">
        <v>656</v>
      </c>
      <c r="EZ111" s="663"/>
      <c r="FA111" s="29" t="s">
        <v>656</v>
      </c>
    </row>
    <row r="112" spans="1:157" ht="51" x14ac:dyDescent="0.2">
      <c r="A112" s="1205"/>
      <c r="B112" s="1206"/>
      <c r="C112" s="1208"/>
      <c r="D112" s="1204"/>
      <c r="E112" s="185" t="s">
        <v>209</v>
      </c>
      <c r="F112" s="36" t="s">
        <v>470</v>
      </c>
      <c r="G112" s="36" t="s">
        <v>656</v>
      </c>
      <c r="H112" s="161"/>
      <c r="I112" s="36" t="s">
        <v>656</v>
      </c>
      <c r="J112" s="36" t="s">
        <v>656</v>
      </c>
      <c r="K112" s="36" t="s">
        <v>656</v>
      </c>
      <c r="L112" s="36"/>
      <c r="M112" s="36"/>
      <c r="N112" s="50" t="s">
        <v>656</v>
      </c>
      <c r="O112" s="54" t="s">
        <v>1482</v>
      </c>
      <c r="P112" s="36" t="s">
        <v>656</v>
      </c>
      <c r="Q112" s="54" t="s">
        <v>656</v>
      </c>
      <c r="R112" s="36" t="s">
        <v>656</v>
      </c>
      <c r="S112" s="36" t="s">
        <v>656</v>
      </c>
      <c r="T112" s="36">
        <v>0</v>
      </c>
      <c r="U112" s="36">
        <v>0</v>
      </c>
      <c r="V112" s="36">
        <v>0</v>
      </c>
      <c r="W112" s="36"/>
      <c r="X112" s="36"/>
      <c r="Y112" s="36"/>
      <c r="Z112" s="36"/>
      <c r="AA112" s="36"/>
      <c r="AB112" s="36"/>
      <c r="AC112" s="36"/>
      <c r="AD112" s="36" t="s">
        <v>656</v>
      </c>
      <c r="AE112" s="161" t="s">
        <v>656</v>
      </c>
      <c r="AF112" s="36"/>
      <c r="AG112" s="36"/>
      <c r="AH112" s="50" t="s">
        <v>470</v>
      </c>
      <c r="AI112" s="36"/>
      <c r="AJ112" s="36" t="s">
        <v>470</v>
      </c>
      <c r="AK112" s="663"/>
      <c r="AL112" s="36"/>
      <c r="AM112" s="36"/>
      <c r="AN112" s="36" t="s">
        <v>656</v>
      </c>
      <c r="AO112" s="36"/>
      <c r="AP112" s="663"/>
      <c r="AQ112" s="50">
        <v>451</v>
      </c>
      <c r="AR112" s="663"/>
      <c r="AS112" s="36"/>
      <c r="AT112" s="36"/>
      <c r="AU112" s="36"/>
      <c r="AV112" s="50"/>
      <c r="AW112" s="36"/>
      <c r="AX112" s="663"/>
      <c r="AY112" s="663"/>
      <c r="AZ112" s="36" t="s">
        <v>656</v>
      </c>
      <c r="BA112" s="36" t="s">
        <v>656</v>
      </c>
      <c r="BB112" s="36" t="s">
        <v>656</v>
      </c>
      <c r="BC112" s="36" t="s">
        <v>470</v>
      </c>
      <c r="BD112" s="36"/>
      <c r="BE112" s="36"/>
      <c r="BF112" s="36"/>
      <c r="BG112" s="36"/>
      <c r="BH112" s="36" t="s">
        <v>656</v>
      </c>
      <c r="BI112" s="36" t="s">
        <v>656</v>
      </c>
      <c r="BJ112" s="36"/>
      <c r="BK112" s="36"/>
      <c r="BL112" s="36"/>
      <c r="BM112" s="36" t="s">
        <v>656</v>
      </c>
      <c r="BN112" s="36"/>
      <c r="BO112" s="733"/>
      <c r="BP112" s="36" t="s">
        <v>470</v>
      </c>
      <c r="BQ112" s="36"/>
      <c r="BR112" s="36" t="s">
        <v>656</v>
      </c>
      <c r="BS112" s="36" t="s">
        <v>656</v>
      </c>
      <c r="BT112" s="55" t="s">
        <v>656</v>
      </c>
      <c r="BU112" s="36"/>
      <c r="BV112" s="36" t="s">
        <v>656</v>
      </c>
      <c r="BW112" s="36" t="s">
        <v>3007</v>
      </c>
      <c r="BX112" s="36" t="s">
        <v>470</v>
      </c>
      <c r="BY112" s="663"/>
      <c r="BZ112" s="663"/>
      <c r="CA112" s="36"/>
      <c r="CB112" s="50">
        <v>0</v>
      </c>
      <c r="CC112" s="36" t="s">
        <v>470</v>
      </c>
      <c r="CD112" s="36"/>
      <c r="CE112" s="36">
        <v>0</v>
      </c>
      <c r="CF112" s="29"/>
      <c r="CG112" s="662"/>
      <c r="CH112" s="36">
        <v>379</v>
      </c>
      <c r="CI112" s="36">
        <v>11301</v>
      </c>
      <c r="CJ112" s="36" t="s">
        <v>656</v>
      </c>
      <c r="CK112" s="36">
        <v>0</v>
      </c>
      <c r="CL112" s="36">
        <v>0</v>
      </c>
      <c r="CM112" s="115" t="s">
        <v>539</v>
      </c>
      <c r="CN112" s="29" t="s">
        <v>470</v>
      </c>
      <c r="CO112" s="29" t="s">
        <v>470</v>
      </c>
      <c r="CP112" s="29" t="s">
        <v>470</v>
      </c>
      <c r="CQ112" s="36" t="s">
        <v>470</v>
      </c>
      <c r="CR112" s="132"/>
      <c r="CS112" s="36"/>
      <c r="CT112" s="29"/>
      <c r="CU112" s="36"/>
      <c r="CV112" s="663"/>
      <c r="CW112" s="55" t="s">
        <v>656</v>
      </c>
      <c r="CX112" s="734" t="s">
        <v>656</v>
      </c>
      <c r="CY112" s="36" t="s">
        <v>1447</v>
      </c>
      <c r="CZ112" s="36" t="s">
        <v>1447</v>
      </c>
      <c r="DA112" s="29" t="s">
        <v>1482</v>
      </c>
      <c r="DB112" s="36">
        <v>0</v>
      </c>
      <c r="DC112" s="36" t="s">
        <v>656</v>
      </c>
      <c r="DD112" s="36" t="s">
        <v>470</v>
      </c>
      <c r="DE112" s="36">
        <v>1200</v>
      </c>
      <c r="DF112" s="36"/>
      <c r="DG112" s="132"/>
      <c r="DH112" s="36"/>
      <c r="DI112" s="132"/>
      <c r="DJ112" s="736"/>
      <c r="DK112" s="737"/>
      <c r="DL112" s="132">
        <v>24781</v>
      </c>
      <c r="DM112" s="132" t="s">
        <v>592</v>
      </c>
      <c r="DN112" s="36" t="s">
        <v>656</v>
      </c>
      <c r="DO112" s="36" t="s">
        <v>656</v>
      </c>
      <c r="DP112" s="36"/>
      <c r="DQ112" s="36"/>
      <c r="DR112" s="36"/>
      <c r="DS112" s="36" t="s">
        <v>656</v>
      </c>
      <c r="DT112" s="36"/>
      <c r="DU112" s="36"/>
      <c r="DV112" s="36" t="s">
        <v>656</v>
      </c>
      <c r="DW112" s="29"/>
      <c r="DX112" s="36"/>
      <c r="DY112" s="36"/>
      <c r="DZ112" s="36"/>
      <c r="EA112" s="29"/>
      <c r="EB112" s="36"/>
      <c r="EC112" s="36" t="s">
        <v>1447</v>
      </c>
      <c r="ED112" s="36"/>
      <c r="EE112" s="36"/>
      <c r="EF112" s="36" t="s">
        <v>470</v>
      </c>
      <c r="EG112" s="663"/>
      <c r="EH112" s="733" t="s">
        <v>656</v>
      </c>
      <c r="EI112" s="733" t="s">
        <v>656</v>
      </c>
      <c r="EJ112" s="733">
        <v>12844</v>
      </c>
      <c r="EK112" s="36"/>
      <c r="EL112" s="36"/>
      <c r="EM112" s="733"/>
      <c r="EN112" s="50" t="s">
        <v>2234</v>
      </c>
      <c r="EO112" s="36"/>
      <c r="EP112" s="36" t="s">
        <v>656</v>
      </c>
      <c r="EQ112" s="36" t="s">
        <v>470</v>
      </c>
      <c r="ER112" s="36"/>
      <c r="ES112" s="663"/>
      <c r="ET112" s="36">
        <v>0</v>
      </c>
      <c r="EU112" s="127">
        <v>0</v>
      </c>
      <c r="EV112" s="161" t="s">
        <v>656</v>
      </c>
      <c r="EW112" s="36"/>
      <c r="EX112" s="36"/>
      <c r="EY112" s="36" t="s">
        <v>656</v>
      </c>
      <c r="EZ112" s="663"/>
      <c r="FA112" s="36" t="s">
        <v>656</v>
      </c>
    </row>
    <row r="113" spans="1:157" ht="68" x14ac:dyDescent="0.2">
      <c r="A113" s="1205"/>
      <c r="B113" s="1206"/>
      <c r="C113" s="1208" t="s">
        <v>216</v>
      </c>
      <c r="D113" s="1204" t="s">
        <v>217</v>
      </c>
      <c r="E113" s="185" t="s">
        <v>204</v>
      </c>
      <c r="F113" s="29" t="s">
        <v>479</v>
      </c>
      <c r="G113" s="29" t="s">
        <v>470</v>
      </c>
      <c r="H113" s="662" t="s">
        <v>470</v>
      </c>
      <c r="I113" s="29" t="s">
        <v>470</v>
      </c>
      <c r="J113" s="29" t="s">
        <v>540</v>
      </c>
      <c r="K113" s="29" t="s">
        <v>539</v>
      </c>
      <c r="L113" s="29" t="s">
        <v>470</v>
      </c>
      <c r="M113" s="29" t="s">
        <v>470</v>
      </c>
      <c r="N113" s="29" t="s">
        <v>470</v>
      </c>
      <c r="O113" s="54" t="s">
        <v>539</v>
      </c>
      <c r="P113" s="29" t="s">
        <v>539</v>
      </c>
      <c r="Q113" s="36" t="s">
        <v>540</v>
      </c>
      <c r="R113" s="29" t="s">
        <v>539</v>
      </c>
      <c r="S113" s="29" t="s">
        <v>1092</v>
      </c>
      <c r="T113" s="29" t="s">
        <v>470</v>
      </c>
      <c r="U113" s="29" t="s">
        <v>873</v>
      </c>
      <c r="V113" s="29" t="s">
        <v>470</v>
      </c>
      <c r="W113" s="29" t="s">
        <v>539</v>
      </c>
      <c r="X113" s="29" t="s">
        <v>470</v>
      </c>
      <c r="Y113" s="29"/>
      <c r="Z113" s="29" t="s">
        <v>539</v>
      </c>
      <c r="AA113" s="29"/>
      <c r="AB113" s="29"/>
      <c r="AC113" s="29"/>
      <c r="AD113" s="29" t="s">
        <v>539</v>
      </c>
      <c r="AE113" s="662" t="s">
        <v>470</v>
      </c>
      <c r="AF113" s="29" t="s">
        <v>470</v>
      </c>
      <c r="AG113" s="29" t="s">
        <v>828</v>
      </c>
      <c r="AH113" s="48" t="s">
        <v>470</v>
      </c>
      <c r="AI113" s="29" t="s">
        <v>470</v>
      </c>
      <c r="AJ113" s="36" t="s">
        <v>470</v>
      </c>
      <c r="AK113" s="663"/>
      <c r="AL113" s="29" t="s">
        <v>479</v>
      </c>
      <c r="AM113" s="29" t="s">
        <v>470</v>
      </c>
      <c r="AN113" s="29" t="s">
        <v>470</v>
      </c>
      <c r="AO113" s="29" t="s">
        <v>470</v>
      </c>
      <c r="AP113" s="663"/>
      <c r="AQ113" s="48" t="s">
        <v>479</v>
      </c>
      <c r="AR113" s="663"/>
      <c r="AS113" s="29"/>
      <c r="AT113" s="29" t="s">
        <v>479</v>
      </c>
      <c r="AU113" s="29" t="s">
        <v>470</v>
      </c>
      <c r="AV113" s="48" t="s">
        <v>470</v>
      </c>
      <c r="AW113" s="29" t="s">
        <v>479</v>
      </c>
      <c r="AX113" s="663"/>
      <c r="AY113" s="663"/>
      <c r="AZ113" s="29" t="s">
        <v>470</v>
      </c>
      <c r="BA113" s="29" t="s">
        <v>479</v>
      </c>
      <c r="BB113" s="29" t="s">
        <v>479</v>
      </c>
      <c r="BC113" s="29" t="s">
        <v>470</v>
      </c>
      <c r="BD113" s="29" t="s">
        <v>470</v>
      </c>
      <c r="BE113" s="29" t="s">
        <v>479</v>
      </c>
      <c r="BF113" s="29" t="s">
        <v>873</v>
      </c>
      <c r="BG113" s="29" t="s">
        <v>470</v>
      </c>
      <c r="BH113" s="29" t="s">
        <v>470</v>
      </c>
      <c r="BI113" s="29" t="s">
        <v>470</v>
      </c>
      <c r="BJ113" s="29" t="s">
        <v>470</v>
      </c>
      <c r="BK113" s="29" t="s">
        <v>470</v>
      </c>
      <c r="BL113" s="101" t="s">
        <v>470</v>
      </c>
      <c r="BM113" s="29" t="s">
        <v>470</v>
      </c>
      <c r="BN113" s="29" t="s">
        <v>479</v>
      </c>
      <c r="BO113" s="186" t="s">
        <v>470</v>
      </c>
      <c r="BP113" s="29" t="s">
        <v>470</v>
      </c>
      <c r="BQ113" s="29" t="s">
        <v>470</v>
      </c>
      <c r="BR113" s="29" t="s">
        <v>470</v>
      </c>
      <c r="BS113" s="29" t="s">
        <v>470</v>
      </c>
      <c r="BT113" s="54" t="s">
        <v>470</v>
      </c>
      <c r="BU113" s="29" t="s">
        <v>470</v>
      </c>
      <c r="BV113" s="29" t="s">
        <v>656</v>
      </c>
      <c r="BW113" s="29" t="s">
        <v>479</v>
      </c>
      <c r="BX113" s="36" t="s">
        <v>470</v>
      </c>
      <c r="BY113" s="663"/>
      <c r="BZ113" s="663"/>
      <c r="CA113" s="29" t="s">
        <v>479</v>
      </c>
      <c r="CB113" s="50" t="s">
        <v>470</v>
      </c>
      <c r="CC113" s="29" t="s">
        <v>470</v>
      </c>
      <c r="CD113" s="29" t="s">
        <v>470</v>
      </c>
      <c r="CE113" s="29" t="s">
        <v>479</v>
      </c>
      <c r="CF113" s="36"/>
      <c r="CG113" s="161"/>
      <c r="CH113" s="29" t="s">
        <v>479</v>
      </c>
      <c r="CI113" s="29" t="s">
        <v>479</v>
      </c>
      <c r="CJ113" s="29" t="s">
        <v>479</v>
      </c>
      <c r="CK113" s="29" t="s">
        <v>470</v>
      </c>
      <c r="CL113" s="29" t="s">
        <v>470</v>
      </c>
      <c r="CM113" s="110" t="s">
        <v>539</v>
      </c>
      <c r="CN113" s="29" t="s">
        <v>470</v>
      </c>
      <c r="CO113" s="29" t="s">
        <v>470</v>
      </c>
      <c r="CP113" s="29" t="s">
        <v>470</v>
      </c>
      <c r="CQ113" s="36" t="s">
        <v>470</v>
      </c>
      <c r="CR113" s="127" t="s">
        <v>470</v>
      </c>
      <c r="CS113" s="36" t="s">
        <v>470</v>
      </c>
      <c r="CT113" s="29"/>
      <c r="CU113" s="29"/>
      <c r="CV113" s="663"/>
      <c r="CW113" s="54" t="s">
        <v>470</v>
      </c>
      <c r="CX113" s="664" t="s">
        <v>479</v>
      </c>
      <c r="CY113" s="29" t="s">
        <v>470</v>
      </c>
      <c r="CZ113" s="29" t="s">
        <v>470</v>
      </c>
      <c r="DA113" s="29" t="s">
        <v>1482</v>
      </c>
      <c r="DB113" s="29" t="s">
        <v>470</v>
      </c>
      <c r="DC113" s="29" t="s">
        <v>656</v>
      </c>
      <c r="DD113" s="29" t="s">
        <v>470</v>
      </c>
      <c r="DE113" s="29" t="s">
        <v>540</v>
      </c>
      <c r="DF113" s="29" t="s">
        <v>470</v>
      </c>
      <c r="DG113" s="127" t="s">
        <v>470</v>
      </c>
      <c r="DH113" s="29"/>
      <c r="DI113" s="127"/>
      <c r="DJ113" s="666"/>
      <c r="DK113" s="667" t="s">
        <v>470</v>
      </c>
      <c r="DL113" s="127" t="s">
        <v>470</v>
      </c>
      <c r="DM113" s="127" t="s">
        <v>540</v>
      </c>
      <c r="DN113" s="29" t="s">
        <v>470</v>
      </c>
      <c r="DO113" s="36" t="s">
        <v>470</v>
      </c>
      <c r="DP113" s="29" t="s">
        <v>2526</v>
      </c>
      <c r="DQ113" s="29" t="s">
        <v>470</v>
      </c>
      <c r="DR113" s="29" t="s">
        <v>479</v>
      </c>
      <c r="DS113" s="29" t="s">
        <v>470</v>
      </c>
      <c r="DT113" s="29" t="s">
        <v>470</v>
      </c>
      <c r="DU113" s="29" t="s">
        <v>470</v>
      </c>
      <c r="DV113" s="29" t="s">
        <v>479</v>
      </c>
      <c r="DW113" s="29" t="s">
        <v>539</v>
      </c>
      <c r="DX113" s="29" t="s">
        <v>539</v>
      </c>
      <c r="DY113" s="29"/>
      <c r="DZ113" s="29" t="s">
        <v>539</v>
      </c>
      <c r="EA113" s="29" t="s">
        <v>539</v>
      </c>
      <c r="EB113" s="29"/>
      <c r="EC113" s="29" t="s">
        <v>470</v>
      </c>
      <c r="ED113" s="36" t="s">
        <v>470</v>
      </c>
      <c r="EE113" s="54" t="s">
        <v>479</v>
      </c>
      <c r="EF113" s="29" t="s">
        <v>479</v>
      </c>
      <c r="EG113" s="663"/>
      <c r="EH113" s="186" t="s">
        <v>470</v>
      </c>
      <c r="EI113" s="186" t="s">
        <v>470</v>
      </c>
      <c r="EJ113" s="186" t="s">
        <v>479</v>
      </c>
      <c r="EK113" s="29" t="s">
        <v>470</v>
      </c>
      <c r="EL113" s="29" t="s">
        <v>470</v>
      </c>
      <c r="EM113" s="186" t="s">
        <v>470</v>
      </c>
      <c r="EN113" s="50" t="s">
        <v>479</v>
      </c>
      <c r="EO113" s="29" t="s">
        <v>470</v>
      </c>
      <c r="EP113" s="36" t="s">
        <v>539</v>
      </c>
      <c r="EQ113" s="36" t="s">
        <v>470</v>
      </c>
      <c r="ER113" s="29"/>
      <c r="ES113" s="663"/>
      <c r="ET113" s="29" t="s">
        <v>470</v>
      </c>
      <c r="EU113" s="127" t="s">
        <v>479</v>
      </c>
      <c r="EV113" s="662" t="s">
        <v>656</v>
      </c>
      <c r="EW113" s="29" t="s">
        <v>470</v>
      </c>
      <c r="EX113" s="29" t="s">
        <v>470</v>
      </c>
      <c r="EY113" s="29" t="s">
        <v>470</v>
      </c>
      <c r="EZ113" s="663"/>
      <c r="FA113" s="29" t="s">
        <v>656</v>
      </c>
    </row>
    <row r="114" spans="1:157" ht="409.6" x14ac:dyDescent="0.2">
      <c r="A114" s="1205"/>
      <c r="B114" s="1206"/>
      <c r="C114" s="1208"/>
      <c r="D114" s="1204"/>
      <c r="E114" s="185" t="s">
        <v>205</v>
      </c>
      <c r="F114" s="32" t="s">
        <v>1008</v>
      </c>
      <c r="G114" s="29" t="s">
        <v>656</v>
      </c>
      <c r="H114" s="662"/>
      <c r="I114" s="29" t="s">
        <v>656</v>
      </c>
      <c r="J114" s="29" t="s">
        <v>2032</v>
      </c>
      <c r="K114" s="29" t="s">
        <v>656</v>
      </c>
      <c r="L114" s="29"/>
      <c r="M114" s="29"/>
      <c r="N114" s="50" t="s">
        <v>656</v>
      </c>
      <c r="O114" s="54" t="s">
        <v>1482</v>
      </c>
      <c r="P114" s="29" t="s">
        <v>656</v>
      </c>
      <c r="Q114" s="29" t="s">
        <v>1508</v>
      </c>
      <c r="R114" s="29" t="s">
        <v>656</v>
      </c>
      <c r="S114" s="29" t="s">
        <v>656</v>
      </c>
      <c r="T114" s="29" t="s">
        <v>656</v>
      </c>
      <c r="U114" s="29" t="s">
        <v>1930</v>
      </c>
      <c r="V114" s="29" t="s">
        <v>1924</v>
      </c>
      <c r="W114" s="29"/>
      <c r="X114" s="29"/>
      <c r="Y114" s="29"/>
      <c r="Z114" s="29"/>
      <c r="AA114" s="29"/>
      <c r="AB114" s="29"/>
      <c r="AC114" s="29"/>
      <c r="AD114" s="29" t="s">
        <v>656</v>
      </c>
      <c r="AE114" s="662" t="s">
        <v>656</v>
      </c>
      <c r="AF114" s="29"/>
      <c r="AG114" s="32"/>
      <c r="AH114" s="48" t="s">
        <v>470</v>
      </c>
      <c r="AI114" s="29"/>
      <c r="AJ114" s="36" t="s">
        <v>470</v>
      </c>
      <c r="AK114" s="663"/>
      <c r="AL114" s="57" t="s">
        <v>3471</v>
      </c>
      <c r="AM114" s="29"/>
      <c r="AN114" s="29" t="s">
        <v>656</v>
      </c>
      <c r="AO114" s="29"/>
      <c r="AP114" s="663"/>
      <c r="AQ114" s="48"/>
      <c r="AR114" s="663"/>
      <c r="AS114" s="29"/>
      <c r="AT114" s="29" t="s">
        <v>920</v>
      </c>
      <c r="AU114" s="29"/>
      <c r="AV114" s="48"/>
      <c r="AW114" s="36" t="s">
        <v>2066</v>
      </c>
      <c r="AX114" s="663"/>
      <c r="AY114" s="663"/>
      <c r="AZ114" s="29" t="s">
        <v>656</v>
      </c>
      <c r="BA114" s="29" t="s">
        <v>1764</v>
      </c>
      <c r="BB114" s="29" t="s">
        <v>1764</v>
      </c>
      <c r="BC114" s="29" t="s">
        <v>470</v>
      </c>
      <c r="BD114" s="29"/>
      <c r="BE114" s="29" t="s">
        <v>1843</v>
      </c>
      <c r="BF114" s="29"/>
      <c r="BG114" s="29"/>
      <c r="BH114" s="29" t="s">
        <v>656</v>
      </c>
      <c r="BI114" s="29" t="s">
        <v>656</v>
      </c>
      <c r="BJ114" s="29" t="s">
        <v>656</v>
      </c>
      <c r="BK114" s="29"/>
      <c r="BL114" s="29"/>
      <c r="BM114" s="29" t="s">
        <v>656</v>
      </c>
      <c r="BN114" s="29"/>
      <c r="BO114" s="186"/>
      <c r="BP114" s="29" t="s">
        <v>470</v>
      </c>
      <c r="BQ114" s="29"/>
      <c r="BR114" s="29" t="s">
        <v>656</v>
      </c>
      <c r="BS114" s="29" t="s">
        <v>656</v>
      </c>
      <c r="BT114" s="54" t="s">
        <v>656</v>
      </c>
      <c r="BU114" s="29"/>
      <c r="BV114" s="29" t="s">
        <v>656</v>
      </c>
      <c r="BW114" s="29" t="s">
        <v>3007</v>
      </c>
      <c r="BX114" s="36" t="s">
        <v>470</v>
      </c>
      <c r="BY114" s="663"/>
      <c r="BZ114" s="663"/>
      <c r="CA114" s="29" t="s">
        <v>3271</v>
      </c>
      <c r="CB114" s="50" t="s">
        <v>470</v>
      </c>
      <c r="CC114" s="29" t="s">
        <v>470</v>
      </c>
      <c r="CD114" s="29"/>
      <c r="CE114" s="29" t="s">
        <v>1215</v>
      </c>
      <c r="CF114" s="29" t="s">
        <v>470</v>
      </c>
      <c r="CG114" s="662" t="s">
        <v>470</v>
      </c>
      <c r="CH114" s="29" t="s">
        <v>1268</v>
      </c>
      <c r="CI114" s="32" t="s">
        <v>1291</v>
      </c>
      <c r="CJ114" s="32" t="s">
        <v>1306</v>
      </c>
      <c r="CK114" s="29" t="s">
        <v>656</v>
      </c>
      <c r="CL114" s="29" t="s">
        <v>656</v>
      </c>
      <c r="CM114" s="110" t="s">
        <v>539</v>
      </c>
      <c r="CN114" s="29" t="s">
        <v>470</v>
      </c>
      <c r="CO114" s="29" t="s">
        <v>470</v>
      </c>
      <c r="CP114" s="29" t="s">
        <v>470</v>
      </c>
      <c r="CQ114" s="36" t="s">
        <v>470</v>
      </c>
      <c r="CR114" s="127"/>
      <c r="CS114" s="29"/>
      <c r="CT114" s="36"/>
      <c r="CU114" s="29"/>
      <c r="CV114" s="663"/>
      <c r="CW114" s="54" t="s">
        <v>656</v>
      </c>
      <c r="CX114" s="734" t="s">
        <v>3249</v>
      </c>
      <c r="CY114" s="29" t="s">
        <v>1447</v>
      </c>
      <c r="CZ114" s="29" t="s">
        <v>1447</v>
      </c>
      <c r="DA114" s="29" t="s">
        <v>1482</v>
      </c>
      <c r="DB114" s="29" t="s">
        <v>1924</v>
      </c>
      <c r="DC114" s="29" t="s">
        <v>656</v>
      </c>
      <c r="DD114" s="29" t="s">
        <v>470</v>
      </c>
      <c r="DE114" s="29" t="s">
        <v>2627</v>
      </c>
      <c r="DF114" s="29"/>
      <c r="DG114" s="127"/>
      <c r="DH114" s="29"/>
      <c r="DI114" s="127"/>
      <c r="DJ114" s="666"/>
      <c r="DK114" s="667"/>
      <c r="DL114" s="127"/>
      <c r="DM114" s="127" t="s">
        <v>591</v>
      </c>
      <c r="DN114" s="29" t="s">
        <v>656</v>
      </c>
      <c r="DO114" s="36" t="s">
        <v>656</v>
      </c>
      <c r="DP114" s="29"/>
      <c r="DQ114" s="29"/>
      <c r="DR114" s="29" t="s">
        <v>2564</v>
      </c>
      <c r="DS114" s="29" t="s">
        <v>656</v>
      </c>
      <c r="DT114" s="29"/>
      <c r="DU114" s="29"/>
      <c r="DV114" s="29" t="s">
        <v>656</v>
      </c>
      <c r="DW114" s="29"/>
      <c r="DX114" s="29"/>
      <c r="DY114" s="29"/>
      <c r="DZ114" s="29"/>
      <c r="EA114" s="29"/>
      <c r="EB114" s="29"/>
      <c r="EC114" s="29" t="s">
        <v>1447</v>
      </c>
      <c r="ED114" s="29"/>
      <c r="EE114" s="29" t="s">
        <v>513</v>
      </c>
      <c r="EF114" s="32" t="s">
        <v>3659</v>
      </c>
      <c r="EG114" s="663"/>
      <c r="EH114" s="186" t="s">
        <v>656</v>
      </c>
      <c r="EI114" s="186" t="s">
        <v>656</v>
      </c>
      <c r="EJ114" s="186" t="s">
        <v>2375</v>
      </c>
      <c r="EK114" s="29"/>
      <c r="EL114" s="29"/>
      <c r="EM114" s="186"/>
      <c r="EN114" s="157" t="s">
        <v>2244</v>
      </c>
      <c r="EO114" s="29"/>
      <c r="EP114" s="36" t="s">
        <v>656</v>
      </c>
      <c r="EQ114" s="36" t="s">
        <v>470</v>
      </c>
      <c r="ER114" s="29"/>
      <c r="ES114" s="663"/>
      <c r="ET114" s="29" t="s">
        <v>470</v>
      </c>
      <c r="EU114" s="132" t="s">
        <v>3376</v>
      </c>
      <c r="EV114" s="662" t="s">
        <v>656</v>
      </c>
      <c r="EW114" s="29"/>
      <c r="EX114" s="29"/>
      <c r="EY114" s="29" t="s">
        <v>656</v>
      </c>
      <c r="EZ114" s="663"/>
      <c r="FA114" s="29" t="s">
        <v>656</v>
      </c>
    </row>
    <row r="115" spans="1:157" ht="51" x14ac:dyDescent="0.2">
      <c r="A115" s="1205"/>
      <c r="B115" s="1206"/>
      <c r="C115" s="1208"/>
      <c r="D115" s="1204"/>
      <c r="E115" s="185" t="s">
        <v>209</v>
      </c>
      <c r="F115" s="36">
        <v>20</v>
      </c>
      <c r="G115" s="36" t="s">
        <v>656</v>
      </c>
      <c r="H115" s="161"/>
      <c r="I115" s="36" t="s">
        <v>656</v>
      </c>
      <c r="J115" s="36">
        <v>27530</v>
      </c>
      <c r="K115" s="36" t="s">
        <v>656</v>
      </c>
      <c r="L115" s="36"/>
      <c r="M115" s="36"/>
      <c r="N115" s="50" t="s">
        <v>656</v>
      </c>
      <c r="O115" s="54" t="s">
        <v>1482</v>
      </c>
      <c r="P115" s="36" t="s">
        <v>656</v>
      </c>
      <c r="Q115" s="36">
        <v>5780</v>
      </c>
      <c r="R115" s="36" t="s">
        <v>656</v>
      </c>
      <c r="S115" s="36" t="s">
        <v>656</v>
      </c>
      <c r="T115" s="36">
        <v>0</v>
      </c>
      <c r="U115" s="36">
        <v>0</v>
      </c>
      <c r="V115" s="36">
        <v>0</v>
      </c>
      <c r="W115" s="36"/>
      <c r="X115" s="36"/>
      <c r="Y115" s="36"/>
      <c r="Z115" s="36"/>
      <c r="AA115" s="36"/>
      <c r="AB115" s="36"/>
      <c r="AC115" s="36"/>
      <c r="AD115" s="36" t="s">
        <v>656</v>
      </c>
      <c r="AE115" s="161" t="s">
        <v>656</v>
      </c>
      <c r="AF115" s="36"/>
      <c r="AG115" s="36"/>
      <c r="AH115" s="50" t="s">
        <v>470</v>
      </c>
      <c r="AI115" s="36"/>
      <c r="AJ115" s="36" t="s">
        <v>470</v>
      </c>
      <c r="AK115" s="663"/>
      <c r="AL115" s="36">
        <v>123</v>
      </c>
      <c r="AM115" s="36"/>
      <c r="AN115" s="36" t="s">
        <v>656</v>
      </c>
      <c r="AO115" s="36"/>
      <c r="AP115" s="663"/>
      <c r="AQ115" s="50">
        <v>123</v>
      </c>
      <c r="AR115" s="663"/>
      <c r="AS115" s="36"/>
      <c r="AT115" s="36">
        <v>1249</v>
      </c>
      <c r="AU115" s="36"/>
      <c r="AV115" s="50"/>
      <c r="AW115" s="36"/>
      <c r="AX115" s="663"/>
      <c r="AY115" s="663"/>
      <c r="AZ115" s="36" t="s">
        <v>656</v>
      </c>
      <c r="BA115" s="36" t="s">
        <v>656</v>
      </c>
      <c r="BB115" s="36" t="s">
        <v>656</v>
      </c>
      <c r="BC115" s="36" t="s">
        <v>470</v>
      </c>
      <c r="BD115" s="36"/>
      <c r="BE115" s="36"/>
      <c r="BF115" s="36"/>
      <c r="BG115" s="36"/>
      <c r="BH115" s="36" t="s">
        <v>656</v>
      </c>
      <c r="BI115" s="36" t="s">
        <v>656</v>
      </c>
      <c r="BJ115" s="36" t="s">
        <v>656</v>
      </c>
      <c r="BK115" s="36"/>
      <c r="BL115" s="36"/>
      <c r="BM115" s="36" t="s">
        <v>656</v>
      </c>
      <c r="BN115" s="36"/>
      <c r="BO115" s="733"/>
      <c r="BP115" s="36" t="s">
        <v>470</v>
      </c>
      <c r="BQ115" s="36"/>
      <c r="BR115" s="36" t="s">
        <v>656</v>
      </c>
      <c r="BS115" s="36" t="s">
        <v>656</v>
      </c>
      <c r="BT115" s="55" t="s">
        <v>656</v>
      </c>
      <c r="BU115" s="36"/>
      <c r="BV115" s="36" t="s">
        <v>656</v>
      </c>
      <c r="BW115" s="36" t="s">
        <v>3007</v>
      </c>
      <c r="BX115" s="36" t="s">
        <v>470</v>
      </c>
      <c r="BY115" s="663"/>
      <c r="BZ115" s="663"/>
      <c r="CA115" s="36">
        <v>801</v>
      </c>
      <c r="CB115" s="50">
        <v>0</v>
      </c>
      <c r="CC115" s="36" t="s">
        <v>470</v>
      </c>
      <c r="CD115" s="36"/>
      <c r="CE115" s="36">
        <v>49310</v>
      </c>
      <c r="CF115" s="29"/>
      <c r="CG115" s="662"/>
      <c r="CH115" s="36">
        <v>131</v>
      </c>
      <c r="CI115" s="36">
        <v>115904</v>
      </c>
      <c r="CJ115" s="36">
        <v>15643</v>
      </c>
      <c r="CK115" s="36">
        <v>0</v>
      </c>
      <c r="CL115" s="36">
        <v>0</v>
      </c>
      <c r="CM115" s="115" t="s">
        <v>539</v>
      </c>
      <c r="CN115" s="29" t="s">
        <v>470</v>
      </c>
      <c r="CO115" s="29" t="s">
        <v>470</v>
      </c>
      <c r="CP115" s="29" t="s">
        <v>470</v>
      </c>
      <c r="CQ115" s="36" t="s">
        <v>470</v>
      </c>
      <c r="CR115" s="132"/>
      <c r="CS115" s="36"/>
      <c r="CT115" s="29"/>
      <c r="CU115" s="36"/>
      <c r="CV115" s="663"/>
      <c r="CW115" s="55" t="s">
        <v>656</v>
      </c>
      <c r="CX115" s="734">
        <v>532</v>
      </c>
      <c r="CY115" s="36" t="s">
        <v>1447</v>
      </c>
      <c r="CZ115" s="36" t="s">
        <v>1447</v>
      </c>
      <c r="DA115" s="29" t="s">
        <v>1482</v>
      </c>
      <c r="DB115" s="36">
        <v>0</v>
      </c>
      <c r="DC115" s="36" t="s">
        <v>656</v>
      </c>
      <c r="DD115" s="36" t="s">
        <v>470</v>
      </c>
      <c r="DE115" s="36">
        <v>5000</v>
      </c>
      <c r="DF115" s="36"/>
      <c r="DG115" s="132"/>
      <c r="DH115" s="36"/>
      <c r="DI115" s="132"/>
      <c r="DJ115" s="736"/>
      <c r="DK115" s="737"/>
      <c r="DL115" s="132"/>
      <c r="DM115" s="132" t="s">
        <v>592</v>
      </c>
      <c r="DN115" s="36" t="s">
        <v>656</v>
      </c>
      <c r="DO115" s="36" t="s">
        <v>656</v>
      </c>
      <c r="DP115" s="36">
        <v>625</v>
      </c>
      <c r="DQ115" s="36"/>
      <c r="DR115" s="80" t="s">
        <v>2565</v>
      </c>
      <c r="DS115" s="36" t="s">
        <v>656</v>
      </c>
      <c r="DT115" s="36"/>
      <c r="DU115" s="36"/>
      <c r="DV115" s="36">
        <v>2</v>
      </c>
      <c r="DW115" s="29"/>
      <c r="DX115" s="36"/>
      <c r="DY115" s="36"/>
      <c r="DZ115" s="36"/>
      <c r="EA115" s="29"/>
      <c r="EB115" s="36"/>
      <c r="EC115" s="36" t="s">
        <v>1447</v>
      </c>
      <c r="ED115" s="36"/>
      <c r="EE115" s="36">
        <v>6672</v>
      </c>
      <c r="EF115" s="36">
        <v>1215</v>
      </c>
      <c r="EG115" s="663"/>
      <c r="EH115" s="733" t="s">
        <v>656</v>
      </c>
      <c r="EI115" s="733" t="s">
        <v>656</v>
      </c>
      <c r="EJ115" s="733">
        <v>262</v>
      </c>
      <c r="EK115" s="36"/>
      <c r="EL115" s="36"/>
      <c r="EM115" s="733"/>
      <c r="EN115" s="50">
        <v>52397</v>
      </c>
      <c r="EO115" s="36"/>
      <c r="EP115" s="36" t="s">
        <v>656</v>
      </c>
      <c r="EQ115" s="36" t="s">
        <v>470</v>
      </c>
      <c r="ER115" s="36"/>
      <c r="ES115" s="663"/>
      <c r="ET115" s="36">
        <v>0</v>
      </c>
      <c r="EU115" s="127">
        <v>120</v>
      </c>
      <c r="EV115" s="161" t="s">
        <v>656</v>
      </c>
      <c r="EW115" s="29"/>
      <c r="EX115" s="36"/>
      <c r="EY115" s="36" t="s">
        <v>656</v>
      </c>
      <c r="EZ115" s="663"/>
      <c r="FA115" s="36" t="s">
        <v>656</v>
      </c>
    </row>
    <row r="116" spans="1:157" ht="68" x14ac:dyDescent="0.2">
      <c r="A116" s="1205"/>
      <c r="B116" s="1206"/>
      <c r="C116" s="1208" t="s">
        <v>218</v>
      </c>
      <c r="D116" s="1204" t="s">
        <v>219</v>
      </c>
      <c r="E116" s="185" t="s">
        <v>204</v>
      </c>
      <c r="F116" s="29" t="s">
        <v>470</v>
      </c>
      <c r="G116" s="29" t="s">
        <v>470</v>
      </c>
      <c r="H116" s="662" t="s">
        <v>470</v>
      </c>
      <c r="I116" s="29" t="s">
        <v>470</v>
      </c>
      <c r="J116" s="29" t="s">
        <v>539</v>
      </c>
      <c r="K116" s="29" t="s">
        <v>539</v>
      </c>
      <c r="L116" s="29" t="s">
        <v>470</v>
      </c>
      <c r="M116" s="29" t="s">
        <v>470</v>
      </c>
      <c r="N116" s="29" t="s">
        <v>470</v>
      </c>
      <c r="O116" s="29" t="s">
        <v>539</v>
      </c>
      <c r="P116" s="29" t="s">
        <v>539</v>
      </c>
      <c r="Q116" s="36" t="s">
        <v>539</v>
      </c>
      <c r="R116" s="29" t="s">
        <v>539</v>
      </c>
      <c r="S116" s="29" t="s">
        <v>1092</v>
      </c>
      <c r="T116" s="29" t="s">
        <v>479</v>
      </c>
      <c r="U116" s="29" t="s">
        <v>873</v>
      </c>
      <c r="V116" s="29" t="s">
        <v>470</v>
      </c>
      <c r="W116" s="29" t="s">
        <v>539</v>
      </c>
      <c r="X116" s="29" t="s">
        <v>470</v>
      </c>
      <c r="Y116" s="29"/>
      <c r="Z116" s="29" t="s">
        <v>539</v>
      </c>
      <c r="AA116" s="29"/>
      <c r="AB116" s="29"/>
      <c r="AC116" s="29"/>
      <c r="AD116" s="29" t="s">
        <v>539</v>
      </c>
      <c r="AE116" s="662" t="s">
        <v>470</v>
      </c>
      <c r="AF116" s="29" t="s">
        <v>470</v>
      </c>
      <c r="AG116" s="29" t="s">
        <v>470</v>
      </c>
      <c r="AH116" s="48" t="s">
        <v>470</v>
      </c>
      <c r="AI116" s="29" t="s">
        <v>470</v>
      </c>
      <c r="AJ116" s="36" t="s">
        <v>470</v>
      </c>
      <c r="AK116" s="663"/>
      <c r="AL116" s="29" t="s">
        <v>470</v>
      </c>
      <c r="AM116" s="29" t="s">
        <v>470</v>
      </c>
      <c r="AN116" s="29" t="s">
        <v>470</v>
      </c>
      <c r="AO116" s="29" t="s">
        <v>470</v>
      </c>
      <c r="AP116" s="663"/>
      <c r="AQ116" s="48" t="s">
        <v>479</v>
      </c>
      <c r="AR116" s="663"/>
      <c r="AS116" s="29"/>
      <c r="AT116" s="29" t="s">
        <v>470</v>
      </c>
      <c r="AU116" s="29" t="s">
        <v>479</v>
      </c>
      <c r="AV116" s="48" t="s">
        <v>470</v>
      </c>
      <c r="AW116" s="29" t="s">
        <v>479</v>
      </c>
      <c r="AX116" s="663"/>
      <c r="AY116" s="663"/>
      <c r="AZ116" s="29" t="s">
        <v>470</v>
      </c>
      <c r="BA116" s="29" t="s">
        <v>470</v>
      </c>
      <c r="BB116" s="29" t="s">
        <v>470</v>
      </c>
      <c r="BC116" s="29" t="s">
        <v>470</v>
      </c>
      <c r="BD116" s="29" t="s">
        <v>470</v>
      </c>
      <c r="BE116" s="29" t="s">
        <v>470</v>
      </c>
      <c r="BF116" s="29" t="s">
        <v>873</v>
      </c>
      <c r="BG116" s="29" t="s">
        <v>470</v>
      </c>
      <c r="BH116" s="29" t="s">
        <v>470</v>
      </c>
      <c r="BI116" s="29" t="s">
        <v>470</v>
      </c>
      <c r="BJ116" s="29" t="s">
        <v>470</v>
      </c>
      <c r="BK116" s="29" t="s">
        <v>470</v>
      </c>
      <c r="BL116" s="101" t="s">
        <v>470</v>
      </c>
      <c r="BM116" s="29" t="s">
        <v>470</v>
      </c>
      <c r="BN116" s="54"/>
      <c r="BO116" s="186" t="s">
        <v>470</v>
      </c>
      <c r="BP116" s="29" t="s">
        <v>470</v>
      </c>
      <c r="BQ116" s="29" t="s">
        <v>470</v>
      </c>
      <c r="BR116" s="29" t="s">
        <v>470</v>
      </c>
      <c r="BS116" s="29" t="s">
        <v>470</v>
      </c>
      <c r="BT116" s="54" t="s">
        <v>470</v>
      </c>
      <c r="BU116" s="29" t="s">
        <v>470</v>
      </c>
      <c r="BV116" s="29" t="s">
        <v>656</v>
      </c>
      <c r="BW116" s="36" t="s">
        <v>3007</v>
      </c>
      <c r="BX116" s="36" t="s">
        <v>470</v>
      </c>
      <c r="BY116" s="663"/>
      <c r="BZ116" s="663"/>
      <c r="CA116" s="29" t="s">
        <v>470</v>
      </c>
      <c r="CB116" s="50" t="s">
        <v>470</v>
      </c>
      <c r="CC116" s="29" t="s">
        <v>470</v>
      </c>
      <c r="CD116" s="29" t="s">
        <v>470</v>
      </c>
      <c r="CE116" s="29" t="s">
        <v>470</v>
      </c>
      <c r="CF116" s="36"/>
      <c r="CG116" s="161"/>
      <c r="CH116" s="29" t="s">
        <v>470</v>
      </c>
      <c r="CI116" s="29" t="s">
        <v>470</v>
      </c>
      <c r="CJ116" s="29" t="s">
        <v>470</v>
      </c>
      <c r="CK116" s="29" t="s">
        <v>470</v>
      </c>
      <c r="CL116" s="29" t="s">
        <v>470</v>
      </c>
      <c r="CM116" s="110" t="s">
        <v>539</v>
      </c>
      <c r="CN116" s="29" t="s">
        <v>470</v>
      </c>
      <c r="CO116" s="29" t="s">
        <v>470</v>
      </c>
      <c r="CP116" s="29" t="s">
        <v>470</v>
      </c>
      <c r="CQ116" s="36" t="s">
        <v>470</v>
      </c>
      <c r="CR116" s="127" t="s">
        <v>470</v>
      </c>
      <c r="CS116" s="36" t="s">
        <v>470</v>
      </c>
      <c r="CT116" s="29"/>
      <c r="CU116" s="29"/>
      <c r="CV116" s="663"/>
      <c r="CW116" s="54" t="s">
        <v>470</v>
      </c>
      <c r="CX116" s="664" t="s">
        <v>470</v>
      </c>
      <c r="CY116" s="29" t="s">
        <v>470</v>
      </c>
      <c r="CZ116" s="29" t="s">
        <v>470</v>
      </c>
      <c r="DA116" s="29" t="s">
        <v>1482</v>
      </c>
      <c r="DB116" s="29" t="s">
        <v>470</v>
      </c>
      <c r="DC116" s="29" t="s">
        <v>656</v>
      </c>
      <c r="DD116" s="29" t="s">
        <v>470</v>
      </c>
      <c r="DE116" s="29" t="s">
        <v>540</v>
      </c>
      <c r="DF116" s="29" t="s">
        <v>470</v>
      </c>
      <c r="DG116" s="127" t="s">
        <v>470</v>
      </c>
      <c r="DH116" s="29"/>
      <c r="DI116" s="127"/>
      <c r="DJ116" s="666"/>
      <c r="DK116" s="667" t="s">
        <v>470</v>
      </c>
      <c r="DL116" s="127" t="s">
        <v>470</v>
      </c>
      <c r="DM116" s="127" t="s">
        <v>540</v>
      </c>
      <c r="DN116" s="29" t="s">
        <v>470</v>
      </c>
      <c r="DO116" s="36" t="s">
        <v>470</v>
      </c>
      <c r="DP116" s="29" t="s">
        <v>2526</v>
      </c>
      <c r="DQ116" s="29" t="s">
        <v>470</v>
      </c>
      <c r="DR116" s="1203" t="s">
        <v>2566</v>
      </c>
      <c r="DS116" s="29" t="s">
        <v>470</v>
      </c>
      <c r="DT116" s="29" t="s">
        <v>470</v>
      </c>
      <c r="DU116" s="29" t="s">
        <v>470</v>
      </c>
      <c r="DV116" s="29" t="s">
        <v>470</v>
      </c>
      <c r="DW116" s="29" t="s">
        <v>539</v>
      </c>
      <c r="DX116" s="29" t="s">
        <v>539</v>
      </c>
      <c r="DY116" s="29"/>
      <c r="DZ116" s="29" t="s">
        <v>539</v>
      </c>
      <c r="EA116" s="29" t="s">
        <v>539</v>
      </c>
      <c r="EB116" s="29"/>
      <c r="EC116" s="29" t="s">
        <v>470</v>
      </c>
      <c r="ED116" s="36" t="s">
        <v>470</v>
      </c>
      <c r="EE116" s="29" t="s">
        <v>470</v>
      </c>
      <c r="EF116" s="29" t="s">
        <v>470</v>
      </c>
      <c r="EG116" s="663"/>
      <c r="EH116" s="186" t="s">
        <v>470</v>
      </c>
      <c r="EI116" s="186" t="s">
        <v>470</v>
      </c>
      <c r="EJ116" s="186" t="s">
        <v>470</v>
      </c>
      <c r="EK116" s="29" t="s">
        <v>470</v>
      </c>
      <c r="EL116" s="29" t="s">
        <v>470</v>
      </c>
      <c r="EM116" s="186" t="s">
        <v>470</v>
      </c>
      <c r="EN116" s="50" t="s">
        <v>470</v>
      </c>
      <c r="EO116" s="29" t="s">
        <v>470</v>
      </c>
      <c r="EP116" s="36" t="s">
        <v>539</v>
      </c>
      <c r="EQ116" s="36" t="s">
        <v>470</v>
      </c>
      <c r="ER116" s="29" t="s">
        <v>479</v>
      </c>
      <c r="ES116" s="663"/>
      <c r="ET116" s="29" t="s">
        <v>470</v>
      </c>
      <c r="EU116" s="169" t="s">
        <v>470</v>
      </c>
      <c r="EV116" s="662" t="s">
        <v>540</v>
      </c>
      <c r="EW116" s="29" t="s">
        <v>470</v>
      </c>
      <c r="EX116" s="29" t="s">
        <v>479</v>
      </c>
      <c r="EY116" s="29" t="s">
        <v>470</v>
      </c>
      <c r="EZ116" s="663"/>
      <c r="FA116" s="29" t="s">
        <v>479</v>
      </c>
    </row>
    <row r="117" spans="1:157" ht="404" x14ac:dyDescent="0.2">
      <c r="A117" s="1205"/>
      <c r="B117" s="1206"/>
      <c r="C117" s="1208"/>
      <c r="D117" s="1204"/>
      <c r="E117" s="185" t="s">
        <v>205</v>
      </c>
      <c r="F117" s="29" t="s">
        <v>470</v>
      </c>
      <c r="G117" s="29" t="s">
        <v>656</v>
      </c>
      <c r="H117" s="662"/>
      <c r="I117" s="29" t="s">
        <v>656</v>
      </c>
      <c r="J117" s="29" t="s">
        <v>656</v>
      </c>
      <c r="K117" s="29" t="s">
        <v>656</v>
      </c>
      <c r="L117" s="29"/>
      <c r="M117" s="29"/>
      <c r="N117" s="50" t="s">
        <v>656</v>
      </c>
      <c r="O117" s="54" t="s">
        <v>1482</v>
      </c>
      <c r="P117" s="29" t="s">
        <v>656</v>
      </c>
      <c r="Q117" s="54" t="s">
        <v>656</v>
      </c>
      <c r="R117" s="29" t="s">
        <v>656</v>
      </c>
      <c r="S117" s="29" t="s">
        <v>656</v>
      </c>
      <c r="T117" s="29" t="s">
        <v>1903</v>
      </c>
      <c r="U117" s="29" t="s">
        <v>1930</v>
      </c>
      <c r="V117" s="29" t="s">
        <v>1924</v>
      </c>
      <c r="W117" s="29"/>
      <c r="X117" s="29"/>
      <c r="Y117" s="29"/>
      <c r="Z117" s="29"/>
      <c r="AA117" s="29"/>
      <c r="AB117" s="29"/>
      <c r="AC117" s="29"/>
      <c r="AD117" s="29" t="s">
        <v>656</v>
      </c>
      <c r="AE117" s="662" t="s">
        <v>656</v>
      </c>
      <c r="AF117" s="29"/>
      <c r="AG117" s="29"/>
      <c r="AH117" s="48" t="s">
        <v>470</v>
      </c>
      <c r="AI117" s="29"/>
      <c r="AJ117" s="36" t="s">
        <v>470</v>
      </c>
      <c r="AK117" s="663"/>
      <c r="AL117" s="29"/>
      <c r="AM117" s="29"/>
      <c r="AN117" s="29" t="s">
        <v>656</v>
      </c>
      <c r="AO117" s="29"/>
      <c r="AP117" s="663"/>
      <c r="AQ117" s="29"/>
      <c r="AR117" s="663"/>
      <c r="AS117" s="29"/>
      <c r="AT117" s="29"/>
      <c r="AU117" s="29"/>
      <c r="AV117" s="48"/>
      <c r="AW117" s="36" t="s">
        <v>2066</v>
      </c>
      <c r="AX117" s="663"/>
      <c r="AY117" s="663"/>
      <c r="AZ117" s="29" t="s">
        <v>656</v>
      </c>
      <c r="BA117" s="29" t="s">
        <v>656</v>
      </c>
      <c r="BB117" s="29" t="s">
        <v>656</v>
      </c>
      <c r="BC117" s="29" t="s">
        <v>470</v>
      </c>
      <c r="BD117" s="29"/>
      <c r="BE117" s="29"/>
      <c r="BF117" s="29"/>
      <c r="BG117" s="29"/>
      <c r="BH117" s="29" t="s">
        <v>656</v>
      </c>
      <c r="BI117" s="29" t="s">
        <v>656</v>
      </c>
      <c r="BJ117" s="29" t="s">
        <v>656</v>
      </c>
      <c r="BK117" s="29"/>
      <c r="BL117" s="29"/>
      <c r="BM117" s="29" t="s">
        <v>656</v>
      </c>
      <c r="BN117" s="32"/>
      <c r="BO117" s="186"/>
      <c r="BP117" s="29" t="s">
        <v>470</v>
      </c>
      <c r="BQ117" s="29"/>
      <c r="BR117" s="29" t="s">
        <v>656</v>
      </c>
      <c r="BS117" s="29" t="s">
        <v>656</v>
      </c>
      <c r="BT117" s="54" t="s">
        <v>656</v>
      </c>
      <c r="BU117" s="29"/>
      <c r="BV117" s="29" t="s">
        <v>656</v>
      </c>
      <c r="BW117" s="36" t="s">
        <v>3007</v>
      </c>
      <c r="BX117" s="36" t="s">
        <v>470</v>
      </c>
      <c r="BY117" s="663"/>
      <c r="BZ117" s="663"/>
      <c r="CA117" s="29"/>
      <c r="CB117" s="50" t="s">
        <v>470</v>
      </c>
      <c r="CC117" s="29" t="s">
        <v>470</v>
      </c>
      <c r="CD117" s="29"/>
      <c r="CE117" s="29" t="s">
        <v>656</v>
      </c>
      <c r="CF117" s="29" t="s">
        <v>470</v>
      </c>
      <c r="CG117" s="662" t="s">
        <v>470</v>
      </c>
      <c r="CH117" s="29" t="s">
        <v>656</v>
      </c>
      <c r="CI117" s="29" t="s">
        <v>656</v>
      </c>
      <c r="CJ117" s="29" t="s">
        <v>656</v>
      </c>
      <c r="CK117" s="29" t="s">
        <v>656</v>
      </c>
      <c r="CL117" s="29" t="s">
        <v>656</v>
      </c>
      <c r="CM117" s="110" t="s">
        <v>539</v>
      </c>
      <c r="CN117" s="29" t="s">
        <v>470</v>
      </c>
      <c r="CO117" s="29" t="s">
        <v>470</v>
      </c>
      <c r="CP117" s="29" t="s">
        <v>470</v>
      </c>
      <c r="CQ117" s="36" t="s">
        <v>470</v>
      </c>
      <c r="CR117" s="127"/>
      <c r="CS117" s="29"/>
      <c r="CT117" s="36"/>
      <c r="CU117" s="29"/>
      <c r="CV117" s="663"/>
      <c r="CW117" s="54" t="s">
        <v>656</v>
      </c>
      <c r="CX117" s="734" t="s">
        <v>656</v>
      </c>
      <c r="CY117" s="29" t="s">
        <v>1447</v>
      </c>
      <c r="CZ117" s="29" t="s">
        <v>1447</v>
      </c>
      <c r="DA117" s="29" t="s">
        <v>1482</v>
      </c>
      <c r="DB117" s="29" t="s">
        <v>1924</v>
      </c>
      <c r="DC117" s="29" t="s">
        <v>656</v>
      </c>
      <c r="DD117" s="29" t="s">
        <v>470</v>
      </c>
      <c r="DE117" s="29" t="s">
        <v>2628</v>
      </c>
      <c r="DF117" s="29"/>
      <c r="DG117" s="127"/>
      <c r="DH117" s="29"/>
      <c r="DI117" s="127"/>
      <c r="DJ117" s="666"/>
      <c r="DK117" s="667"/>
      <c r="DL117" s="127"/>
      <c r="DM117" s="127" t="s">
        <v>591</v>
      </c>
      <c r="DN117" s="29" t="s">
        <v>656</v>
      </c>
      <c r="DO117" s="36" t="s">
        <v>656</v>
      </c>
      <c r="DP117" s="29" t="s">
        <v>2527</v>
      </c>
      <c r="DQ117" s="29"/>
      <c r="DR117" s="1203"/>
      <c r="DS117" s="29" t="s">
        <v>656</v>
      </c>
      <c r="DT117" s="29"/>
      <c r="DU117" s="29"/>
      <c r="DV117" s="29" t="s">
        <v>656</v>
      </c>
      <c r="DW117" s="29"/>
      <c r="DX117" s="29"/>
      <c r="DY117" s="29"/>
      <c r="DZ117" s="29"/>
      <c r="EA117" s="29"/>
      <c r="EB117" s="29"/>
      <c r="EC117" s="29" t="s">
        <v>1447</v>
      </c>
      <c r="ED117" s="29"/>
      <c r="EE117" s="29"/>
      <c r="EF117" s="29" t="s">
        <v>470</v>
      </c>
      <c r="EG117" s="663"/>
      <c r="EH117" s="186" t="s">
        <v>656</v>
      </c>
      <c r="EI117" s="186" t="s">
        <v>656</v>
      </c>
      <c r="EJ117" s="186" t="s">
        <v>656</v>
      </c>
      <c r="EK117" s="29"/>
      <c r="EL117" s="29"/>
      <c r="EM117" s="186"/>
      <c r="EN117" s="50" t="s">
        <v>2234</v>
      </c>
      <c r="EO117" s="29"/>
      <c r="EP117" s="36" t="s">
        <v>656</v>
      </c>
      <c r="EQ117" s="36" t="s">
        <v>470</v>
      </c>
      <c r="ER117" s="29" t="s">
        <v>3686</v>
      </c>
      <c r="ES117" s="663"/>
      <c r="ET117" s="29" t="s">
        <v>470</v>
      </c>
      <c r="EU117" s="169" t="s">
        <v>470</v>
      </c>
      <c r="EV117" s="662" t="s">
        <v>1592</v>
      </c>
      <c r="EW117" s="29"/>
      <c r="EX117" s="29"/>
      <c r="EY117" s="29" t="s">
        <v>656</v>
      </c>
      <c r="EZ117" s="663"/>
      <c r="FA117" s="29" t="s">
        <v>1629</v>
      </c>
    </row>
    <row r="118" spans="1:157" ht="51" x14ac:dyDescent="0.2">
      <c r="A118" s="1205"/>
      <c r="B118" s="1206"/>
      <c r="C118" s="1208"/>
      <c r="D118" s="1204"/>
      <c r="E118" s="185" t="s">
        <v>209</v>
      </c>
      <c r="F118" s="36" t="s">
        <v>470</v>
      </c>
      <c r="G118" s="36" t="s">
        <v>656</v>
      </c>
      <c r="H118" s="161"/>
      <c r="I118" s="36" t="s">
        <v>656</v>
      </c>
      <c r="J118" s="36" t="s">
        <v>656</v>
      </c>
      <c r="K118" s="36" t="s">
        <v>656</v>
      </c>
      <c r="L118" s="36"/>
      <c r="M118" s="36"/>
      <c r="N118" s="50" t="s">
        <v>656</v>
      </c>
      <c r="O118" s="54" t="s">
        <v>1482</v>
      </c>
      <c r="P118" s="36" t="s">
        <v>656</v>
      </c>
      <c r="Q118" s="54" t="s">
        <v>656</v>
      </c>
      <c r="R118" s="36" t="s">
        <v>656</v>
      </c>
      <c r="S118" s="36" t="s">
        <v>656</v>
      </c>
      <c r="T118" s="36">
        <v>5725</v>
      </c>
      <c r="U118" s="36">
        <v>0</v>
      </c>
      <c r="V118" s="36">
        <v>0</v>
      </c>
      <c r="W118" s="36"/>
      <c r="X118" s="36"/>
      <c r="Y118" s="36"/>
      <c r="Z118" s="36"/>
      <c r="AA118" s="36"/>
      <c r="AB118" s="36"/>
      <c r="AC118" s="36"/>
      <c r="AD118" s="36" t="s">
        <v>656</v>
      </c>
      <c r="AE118" s="161" t="s">
        <v>656</v>
      </c>
      <c r="AF118" s="36"/>
      <c r="AG118" s="36"/>
      <c r="AH118" s="50" t="s">
        <v>470</v>
      </c>
      <c r="AI118" s="36"/>
      <c r="AJ118" s="36" t="s">
        <v>470</v>
      </c>
      <c r="AK118" s="663"/>
      <c r="AL118" s="36"/>
      <c r="AM118" s="36"/>
      <c r="AN118" s="36" t="s">
        <v>656</v>
      </c>
      <c r="AO118" s="36"/>
      <c r="AP118" s="663"/>
      <c r="AQ118" s="48">
        <v>3718</v>
      </c>
      <c r="AR118" s="663"/>
      <c r="AS118" s="36"/>
      <c r="AT118" s="36"/>
      <c r="AU118" s="36">
        <v>63</v>
      </c>
      <c r="AV118" s="36"/>
      <c r="AW118" s="107"/>
      <c r="AX118" s="663"/>
      <c r="AY118" s="663"/>
      <c r="AZ118" s="36" t="s">
        <v>656</v>
      </c>
      <c r="BA118" s="36" t="s">
        <v>656</v>
      </c>
      <c r="BB118" s="36" t="s">
        <v>656</v>
      </c>
      <c r="BC118" s="36" t="s">
        <v>470</v>
      </c>
      <c r="BD118" s="36"/>
      <c r="BE118" s="36"/>
      <c r="BF118" s="36"/>
      <c r="BG118" s="36"/>
      <c r="BH118" s="36" t="s">
        <v>656</v>
      </c>
      <c r="BI118" s="36" t="s">
        <v>656</v>
      </c>
      <c r="BJ118" s="36" t="s">
        <v>656</v>
      </c>
      <c r="BK118" s="36"/>
      <c r="BL118" s="36"/>
      <c r="BM118" s="36" t="s">
        <v>656</v>
      </c>
      <c r="BN118" s="55"/>
      <c r="BO118" s="733"/>
      <c r="BP118" s="36" t="s">
        <v>470</v>
      </c>
      <c r="BQ118" s="36"/>
      <c r="BR118" s="36" t="s">
        <v>656</v>
      </c>
      <c r="BS118" s="36" t="s">
        <v>656</v>
      </c>
      <c r="BT118" s="55" t="s">
        <v>656</v>
      </c>
      <c r="BU118" s="36"/>
      <c r="BV118" s="36" t="s">
        <v>656</v>
      </c>
      <c r="BW118" s="36" t="s">
        <v>3007</v>
      </c>
      <c r="BX118" s="36" t="s">
        <v>470</v>
      </c>
      <c r="BY118" s="663"/>
      <c r="BZ118" s="663"/>
      <c r="CA118" s="36"/>
      <c r="CB118" s="50">
        <v>0</v>
      </c>
      <c r="CC118" s="36" t="s">
        <v>470</v>
      </c>
      <c r="CD118" s="36"/>
      <c r="CE118" s="36">
        <v>0</v>
      </c>
      <c r="CF118" s="29"/>
      <c r="CG118" s="662"/>
      <c r="CH118" s="36" t="s">
        <v>656</v>
      </c>
      <c r="CI118" s="36" t="s">
        <v>656</v>
      </c>
      <c r="CJ118" s="36" t="s">
        <v>656</v>
      </c>
      <c r="CK118" s="36">
        <v>0</v>
      </c>
      <c r="CL118" s="36">
        <v>0</v>
      </c>
      <c r="CM118" s="115" t="s">
        <v>539</v>
      </c>
      <c r="CN118" s="29" t="s">
        <v>470</v>
      </c>
      <c r="CO118" s="29" t="s">
        <v>470</v>
      </c>
      <c r="CP118" s="29" t="s">
        <v>470</v>
      </c>
      <c r="CQ118" s="36" t="s">
        <v>470</v>
      </c>
      <c r="CR118" s="132"/>
      <c r="CS118" s="36"/>
      <c r="CT118" s="29" t="s">
        <v>479</v>
      </c>
      <c r="CU118" s="36"/>
      <c r="CV118" s="663"/>
      <c r="CW118" s="55" t="s">
        <v>656</v>
      </c>
      <c r="CX118" s="734" t="s">
        <v>656</v>
      </c>
      <c r="CY118" s="36" t="s">
        <v>1447</v>
      </c>
      <c r="CZ118" s="36" t="s">
        <v>1447</v>
      </c>
      <c r="DA118" s="29" t="s">
        <v>1482</v>
      </c>
      <c r="DB118" s="36">
        <v>0</v>
      </c>
      <c r="DC118" s="36" t="s">
        <v>656</v>
      </c>
      <c r="DD118" s="36" t="s">
        <v>470</v>
      </c>
      <c r="DE118" s="36" t="s">
        <v>2629</v>
      </c>
      <c r="DF118" s="36"/>
      <c r="DG118" s="132"/>
      <c r="DH118" s="36"/>
      <c r="DI118" s="132"/>
      <c r="DJ118" s="736"/>
      <c r="DK118" s="737"/>
      <c r="DL118" s="132"/>
      <c r="DM118" s="132" t="s">
        <v>592</v>
      </c>
      <c r="DN118" s="36" t="s">
        <v>656</v>
      </c>
      <c r="DO118" s="36" t="s">
        <v>656</v>
      </c>
      <c r="DP118" s="36">
        <v>9</v>
      </c>
      <c r="DQ118" s="36"/>
      <c r="DR118" s="1203"/>
      <c r="DS118" s="36" t="s">
        <v>656</v>
      </c>
      <c r="DT118" s="36"/>
      <c r="DU118" s="36"/>
      <c r="DV118" s="36" t="s">
        <v>656</v>
      </c>
      <c r="DW118" s="36"/>
      <c r="DX118" s="36"/>
      <c r="DY118" s="36"/>
      <c r="DZ118" s="36"/>
      <c r="EA118" s="36"/>
      <c r="EB118" s="36"/>
      <c r="EC118" s="36" t="s">
        <v>1447</v>
      </c>
      <c r="ED118" s="36"/>
      <c r="EE118" s="36"/>
      <c r="EF118" s="36" t="s">
        <v>470</v>
      </c>
      <c r="EG118" s="663"/>
      <c r="EH118" s="733" t="s">
        <v>656</v>
      </c>
      <c r="EI118" s="733" t="s">
        <v>656</v>
      </c>
      <c r="EJ118" s="733" t="s">
        <v>656</v>
      </c>
      <c r="EK118" s="36"/>
      <c r="EL118" s="36"/>
      <c r="EM118" s="733"/>
      <c r="EN118" s="50" t="s">
        <v>2234</v>
      </c>
      <c r="EO118" s="36"/>
      <c r="EP118" s="36" t="s">
        <v>656</v>
      </c>
      <c r="EQ118" s="36" t="s">
        <v>470</v>
      </c>
      <c r="ER118" s="36">
        <v>78872</v>
      </c>
      <c r="ES118" s="663"/>
      <c r="ET118" s="36">
        <v>0</v>
      </c>
      <c r="EU118" s="169">
        <v>0</v>
      </c>
      <c r="EV118" s="161">
        <v>47</v>
      </c>
      <c r="EW118" s="36"/>
      <c r="EX118" s="36">
        <f>FU117</f>
        <v>0</v>
      </c>
      <c r="EY118" s="36" t="s">
        <v>656</v>
      </c>
      <c r="EZ118" s="663"/>
      <c r="FA118" s="36">
        <v>10702</v>
      </c>
    </row>
    <row r="119" spans="1:157" ht="409.6" x14ac:dyDescent="0.2">
      <c r="A119" s="1205"/>
      <c r="B119" s="1206"/>
      <c r="C119" s="1208" t="s">
        <v>220</v>
      </c>
      <c r="D119" s="1215" t="s">
        <v>221</v>
      </c>
      <c r="E119" s="185" t="s">
        <v>222</v>
      </c>
      <c r="F119" s="29" t="s">
        <v>470</v>
      </c>
      <c r="G119" s="29" t="s">
        <v>656</v>
      </c>
      <c r="H119" s="662" t="s">
        <v>470</v>
      </c>
      <c r="I119" s="29" t="s">
        <v>470</v>
      </c>
      <c r="J119" s="29"/>
      <c r="K119" s="29" t="s">
        <v>3204</v>
      </c>
      <c r="L119" s="29"/>
      <c r="M119" s="29" t="s">
        <v>470</v>
      </c>
      <c r="N119" s="50" t="s">
        <v>656</v>
      </c>
      <c r="O119" s="54" t="s">
        <v>539</v>
      </c>
      <c r="P119" s="29" t="s">
        <v>3227</v>
      </c>
      <c r="Q119" s="36" t="s">
        <v>539</v>
      </c>
      <c r="R119" s="29" t="s">
        <v>3227</v>
      </c>
      <c r="S119" s="29" t="s">
        <v>1092</v>
      </c>
      <c r="T119" s="29" t="s">
        <v>470</v>
      </c>
      <c r="U119" s="29" t="s">
        <v>1930</v>
      </c>
      <c r="V119" s="29" t="s">
        <v>1924</v>
      </c>
      <c r="W119" s="29" t="s">
        <v>539</v>
      </c>
      <c r="X119" s="29" t="s">
        <v>3627</v>
      </c>
      <c r="Y119" s="29"/>
      <c r="Z119" s="29" t="s">
        <v>879</v>
      </c>
      <c r="AA119" s="29"/>
      <c r="AB119" s="29"/>
      <c r="AC119" s="29"/>
      <c r="AD119" s="29" t="s">
        <v>539</v>
      </c>
      <c r="AE119" s="662" t="s">
        <v>470</v>
      </c>
      <c r="AF119" s="29" t="s">
        <v>470</v>
      </c>
      <c r="AG119" s="29" t="s">
        <v>829</v>
      </c>
      <c r="AH119" s="48" t="s">
        <v>918</v>
      </c>
      <c r="AI119" s="29"/>
      <c r="AJ119" s="36" t="s">
        <v>470</v>
      </c>
      <c r="AK119" s="663"/>
      <c r="AL119" s="29" t="s">
        <v>470</v>
      </c>
      <c r="AM119" s="29" t="s">
        <v>470</v>
      </c>
      <c r="AN119" s="29" t="s">
        <v>470</v>
      </c>
      <c r="AO119" s="29" t="s">
        <v>470</v>
      </c>
      <c r="AP119" s="663"/>
      <c r="AQ119" s="29"/>
      <c r="AR119" s="663"/>
      <c r="AS119" s="29"/>
      <c r="AT119" s="29" t="s">
        <v>1990</v>
      </c>
      <c r="AU119" s="29" t="s">
        <v>479</v>
      </c>
      <c r="AV119" s="29"/>
      <c r="AW119" s="29" t="s">
        <v>470</v>
      </c>
      <c r="AX119" s="663"/>
      <c r="AY119" s="663"/>
      <c r="AZ119" s="29" t="s">
        <v>470</v>
      </c>
      <c r="BA119" s="29" t="s">
        <v>470</v>
      </c>
      <c r="BB119" s="29" t="s">
        <v>470</v>
      </c>
      <c r="BC119" s="29" t="s">
        <v>470</v>
      </c>
      <c r="BD119" s="29" t="s">
        <v>470</v>
      </c>
      <c r="BE119" s="29"/>
      <c r="BF119" s="29" t="s">
        <v>873</v>
      </c>
      <c r="BG119" s="29" t="s">
        <v>470</v>
      </c>
      <c r="BH119" s="29" t="s">
        <v>470</v>
      </c>
      <c r="BI119" s="29" t="s">
        <v>470</v>
      </c>
      <c r="BJ119" s="29" t="s">
        <v>479</v>
      </c>
      <c r="BK119" s="29" t="s">
        <v>470</v>
      </c>
      <c r="BL119" s="29" t="s">
        <v>479</v>
      </c>
      <c r="BM119" s="29" t="s">
        <v>470</v>
      </c>
      <c r="BN119" s="54"/>
      <c r="BO119" s="186" t="s">
        <v>470</v>
      </c>
      <c r="BP119" s="29" t="s">
        <v>470</v>
      </c>
      <c r="BQ119" s="29" t="s">
        <v>470</v>
      </c>
      <c r="BR119" s="29" t="s">
        <v>470</v>
      </c>
      <c r="BS119" s="29" t="s">
        <v>470</v>
      </c>
      <c r="BT119" s="54" t="s">
        <v>470</v>
      </c>
      <c r="BU119" s="29" t="s">
        <v>470</v>
      </c>
      <c r="BV119" s="29" t="s">
        <v>656</v>
      </c>
      <c r="BW119" s="29" t="s">
        <v>479</v>
      </c>
      <c r="BX119" s="36" t="s">
        <v>470</v>
      </c>
      <c r="BY119" s="663"/>
      <c r="BZ119" s="663"/>
      <c r="CA119" s="29" t="s">
        <v>470</v>
      </c>
      <c r="CB119" s="50" t="s">
        <v>470</v>
      </c>
      <c r="CC119" s="29" t="s">
        <v>470</v>
      </c>
      <c r="CD119" s="29" t="s">
        <v>470</v>
      </c>
      <c r="CE119" s="29" t="s">
        <v>1216</v>
      </c>
      <c r="CF119" s="36"/>
      <c r="CG119" s="161"/>
      <c r="CH119" s="29" t="s">
        <v>470</v>
      </c>
      <c r="CI119" s="29" t="s">
        <v>470</v>
      </c>
      <c r="CJ119" s="29" t="s">
        <v>470</v>
      </c>
      <c r="CK119" s="29" t="s">
        <v>470</v>
      </c>
      <c r="CL119" s="29" t="s">
        <v>470</v>
      </c>
      <c r="CM119" s="110" t="s">
        <v>539</v>
      </c>
      <c r="CN119" s="29" t="s">
        <v>470</v>
      </c>
      <c r="CO119" s="29" t="s">
        <v>479</v>
      </c>
      <c r="CP119" s="29" t="s">
        <v>470</v>
      </c>
      <c r="CQ119" s="36" t="s">
        <v>470</v>
      </c>
      <c r="CR119" s="127" t="s">
        <v>470</v>
      </c>
      <c r="CS119" s="29" t="s">
        <v>470</v>
      </c>
      <c r="CT119" s="32" t="s">
        <v>3132</v>
      </c>
      <c r="CU119" s="29"/>
      <c r="CV119" s="663"/>
      <c r="CW119" s="54" t="s">
        <v>479</v>
      </c>
      <c r="CX119" s="664" t="s">
        <v>470</v>
      </c>
      <c r="CY119" s="29" t="s">
        <v>470</v>
      </c>
      <c r="CZ119" s="29" t="s">
        <v>470</v>
      </c>
      <c r="DA119" s="29" t="s">
        <v>1482</v>
      </c>
      <c r="DB119" s="29" t="s">
        <v>470</v>
      </c>
      <c r="DC119" s="29" t="s">
        <v>656</v>
      </c>
      <c r="DD119" s="29" t="s">
        <v>470</v>
      </c>
      <c r="DE119" s="29" t="s">
        <v>2630</v>
      </c>
      <c r="DF119" s="29"/>
      <c r="DG119" s="127" t="s">
        <v>470</v>
      </c>
      <c r="DH119" s="665" t="s">
        <v>2756</v>
      </c>
      <c r="DI119" s="127" t="s">
        <v>2728</v>
      </c>
      <c r="DJ119" s="666"/>
      <c r="DK119" s="667"/>
      <c r="DL119" s="127"/>
      <c r="DM119" s="127" t="s">
        <v>540</v>
      </c>
      <c r="DN119" s="29" t="s">
        <v>470</v>
      </c>
      <c r="DO119" s="36" t="s">
        <v>470</v>
      </c>
      <c r="DP119" s="29" t="s">
        <v>2528</v>
      </c>
      <c r="DQ119" s="29" t="s">
        <v>470</v>
      </c>
      <c r="DR119" s="29" t="s">
        <v>2567</v>
      </c>
      <c r="DS119" s="29" t="s">
        <v>656</v>
      </c>
      <c r="DT119" s="29"/>
      <c r="DU119" s="29" t="s">
        <v>470</v>
      </c>
      <c r="DV119" s="29" t="s">
        <v>470</v>
      </c>
      <c r="DW119" s="29"/>
      <c r="DX119" s="29" t="s">
        <v>539</v>
      </c>
      <c r="DY119" s="29"/>
      <c r="DZ119" s="29"/>
      <c r="EA119" s="29"/>
      <c r="EB119" s="29"/>
      <c r="EC119" s="29" t="s">
        <v>1447</v>
      </c>
      <c r="ED119" s="36" t="s">
        <v>470</v>
      </c>
      <c r="EE119" s="29" t="s">
        <v>470</v>
      </c>
      <c r="EF119" s="29" t="s">
        <v>470</v>
      </c>
      <c r="EG119" s="663"/>
      <c r="EH119" s="186" t="s">
        <v>470</v>
      </c>
      <c r="EI119" s="186" t="s">
        <v>470</v>
      </c>
      <c r="EJ119" s="186" t="s">
        <v>656</v>
      </c>
      <c r="EK119" s="29" t="s">
        <v>470</v>
      </c>
      <c r="EL119" s="29" t="s">
        <v>2331</v>
      </c>
      <c r="EM119" s="186"/>
      <c r="EN119" s="50" t="s">
        <v>470</v>
      </c>
      <c r="EO119" s="29" t="s">
        <v>470</v>
      </c>
      <c r="EP119" s="36" t="s">
        <v>539</v>
      </c>
      <c r="EQ119" s="36" t="s">
        <v>470</v>
      </c>
      <c r="ER119" s="29"/>
      <c r="ES119" s="663"/>
      <c r="ET119" s="29" t="s">
        <v>3350</v>
      </c>
      <c r="EU119" s="169" t="s">
        <v>470</v>
      </c>
      <c r="EV119" s="662" t="s">
        <v>1593</v>
      </c>
      <c r="EW119" s="29"/>
      <c r="EX119" s="29" t="s">
        <v>470</v>
      </c>
      <c r="EY119" s="29" t="s">
        <v>470</v>
      </c>
      <c r="EZ119" s="663"/>
      <c r="FA119" s="29"/>
    </row>
    <row r="120" spans="1:157" ht="409.6" x14ac:dyDescent="0.2">
      <c r="A120" s="1205"/>
      <c r="B120" s="1206"/>
      <c r="C120" s="1208"/>
      <c r="D120" s="1215"/>
      <c r="E120" s="185" t="s">
        <v>205</v>
      </c>
      <c r="F120" s="29" t="s">
        <v>470</v>
      </c>
      <c r="G120" s="29" t="s">
        <v>656</v>
      </c>
      <c r="H120" s="662"/>
      <c r="I120" s="29" t="s">
        <v>656</v>
      </c>
      <c r="J120" s="29"/>
      <c r="K120" s="29"/>
      <c r="L120" s="29"/>
      <c r="M120" s="29"/>
      <c r="N120" s="50" t="s">
        <v>656</v>
      </c>
      <c r="O120" s="54" t="s">
        <v>1482</v>
      </c>
      <c r="P120" s="29" t="s">
        <v>3228</v>
      </c>
      <c r="Q120" s="54" t="s">
        <v>656</v>
      </c>
      <c r="R120" s="29" t="s">
        <v>3234</v>
      </c>
      <c r="S120" s="29" t="s">
        <v>656</v>
      </c>
      <c r="T120" s="29" t="s">
        <v>656</v>
      </c>
      <c r="U120" s="29" t="s">
        <v>1930</v>
      </c>
      <c r="V120" s="29" t="s">
        <v>1924</v>
      </c>
      <c r="W120" s="29"/>
      <c r="X120" s="29" t="s">
        <v>3628</v>
      </c>
      <c r="Y120" s="29"/>
      <c r="Z120" s="29" t="s">
        <v>880</v>
      </c>
      <c r="AA120" s="29"/>
      <c r="AB120" s="29"/>
      <c r="AC120" s="29"/>
      <c r="AD120" s="29" t="s">
        <v>656</v>
      </c>
      <c r="AE120" s="662" t="s">
        <v>656</v>
      </c>
      <c r="AF120" s="29"/>
      <c r="AG120" s="29" t="s">
        <v>830</v>
      </c>
      <c r="AH120" s="48" t="s">
        <v>919</v>
      </c>
      <c r="AI120" s="29"/>
      <c r="AJ120" s="36" t="s">
        <v>470</v>
      </c>
      <c r="AK120" s="663"/>
      <c r="AL120" s="29"/>
      <c r="AM120" s="29"/>
      <c r="AN120" s="29" t="s">
        <v>656</v>
      </c>
      <c r="AO120" s="29"/>
      <c r="AP120" s="663"/>
      <c r="AQ120" s="29"/>
      <c r="AR120" s="663"/>
      <c r="AS120" s="29"/>
      <c r="AT120" s="29" t="s">
        <v>1988</v>
      </c>
      <c r="AU120" s="29" t="s">
        <v>2007</v>
      </c>
      <c r="AV120" s="29"/>
      <c r="AW120" s="60"/>
      <c r="AX120" s="663"/>
      <c r="AY120" s="663"/>
      <c r="AZ120" s="29" t="s">
        <v>656</v>
      </c>
      <c r="BA120" s="29" t="s">
        <v>656</v>
      </c>
      <c r="BB120" s="29" t="s">
        <v>656</v>
      </c>
      <c r="BC120" s="29" t="s">
        <v>470</v>
      </c>
      <c r="BD120" s="29"/>
      <c r="BE120" s="29"/>
      <c r="BF120" s="29"/>
      <c r="BG120" s="29"/>
      <c r="BH120" s="29" t="s">
        <v>656</v>
      </c>
      <c r="BI120" s="29" t="s">
        <v>656</v>
      </c>
      <c r="BJ120" s="29" t="s">
        <v>1112</v>
      </c>
      <c r="BK120" s="29"/>
      <c r="BL120" s="29" t="s">
        <v>2112</v>
      </c>
      <c r="BM120" s="29" t="s">
        <v>656</v>
      </c>
      <c r="BN120" s="32"/>
      <c r="BO120" s="186"/>
      <c r="BP120" s="29" t="s">
        <v>470</v>
      </c>
      <c r="BQ120" s="29"/>
      <c r="BR120" s="29" t="s">
        <v>656</v>
      </c>
      <c r="BS120" s="29" t="s">
        <v>656</v>
      </c>
      <c r="BT120" s="54"/>
      <c r="BU120" s="29"/>
      <c r="BV120" s="29" t="s">
        <v>656</v>
      </c>
      <c r="BW120" s="29" t="s">
        <v>3008</v>
      </c>
      <c r="BX120" s="36" t="s">
        <v>470</v>
      </c>
      <c r="BY120" s="663"/>
      <c r="BZ120" s="663"/>
      <c r="CA120" s="29"/>
      <c r="CB120" s="50" t="s">
        <v>470</v>
      </c>
      <c r="CC120" s="29" t="s">
        <v>470</v>
      </c>
      <c r="CD120" s="29"/>
      <c r="CE120" s="29" t="s">
        <v>1217</v>
      </c>
      <c r="CF120" s="29" t="s">
        <v>479</v>
      </c>
      <c r="CG120" s="662" t="s">
        <v>479</v>
      </c>
      <c r="CH120" s="29" t="s">
        <v>656</v>
      </c>
      <c r="CI120" s="29" t="s">
        <v>656</v>
      </c>
      <c r="CJ120" s="29" t="s">
        <v>656</v>
      </c>
      <c r="CK120" s="29" t="s">
        <v>656</v>
      </c>
      <c r="CL120" s="29" t="s">
        <v>656</v>
      </c>
      <c r="CM120" s="110" t="s">
        <v>539</v>
      </c>
      <c r="CN120" s="29" t="s">
        <v>470</v>
      </c>
      <c r="CO120" s="29" t="s">
        <v>3397</v>
      </c>
      <c r="CP120" s="29" t="s">
        <v>470</v>
      </c>
      <c r="CQ120" s="36" t="s">
        <v>470</v>
      </c>
      <c r="CR120" s="127"/>
      <c r="CS120" s="29"/>
      <c r="CT120" s="36">
        <v>56896</v>
      </c>
      <c r="CU120" s="29"/>
      <c r="CV120" s="663"/>
      <c r="CW120" s="54" t="s">
        <v>3073</v>
      </c>
      <c r="CX120" s="734" t="s">
        <v>656</v>
      </c>
      <c r="CY120" s="29" t="s">
        <v>1447</v>
      </c>
      <c r="CZ120" s="29" t="s">
        <v>1447</v>
      </c>
      <c r="DA120" s="29" t="s">
        <v>1482</v>
      </c>
      <c r="DB120" s="29" t="s">
        <v>1924</v>
      </c>
      <c r="DC120" s="29" t="s">
        <v>656</v>
      </c>
      <c r="DD120" s="29" t="s">
        <v>470</v>
      </c>
      <c r="DE120" s="29" t="s">
        <v>2631</v>
      </c>
      <c r="DF120" s="29"/>
      <c r="DG120" s="127"/>
      <c r="DH120" s="684" t="s">
        <v>2757</v>
      </c>
      <c r="DI120" s="766"/>
      <c r="DJ120" s="666"/>
      <c r="DK120" s="667"/>
      <c r="DL120" s="127"/>
      <c r="DM120" s="127" t="s">
        <v>591</v>
      </c>
      <c r="DN120" s="29" t="s">
        <v>656</v>
      </c>
      <c r="DO120" s="36" t="s">
        <v>656</v>
      </c>
      <c r="DP120" s="29" t="s">
        <v>2529</v>
      </c>
      <c r="DQ120" s="29"/>
      <c r="DR120" s="29" t="s">
        <v>2562</v>
      </c>
      <c r="DS120" s="29" t="s">
        <v>656</v>
      </c>
      <c r="DT120" s="29"/>
      <c r="DU120" s="29"/>
      <c r="DV120" s="29" t="s">
        <v>656</v>
      </c>
      <c r="DW120" s="29"/>
      <c r="DX120" s="29"/>
      <c r="DY120" s="29"/>
      <c r="DZ120" s="29"/>
      <c r="EA120" s="29"/>
      <c r="EB120" s="29"/>
      <c r="EC120" s="29" t="s">
        <v>1447</v>
      </c>
      <c r="ED120" s="29"/>
      <c r="EE120" s="29"/>
      <c r="EF120" s="29" t="s">
        <v>470</v>
      </c>
      <c r="EG120" s="663"/>
      <c r="EH120" s="186" t="s">
        <v>656</v>
      </c>
      <c r="EI120" s="186" t="s">
        <v>656</v>
      </c>
      <c r="EJ120" s="186" t="s">
        <v>656</v>
      </c>
      <c r="EK120" s="29"/>
      <c r="EL120" s="29" t="s">
        <v>2332</v>
      </c>
      <c r="EM120" s="186"/>
      <c r="EN120" s="50" t="s">
        <v>2234</v>
      </c>
      <c r="EO120" s="29"/>
      <c r="EP120" s="36" t="s">
        <v>656</v>
      </c>
      <c r="EQ120" s="36" t="s">
        <v>470</v>
      </c>
      <c r="ER120" s="29"/>
      <c r="ES120" s="663"/>
      <c r="ET120" s="29" t="s">
        <v>3351</v>
      </c>
      <c r="EU120" s="169" t="s">
        <v>470</v>
      </c>
      <c r="EV120" s="662" t="s">
        <v>1592</v>
      </c>
      <c r="EW120" s="29"/>
      <c r="EX120" s="29"/>
      <c r="EY120" s="29" t="s">
        <v>656</v>
      </c>
      <c r="EZ120" s="663"/>
      <c r="FA120" s="29"/>
    </row>
    <row r="121" spans="1:157" ht="51" x14ac:dyDescent="0.2">
      <c r="A121" s="1205"/>
      <c r="B121" s="1206"/>
      <c r="C121" s="1208"/>
      <c r="D121" s="1215"/>
      <c r="E121" s="185" t="s">
        <v>209</v>
      </c>
      <c r="F121" s="36" t="s">
        <v>470</v>
      </c>
      <c r="G121" s="36" t="s">
        <v>656</v>
      </c>
      <c r="H121" s="161"/>
      <c r="I121" s="36" t="s">
        <v>656</v>
      </c>
      <c r="J121" s="36"/>
      <c r="K121" s="36"/>
      <c r="L121" s="36"/>
      <c r="M121" s="36"/>
      <c r="N121" s="50" t="s">
        <v>656</v>
      </c>
      <c r="O121" s="54" t="s">
        <v>1482</v>
      </c>
      <c r="P121" s="36">
        <v>140</v>
      </c>
      <c r="Q121" s="54" t="s">
        <v>656</v>
      </c>
      <c r="R121" s="36">
        <v>1260</v>
      </c>
      <c r="S121" s="36" t="s">
        <v>656</v>
      </c>
      <c r="T121" s="36">
        <v>0</v>
      </c>
      <c r="U121" s="36">
        <v>0</v>
      </c>
      <c r="V121" s="36">
        <v>0</v>
      </c>
      <c r="W121" s="36"/>
      <c r="X121" s="36">
        <v>1351</v>
      </c>
      <c r="Y121" s="36"/>
      <c r="Z121" s="36">
        <v>28724</v>
      </c>
      <c r="AA121" s="36"/>
      <c r="AB121" s="36"/>
      <c r="AC121" s="36"/>
      <c r="AD121" s="36" t="s">
        <v>656</v>
      </c>
      <c r="AE121" s="161" t="s">
        <v>656</v>
      </c>
      <c r="AF121" s="36"/>
      <c r="AG121" s="36">
        <v>178324</v>
      </c>
      <c r="AH121" s="50">
        <v>12</v>
      </c>
      <c r="AI121" s="36"/>
      <c r="AJ121" s="36" t="s">
        <v>470</v>
      </c>
      <c r="AK121" s="663"/>
      <c r="AL121" s="36"/>
      <c r="AM121" s="36"/>
      <c r="AN121" s="36" t="s">
        <v>656</v>
      </c>
      <c r="AO121" s="36"/>
      <c r="AP121" s="663"/>
      <c r="AQ121" s="36"/>
      <c r="AR121" s="663"/>
      <c r="AS121" s="36"/>
      <c r="AT121" s="36">
        <v>522</v>
      </c>
      <c r="AU121" s="36">
        <v>370</v>
      </c>
      <c r="AV121" s="36"/>
      <c r="AW121" s="107"/>
      <c r="AX121" s="663"/>
      <c r="AY121" s="663"/>
      <c r="AZ121" s="36" t="s">
        <v>656</v>
      </c>
      <c r="BA121" s="36" t="s">
        <v>656</v>
      </c>
      <c r="BB121" s="36" t="s">
        <v>656</v>
      </c>
      <c r="BC121" s="36" t="s">
        <v>470</v>
      </c>
      <c r="BD121" s="36"/>
      <c r="BE121" s="36"/>
      <c r="BF121" s="36"/>
      <c r="BG121" s="36"/>
      <c r="BH121" s="36" t="s">
        <v>656</v>
      </c>
      <c r="BI121" s="36" t="s">
        <v>656</v>
      </c>
      <c r="BJ121" s="36">
        <v>27668</v>
      </c>
      <c r="BK121" s="36"/>
      <c r="BL121" s="36">
        <v>11313</v>
      </c>
      <c r="BM121" s="36" t="s">
        <v>656</v>
      </c>
      <c r="BN121" s="55"/>
      <c r="BO121" s="733"/>
      <c r="BP121" s="36" t="s">
        <v>470</v>
      </c>
      <c r="BQ121" s="36"/>
      <c r="BR121" s="36" t="s">
        <v>656</v>
      </c>
      <c r="BS121" s="36" t="s">
        <v>656</v>
      </c>
      <c r="BT121" s="55" t="s">
        <v>656</v>
      </c>
      <c r="BU121" s="36"/>
      <c r="BV121" s="36" t="s">
        <v>656</v>
      </c>
      <c r="BW121" s="36">
        <v>26</v>
      </c>
      <c r="BX121" s="36" t="s">
        <v>470</v>
      </c>
      <c r="BY121" s="663"/>
      <c r="BZ121" s="663"/>
      <c r="CA121" s="36"/>
      <c r="CB121" s="50">
        <v>0</v>
      </c>
      <c r="CC121" s="36" t="s">
        <v>470</v>
      </c>
      <c r="CD121" s="36"/>
      <c r="CE121" s="36">
        <v>631</v>
      </c>
      <c r="CF121" s="29" t="s">
        <v>1243</v>
      </c>
      <c r="CG121" s="662" t="s">
        <v>1243</v>
      </c>
      <c r="CH121" s="36" t="s">
        <v>656</v>
      </c>
      <c r="CI121" s="36" t="s">
        <v>656</v>
      </c>
      <c r="CJ121" s="36" t="s">
        <v>656</v>
      </c>
      <c r="CK121" s="36">
        <v>0</v>
      </c>
      <c r="CL121" s="36">
        <v>0</v>
      </c>
      <c r="CM121" s="115" t="s">
        <v>539</v>
      </c>
      <c r="CN121" s="29" t="s">
        <v>470</v>
      </c>
      <c r="CO121" s="36">
        <v>132594</v>
      </c>
      <c r="CP121" s="36" t="s">
        <v>470</v>
      </c>
      <c r="CQ121" s="36" t="s">
        <v>470</v>
      </c>
      <c r="CR121" s="132"/>
      <c r="CS121" s="36"/>
      <c r="CT121" s="29"/>
      <c r="CU121" s="36"/>
      <c r="CV121" s="663"/>
      <c r="CW121" s="55" t="s">
        <v>3071</v>
      </c>
      <c r="CX121" s="734" t="s">
        <v>656</v>
      </c>
      <c r="CY121" s="36" t="s">
        <v>1447</v>
      </c>
      <c r="CZ121" s="36" t="s">
        <v>1447</v>
      </c>
      <c r="DA121" s="29" t="s">
        <v>1482</v>
      </c>
      <c r="DB121" s="36">
        <v>0</v>
      </c>
      <c r="DC121" s="36" t="s">
        <v>656</v>
      </c>
      <c r="DD121" s="36" t="s">
        <v>470</v>
      </c>
      <c r="DE121" s="36">
        <v>352</v>
      </c>
      <c r="DF121" s="36"/>
      <c r="DG121" s="132"/>
      <c r="DH121" s="179">
        <v>6500</v>
      </c>
      <c r="DI121" s="132">
        <v>3500</v>
      </c>
      <c r="DJ121" s="736"/>
      <c r="DK121" s="737"/>
      <c r="DL121" s="132"/>
      <c r="DM121" s="132" t="s">
        <v>592</v>
      </c>
      <c r="DN121" s="36" t="s">
        <v>656</v>
      </c>
      <c r="DO121" s="36" t="s">
        <v>656</v>
      </c>
      <c r="DP121" s="36">
        <v>10</v>
      </c>
      <c r="DQ121" s="36"/>
      <c r="DR121" s="80" t="s">
        <v>2565</v>
      </c>
      <c r="DS121" s="36" t="s">
        <v>656</v>
      </c>
      <c r="DT121" s="36"/>
      <c r="DU121" s="36"/>
      <c r="DV121" s="36" t="s">
        <v>656</v>
      </c>
      <c r="DW121" s="36"/>
      <c r="DX121" s="36"/>
      <c r="DY121" s="36"/>
      <c r="DZ121" s="36"/>
      <c r="EA121" s="36"/>
      <c r="EB121" s="36"/>
      <c r="EC121" s="36" t="s">
        <v>1447</v>
      </c>
      <c r="ED121" s="36"/>
      <c r="EE121" s="36"/>
      <c r="EF121" s="36" t="s">
        <v>470</v>
      </c>
      <c r="EG121" s="663"/>
      <c r="EH121" s="733" t="s">
        <v>656</v>
      </c>
      <c r="EI121" s="733" t="s">
        <v>656</v>
      </c>
      <c r="EJ121" s="733" t="s">
        <v>656</v>
      </c>
      <c r="EK121" s="36"/>
      <c r="EL121" s="36">
        <v>2245</v>
      </c>
      <c r="EM121" s="733"/>
      <c r="EN121" s="50" t="s">
        <v>2234</v>
      </c>
      <c r="EO121" s="36" t="s">
        <v>470</v>
      </c>
      <c r="EP121" s="36" t="s">
        <v>656</v>
      </c>
      <c r="EQ121" s="36" t="s">
        <v>470</v>
      </c>
      <c r="ER121" s="36"/>
      <c r="ES121" s="663"/>
      <c r="ET121" s="36">
        <v>1700</v>
      </c>
      <c r="EU121" s="169">
        <v>0</v>
      </c>
      <c r="EV121" s="161">
        <v>169</v>
      </c>
      <c r="EW121" s="36"/>
      <c r="EX121" s="36"/>
      <c r="EY121" s="36" t="s">
        <v>656</v>
      </c>
      <c r="EZ121" s="663"/>
      <c r="FA121" s="36"/>
    </row>
    <row r="122" spans="1:157" ht="68" x14ac:dyDescent="0.2">
      <c r="A122" s="1205" t="s">
        <v>223</v>
      </c>
      <c r="B122" s="1206" t="s">
        <v>224</v>
      </c>
      <c r="C122" s="1208" t="s">
        <v>225</v>
      </c>
      <c r="D122" s="1204" t="s">
        <v>226</v>
      </c>
      <c r="E122" s="185" t="s">
        <v>204</v>
      </c>
      <c r="F122" s="29" t="s">
        <v>470</v>
      </c>
      <c r="G122" s="29" t="s">
        <v>470</v>
      </c>
      <c r="H122" s="662" t="s">
        <v>470</v>
      </c>
      <c r="I122" s="29" t="s">
        <v>479</v>
      </c>
      <c r="J122" s="29" t="s">
        <v>539</v>
      </c>
      <c r="K122" s="29" t="s">
        <v>539</v>
      </c>
      <c r="L122" s="29" t="s">
        <v>479</v>
      </c>
      <c r="M122" s="29" t="s">
        <v>470</v>
      </c>
      <c r="N122" s="29" t="s">
        <v>470</v>
      </c>
      <c r="O122" s="54" t="s">
        <v>539</v>
      </c>
      <c r="P122" s="29" t="s">
        <v>539</v>
      </c>
      <c r="Q122" s="36" t="s">
        <v>539</v>
      </c>
      <c r="R122" s="29" t="s">
        <v>539</v>
      </c>
      <c r="S122" s="29" t="s">
        <v>1092</v>
      </c>
      <c r="T122" s="29" t="s">
        <v>470</v>
      </c>
      <c r="U122" s="29" t="s">
        <v>873</v>
      </c>
      <c r="V122" s="29" t="s">
        <v>470</v>
      </c>
      <c r="W122" s="29" t="s">
        <v>539</v>
      </c>
      <c r="X122" s="29" t="s">
        <v>470</v>
      </c>
      <c r="Y122" s="29" t="s">
        <v>479</v>
      </c>
      <c r="Z122" s="29" t="s">
        <v>539</v>
      </c>
      <c r="AA122" s="29" t="s">
        <v>470</v>
      </c>
      <c r="AB122" s="54"/>
      <c r="AC122" s="54" t="s">
        <v>479</v>
      </c>
      <c r="AD122" s="29" t="s">
        <v>539</v>
      </c>
      <c r="AE122" s="662" t="s">
        <v>470</v>
      </c>
      <c r="AF122" s="29" t="s">
        <v>470</v>
      </c>
      <c r="AG122" s="29" t="s">
        <v>470</v>
      </c>
      <c r="AH122" s="48" t="s">
        <v>470</v>
      </c>
      <c r="AI122" s="29" t="s">
        <v>470</v>
      </c>
      <c r="AJ122" s="36" t="s">
        <v>470</v>
      </c>
      <c r="AK122" s="663"/>
      <c r="AL122" s="29" t="s">
        <v>470</v>
      </c>
      <c r="AM122" s="29" t="s">
        <v>479</v>
      </c>
      <c r="AN122" s="29" t="s">
        <v>470</v>
      </c>
      <c r="AO122" s="29" t="s">
        <v>470</v>
      </c>
      <c r="AP122" s="663"/>
      <c r="AQ122" s="48" t="s">
        <v>479</v>
      </c>
      <c r="AR122" s="663"/>
      <c r="AS122" s="29"/>
      <c r="AT122" s="29" t="s">
        <v>479</v>
      </c>
      <c r="AU122" s="29" t="s">
        <v>479</v>
      </c>
      <c r="AV122" s="48" t="s">
        <v>470</v>
      </c>
      <c r="AW122" s="29" t="s">
        <v>479</v>
      </c>
      <c r="AX122" s="663"/>
      <c r="AY122" s="663"/>
      <c r="AZ122" s="29" t="s">
        <v>470</v>
      </c>
      <c r="BA122" s="29" t="s">
        <v>470</v>
      </c>
      <c r="BB122" s="29" t="s">
        <v>479</v>
      </c>
      <c r="BC122" s="29" t="s">
        <v>470</v>
      </c>
      <c r="BD122" s="29" t="s">
        <v>470</v>
      </c>
      <c r="BE122" s="29" t="s">
        <v>470</v>
      </c>
      <c r="BF122" s="29" t="s">
        <v>873</v>
      </c>
      <c r="BG122" s="29" t="s">
        <v>470</v>
      </c>
      <c r="BH122" s="29" t="s">
        <v>470</v>
      </c>
      <c r="BI122" s="29" t="s">
        <v>479</v>
      </c>
      <c r="BJ122" s="29" t="s">
        <v>479</v>
      </c>
      <c r="BK122" s="29" t="s">
        <v>470</v>
      </c>
      <c r="BL122" s="29" t="s">
        <v>470</v>
      </c>
      <c r="BM122" s="29" t="s">
        <v>470</v>
      </c>
      <c r="BN122" s="36" t="s">
        <v>479</v>
      </c>
      <c r="BO122" s="186" t="s">
        <v>470</v>
      </c>
      <c r="BP122" s="29" t="s">
        <v>470</v>
      </c>
      <c r="BQ122" s="29" t="s">
        <v>470</v>
      </c>
      <c r="BR122" s="29" t="s">
        <v>470</v>
      </c>
      <c r="BS122" s="29" t="s">
        <v>470</v>
      </c>
      <c r="BT122" s="54" t="s">
        <v>470</v>
      </c>
      <c r="BU122" s="29" t="s">
        <v>470</v>
      </c>
      <c r="BV122" s="29" t="s">
        <v>479</v>
      </c>
      <c r="BW122" s="36" t="s">
        <v>3007</v>
      </c>
      <c r="BX122" s="36" t="s">
        <v>470</v>
      </c>
      <c r="BY122" s="663"/>
      <c r="BZ122" s="663"/>
      <c r="CA122" s="29" t="s">
        <v>479</v>
      </c>
      <c r="CB122" s="48" t="s">
        <v>479</v>
      </c>
      <c r="CC122" s="29" t="s">
        <v>470</v>
      </c>
      <c r="CD122" s="29" t="s">
        <v>479</v>
      </c>
      <c r="CE122" s="29" t="s">
        <v>470</v>
      </c>
      <c r="CF122" s="36" t="s">
        <v>1244</v>
      </c>
      <c r="CG122" s="161">
        <v>5498</v>
      </c>
      <c r="CH122" s="29" t="s">
        <v>470</v>
      </c>
      <c r="CI122" s="29" t="s">
        <v>470</v>
      </c>
      <c r="CJ122" s="29" t="s">
        <v>470</v>
      </c>
      <c r="CK122" s="29" t="s">
        <v>470</v>
      </c>
      <c r="CL122" s="29" t="s">
        <v>479</v>
      </c>
      <c r="CM122" s="110" t="s">
        <v>539</v>
      </c>
      <c r="CN122" s="29" t="s">
        <v>470</v>
      </c>
      <c r="CO122" s="29" t="s">
        <v>479</v>
      </c>
      <c r="CP122" s="29" t="s">
        <v>470</v>
      </c>
      <c r="CQ122" s="36" t="s">
        <v>470</v>
      </c>
      <c r="CR122" s="127" t="s">
        <v>470</v>
      </c>
      <c r="CS122" s="29" t="s">
        <v>470</v>
      </c>
      <c r="CT122" s="29"/>
      <c r="CU122" s="29"/>
      <c r="CV122" s="663"/>
      <c r="CW122" s="54" t="s">
        <v>479</v>
      </c>
      <c r="CX122" s="664" t="s">
        <v>479</v>
      </c>
      <c r="CY122" s="29" t="s">
        <v>470</v>
      </c>
      <c r="CZ122" s="29" t="s">
        <v>470</v>
      </c>
      <c r="DA122" s="29" t="s">
        <v>1482</v>
      </c>
      <c r="DB122" s="29" t="s">
        <v>470</v>
      </c>
      <c r="DC122" s="29" t="s">
        <v>479</v>
      </c>
      <c r="DD122" s="29" t="s">
        <v>470</v>
      </c>
      <c r="DE122" s="29" t="s">
        <v>470</v>
      </c>
      <c r="DF122" s="29" t="s">
        <v>470</v>
      </c>
      <c r="DG122" s="127" t="s">
        <v>470</v>
      </c>
      <c r="DH122" s="665" t="s">
        <v>470</v>
      </c>
      <c r="DI122" s="127" t="s">
        <v>479</v>
      </c>
      <c r="DJ122" s="666"/>
      <c r="DK122" s="667" t="s">
        <v>470</v>
      </c>
      <c r="DL122" s="127" t="s">
        <v>479</v>
      </c>
      <c r="DM122" s="127" t="s">
        <v>540</v>
      </c>
      <c r="DN122" s="29" t="s">
        <v>470</v>
      </c>
      <c r="DO122" s="36" t="s">
        <v>470</v>
      </c>
      <c r="DP122" s="29" t="s">
        <v>2530</v>
      </c>
      <c r="DQ122" s="29" t="s">
        <v>470</v>
      </c>
      <c r="DR122" s="29" t="s">
        <v>479</v>
      </c>
      <c r="DS122" s="29" t="s">
        <v>470</v>
      </c>
      <c r="DT122" s="29" t="s">
        <v>470</v>
      </c>
      <c r="DU122" s="29" t="s">
        <v>470</v>
      </c>
      <c r="DV122" s="29" t="s">
        <v>479</v>
      </c>
      <c r="DW122" s="29" t="s">
        <v>539</v>
      </c>
      <c r="DX122" s="29" t="s">
        <v>539</v>
      </c>
      <c r="DY122" s="36"/>
      <c r="DZ122" s="29" t="s">
        <v>539</v>
      </c>
      <c r="EA122" s="29" t="s">
        <v>539</v>
      </c>
      <c r="EB122" s="29"/>
      <c r="EC122" s="29" t="s">
        <v>470</v>
      </c>
      <c r="ED122" s="36" t="s">
        <v>470</v>
      </c>
      <c r="EE122" s="29" t="s">
        <v>470</v>
      </c>
      <c r="EF122" s="29" t="s">
        <v>479</v>
      </c>
      <c r="EG122" s="663"/>
      <c r="EH122" s="186" t="s">
        <v>470</v>
      </c>
      <c r="EI122" s="186" t="s">
        <v>479</v>
      </c>
      <c r="EJ122" s="186" t="s">
        <v>479</v>
      </c>
      <c r="EK122" s="29" t="s">
        <v>470</v>
      </c>
      <c r="EL122" s="29" t="s">
        <v>470</v>
      </c>
      <c r="EM122" s="186" t="s">
        <v>470</v>
      </c>
      <c r="EN122" s="50" t="s">
        <v>479</v>
      </c>
      <c r="EO122" s="29" t="s">
        <v>479</v>
      </c>
      <c r="EP122" s="36" t="s">
        <v>539</v>
      </c>
      <c r="EQ122" s="36" t="s">
        <v>470</v>
      </c>
      <c r="ER122" s="36"/>
      <c r="ES122" s="663"/>
      <c r="ET122" s="29" t="s">
        <v>479</v>
      </c>
      <c r="EU122" s="132" t="s">
        <v>479</v>
      </c>
      <c r="EV122" s="662" t="s">
        <v>479</v>
      </c>
      <c r="EW122" s="29" t="s">
        <v>470</v>
      </c>
      <c r="EX122" s="29" t="s">
        <v>470</v>
      </c>
      <c r="EY122" s="29" t="s">
        <v>479</v>
      </c>
      <c r="EZ122" s="663"/>
      <c r="FA122" s="29" t="s">
        <v>479</v>
      </c>
    </row>
    <row r="123" spans="1:157" ht="409.6" x14ac:dyDescent="0.2">
      <c r="A123" s="1205"/>
      <c r="B123" s="1206"/>
      <c r="C123" s="1208"/>
      <c r="D123" s="1204"/>
      <c r="E123" s="185" t="s">
        <v>205</v>
      </c>
      <c r="F123" s="29" t="s">
        <v>470</v>
      </c>
      <c r="G123" s="29" t="s">
        <v>656</v>
      </c>
      <c r="H123" s="662"/>
      <c r="I123" s="29" t="s">
        <v>3606</v>
      </c>
      <c r="J123" s="29" t="s">
        <v>656</v>
      </c>
      <c r="K123" s="29" t="s">
        <v>656</v>
      </c>
      <c r="L123" s="29" t="s">
        <v>691</v>
      </c>
      <c r="M123" s="29"/>
      <c r="N123" s="50" t="s">
        <v>656</v>
      </c>
      <c r="O123" s="54" t="s">
        <v>1482</v>
      </c>
      <c r="P123" s="29" t="s">
        <v>656</v>
      </c>
      <c r="Q123" s="54" t="s">
        <v>656</v>
      </c>
      <c r="R123" s="29" t="s">
        <v>656</v>
      </c>
      <c r="S123" s="29" t="s">
        <v>656</v>
      </c>
      <c r="T123" s="29" t="s">
        <v>656</v>
      </c>
      <c r="U123" s="29" t="s">
        <v>1924</v>
      </c>
      <c r="V123" s="29" t="s">
        <v>1924</v>
      </c>
      <c r="W123" s="29"/>
      <c r="X123" s="29"/>
      <c r="Y123" s="29" t="s">
        <v>853</v>
      </c>
      <c r="Z123" s="29"/>
      <c r="AA123" s="29"/>
      <c r="AB123" s="54"/>
      <c r="AC123" s="54" t="s">
        <v>1859</v>
      </c>
      <c r="AD123" s="29" t="s">
        <v>656</v>
      </c>
      <c r="AE123" s="662" t="s">
        <v>656</v>
      </c>
      <c r="AF123" s="29"/>
      <c r="AG123" s="29"/>
      <c r="AH123" s="48" t="s">
        <v>470</v>
      </c>
      <c r="AI123" s="29"/>
      <c r="AJ123" s="36" t="s">
        <v>470</v>
      </c>
      <c r="AK123" s="663"/>
      <c r="AL123" s="29"/>
      <c r="AM123" s="32" t="s">
        <v>3497</v>
      </c>
      <c r="AN123" s="29" t="s">
        <v>656</v>
      </c>
      <c r="AO123" s="29"/>
      <c r="AP123" s="663"/>
      <c r="AQ123" s="29"/>
      <c r="AR123" s="663"/>
      <c r="AS123" s="29"/>
      <c r="AT123" s="29" t="s">
        <v>1991</v>
      </c>
      <c r="AU123" s="29" t="s">
        <v>2008</v>
      </c>
      <c r="AV123" s="48"/>
      <c r="AW123" s="36" t="s">
        <v>2066</v>
      </c>
      <c r="AX123" s="663"/>
      <c r="AY123" s="663"/>
      <c r="AZ123" s="29" t="s">
        <v>656</v>
      </c>
      <c r="BA123" s="29" t="s">
        <v>656</v>
      </c>
      <c r="BB123" s="29" t="s">
        <v>1778</v>
      </c>
      <c r="BC123" s="29" t="s">
        <v>470</v>
      </c>
      <c r="BD123" s="29"/>
      <c r="BE123" s="29"/>
      <c r="BF123" s="29"/>
      <c r="BG123" s="29"/>
      <c r="BH123" s="29" t="s">
        <v>656</v>
      </c>
      <c r="BI123" s="29" t="s">
        <v>1095</v>
      </c>
      <c r="BJ123" s="29" t="s">
        <v>656</v>
      </c>
      <c r="BK123" s="29"/>
      <c r="BL123" s="29"/>
      <c r="BM123" s="29" t="s">
        <v>656</v>
      </c>
      <c r="BN123" s="36"/>
      <c r="BO123" s="186"/>
      <c r="BP123" s="29" t="s">
        <v>470</v>
      </c>
      <c r="BQ123" s="29"/>
      <c r="BR123" s="29" t="s">
        <v>656</v>
      </c>
      <c r="BS123" s="29" t="s">
        <v>656</v>
      </c>
      <c r="BT123" s="54" t="s">
        <v>656</v>
      </c>
      <c r="BU123" s="29"/>
      <c r="BV123" s="29" t="s">
        <v>2949</v>
      </c>
      <c r="BW123" s="36" t="s">
        <v>3007</v>
      </c>
      <c r="BX123" s="36" t="s">
        <v>470</v>
      </c>
      <c r="BY123" s="663"/>
      <c r="BZ123" s="663"/>
      <c r="CA123" s="32" t="s">
        <v>3272</v>
      </c>
      <c r="CB123" s="48" t="s">
        <v>1131</v>
      </c>
      <c r="CC123" s="29" t="s">
        <v>470</v>
      </c>
      <c r="CD123" s="29" t="s">
        <v>2190</v>
      </c>
      <c r="CE123" s="29" t="s">
        <v>656</v>
      </c>
      <c r="CF123" s="29" t="s">
        <v>470</v>
      </c>
      <c r="CG123" s="662" t="s">
        <v>470</v>
      </c>
      <c r="CH123" s="29" t="s">
        <v>656</v>
      </c>
      <c r="CI123" s="29" t="s">
        <v>656</v>
      </c>
      <c r="CJ123" s="29" t="s">
        <v>656</v>
      </c>
      <c r="CK123" s="29" t="s">
        <v>656</v>
      </c>
      <c r="CL123" s="32" t="s">
        <v>1337</v>
      </c>
      <c r="CM123" s="110" t="s">
        <v>539</v>
      </c>
      <c r="CN123" s="29" t="s">
        <v>470</v>
      </c>
      <c r="CO123" s="29" t="s">
        <v>3398</v>
      </c>
      <c r="CP123" s="29" t="s">
        <v>470</v>
      </c>
      <c r="CQ123" s="36" t="s">
        <v>470</v>
      </c>
      <c r="CR123" s="127"/>
      <c r="CS123" s="29"/>
      <c r="CT123" s="36"/>
      <c r="CU123" s="29"/>
      <c r="CV123" s="663"/>
      <c r="CW123" s="54" t="s">
        <v>3074</v>
      </c>
      <c r="CX123" s="734" t="s">
        <v>3249</v>
      </c>
      <c r="CY123" s="29" t="s">
        <v>1447</v>
      </c>
      <c r="CZ123" s="29" t="s">
        <v>1447</v>
      </c>
      <c r="DA123" s="29" t="s">
        <v>1482</v>
      </c>
      <c r="DB123" s="29" t="s">
        <v>1924</v>
      </c>
      <c r="DC123" s="29"/>
      <c r="DD123" s="29" t="s">
        <v>470</v>
      </c>
      <c r="DE123" s="29" t="s">
        <v>470</v>
      </c>
      <c r="DF123" s="29"/>
      <c r="DG123" s="127"/>
      <c r="DH123" s="29"/>
      <c r="DI123" s="127" t="s">
        <v>2729</v>
      </c>
      <c r="DJ123" s="666"/>
      <c r="DK123" s="667"/>
      <c r="DL123" s="750" t="s">
        <v>2811</v>
      </c>
      <c r="DM123" s="127"/>
      <c r="DN123" s="29" t="s">
        <v>656</v>
      </c>
      <c r="DO123" s="36" t="s">
        <v>656</v>
      </c>
      <c r="DP123" s="36" t="s">
        <v>2531</v>
      </c>
      <c r="DQ123" s="29"/>
      <c r="DR123" s="29" t="s">
        <v>2568</v>
      </c>
      <c r="DS123" s="29" t="s">
        <v>656</v>
      </c>
      <c r="DT123" s="29"/>
      <c r="DU123" s="29"/>
      <c r="DV123" s="29" t="s">
        <v>2493</v>
      </c>
      <c r="DW123" s="29"/>
      <c r="DX123" s="29"/>
      <c r="DY123" s="36"/>
      <c r="DZ123" s="29"/>
      <c r="EA123" s="29"/>
      <c r="EB123" s="29"/>
      <c r="EC123" s="29" t="s">
        <v>1447</v>
      </c>
      <c r="ED123" s="29"/>
      <c r="EE123" s="29"/>
      <c r="EF123" s="29" t="s">
        <v>3660</v>
      </c>
      <c r="EG123" s="663"/>
      <c r="EH123" s="186" t="s">
        <v>656</v>
      </c>
      <c r="EI123" s="186" t="s">
        <v>2398</v>
      </c>
      <c r="EJ123" s="186" t="s">
        <v>2376</v>
      </c>
      <c r="EK123" s="29"/>
      <c r="EL123" s="29"/>
      <c r="EM123" s="186"/>
      <c r="EN123" s="157" t="s">
        <v>2244</v>
      </c>
      <c r="EO123" s="29" t="s">
        <v>2274</v>
      </c>
      <c r="EP123" s="36" t="s">
        <v>656</v>
      </c>
      <c r="EQ123" s="36" t="s">
        <v>470</v>
      </c>
      <c r="ER123" s="36"/>
      <c r="ES123" s="663"/>
      <c r="ET123" s="29" t="s">
        <v>3352</v>
      </c>
      <c r="EU123" s="127" t="s">
        <v>3377</v>
      </c>
      <c r="EV123" s="694" t="s">
        <v>1594</v>
      </c>
      <c r="EW123" s="29"/>
      <c r="EX123" s="29"/>
      <c r="EY123" s="29" t="s">
        <v>2086</v>
      </c>
      <c r="EZ123" s="663"/>
      <c r="FA123" s="29" t="s">
        <v>1630</v>
      </c>
    </row>
    <row r="124" spans="1:157" ht="51" x14ac:dyDescent="0.2">
      <c r="A124" s="1205"/>
      <c r="B124" s="1206"/>
      <c r="C124" s="1208"/>
      <c r="D124" s="1204"/>
      <c r="E124" s="185" t="s">
        <v>209</v>
      </c>
      <c r="F124" s="36" t="s">
        <v>470</v>
      </c>
      <c r="G124" s="36" t="s">
        <v>656</v>
      </c>
      <c r="H124" s="161"/>
      <c r="I124" s="36">
        <v>18000</v>
      </c>
      <c r="J124" s="36" t="s">
        <v>656</v>
      </c>
      <c r="K124" s="36" t="s">
        <v>656</v>
      </c>
      <c r="L124" s="36">
        <v>44076</v>
      </c>
      <c r="M124" s="36"/>
      <c r="N124" s="50" t="s">
        <v>656</v>
      </c>
      <c r="O124" s="54" t="s">
        <v>1482</v>
      </c>
      <c r="P124" s="36" t="s">
        <v>656</v>
      </c>
      <c r="Q124" s="54" t="s">
        <v>656</v>
      </c>
      <c r="R124" s="36" t="s">
        <v>656</v>
      </c>
      <c r="S124" s="36" t="s">
        <v>656</v>
      </c>
      <c r="T124" s="36">
        <v>0</v>
      </c>
      <c r="U124" s="36">
        <v>0</v>
      </c>
      <c r="V124" s="36">
        <v>0</v>
      </c>
      <c r="W124" s="36"/>
      <c r="X124" s="36"/>
      <c r="Y124" s="36">
        <v>98362</v>
      </c>
      <c r="Z124" s="36"/>
      <c r="AA124" s="36"/>
      <c r="AB124" s="36"/>
      <c r="AC124" s="36">
        <v>738472</v>
      </c>
      <c r="AD124" s="36" t="s">
        <v>656</v>
      </c>
      <c r="AE124" s="161" t="s">
        <v>656</v>
      </c>
      <c r="AF124" s="36"/>
      <c r="AG124" s="36"/>
      <c r="AH124" s="50" t="s">
        <v>470</v>
      </c>
      <c r="AI124" s="36"/>
      <c r="AJ124" s="36" t="s">
        <v>470</v>
      </c>
      <c r="AK124" s="663"/>
      <c r="AL124" s="36"/>
      <c r="AM124" s="36">
        <v>49355</v>
      </c>
      <c r="AN124" s="36" t="s">
        <v>656</v>
      </c>
      <c r="AO124" s="36"/>
      <c r="AP124" s="663"/>
      <c r="AQ124" s="50">
        <v>121412</v>
      </c>
      <c r="AR124" s="663"/>
      <c r="AS124" s="36"/>
      <c r="AT124" s="36">
        <v>39271</v>
      </c>
      <c r="AU124" s="36">
        <v>946</v>
      </c>
      <c r="AV124" s="50"/>
      <c r="AW124" s="36"/>
      <c r="AX124" s="663"/>
      <c r="AY124" s="663"/>
      <c r="AZ124" s="36" t="s">
        <v>656</v>
      </c>
      <c r="BA124" s="36" t="s">
        <v>656</v>
      </c>
      <c r="BB124" s="36">
        <v>2000</v>
      </c>
      <c r="BC124" s="36" t="s">
        <v>470</v>
      </c>
      <c r="BD124" s="36"/>
      <c r="BE124" s="36"/>
      <c r="BF124" s="36"/>
      <c r="BG124" s="36"/>
      <c r="BH124" s="36" t="s">
        <v>656</v>
      </c>
      <c r="BI124" s="36">
        <v>500</v>
      </c>
      <c r="BJ124" s="36">
        <v>75509</v>
      </c>
      <c r="BK124" s="36"/>
      <c r="BL124" s="36"/>
      <c r="BM124" s="36" t="s">
        <v>656</v>
      </c>
      <c r="BN124" s="36"/>
      <c r="BO124" s="733"/>
      <c r="BP124" s="36" t="s">
        <v>470</v>
      </c>
      <c r="BQ124" s="36"/>
      <c r="BR124" s="36" t="s">
        <v>656</v>
      </c>
      <c r="BS124" s="36" t="s">
        <v>656</v>
      </c>
      <c r="BT124" s="55" t="s">
        <v>656</v>
      </c>
      <c r="BU124" s="36"/>
      <c r="BV124" s="36">
        <v>40757</v>
      </c>
      <c r="BW124" s="36" t="s">
        <v>3007</v>
      </c>
      <c r="BX124" s="36" t="s">
        <v>470</v>
      </c>
      <c r="BY124" s="663"/>
      <c r="BZ124" s="663"/>
      <c r="CA124" s="36">
        <v>426839</v>
      </c>
      <c r="CB124" s="50">
        <v>7844</v>
      </c>
      <c r="CC124" s="36" t="s">
        <v>470</v>
      </c>
      <c r="CD124" s="36">
        <v>359046</v>
      </c>
      <c r="CE124" s="36">
        <v>0</v>
      </c>
      <c r="CF124" s="29"/>
      <c r="CG124" s="662"/>
      <c r="CH124" s="36" t="s">
        <v>656</v>
      </c>
      <c r="CI124" s="36" t="s">
        <v>656</v>
      </c>
      <c r="CJ124" s="36" t="s">
        <v>656</v>
      </c>
      <c r="CK124" s="36">
        <v>0</v>
      </c>
      <c r="CL124" s="36">
        <v>72475</v>
      </c>
      <c r="CM124" s="115" t="s">
        <v>539</v>
      </c>
      <c r="CN124" s="29" t="s">
        <v>470</v>
      </c>
      <c r="CO124" s="36">
        <v>132594</v>
      </c>
      <c r="CP124" s="36" t="s">
        <v>470</v>
      </c>
      <c r="CQ124" s="36" t="s">
        <v>470</v>
      </c>
      <c r="CR124" s="132"/>
      <c r="CS124" s="36"/>
      <c r="CT124" s="36"/>
      <c r="CU124" s="36"/>
      <c r="CV124" s="663"/>
      <c r="CW124" s="55" t="s">
        <v>3071</v>
      </c>
      <c r="CX124" s="734" t="s">
        <v>3251</v>
      </c>
      <c r="CY124" s="36" t="s">
        <v>1447</v>
      </c>
      <c r="CZ124" s="36" t="s">
        <v>1447</v>
      </c>
      <c r="DA124" s="29" t="s">
        <v>1482</v>
      </c>
      <c r="DB124" s="36">
        <v>0</v>
      </c>
      <c r="DC124" s="36"/>
      <c r="DD124" s="36" t="s">
        <v>470</v>
      </c>
      <c r="DE124" s="29" t="s">
        <v>470</v>
      </c>
      <c r="DF124" s="36"/>
      <c r="DG124" s="132"/>
      <c r="DH124" s="36"/>
      <c r="DI124" s="132">
        <v>9328</v>
      </c>
      <c r="DJ124" s="736"/>
      <c r="DK124" s="737"/>
      <c r="DL124" s="132">
        <v>296126</v>
      </c>
      <c r="DM124" s="132"/>
      <c r="DN124" s="36" t="s">
        <v>656</v>
      </c>
      <c r="DO124" s="36" t="s">
        <v>656</v>
      </c>
      <c r="DP124" s="36">
        <v>4567</v>
      </c>
      <c r="DQ124" s="36"/>
      <c r="DR124" s="36">
        <v>703047</v>
      </c>
      <c r="DS124" s="36" t="s">
        <v>656</v>
      </c>
      <c r="DT124" s="36"/>
      <c r="DU124" s="36"/>
      <c r="DV124" s="36">
        <f>28767+740</f>
        <v>29507</v>
      </c>
      <c r="DW124" s="36"/>
      <c r="DX124" s="36"/>
      <c r="DY124" s="36"/>
      <c r="DZ124" s="36"/>
      <c r="EA124" s="36"/>
      <c r="EB124" s="36"/>
      <c r="EC124" s="36" t="s">
        <v>1447</v>
      </c>
      <c r="ED124" s="36"/>
      <c r="EE124" s="36"/>
      <c r="EF124" s="36">
        <v>205136</v>
      </c>
      <c r="EG124" s="663"/>
      <c r="EH124" s="733" t="s">
        <v>656</v>
      </c>
      <c r="EI124" s="733">
        <v>3705</v>
      </c>
      <c r="EJ124" s="733">
        <v>53772</v>
      </c>
      <c r="EK124" s="36"/>
      <c r="EL124" s="36"/>
      <c r="EM124" s="733"/>
      <c r="EN124" s="50">
        <v>52397</v>
      </c>
      <c r="EO124" s="36">
        <v>128</v>
      </c>
      <c r="EP124" s="36" t="s">
        <v>656</v>
      </c>
      <c r="EQ124" s="36" t="s">
        <v>470</v>
      </c>
      <c r="ER124" s="36"/>
      <c r="ES124" s="663"/>
      <c r="ET124" s="36">
        <v>110769</v>
      </c>
      <c r="EU124" s="127">
        <v>65602</v>
      </c>
      <c r="EV124" s="161">
        <v>106009</v>
      </c>
      <c r="EW124" s="36"/>
      <c r="EX124" s="36"/>
      <c r="EY124" s="36">
        <v>99</v>
      </c>
      <c r="EZ124" s="663"/>
      <c r="FA124" s="36">
        <v>27489</v>
      </c>
    </row>
    <row r="125" spans="1:157" ht="323" x14ac:dyDescent="0.2">
      <c r="A125" s="1205"/>
      <c r="B125" s="1206"/>
      <c r="C125" s="1208" t="s">
        <v>227</v>
      </c>
      <c r="D125" s="1204" t="s">
        <v>228</v>
      </c>
      <c r="E125" s="185" t="s">
        <v>204</v>
      </c>
      <c r="F125" s="29" t="s">
        <v>479</v>
      </c>
      <c r="G125" s="29" t="s">
        <v>470</v>
      </c>
      <c r="H125" s="662" t="s">
        <v>470</v>
      </c>
      <c r="I125" s="29" t="s">
        <v>470</v>
      </c>
      <c r="J125" s="29" t="s">
        <v>540</v>
      </c>
      <c r="K125" s="29" t="s">
        <v>539</v>
      </c>
      <c r="L125" s="29" t="s">
        <v>479</v>
      </c>
      <c r="M125" s="29" t="s">
        <v>470</v>
      </c>
      <c r="N125" s="29" t="s">
        <v>479</v>
      </c>
      <c r="O125" s="54" t="s">
        <v>540</v>
      </c>
      <c r="P125" s="29" t="s">
        <v>540</v>
      </c>
      <c r="Q125" s="54" t="s">
        <v>540</v>
      </c>
      <c r="R125" s="29" t="s">
        <v>540</v>
      </c>
      <c r="S125" s="29" t="s">
        <v>479</v>
      </c>
      <c r="T125" s="29" t="s">
        <v>479</v>
      </c>
      <c r="U125" s="29" t="s">
        <v>873</v>
      </c>
      <c r="V125" s="29" t="s">
        <v>470</v>
      </c>
      <c r="W125" s="29" t="s">
        <v>540</v>
      </c>
      <c r="X125" s="29" t="s">
        <v>470</v>
      </c>
      <c r="Y125" s="29"/>
      <c r="Z125" s="29" t="s">
        <v>540</v>
      </c>
      <c r="AA125" s="29" t="s">
        <v>479</v>
      </c>
      <c r="AB125" s="29" t="s">
        <v>479</v>
      </c>
      <c r="AC125" s="29"/>
      <c r="AD125" s="29" t="s">
        <v>539</v>
      </c>
      <c r="AE125" s="662" t="s">
        <v>470</v>
      </c>
      <c r="AF125" s="29" t="s">
        <v>470</v>
      </c>
      <c r="AG125" s="29" t="s">
        <v>470</v>
      </c>
      <c r="AH125" s="48" t="s">
        <v>470</v>
      </c>
      <c r="AI125" s="29" t="s">
        <v>470</v>
      </c>
      <c r="AJ125" s="29" t="s">
        <v>479</v>
      </c>
      <c r="AK125" s="663"/>
      <c r="AL125" s="29" t="s">
        <v>470</v>
      </c>
      <c r="AM125" s="29" t="s">
        <v>470</v>
      </c>
      <c r="AN125" s="29" t="s">
        <v>479</v>
      </c>
      <c r="AO125" s="29" t="s">
        <v>479</v>
      </c>
      <c r="AP125" s="663"/>
      <c r="AQ125" s="48" t="s">
        <v>479</v>
      </c>
      <c r="AR125" s="663"/>
      <c r="AS125" s="29" t="s">
        <v>540</v>
      </c>
      <c r="AT125" s="29" t="s">
        <v>479</v>
      </c>
      <c r="AU125" s="29" t="s">
        <v>479</v>
      </c>
      <c r="AV125" s="48" t="s">
        <v>479</v>
      </c>
      <c r="AW125" s="29" t="s">
        <v>689</v>
      </c>
      <c r="AX125" s="663"/>
      <c r="AY125" s="663"/>
      <c r="AZ125" s="29" t="s">
        <v>479</v>
      </c>
      <c r="BA125" s="29" t="s">
        <v>479</v>
      </c>
      <c r="BB125" s="29" t="s">
        <v>479</v>
      </c>
      <c r="BC125" s="29" t="s">
        <v>479</v>
      </c>
      <c r="BD125" s="29" t="s">
        <v>470</v>
      </c>
      <c r="BE125" s="29" t="s">
        <v>470</v>
      </c>
      <c r="BF125" s="36" t="s">
        <v>479</v>
      </c>
      <c r="BG125" s="29" t="s">
        <v>479</v>
      </c>
      <c r="BH125" s="29" t="s">
        <v>479</v>
      </c>
      <c r="BI125" s="29" t="s">
        <v>479</v>
      </c>
      <c r="BJ125" s="29" t="s">
        <v>470</v>
      </c>
      <c r="BK125" s="29" t="s">
        <v>479</v>
      </c>
      <c r="BL125" s="29" t="s">
        <v>479</v>
      </c>
      <c r="BM125" s="29" t="s">
        <v>479</v>
      </c>
      <c r="BN125" s="29" t="s">
        <v>479</v>
      </c>
      <c r="BO125" s="186" t="s">
        <v>479</v>
      </c>
      <c r="BP125" s="29" t="s">
        <v>470</v>
      </c>
      <c r="BQ125" s="29" t="s">
        <v>479</v>
      </c>
      <c r="BR125" s="29" t="s">
        <v>479</v>
      </c>
      <c r="BS125" s="29" t="s">
        <v>479</v>
      </c>
      <c r="BT125" s="54" t="s">
        <v>470</v>
      </c>
      <c r="BU125" s="29" t="s">
        <v>470</v>
      </c>
      <c r="BV125" s="29" t="s">
        <v>479</v>
      </c>
      <c r="BW125" s="29" t="s">
        <v>479</v>
      </c>
      <c r="BX125" s="29" t="s">
        <v>479</v>
      </c>
      <c r="BY125" s="663"/>
      <c r="BZ125" s="663"/>
      <c r="CA125" s="29" t="s">
        <v>470</v>
      </c>
      <c r="CB125" s="48" t="s">
        <v>479</v>
      </c>
      <c r="CC125" s="29" t="s">
        <v>479</v>
      </c>
      <c r="CD125" s="29" t="s">
        <v>479</v>
      </c>
      <c r="CE125" s="29" t="s">
        <v>479</v>
      </c>
      <c r="CF125" s="36"/>
      <c r="CG125" s="161"/>
      <c r="CH125" s="29" t="s">
        <v>470</v>
      </c>
      <c r="CI125" s="29" t="s">
        <v>470</v>
      </c>
      <c r="CJ125" s="29" t="s">
        <v>470</v>
      </c>
      <c r="CK125" s="29" t="s">
        <v>470</v>
      </c>
      <c r="CL125" s="29" t="s">
        <v>470</v>
      </c>
      <c r="CM125" s="110" t="s">
        <v>540</v>
      </c>
      <c r="CN125" s="29" t="s">
        <v>470</v>
      </c>
      <c r="CO125" s="29" t="s">
        <v>470</v>
      </c>
      <c r="CP125" s="29" t="s">
        <v>470</v>
      </c>
      <c r="CQ125" s="36" t="s">
        <v>470</v>
      </c>
      <c r="CR125" s="127" t="s">
        <v>470</v>
      </c>
      <c r="CS125" s="29" t="s">
        <v>479</v>
      </c>
      <c r="CT125" s="36"/>
      <c r="CU125" s="29"/>
      <c r="CV125" s="663"/>
      <c r="CW125" s="54" t="s">
        <v>479</v>
      </c>
      <c r="CX125" s="664" t="s">
        <v>470</v>
      </c>
      <c r="CY125" s="29" t="s">
        <v>470</v>
      </c>
      <c r="CZ125" s="29" t="s">
        <v>470</v>
      </c>
      <c r="DA125" s="29" t="s">
        <v>1482</v>
      </c>
      <c r="DB125" s="29" t="s">
        <v>479</v>
      </c>
      <c r="DC125" s="29" t="s">
        <v>656</v>
      </c>
      <c r="DD125" s="54" t="s">
        <v>479</v>
      </c>
      <c r="DE125" s="29" t="s">
        <v>540</v>
      </c>
      <c r="DF125" s="29" t="s">
        <v>479</v>
      </c>
      <c r="DG125" s="127" t="s">
        <v>470</v>
      </c>
      <c r="DH125" s="665" t="s">
        <v>2758</v>
      </c>
      <c r="DI125" s="127" t="s">
        <v>479</v>
      </c>
      <c r="DJ125" s="666" t="s">
        <v>479</v>
      </c>
      <c r="DK125" s="667" t="s">
        <v>479</v>
      </c>
      <c r="DL125" s="127" t="s">
        <v>470</v>
      </c>
      <c r="DM125" s="127" t="s">
        <v>470</v>
      </c>
      <c r="DN125" s="29" t="s">
        <v>470</v>
      </c>
      <c r="DO125" s="36" t="s">
        <v>470</v>
      </c>
      <c r="DP125" s="29" t="s">
        <v>2532</v>
      </c>
      <c r="DQ125" s="29" t="s">
        <v>470</v>
      </c>
      <c r="DR125" s="29" t="s">
        <v>656</v>
      </c>
      <c r="DS125" s="29" t="s">
        <v>479</v>
      </c>
      <c r="DT125" s="29" t="s">
        <v>470</v>
      </c>
      <c r="DU125" s="29" t="s">
        <v>470</v>
      </c>
      <c r="DV125" s="29" t="s">
        <v>479</v>
      </c>
      <c r="DW125" s="29" t="s">
        <v>540</v>
      </c>
      <c r="DX125" s="29" t="s">
        <v>539</v>
      </c>
      <c r="DY125" s="29"/>
      <c r="DZ125" s="29" t="s">
        <v>539</v>
      </c>
      <c r="EA125" s="29" t="s">
        <v>540</v>
      </c>
      <c r="EB125" s="29" t="s">
        <v>479</v>
      </c>
      <c r="EC125" s="29" t="s">
        <v>479</v>
      </c>
      <c r="ED125" s="36" t="s">
        <v>470</v>
      </c>
      <c r="EE125" s="29" t="s">
        <v>470</v>
      </c>
      <c r="EF125" s="29" t="s">
        <v>470</v>
      </c>
      <c r="EG125" s="663"/>
      <c r="EH125" s="186" t="s">
        <v>470</v>
      </c>
      <c r="EI125" s="186" t="s">
        <v>479</v>
      </c>
      <c r="EJ125" s="186" t="s">
        <v>470</v>
      </c>
      <c r="EK125" s="29" t="s">
        <v>479</v>
      </c>
      <c r="EL125" s="29" t="s">
        <v>470</v>
      </c>
      <c r="EM125" s="186" t="s">
        <v>479</v>
      </c>
      <c r="EN125" s="50" t="s">
        <v>470</v>
      </c>
      <c r="EO125" s="29" t="s">
        <v>479</v>
      </c>
      <c r="EP125" s="29" t="s">
        <v>540</v>
      </c>
      <c r="EQ125" s="36" t="s">
        <v>470</v>
      </c>
      <c r="ER125" s="29"/>
      <c r="ES125" s="663"/>
      <c r="ET125" s="29" t="s">
        <v>470</v>
      </c>
      <c r="EU125" s="169" t="s">
        <v>470</v>
      </c>
      <c r="EV125" s="662" t="s">
        <v>479</v>
      </c>
      <c r="EW125" s="29" t="s">
        <v>470</v>
      </c>
      <c r="EX125" s="29" t="s">
        <v>479</v>
      </c>
      <c r="EY125" s="29" t="s">
        <v>479</v>
      </c>
      <c r="EZ125" s="663"/>
      <c r="FA125" s="29" t="s">
        <v>479</v>
      </c>
    </row>
    <row r="126" spans="1:157" ht="409.6" x14ac:dyDescent="0.2">
      <c r="A126" s="1205"/>
      <c r="B126" s="1206"/>
      <c r="C126" s="1208"/>
      <c r="D126" s="1204"/>
      <c r="E126" s="185" t="s">
        <v>205</v>
      </c>
      <c r="F126" s="29" t="s">
        <v>1007</v>
      </c>
      <c r="G126" s="29" t="s">
        <v>656</v>
      </c>
      <c r="H126" s="662"/>
      <c r="I126" s="29" t="s">
        <v>656</v>
      </c>
      <c r="J126" s="29" t="s">
        <v>2031</v>
      </c>
      <c r="K126" s="29" t="s">
        <v>656</v>
      </c>
      <c r="L126" s="29" t="s">
        <v>690</v>
      </c>
      <c r="M126" s="29"/>
      <c r="N126" s="29" t="s">
        <v>1875</v>
      </c>
      <c r="O126" s="54" t="s">
        <v>1485</v>
      </c>
      <c r="P126" s="29" t="s">
        <v>3229</v>
      </c>
      <c r="Q126" s="29" t="s">
        <v>1509</v>
      </c>
      <c r="R126" s="29" t="s">
        <v>3229</v>
      </c>
      <c r="S126" s="29" t="s">
        <v>1033</v>
      </c>
      <c r="T126" s="29" t="s">
        <v>1903</v>
      </c>
      <c r="U126" s="29" t="s">
        <v>1930</v>
      </c>
      <c r="V126" s="29" t="s">
        <v>1924</v>
      </c>
      <c r="W126" s="29" t="s">
        <v>543</v>
      </c>
      <c r="X126" s="29"/>
      <c r="Y126" s="29"/>
      <c r="Z126" s="36" t="s">
        <v>880</v>
      </c>
      <c r="AA126" s="29" t="s">
        <v>905</v>
      </c>
      <c r="AB126" s="29" t="s">
        <v>9482</v>
      </c>
      <c r="AC126" s="29"/>
      <c r="AD126" s="29" t="s">
        <v>656</v>
      </c>
      <c r="AE126" s="662" t="s">
        <v>656</v>
      </c>
      <c r="AF126" s="29"/>
      <c r="AG126" s="29"/>
      <c r="AH126" s="48" t="s">
        <v>470</v>
      </c>
      <c r="AI126" s="29"/>
      <c r="AJ126" s="29" t="s">
        <v>961</v>
      </c>
      <c r="AK126" s="663"/>
      <c r="AL126" s="29"/>
      <c r="AM126" s="29"/>
      <c r="AN126" s="29" t="s">
        <v>3524</v>
      </c>
      <c r="AO126" s="29" t="s">
        <v>1365</v>
      </c>
      <c r="AP126" s="663"/>
      <c r="AQ126" s="48" t="s">
        <v>640</v>
      </c>
      <c r="AR126" s="663"/>
      <c r="AS126" s="29" t="s">
        <v>1969</v>
      </c>
      <c r="AT126" s="29" t="s">
        <v>1992</v>
      </c>
      <c r="AU126" s="29" t="s">
        <v>1992</v>
      </c>
      <c r="AV126" s="48" t="s">
        <v>726</v>
      </c>
      <c r="AW126" s="29" t="s">
        <v>2067</v>
      </c>
      <c r="AX126" s="663"/>
      <c r="AY126" s="663"/>
      <c r="AZ126" s="29" t="s">
        <v>1745</v>
      </c>
      <c r="BA126" s="29" t="s">
        <v>1745</v>
      </c>
      <c r="BB126" s="29" t="s">
        <v>1779</v>
      </c>
      <c r="BC126" s="29" t="s">
        <v>979</v>
      </c>
      <c r="BD126" s="29"/>
      <c r="BE126" s="29"/>
      <c r="BF126" s="36" t="s">
        <v>1690</v>
      </c>
      <c r="BG126" s="29" t="s">
        <v>1053</v>
      </c>
      <c r="BH126" s="29" t="s">
        <v>1074</v>
      </c>
      <c r="BI126" s="29" t="s">
        <v>1096</v>
      </c>
      <c r="BJ126" s="29" t="s">
        <v>656</v>
      </c>
      <c r="BK126" s="29"/>
      <c r="BL126" s="29" t="s">
        <v>2113</v>
      </c>
      <c r="BM126" s="29"/>
      <c r="BN126" s="29"/>
      <c r="BO126" s="186" t="s">
        <v>1365</v>
      </c>
      <c r="BP126" s="29" t="s">
        <v>470</v>
      </c>
      <c r="BQ126" s="29" t="s">
        <v>3043</v>
      </c>
      <c r="BR126" s="29" t="s">
        <v>2145</v>
      </c>
      <c r="BS126" s="29" t="s">
        <v>2170</v>
      </c>
      <c r="BT126" s="54" t="s">
        <v>656</v>
      </c>
      <c r="BU126" s="29"/>
      <c r="BV126" s="29" t="s">
        <v>2950</v>
      </c>
      <c r="BW126" s="29" t="s">
        <v>3009</v>
      </c>
      <c r="BX126" s="29" t="s">
        <v>2984</v>
      </c>
      <c r="BY126" s="663"/>
      <c r="BZ126" s="663"/>
      <c r="CA126" s="29"/>
      <c r="CB126" s="48" t="s">
        <v>1132</v>
      </c>
      <c r="CC126" s="29" t="s">
        <v>1158</v>
      </c>
      <c r="CD126" s="29" t="s">
        <v>2191</v>
      </c>
      <c r="CE126" s="42" t="s">
        <v>1218</v>
      </c>
      <c r="CF126" s="29" t="s">
        <v>470</v>
      </c>
      <c r="CG126" s="662" t="s">
        <v>470</v>
      </c>
      <c r="CH126" s="29" t="s">
        <v>656</v>
      </c>
      <c r="CI126" s="29" t="s">
        <v>656</v>
      </c>
      <c r="CJ126" s="29" t="s">
        <v>656</v>
      </c>
      <c r="CK126" s="29" t="s">
        <v>656</v>
      </c>
      <c r="CL126" s="29" t="s">
        <v>656</v>
      </c>
      <c r="CM126" s="110" t="s">
        <v>1184</v>
      </c>
      <c r="CN126" s="29" t="s">
        <v>470</v>
      </c>
      <c r="CO126" s="29" t="s">
        <v>470</v>
      </c>
      <c r="CP126" s="29" t="s">
        <v>470</v>
      </c>
      <c r="CQ126" s="36" t="s">
        <v>470</v>
      </c>
      <c r="CR126" s="127"/>
      <c r="CS126" s="29" t="s">
        <v>3099</v>
      </c>
      <c r="CT126" s="36"/>
      <c r="CU126" s="29"/>
      <c r="CV126" s="663"/>
      <c r="CW126" s="54" t="s">
        <v>3072</v>
      </c>
      <c r="CX126" s="734" t="s">
        <v>656</v>
      </c>
      <c r="CY126" s="29" t="s">
        <v>1447</v>
      </c>
      <c r="CZ126" s="29" t="s">
        <v>1447</v>
      </c>
      <c r="DA126" s="29" t="s">
        <v>1482</v>
      </c>
      <c r="DB126" s="29" t="s">
        <v>2846</v>
      </c>
      <c r="DC126" s="29" t="s">
        <v>656</v>
      </c>
      <c r="DD126" s="54" t="s">
        <v>2870</v>
      </c>
      <c r="DE126" s="29" t="s">
        <v>2632</v>
      </c>
      <c r="DF126" s="29" t="s">
        <v>3322</v>
      </c>
      <c r="DG126" s="127"/>
      <c r="DH126" s="684" t="s">
        <v>2759</v>
      </c>
      <c r="DI126" s="127" t="s">
        <v>2730</v>
      </c>
      <c r="DJ126" s="666" t="s">
        <v>2789</v>
      </c>
      <c r="DK126" s="667" t="s">
        <v>2827</v>
      </c>
      <c r="DL126" s="127"/>
      <c r="DM126" s="127"/>
      <c r="DN126" s="29" t="s">
        <v>656</v>
      </c>
      <c r="DO126" s="36" t="s">
        <v>656</v>
      </c>
      <c r="DP126" s="29" t="s">
        <v>2533</v>
      </c>
      <c r="DQ126" s="29"/>
      <c r="DR126" s="29"/>
      <c r="DS126" s="29" t="s">
        <v>709</v>
      </c>
      <c r="DT126" s="29"/>
      <c r="DU126" s="29"/>
      <c r="DV126" s="29" t="s">
        <v>2494</v>
      </c>
      <c r="DW126" s="29" t="s">
        <v>2417</v>
      </c>
      <c r="DX126" s="29"/>
      <c r="DY126" s="29"/>
      <c r="DZ126" s="29"/>
      <c r="EA126" s="29" t="s">
        <v>2434</v>
      </c>
      <c r="EB126" s="29" t="s">
        <v>2933</v>
      </c>
      <c r="EC126" s="29" t="s">
        <v>3427</v>
      </c>
      <c r="ED126" s="29"/>
      <c r="EE126" s="29"/>
      <c r="EF126" s="29" t="s">
        <v>470</v>
      </c>
      <c r="EG126" s="663"/>
      <c r="EH126" s="186" t="s">
        <v>656</v>
      </c>
      <c r="EI126" s="186" t="s">
        <v>1597</v>
      </c>
      <c r="EJ126" s="186" t="s">
        <v>656</v>
      </c>
      <c r="EK126" s="29" t="s">
        <v>2308</v>
      </c>
      <c r="EL126" s="29"/>
      <c r="EM126" s="186" t="s">
        <v>1365</v>
      </c>
      <c r="EN126" s="50" t="s">
        <v>2234</v>
      </c>
      <c r="EO126" s="29" t="s">
        <v>2275</v>
      </c>
      <c r="EP126" s="29" t="s">
        <v>1561</v>
      </c>
      <c r="EQ126" s="36" t="s">
        <v>470</v>
      </c>
      <c r="ER126" s="29"/>
      <c r="ES126" s="663"/>
      <c r="ET126" s="29" t="s">
        <v>470</v>
      </c>
      <c r="EU126" s="169" t="s">
        <v>470</v>
      </c>
      <c r="EV126" s="662" t="s">
        <v>1595</v>
      </c>
      <c r="EW126" s="29"/>
      <c r="EX126" s="29" t="s">
        <v>1432</v>
      </c>
      <c r="EY126" s="29" t="s">
        <v>541</v>
      </c>
      <c r="EZ126" s="663"/>
      <c r="FA126" s="29" t="s">
        <v>1629</v>
      </c>
    </row>
    <row r="127" spans="1:157" ht="51" x14ac:dyDescent="0.2">
      <c r="A127" s="1205"/>
      <c r="B127" s="1206"/>
      <c r="C127" s="1208"/>
      <c r="D127" s="1204"/>
      <c r="E127" s="185" t="s">
        <v>209</v>
      </c>
      <c r="F127" s="36">
        <v>4381</v>
      </c>
      <c r="G127" s="36" t="s">
        <v>656</v>
      </c>
      <c r="H127" s="161"/>
      <c r="I127" s="36" t="s">
        <v>656</v>
      </c>
      <c r="J127" s="36">
        <v>19902</v>
      </c>
      <c r="K127" s="36" t="s">
        <v>656</v>
      </c>
      <c r="L127" s="36">
        <v>2243</v>
      </c>
      <c r="M127" s="36"/>
      <c r="N127" s="36">
        <v>2065</v>
      </c>
      <c r="O127" s="56" t="s">
        <v>1486</v>
      </c>
      <c r="P127" s="36">
        <v>2877</v>
      </c>
      <c r="Q127" s="55">
        <v>25940</v>
      </c>
      <c r="R127" s="36">
        <v>30169</v>
      </c>
      <c r="S127" s="36">
        <v>212805</v>
      </c>
      <c r="T127" s="36">
        <v>29652</v>
      </c>
      <c r="U127" s="36">
        <v>0</v>
      </c>
      <c r="V127" s="36">
        <v>0</v>
      </c>
      <c r="W127" s="36">
        <v>22000</v>
      </c>
      <c r="X127" s="36"/>
      <c r="Y127" s="36"/>
      <c r="Z127" s="36">
        <v>28724</v>
      </c>
      <c r="AA127" s="36">
        <v>6842</v>
      </c>
      <c r="AB127" s="36" t="s">
        <v>1796</v>
      </c>
      <c r="AC127" s="36"/>
      <c r="AD127" s="36" t="s">
        <v>656</v>
      </c>
      <c r="AE127" s="161" t="s">
        <v>656</v>
      </c>
      <c r="AF127" s="36"/>
      <c r="AG127" s="36"/>
      <c r="AH127" s="50" t="s">
        <v>470</v>
      </c>
      <c r="AI127" s="36"/>
      <c r="AJ127" s="36"/>
      <c r="AK127" s="663"/>
      <c r="AL127" s="36"/>
      <c r="AM127" s="36"/>
      <c r="AN127" s="37" t="s">
        <v>3522</v>
      </c>
      <c r="AO127" s="36">
        <v>20229</v>
      </c>
      <c r="AP127" s="663"/>
      <c r="AQ127" s="50"/>
      <c r="AR127" s="663"/>
      <c r="AS127" s="36">
        <v>1492</v>
      </c>
      <c r="AT127" s="36">
        <v>4083</v>
      </c>
      <c r="AU127" s="36">
        <v>230</v>
      </c>
      <c r="AV127" s="50">
        <v>5610</v>
      </c>
      <c r="AW127" s="36">
        <v>12799</v>
      </c>
      <c r="AX127" s="663"/>
      <c r="AY127" s="663"/>
      <c r="AZ127" s="36">
        <v>107506</v>
      </c>
      <c r="BA127" s="36">
        <v>107506</v>
      </c>
      <c r="BB127" s="36">
        <v>1500</v>
      </c>
      <c r="BC127" s="36">
        <v>10824</v>
      </c>
      <c r="BD127" s="36"/>
      <c r="BE127" s="36"/>
      <c r="BF127" s="36">
        <v>19558</v>
      </c>
      <c r="BG127" s="36">
        <v>2200</v>
      </c>
      <c r="BH127" s="36">
        <v>12261</v>
      </c>
      <c r="BI127" s="36">
        <v>12000</v>
      </c>
      <c r="BJ127" s="36" t="s">
        <v>656</v>
      </c>
      <c r="BK127" s="36"/>
      <c r="BL127" s="36">
        <v>10864</v>
      </c>
      <c r="BM127" s="36"/>
      <c r="BN127" s="36"/>
      <c r="BO127" s="733">
        <v>166</v>
      </c>
      <c r="BP127" s="36" t="s">
        <v>470</v>
      </c>
      <c r="BQ127" s="36" t="s">
        <v>3044</v>
      </c>
      <c r="BR127" s="36">
        <v>5514</v>
      </c>
      <c r="BS127" s="36">
        <v>4861</v>
      </c>
      <c r="BT127" s="55" t="s">
        <v>656</v>
      </c>
      <c r="BU127" s="36"/>
      <c r="BV127" s="36">
        <v>54448</v>
      </c>
      <c r="BW127" s="36">
        <v>13024</v>
      </c>
      <c r="BX127" s="36">
        <v>3739</v>
      </c>
      <c r="BY127" s="663"/>
      <c r="BZ127" s="663"/>
      <c r="CA127" s="36"/>
      <c r="CB127" s="50">
        <v>635</v>
      </c>
      <c r="CC127" s="36">
        <v>907</v>
      </c>
      <c r="CD127" s="36">
        <v>177131</v>
      </c>
      <c r="CE127" s="36">
        <v>24949</v>
      </c>
      <c r="CF127" s="29"/>
      <c r="CG127" s="662"/>
      <c r="CH127" s="36" t="s">
        <v>656</v>
      </c>
      <c r="CI127" s="36" t="s">
        <v>656</v>
      </c>
      <c r="CJ127" s="36" t="s">
        <v>656</v>
      </c>
      <c r="CK127" s="36">
        <v>0</v>
      </c>
      <c r="CL127" s="36">
        <v>0</v>
      </c>
      <c r="CM127" s="115">
        <v>17649</v>
      </c>
      <c r="CN127" s="29" t="s">
        <v>470</v>
      </c>
      <c r="CO127" s="29" t="s">
        <v>470</v>
      </c>
      <c r="CP127" s="29" t="s">
        <v>470</v>
      </c>
      <c r="CQ127" s="36" t="s">
        <v>470</v>
      </c>
      <c r="CR127" s="132"/>
      <c r="CS127" s="36">
        <v>210</v>
      </c>
      <c r="CT127" s="29"/>
      <c r="CU127" s="36"/>
      <c r="CV127" s="663"/>
      <c r="CW127" s="55" t="s">
        <v>3071</v>
      </c>
      <c r="CX127" s="734" t="s">
        <v>656</v>
      </c>
      <c r="CY127" s="36" t="s">
        <v>1447</v>
      </c>
      <c r="CZ127" s="36" t="s">
        <v>1447</v>
      </c>
      <c r="DA127" s="29" t="s">
        <v>1482</v>
      </c>
      <c r="DB127" s="36">
        <v>6100</v>
      </c>
      <c r="DC127" s="36" t="s">
        <v>656</v>
      </c>
      <c r="DD127" s="55">
        <v>184</v>
      </c>
      <c r="DE127" s="36">
        <v>45756</v>
      </c>
      <c r="DF127" s="36" t="s">
        <v>3323</v>
      </c>
      <c r="DG127" s="132"/>
      <c r="DH127" s="179">
        <v>6500</v>
      </c>
      <c r="DI127" s="132">
        <v>13959</v>
      </c>
      <c r="DJ127" s="736">
        <v>45466</v>
      </c>
      <c r="DK127" s="737" t="s">
        <v>481</v>
      </c>
      <c r="DL127" s="132"/>
      <c r="DM127" s="132"/>
      <c r="DN127" s="36" t="s">
        <v>656</v>
      </c>
      <c r="DO127" s="36" t="s">
        <v>656</v>
      </c>
      <c r="DP127" s="36">
        <v>5057</v>
      </c>
      <c r="DQ127" s="36"/>
      <c r="DR127" s="36"/>
      <c r="DS127" s="36">
        <v>84</v>
      </c>
      <c r="DT127" s="36"/>
      <c r="DU127" s="36"/>
      <c r="DV127" s="36">
        <f>369715+5785</f>
        <v>375500</v>
      </c>
      <c r="DW127" s="36">
        <v>15000</v>
      </c>
      <c r="DX127" s="36"/>
      <c r="DY127" s="36"/>
      <c r="DZ127" s="36"/>
      <c r="EA127" s="36"/>
      <c r="EB127" s="36">
        <v>444744</v>
      </c>
      <c r="EC127" s="36">
        <f>EC103</f>
        <v>8561</v>
      </c>
      <c r="ED127" s="36"/>
      <c r="EE127" s="36"/>
      <c r="EF127" s="36" t="s">
        <v>470</v>
      </c>
      <c r="EG127" s="663"/>
      <c r="EH127" s="733" t="s">
        <v>656</v>
      </c>
      <c r="EI127" s="733">
        <v>653</v>
      </c>
      <c r="EJ127" s="733" t="s">
        <v>656</v>
      </c>
      <c r="EK127" s="36">
        <v>17553</v>
      </c>
      <c r="EL127" s="36"/>
      <c r="EM127" s="733">
        <v>60990</v>
      </c>
      <c r="EN127" s="50" t="s">
        <v>2234</v>
      </c>
      <c r="EO127" s="36">
        <v>29698</v>
      </c>
      <c r="EP127" s="36">
        <v>41852</v>
      </c>
      <c r="EQ127" s="36" t="s">
        <v>470</v>
      </c>
      <c r="ER127" s="36"/>
      <c r="ES127" s="663"/>
      <c r="ET127" s="36">
        <v>0</v>
      </c>
      <c r="EU127" s="169">
        <v>0</v>
      </c>
      <c r="EV127" s="161">
        <v>9666</v>
      </c>
      <c r="EW127" s="36"/>
      <c r="EX127" s="29">
        <f>369045+4635</f>
        <v>373680</v>
      </c>
      <c r="EY127" s="36">
        <v>27</v>
      </c>
      <c r="EZ127" s="663"/>
      <c r="FA127" s="36">
        <v>16133</v>
      </c>
    </row>
    <row r="128" spans="1:157" ht="68" x14ac:dyDescent="0.2">
      <c r="A128" s="1205"/>
      <c r="B128" s="1206"/>
      <c r="C128" s="1208" t="s">
        <v>229</v>
      </c>
      <c r="D128" s="1204" t="s">
        <v>230</v>
      </c>
      <c r="E128" s="185" t="s">
        <v>204</v>
      </c>
      <c r="F128" s="36" t="s">
        <v>470</v>
      </c>
      <c r="G128" s="36" t="s">
        <v>470</v>
      </c>
      <c r="H128" s="161" t="s">
        <v>470</v>
      </c>
      <c r="I128" s="36" t="s">
        <v>470</v>
      </c>
      <c r="J128" s="36" t="s">
        <v>539</v>
      </c>
      <c r="K128" s="36" t="s">
        <v>539</v>
      </c>
      <c r="L128" s="36" t="s">
        <v>470</v>
      </c>
      <c r="M128" s="36" t="s">
        <v>470</v>
      </c>
      <c r="N128" s="36" t="s">
        <v>470</v>
      </c>
      <c r="O128" s="36" t="s">
        <v>539</v>
      </c>
      <c r="P128" s="29" t="s">
        <v>539</v>
      </c>
      <c r="Q128" s="36" t="s">
        <v>539</v>
      </c>
      <c r="R128" s="29" t="s">
        <v>539</v>
      </c>
      <c r="S128" s="29" t="s">
        <v>540</v>
      </c>
      <c r="T128" s="36" t="s">
        <v>479</v>
      </c>
      <c r="U128" s="36" t="s">
        <v>873</v>
      </c>
      <c r="V128" s="36" t="s">
        <v>470</v>
      </c>
      <c r="W128" s="36" t="s">
        <v>539</v>
      </c>
      <c r="X128" s="36" t="s">
        <v>470</v>
      </c>
      <c r="Y128" s="36"/>
      <c r="Z128" s="36" t="s">
        <v>539</v>
      </c>
      <c r="AA128" s="36"/>
      <c r="AB128" s="36"/>
      <c r="AC128" s="36"/>
      <c r="AD128" s="29" t="s">
        <v>539</v>
      </c>
      <c r="AE128" s="662" t="s">
        <v>470</v>
      </c>
      <c r="AF128" s="36" t="s">
        <v>470</v>
      </c>
      <c r="AG128" s="36" t="s">
        <v>470</v>
      </c>
      <c r="AH128" s="50" t="s">
        <v>470</v>
      </c>
      <c r="AI128" s="36" t="s">
        <v>470</v>
      </c>
      <c r="AJ128" s="36" t="s">
        <v>470</v>
      </c>
      <c r="AK128" s="663"/>
      <c r="AL128" s="36" t="s">
        <v>470</v>
      </c>
      <c r="AM128" s="36" t="s">
        <v>470</v>
      </c>
      <c r="AN128" s="36" t="s">
        <v>470</v>
      </c>
      <c r="AO128" s="36" t="s">
        <v>479</v>
      </c>
      <c r="AP128" s="663"/>
      <c r="AQ128" s="50" t="s">
        <v>479</v>
      </c>
      <c r="AR128" s="663"/>
      <c r="AS128" s="36"/>
      <c r="AT128" s="36" t="s">
        <v>470</v>
      </c>
      <c r="AU128" s="36" t="s">
        <v>470</v>
      </c>
      <c r="AV128" s="50" t="s">
        <v>470</v>
      </c>
      <c r="AW128" s="36" t="s">
        <v>470</v>
      </c>
      <c r="AX128" s="663"/>
      <c r="AY128" s="663"/>
      <c r="AZ128" s="36" t="s">
        <v>470</v>
      </c>
      <c r="BA128" s="36" t="s">
        <v>470</v>
      </c>
      <c r="BB128" s="36" t="s">
        <v>470</v>
      </c>
      <c r="BC128" s="36" t="s">
        <v>470</v>
      </c>
      <c r="BD128" s="36" t="s">
        <v>470</v>
      </c>
      <c r="BE128" s="36" t="s">
        <v>479</v>
      </c>
      <c r="BF128" s="36" t="s">
        <v>873</v>
      </c>
      <c r="BG128" s="36" t="s">
        <v>470</v>
      </c>
      <c r="BH128" s="29" t="s">
        <v>470</v>
      </c>
      <c r="BI128" s="36" t="s">
        <v>470</v>
      </c>
      <c r="BJ128" s="36" t="s">
        <v>470</v>
      </c>
      <c r="BK128" s="36" t="s">
        <v>479</v>
      </c>
      <c r="BL128" s="36" t="s">
        <v>470</v>
      </c>
      <c r="BM128" s="29" t="s">
        <v>470</v>
      </c>
      <c r="BN128" s="29"/>
      <c r="BO128" s="733" t="s">
        <v>470</v>
      </c>
      <c r="BP128" s="36" t="s">
        <v>470</v>
      </c>
      <c r="BQ128" s="36" t="s">
        <v>470</v>
      </c>
      <c r="BR128" s="36" t="s">
        <v>470</v>
      </c>
      <c r="BS128" s="29" t="s">
        <v>470</v>
      </c>
      <c r="BT128" s="54" t="s">
        <v>470</v>
      </c>
      <c r="BU128" s="36" t="s">
        <v>470</v>
      </c>
      <c r="BV128" s="36" t="s">
        <v>656</v>
      </c>
      <c r="BW128" s="36" t="s">
        <v>470</v>
      </c>
      <c r="BX128" s="36" t="s">
        <v>470</v>
      </c>
      <c r="BY128" s="663"/>
      <c r="BZ128" s="663"/>
      <c r="CA128" s="36" t="s">
        <v>470</v>
      </c>
      <c r="CB128" s="50" t="s">
        <v>470</v>
      </c>
      <c r="CC128" s="36" t="s">
        <v>470</v>
      </c>
      <c r="CD128" s="36" t="s">
        <v>873</v>
      </c>
      <c r="CE128" s="36" t="s">
        <v>470</v>
      </c>
      <c r="CF128" s="36"/>
      <c r="CG128" s="161"/>
      <c r="CH128" s="36" t="s">
        <v>470</v>
      </c>
      <c r="CI128" s="36" t="s">
        <v>470</v>
      </c>
      <c r="CJ128" s="36" t="s">
        <v>470</v>
      </c>
      <c r="CK128" s="36" t="s">
        <v>470</v>
      </c>
      <c r="CL128" s="36" t="s">
        <v>470</v>
      </c>
      <c r="CM128" s="115" t="s">
        <v>539</v>
      </c>
      <c r="CN128" s="29" t="s">
        <v>470</v>
      </c>
      <c r="CO128" s="36" t="s">
        <v>470</v>
      </c>
      <c r="CP128" s="36" t="s">
        <v>470</v>
      </c>
      <c r="CQ128" s="36" t="s">
        <v>470</v>
      </c>
      <c r="CR128" s="132" t="s">
        <v>470</v>
      </c>
      <c r="CS128" s="29" t="s">
        <v>479</v>
      </c>
      <c r="CT128" s="29"/>
      <c r="CU128" s="36"/>
      <c r="CV128" s="663"/>
      <c r="CW128" s="54" t="s">
        <v>479</v>
      </c>
      <c r="CX128" s="664" t="s">
        <v>470</v>
      </c>
      <c r="CY128" s="36" t="s">
        <v>470</v>
      </c>
      <c r="CZ128" s="36" t="s">
        <v>470</v>
      </c>
      <c r="DA128" s="29" t="s">
        <v>1482</v>
      </c>
      <c r="DB128" s="29" t="s">
        <v>470</v>
      </c>
      <c r="DC128" s="36" t="s">
        <v>656</v>
      </c>
      <c r="DD128" s="36" t="s">
        <v>470</v>
      </c>
      <c r="DE128" s="36" t="s">
        <v>540</v>
      </c>
      <c r="DF128" s="36" t="s">
        <v>479</v>
      </c>
      <c r="DG128" s="132" t="s">
        <v>470</v>
      </c>
      <c r="DH128" s="36" t="s">
        <v>470</v>
      </c>
      <c r="DI128" s="132"/>
      <c r="DJ128" s="736"/>
      <c r="DK128" s="737" t="s">
        <v>470</v>
      </c>
      <c r="DL128" s="127" t="s">
        <v>470</v>
      </c>
      <c r="DM128" s="132" t="s">
        <v>470</v>
      </c>
      <c r="DN128" s="36" t="s">
        <v>470</v>
      </c>
      <c r="DO128" s="36" t="s">
        <v>470</v>
      </c>
      <c r="DP128" s="36" t="s">
        <v>470</v>
      </c>
      <c r="DQ128" s="36" t="s">
        <v>470</v>
      </c>
      <c r="DR128" s="36" t="s">
        <v>656</v>
      </c>
      <c r="DS128" s="36" t="s">
        <v>479</v>
      </c>
      <c r="DT128" s="36" t="s">
        <v>479</v>
      </c>
      <c r="DU128" s="36" t="s">
        <v>470</v>
      </c>
      <c r="DV128" s="29" t="s">
        <v>479</v>
      </c>
      <c r="DW128" s="36" t="s">
        <v>539</v>
      </c>
      <c r="DX128" s="36" t="s">
        <v>539</v>
      </c>
      <c r="DY128" s="29"/>
      <c r="DZ128" s="36" t="s">
        <v>539</v>
      </c>
      <c r="EA128" s="36" t="s">
        <v>539</v>
      </c>
      <c r="EB128" s="36"/>
      <c r="EC128" s="36" t="s">
        <v>470</v>
      </c>
      <c r="ED128" s="36" t="s">
        <v>470</v>
      </c>
      <c r="EE128" s="36" t="s">
        <v>470</v>
      </c>
      <c r="EF128" s="36" t="s">
        <v>470</v>
      </c>
      <c r="EG128" s="663"/>
      <c r="EH128" s="733" t="s">
        <v>470</v>
      </c>
      <c r="EI128" s="186" t="s">
        <v>470</v>
      </c>
      <c r="EJ128" s="186" t="s">
        <v>470</v>
      </c>
      <c r="EK128" s="36" t="s">
        <v>470</v>
      </c>
      <c r="EL128" s="36" t="s">
        <v>470</v>
      </c>
      <c r="EM128" s="733" t="s">
        <v>470</v>
      </c>
      <c r="EN128" s="50" t="s">
        <v>470</v>
      </c>
      <c r="EO128" s="36" t="s">
        <v>470</v>
      </c>
      <c r="EP128" s="36" t="s">
        <v>539</v>
      </c>
      <c r="EQ128" s="36" t="s">
        <v>470</v>
      </c>
      <c r="ER128" s="29"/>
      <c r="ES128" s="663"/>
      <c r="ET128" s="36" t="s">
        <v>470</v>
      </c>
      <c r="EU128" s="169" t="s">
        <v>470</v>
      </c>
      <c r="EV128" s="161" t="s">
        <v>479</v>
      </c>
      <c r="EW128" s="36" t="s">
        <v>470</v>
      </c>
      <c r="EX128" s="36" t="s">
        <v>470</v>
      </c>
      <c r="EY128" s="36" t="s">
        <v>470</v>
      </c>
      <c r="EZ128" s="663"/>
      <c r="FA128" s="36" t="s">
        <v>656</v>
      </c>
    </row>
    <row r="129" spans="1:157" ht="170" x14ac:dyDescent="0.2">
      <c r="A129" s="1205"/>
      <c r="B129" s="1206"/>
      <c r="C129" s="1211"/>
      <c r="D129" s="1204"/>
      <c r="E129" s="185" t="s">
        <v>205</v>
      </c>
      <c r="F129" s="36" t="s">
        <v>470</v>
      </c>
      <c r="G129" s="36" t="s">
        <v>656</v>
      </c>
      <c r="H129" s="161"/>
      <c r="I129" s="36" t="s">
        <v>656</v>
      </c>
      <c r="J129" s="36" t="s">
        <v>656</v>
      </c>
      <c r="K129" s="36" t="s">
        <v>656</v>
      </c>
      <c r="L129" s="36"/>
      <c r="M129" s="36"/>
      <c r="N129" s="50" t="s">
        <v>656</v>
      </c>
      <c r="O129" s="36" t="s">
        <v>656</v>
      </c>
      <c r="P129" s="29" t="s">
        <v>656</v>
      </c>
      <c r="Q129" s="54" t="s">
        <v>656</v>
      </c>
      <c r="R129" s="29" t="s">
        <v>656</v>
      </c>
      <c r="S129" s="29" t="s">
        <v>1537</v>
      </c>
      <c r="T129" s="36" t="s">
        <v>1905</v>
      </c>
      <c r="U129" s="36" t="s">
        <v>1930</v>
      </c>
      <c r="V129" s="36" t="s">
        <v>1924</v>
      </c>
      <c r="W129" s="36"/>
      <c r="X129" s="36"/>
      <c r="Y129" s="36"/>
      <c r="Z129" s="36"/>
      <c r="AA129" s="36"/>
      <c r="AB129" s="36"/>
      <c r="AC129" s="36"/>
      <c r="AD129" s="29" t="s">
        <v>656</v>
      </c>
      <c r="AE129" s="662" t="s">
        <v>656</v>
      </c>
      <c r="AF129" s="36"/>
      <c r="AG129" s="36"/>
      <c r="AH129" s="50" t="s">
        <v>470</v>
      </c>
      <c r="AI129" s="36"/>
      <c r="AJ129" s="36" t="s">
        <v>470</v>
      </c>
      <c r="AK129" s="663"/>
      <c r="AL129" s="36"/>
      <c r="AM129" s="36"/>
      <c r="AN129" s="36" t="s">
        <v>656</v>
      </c>
      <c r="AO129" s="36" t="s">
        <v>1366</v>
      </c>
      <c r="AP129" s="663"/>
      <c r="AQ129" s="50" t="s">
        <v>640</v>
      </c>
      <c r="AR129" s="663"/>
      <c r="AS129" s="36"/>
      <c r="AT129" s="36"/>
      <c r="AU129" s="36"/>
      <c r="AV129" s="50"/>
      <c r="AW129" s="107"/>
      <c r="AX129" s="663"/>
      <c r="AY129" s="663"/>
      <c r="AZ129" s="36" t="s">
        <v>656</v>
      </c>
      <c r="BA129" s="36" t="s">
        <v>656</v>
      </c>
      <c r="BB129" s="36" t="s">
        <v>656</v>
      </c>
      <c r="BC129" s="36" t="s">
        <v>470</v>
      </c>
      <c r="BD129" s="36"/>
      <c r="BE129" s="36" t="s">
        <v>1842</v>
      </c>
      <c r="BF129" s="36"/>
      <c r="BG129" s="36"/>
      <c r="BH129" s="29" t="s">
        <v>656</v>
      </c>
      <c r="BI129" s="36" t="s">
        <v>656</v>
      </c>
      <c r="BJ129" s="36" t="s">
        <v>656</v>
      </c>
      <c r="BK129" s="36"/>
      <c r="BL129" s="36"/>
      <c r="BM129" s="29" t="s">
        <v>656</v>
      </c>
      <c r="BN129" s="29"/>
      <c r="BO129" s="733"/>
      <c r="BP129" s="36" t="s">
        <v>470</v>
      </c>
      <c r="BQ129" s="36"/>
      <c r="BR129" s="36" t="s">
        <v>656</v>
      </c>
      <c r="BS129" s="29" t="s">
        <v>656</v>
      </c>
      <c r="BT129" s="54" t="s">
        <v>656</v>
      </c>
      <c r="BU129" s="36"/>
      <c r="BV129" s="36" t="s">
        <v>656</v>
      </c>
      <c r="BW129" s="36" t="s">
        <v>470</v>
      </c>
      <c r="BX129" s="36" t="s">
        <v>470</v>
      </c>
      <c r="BY129" s="663"/>
      <c r="BZ129" s="663"/>
      <c r="CA129" s="36"/>
      <c r="CB129" s="50" t="s">
        <v>470</v>
      </c>
      <c r="CC129" s="36" t="s">
        <v>470</v>
      </c>
      <c r="CD129" s="36"/>
      <c r="CE129" s="36" t="s">
        <v>656</v>
      </c>
      <c r="CF129" s="36" t="s">
        <v>479</v>
      </c>
      <c r="CG129" s="161" t="s">
        <v>479</v>
      </c>
      <c r="CH129" s="36" t="s">
        <v>656</v>
      </c>
      <c r="CI129" s="36" t="s">
        <v>656</v>
      </c>
      <c r="CJ129" s="36" t="s">
        <v>656</v>
      </c>
      <c r="CK129" s="36" t="s">
        <v>656</v>
      </c>
      <c r="CL129" s="36" t="s">
        <v>656</v>
      </c>
      <c r="CM129" s="115" t="s">
        <v>539</v>
      </c>
      <c r="CN129" s="29" t="s">
        <v>470</v>
      </c>
      <c r="CO129" s="29" t="s">
        <v>470</v>
      </c>
      <c r="CP129" s="29" t="s">
        <v>470</v>
      </c>
      <c r="CQ129" s="36" t="s">
        <v>470</v>
      </c>
      <c r="CR129" s="132"/>
      <c r="CS129" s="29" t="s">
        <v>3099</v>
      </c>
      <c r="CT129" s="36"/>
      <c r="CU129" s="36"/>
      <c r="CV129" s="663"/>
      <c r="CW129" s="54" t="s">
        <v>3072</v>
      </c>
      <c r="CX129" s="734" t="s">
        <v>656</v>
      </c>
      <c r="CY129" s="36" t="s">
        <v>1447</v>
      </c>
      <c r="CZ129" s="36" t="s">
        <v>1447</v>
      </c>
      <c r="DA129" s="29" t="s">
        <v>1482</v>
      </c>
      <c r="DB129" s="29" t="s">
        <v>1924</v>
      </c>
      <c r="DC129" s="36" t="s">
        <v>656</v>
      </c>
      <c r="DD129" s="36" t="s">
        <v>470</v>
      </c>
      <c r="DE129" s="36" t="s">
        <v>2625</v>
      </c>
      <c r="DF129" s="36" t="s">
        <v>3324</v>
      </c>
      <c r="DG129" s="132"/>
      <c r="DH129" s="36"/>
      <c r="DI129" s="132"/>
      <c r="DJ129" s="736"/>
      <c r="DK129" s="737"/>
      <c r="DL129" s="127"/>
      <c r="DM129" s="132"/>
      <c r="DN129" s="36" t="s">
        <v>656</v>
      </c>
      <c r="DO129" s="36" t="s">
        <v>656</v>
      </c>
      <c r="DP129" s="36"/>
      <c r="DQ129" s="36"/>
      <c r="DR129" s="36"/>
      <c r="DS129" s="36" t="s">
        <v>707</v>
      </c>
      <c r="DT129" s="36"/>
      <c r="DU129" s="36"/>
      <c r="DV129" s="29" t="s">
        <v>656</v>
      </c>
      <c r="DW129" s="36"/>
      <c r="DX129" s="36"/>
      <c r="DY129" s="29"/>
      <c r="DZ129" s="36"/>
      <c r="EA129" s="36"/>
      <c r="EB129" s="36"/>
      <c r="EC129" s="36" t="s">
        <v>1447</v>
      </c>
      <c r="ED129" s="36"/>
      <c r="EE129" s="36"/>
      <c r="EF129" s="36" t="s">
        <v>470</v>
      </c>
      <c r="EG129" s="663"/>
      <c r="EH129" s="733" t="s">
        <v>656</v>
      </c>
      <c r="EI129" s="186" t="s">
        <v>656</v>
      </c>
      <c r="EJ129" s="186" t="s">
        <v>656</v>
      </c>
      <c r="EK129" s="36"/>
      <c r="EL129" s="36"/>
      <c r="EM129" s="733"/>
      <c r="EN129" s="50" t="s">
        <v>2234</v>
      </c>
      <c r="EO129" s="36"/>
      <c r="EP129" s="36" t="s">
        <v>656</v>
      </c>
      <c r="EQ129" s="36" t="s">
        <v>470</v>
      </c>
      <c r="ER129" s="29"/>
      <c r="ES129" s="663"/>
      <c r="ET129" s="36" t="s">
        <v>470</v>
      </c>
      <c r="EU129" s="169" t="s">
        <v>470</v>
      </c>
      <c r="EV129" s="161" t="s">
        <v>1596</v>
      </c>
      <c r="EW129" s="36"/>
      <c r="EX129" s="36"/>
      <c r="EY129" s="36" t="s">
        <v>656</v>
      </c>
      <c r="EZ129" s="663"/>
      <c r="FA129" s="36" t="s">
        <v>656</v>
      </c>
    </row>
    <row r="130" spans="1:157" ht="51" x14ac:dyDescent="0.2">
      <c r="A130" s="1205"/>
      <c r="B130" s="1206"/>
      <c r="C130" s="1211"/>
      <c r="D130" s="1204"/>
      <c r="E130" s="185" t="s">
        <v>209</v>
      </c>
      <c r="F130" s="36" t="s">
        <v>470</v>
      </c>
      <c r="G130" s="36" t="s">
        <v>656</v>
      </c>
      <c r="H130" s="161"/>
      <c r="I130" s="36" t="s">
        <v>656</v>
      </c>
      <c r="J130" s="36" t="s">
        <v>656</v>
      </c>
      <c r="K130" s="36" t="s">
        <v>656</v>
      </c>
      <c r="L130" s="36"/>
      <c r="M130" s="36"/>
      <c r="N130" s="50" t="s">
        <v>656</v>
      </c>
      <c r="O130" s="36" t="s">
        <v>656</v>
      </c>
      <c r="P130" s="36" t="s">
        <v>656</v>
      </c>
      <c r="Q130" s="54" t="s">
        <v>656</v>
      </c>
      <c r="R130" s="36" t="s">
        <v>656</v>
      </c>
      <c r="S130" s="36">
        <v>9000</v>
      </c>
      <c r="T130" s="36">
        <v>5800</v>
      </c>
      <c r="U130" s="36">
        <v>0</v>
      </c>
      <c r="V130" s="36">
        <v>0</v>
      </c>
      <c r="W130" s="36"/>
      <c r="X130" s="36"/>
      <c r="Y130" s="36"/>
      <c r="Z130" s="36"/>
      <c r="AA130" s="36"/>
      <c r="AB130" s="36"/>
      <c r="AC130" s="36"/>
      <c r="AD130" s="36" t="s">
        <v>656</v>
      </c>
      <c r="AE130" s="161" t="s">
        <v>656</v>
      </c>
      <c r="AF130" s="36"/>
      <c r="AG130" s="36"/>
      <c r="AH130" s="50" t="s">
        <v>470</v>
      </c>
      <c r="AI130" s="36"/>
      <c r="AJ130" s="36" t="s">
        <v>470</v>
      </c>
      <c r="AK130" s="663"/>
      <c r="AL130" s="36"/>
      <c r="AM130" s="36"/>
      <c r="AN130" s="36" t="s">
        <v>656</v>
      </c>
      <c r="AO130" s="36">
        <v>8211</v>
      </c>
      <c r="AP130" s="663"/>
      <c r="AQ130" s="50">
        <v>32546</v>
      </c>
      <c r="AR130" s="663"/>
      <c r="AS130" s="36"/>
      <c r="AT130" s="36"/>
      <c r="AU130" s="36"/>
      <c r="AV130" s="50"/>
      <c r="AW130" s="107"/>
      <c r="AX130" s="663"/>
      <c r="AY130" s="663"/>
      <c r="AZ130" s="36" t="s">
        <v>656</v>
      </c>
      <c r="BA130" s="36" t="s">
        <v>656</v>
      </c>
      <c r="BB130" s="36" t="s">
        <v>656</v>
      </c>
      <c r="BC130" s="36" t="s">
        <v>470</v>
      </c>
      <c r="BD130" s="36"/>
      <c r="BE130" s="36">
        <v>107306</v>
      </c>
      <c r="BF130" s="36"/>
      <c r="BG130" s="36"/>
      <c r="BH130" s="36" t="s">
        <v>656</v>
      </c>
      <c r="BI130" s="36" t="s">
        <v>656</v>
      </c>
      <c r="BJ130" s="36" t="s">
        <v>656</v>
      </c>
      <c r="BK130" s="36"/>
      <c r="BL130" s="36"/>
      <c r="BM130" s="36" t="s">
        <v>656</v>
      </c>
      <c r="BN130" s="36"/>
      <c r="BO130" s="733"/>
      <c r="BP130" s="36" t="s">
        <v>470</v>
      </c>
      <c r="BQ130" s="36"/>
      <c r="BR130" s="36" t="s">
        <v>656</v>
      </c>
      <c r="BS130" s="36" t="s">
        <v>656</v>
      </c>
      <c r="BT130" s="55" t="s">
        <v>656</v>
      </c>
      <c r="BU130" s="36"/>
      <c r="BV130" s="36" t="s">
        <v>656</v>
      </c>
      <c r="BW130" s="36" t="s">
        <v>470</v>
      </c>
      <c r="BX130" s="36" t="s">
        <v>470</v>
      </c>
      <c r="BY130" s="663"/>
      <c r="BZ130" s="663"/>
      <c r="CA130" s="36"/>
      <c r="CB130" s="50">
        <v>0</v>
      </c>
      <c r="CC130" s="36" t="s">
        <v>470</v>
      </c>
      <c r="CD130" s="36"/>
      <c r="CE130" s="36">
        <v>0</v>
      </c>
      <c r="CF130" s="36" t="s">
        <v>640</v>
      </c>
      <c r="CG130" s="161" t="s">
        <v>640</v>
      </c>
      <c r="CH130" s="36" t="s">
        <v>656</v>
      </c>
      <c r="CI130" s="36" t="s">
        <v>656</v>
      </c>
      <c r="CJ130" s="36" t="s">
        <v>656</v>
      </c>
      <c r="CK130" s="36">
        <v>0</v>
      </c>
      <c r="CL130" s="36">
        <v>0</v>
      </c>
      <c r="CM130" s="115" t="s">
        <v>539</v>
      </c>
      <c r="CN130" s="29" t="s">
        <v>470</v>
      </c>
      <c r="CO130" s="29" t="s">
        <v>470</v>
      </c>
      <c r="CP130" s="29" t="s">
        <v>470</v>
      </c>
      <c r="CQ130" s="36" t="s">
        <v>470</v>
      </c>
      <c r="CR130" s="132"/>
      <c r="CS130" s="36">
        <v>210</v>
      </c>
      <c r="CT130" s="29"/>
      <c r="CU130" s="36"/>
      <c r="CV130" s="663"/>
      <c r="CW130" s="55" t="s">
        <v>3071</v>
      </c>
      <c r="CX130" s="734" t="s">
        <v>656</v>
      </c>
      <c r="CY130" s="36" t="s">
        <v>1447</v>
      </c>
      <c r="CZ130" s="36" t="s">
        <v>1447</v>
      </c>
      <c r="DA130" s="29" t="s">
        <v>1482</v>
      </c>
      <c r="DB130" s="36">
        <v>0</v>
      </c>
      <c r="DC130" s="36" t="s">
        <v>656</v>
      </c>
      <c r="DD130" s="36" t="s">
        <v>470</v>
      </c>
      <c r="DE130" s="36">
        <v>2382</v>
      </c>
      <c r="DF130" s="36" t="s">
        <v>3323</v>
      </c>
      <c r="DG130" s="132"/>
      <c r="DH130" s="36"/>
      <c r="DI130" s="132"/>
      <c r="DJ130" s="736"/>
      <c r="DK130" s="737"/>
      <c r="DL130" s="132"/>
      <c r="DM130" s="132"/>
      <c r="DN130" s="36" t="s">
        <v>656</v>
      </c>
      <c r="DO130" s="36" t="s">
        <v>656</v>
      </c>
      <c r="DP130" s="36"/>
      <c r="DQ130" s="36"/>
      <c r="DR130" s="36"/>
      <c r="DS130" s="36">
        <v>15</v>
      </c>
      <c r="DT130" s="36"/>
      <c r="DU130" s="36"/>
      <c r="DV130" s="36">
        <v>470</v>
      </c>
      <c r="DW130" s="36"/>
      <c r="DX130" s="36"/>
      <c r="DY130" s="36"/>
      <c r="DZ130" s="36"/>
      <c r="EA130" s="36"/>
      <c r="EB130" s="36"/>
      <c r="EC130" s="36" t="s">
        <v>1447</v>
      </c>
      <c r="ED130" s="36"/>
      <c r="EE130" s="36"/>
      <c r="EF130" s="36" t="s">
        <v>470</v>
      </c>
      <c r="EG130" s="663"/>
      <c r="EH130" s="733" t="s">
        <v>656</v>
      </c>
      <c r="EI130" s="733" t="s">
        <v>656</v>
      </c>
      <c r="EJ130" s="733" t="s">
        <v>656</v>
      </c>
      <c r="EK130" s="36"/>
      <c r="EL130" s="36"/>
      <c r="EM130" s="733"/>
      <c r="EN130" s="50" t="s">
        <v>2234</v>
      </c>
      <c r="EO130" s="36"/>
      <c r="EP130" s="36" t="s">
        <v>656</v>
      </c>
      <c r="EQ130" s="36" t="s">
        <v>470</v>
      </c>
      <c r="ER130" s="36"/>
      <c r="ES130" s="663"/>
      <c r="ET130" s="36">
        <v>0</v>
      </c>
      <c r="EU130" s="169">
        <v>0</v>
      </c>
      <c r="EV130" s="161">
        <v>2926</v>
      </c>
      <c r="EW130" s="36"/>
      <c r="EX130" s="36"/>
      <c r="EY130" s="36" t="s">
        <v>656</v>
      </c>
      <c r="EZ130" s="663"/>
      <c r="FA130" s="36" t="s">
        <v>656</v>
      </c>
    </row>
    <row r="131" spans="1:157" ht="68" x14ac:dyDescent="0.2">
      <c r="A131" s="1205"/>
      <c r="B131" s="1206"/>
      <c r="C131" s="1208" t="s">
        <v>231</v>
      </c>
      <c r="D131" s="1204" t="s">
        <v>232</v>
      </c>
      <c r="E131" s="185" t="s">
        <v>204</v>
      </c>
      <c r="F131" s="29" t="s">
        <v>470</v>
      </c>
      <c r="G131" s="29" t="s">
        <v>470</v>
      </c>
      <c r="H131" s="662" t="s">
        <v>470</v>
      </c>
      <c r="I131" s="29" t="s">
        <v>470</v>
      </c>
      <c r="J131" s="29" t="s">
        <v>539</v>
      </c>
      <c r="K131" s="29" t="s">
        <v>539</v>
      </c>
      <c r="L131" s="29" t="s">
        <v>470</v>
      </c>
      <c r="M131" s="29" t="s">
        <v>470</v>
      </c>
      <c r="N131" s="29" t="s">
        <v>470</v>
      </c>
      <c r="O131" s="36" t="s">
        <v>539</v>
      </c>
      <c r="P131" s="29" t="s">
        <v>539</v>
      </c>
      <c r="Q131" s="36" t="s">
        <v>539</v>
      </c>
      <c r="R131" s="29" t="s">
        <v>539</v>
      </c>
      <c r="S131" s="29" t="s">
        <v>539</v>
      </c>
      <c r="T131" s="29" t="s">
        <v>470</v>
      </c>
      <c r="U131" s="29" t="s">
        <v>470</v>
      </c>
      <c r="V131" s="29" t="s">
        <v>470</v>
      </c>
      <c r="W131" s="29" t="s">
        <v>539</v>
      </c>
      <c r="X131" s="29" t="s">
        <v>470</v>
      </c>
      <c r="Y131" s="29"/>
      <c r="Z131" s="29" t="s">
        <v>539</v>
      </c>
      <c r="AA131" s="29"/>
      <c r="AB131" s="29"/>
      <c r="AC131" s="29"/>
      <c r="AD131" s="29" t="s">
        <v>539</v>
      </c>
      <c r="AE131" s="662" t="s">
        <v>470</v>
      </c>
      <c r="AF131" s="29" t="s">
        <v>470</v>
      </c>
      <c r="AG131" s="29" t="s">
        <v>470</v>
      </c>
      <c r="AH131" s="48" t="s">
        <v>470</v>
      </c>
      <c r="AI131" s="29" t="s">
        <v>470</v>
      </c>
      <c r="AJ131" s="36" t="s">
        <v>470</v>
      </c>
      <c r="AK131" s="663"/>
      <c r="AL131" s="29" t="s">
        <v>470</v>
      </c>
      <c r="AM131" s="29" t="s">
        <v>470</v>
      </c>
      <c r="AN131" s="29" t="s">
        <v>470</v>
      </c>
      <c r="AO131" s="29" t="s">
        <v>470</v>
      </c>
      <c r="AP131" s="663"/>
      <c r="AQ131" s="48" t="s">
        <v>470</v>
      </c>
      <c r="AR131" s="663"/>
      <c r="AS131" s="29"/>
      <c r="AT131" s="29" t="s">
        <v>470</v>
      </c>
      <c r="AU131" s="29" t="s">
        <v>470</v>
      </c>
      <c r="AV131" s="48" t="s">
        <v>470</v>
      </c>
      <c r="AW131" s="29" t="s">
        <v>470</v>
      </c>
      <c r="AX131" s="663"/>
      <c r="AY131" s="663"/>
      <c r="AZ131" s="29" t="s">
        <v>470</v>
      </c>
      <c r="BA131" s="29" t="s">
        <v>470</v>
      </c>
      <c r="BB131" s="29" t="s">
        <v>470</v>
      </c>
      <c r="BC131" s="29" t="s">
        <v>470</v>
      </c>
      <c r="BD131" s="29" t="s">
        <v>470</v>
      </c>
      <c r="BE131" s="29" t="s">
        <v>470</v>
      </c>
      <c r="BF131" s="29" t="s">
        <v>873</v>
      </c>
      <c r="BG131" s="29" t="s">
        <v>470</v>
      </c>
      <c r="BH131" s="29" t="s">
        <v>470</v>
      </c>
      <c r="BI131" s="29" t="s">
        <v>470</v>
      </c>
      <c r="BJ131" s="29" t="s">
        <v>470</v>
      </c>
      <c r="BK131" s="29" t="s">
        <v>470</v>
      </c>
      <c r="BL131" s="29" t="s">
        <v>470</v>
      </c>
      <c r="BM131" s="29" t="s">
        <v>470</v>
      </c>
      <c r="BN131" s="54"/>
      <c r="BO131" s="186" t="s">
        <v>470</v>
      </c>
      <c r="BP131" s="29" t="s">
        <v>470</v>
      </c>
      <c r="BQ131" s="29" t="s">
        <v>470</v>
      </c>
      <c r="BR131" s="29" t="s">
        <v>470</v>
      </c>
      <c r="BS131" s="29" t="s">
        <v>470</v>
      </c>
      <c r="BT131" s="54" t="s">
        <v>479</v>
      </c>
      <c r="BU131" s="29" t="s">
        <v>470</v>
      </c>
      <c r="BV131" s="29" t="s">
        <v>656</v>
      </c>
      <c r="BW131" s="29" t="s">
        <v>470</v>
      </c>
      <c r="BX131" s="36" t="s">
        <v>470</v>
      </c>
      <c r="BY131" s="663"/>
      <c r="BZ131" s="663"/>
      <c r="CA131" s="29" t="s">
        <v>470</v>
      </c>
      <c r="CB131" s="48" t="s">
        <v>470</v>
      </c>
      <c r="CC131" s="29" t="s">
        <v>470</v>
      </c>
      <c r="CD131" s="29" t="s">
        <v>470</v>
      </c>
      <c r="CE131" s="29" t="s">
        <v>470</v>
      </c>
      <c r="CF131" s="36" t="s">
        <v>1244</v>
      </c>
      <c r="CG131" s="161">
        <v>5498</v>
      </c>
      <c r="CH131" s="29" t="s">
        <v>470</v>
      </c>
      <c r="CI131" s="29" t="s">
        <v>470</v>
      </c>
      <c r="CJ131" s="29" t="s">
        <v>470</v>
      </c>
      <c r="CK131" s="29" t="s">
        <v>470</v>
      </c>
      <c r="CL131" s="29" t="s">
        <v>470</v>
      </c>
      <c r="CM131" s="115" t="s">
        <v>539</v>
      </c>
      <c r="CN131" s="29" t="s">
        <v>470</v>
      </c>
      <c r="CO131" s="29" t="s">
        <v>470</v>
      </c>
      <c r="CP131" s="29" t="s">
        <v>470</v>
      </c>
      <c r="CQ131" s="36" t="s">
        <v>470</v>
      </c>
      <c r="CR131" s="127" t="s">
        <v>470</v>
      </c>
      <c r="CS131" s="29" t="s">
        <v>470</v>
      </c>
      <c r="CT131" s="29"/>
      <c r="CU131" s="29"/>
      <c r="CV131" s="663"/>
      <c r="CW131" s="54" t="s">
        <v>470</v>
      </c>
      <c r="CX131" s="664" t="s">
        <v>470</v>
      </c>
      <c r="CY131" s="29" t="s">
        <v>470</v>
      </c>
      <c r="CZ131" s="29" t="s">
        <v>470</v>
      </c>
      <c r="DA131" s="29" t="s">
        <v>1482</v>
      </c>
      <c r="DB131" s="29" t="s">
        <v>470</v>
      </c>
      <c r="DC131" s="29" t="s">
        <v>656</v>
      </c>
      <c r="DD131" s="29" t="s">
        <v>470</v>
      </c>
      <c r="DE131" s="29" t="s">
        <v>470</v>
      </c>
      <c r="DF131" s="29" t="s">
        <v>470</v>
      </c>
      <c r="DG131" s="127" t="s">
        <v>470</v>
      </c>
      <c r="DH131" s="29" t="s">
        <v>470</v>
      </c>
      <c r="DI131" s="127"/>
      <c r="DJ131" s="666"/>
      <c r="DK131" s="667" t="s">
        <v>470</v>
      </c>
      <c r="DL131" s="127" t="s">
        <v>470</v>
      </c>
      <c r="DM131" s="127" t="s">
        <v>470</v>
      </c>
      <c r="DN131" s="29" t="s">
        <v>470</v>
      </c>
      <c r="DO131" s="36" t="s">
        <v>470</v>
      </c>
      <c r="DP131" s="29" t="s">
        <v>470</v>
      </c>
      <c r="DQ131" s="29" t="s">
        <v>470</v>
      </c>
      <c r="DR131" s="29" t="s">
        <v>656</v>
      </c>
      <c r="DS131" s="29" t="s">
        <v>470</v>
      </c>
      <c r="DT131" s="29" t="s">
        <v>470</v>
      </c>
      <c r="DU131" s="29" t="s">
        <v>470</v>
      </c>
      <c r="DV131" s="29" t="s">
        <v>470</v>
      </c>
      <c r="DW131" s="29" t="s">
        <v>539</v>
      </c>
      <c r="DX131" s="29" t="s">
        <v>539</v>
      </c>
      <c r="DY131" s="29"/>
      <c r="DZ131" s="29" t="s">
        <v>539</v>
      </c>
      <c r="EA131" s="29" t="s">
        <v>539</v>
      </c>
      <c r="EB131" s="29"/>
      <c r="EC131" s="29" t="s">
        <v>470</v>
      </c>
      <c r="ED131" s="36" t="s">
        <v>470</v>
      </c>
      <c r="EE131" s="29" t="s">
        <v>470</v>
      </c>
      <c r="EF131" s="29" t="s">
        <v>470</v>
      </c>
      <c r="EG131" s="663"/>
      <c r="EH131" s="186" t="s">
        <v>470</v>
      </c>
      <c r="EI131" s="186" t="s">
        <v>470</v>
      </c>
      <c r="EJ131" s="186" t="s">
        <v>470</v>
      </c>
      <c r="EK131" s="29" t="s">
        <v>470</v>
      </c>
      <c r="EL131" s="29" t="s">
        <v>470</v>
      </c>
      <c r="EM131" s="186" t="s">
        <v>470</v>
      </c>
      <c r="EN131" s="50" t="s">
        <v>470</v>
      </c>
      <c r="EO131" s="29" t="s">
        <v>470</v>
      </c>
      <c r="EP131" s="36" t="s">
        <v>539</v>
      </c>
      <c r="EQ131" s="36" t="s">
        <v>470</v>
      </c>
      <c r="ER131" s="29"/>
      <c r="ES131" s="663"/>
      <c r="ET131" s="29" t="s">
        <v>470</v>
      </c>
      <c r="EU131" s="169" t="s">
        <v>470</v>
      </c>
      <c r="EV131" s="662" t="s">
        <v>656</v>
      </c>
      <c r="EW131" s="29" t="s">
        <v>470</v>
      </c>
      <c r="EX131" s="29" t="s">
        <v>479</v>
      </c>
      <c r="EY131" s="29" t="s">
        <v>470</v>
      </c>
      <c r="EZ131" s="663"/>
      <c r="FA131" s="29" t="s">
        <v>656</v>
      </c>
    </row>
    <row r="132" spans="1:157" ht="102" x14ac:dyDescent="0.2">
      <c r="A132" s="1205"/>
      <c r="B132" s="1206"/>
      <c r="C132" s="1208"/>
      <c r="D132" s="1204"/>
      <c r="E132" s="185" t="s">
        <v>205</v>
      </c>
      <c r="F132" s="29" t="s">
        <v>470</v>
      </c>
      <c r="G132" s="29" t="s">
        <v>656</v>
      </c>
      <c r="H132" s="662"/>
      <c r="I132" s="29" t="s">
        <v>656</v>
      </c>
      <c r="J132" s="29" t="s">
        <v>656</v>
      </c>
      <c r="K132" s="29" t="s">
        <v>656</v>
      </c>
      <c r="L132" s="29"/>
      <c r="M132" s="29"/>
      <c r="N132" s="50" t="s">
        <v>656</v>
      </c>
      <c r="O132" s="36" t="s">
        <v>656</v>
      </c>
      <c r="P132" s="29" t="s">
        <v>656</v>
      </c>
      <c r="Q132" s="54" t="s">
        <v>656</v>
      </c>
      <c r="R132" s="29" t="s">
        <v>656</v>
      </c>
      <c r="S132" s="29" t="s">
        <v>656</v>
      </c>
      <c r="T132" s="29" t="s">
        <v>656</v>
      </c>
      <c r="U132" s="29" t="s">
        <v>1930</v>
      </c>
      <c r="V132" s="29" t="s">
        <v>1924</v>
      </c>
      <c r="W132" s="29"/>
      <c r="X132" s="29"/>
      <c r="Y132" s="29"/>
      <c r="Z132" s="29"/>
      <c r="AA132" s="29"/>
      <c r="AB132" s="29"/>
      <c r="AC132" s="29"/>
      <c r="AD132" s="29" t="s">
        <v>656</v>
      </c>
      <c r="AE132" s="662" t="s">
        <v>656</v>
      </c>
      <c r="AF132" s="29"/>
      <c r="AG132" s="29"/>
      <c r="AH132" s="48" t="s">
        <v>470</v>
      </c>
      <c r="AI132" s="29"/>
      <c r="AJ132" s="36" t="s">
        <v>470</v>
      </c>
      <c r="AK132" s="663"/>
      <c r="AL132" s="29"/>
      <c r="AM132" s="29"/>
      <c r="AN132" s="29" t="s">
        <v>656</v>
      </c>
      <c r="AO132" s="29"/>
      <c r="AP132" s="663"/>
      <c r="AQ132" s="29"/>
      <c r="AR132" s="663"/>
      <c r="AS132" s="29"/>
      <c r="AT132" s="29"/>
      <c r="AU132" s="29"/>
      <c r="AV132" s="48"/>
      <c r="AW132" s="29"/>
      <c r="AX132" s="663"/>
      <c r="AY132" s="663"/>
      <c r="AZ132" s="29" t="s">
        <v>656</v>
      </c>
      <c r="BA132" s="29" t="s">
        <v>656</v>
      </c>
      <c r="BB132" s="29" t="s">
        <v>656</v>
      </c>
      <c r="BC132" s="29" t="s">
        <v>470</v>
      </c>
      <c r="BD132" s="29"/>
      <c r="BE132" s="29"/>
      <c r="BF132" s="29"/>
      <c r="BG132" s="29"/>
      <c r="BH132" s="29" t="s">
        <v>656</v>
      </c>
      <c r="BI132" s="29" t="s">
        <v>656</v>
      </c>
      <c r="BJ132" s="29" t="s">
        <v>656</v>
      </c>
      <c r="BK132" s="29"/>
      <c r="BL132" s="29"/>
      <c r="BM132" s="29" t="s">
        <v>656</v>
      </c>
      <c r="BN132" s="32"/>
      <c r="BO132" s="186"/>
      <c r="BP132" s="29" t="s">
        <v>470</v>
      </c>
      <c r="BQ132" s="29"/>
      <c r="BR132" s="29" t="s">
        <v>656</v>
      </c>
      <c r="BS132" s="29" t="s">
        <v>656</v>
      </c>
      <c r="BT132" s="54" t="s">
        <v>3576</v>
      </c>
      <c r="BU132" s="29"/>
      <c r="BV132" s="29" t="s">
        <v>656</v>
      </c>
      <c r="BW132" s="29" t="s">
        <v>470</v>
      </c>
      <c r="BX132" s="36" t="s">
        <v>470</v>
      </c>
      <c r="BY132" s="663"/>
      <c r="BZ132" s="663"/>
      <c r="CA132" s="29"/>
      <c r="CB132" s="48" t="s">
        <v>470</v>
      </c>
      <c r="CC132" s="29" t="s">
        <v>470</v>
      </c>
      <c r="CD132" s="29"/>
      <c r="CE132" s="29" t="s">
        <v>656</v>
      </c>
      <c r="CF132" s="29" t="s">
        <v>470</v>
      </c>
      <c r="CG132" s="662" t="s">
        <v>470</v>
      </c>
      <c r="CH132" s="29" t="s">
        <v>656</v>
      </c>
      <c r="CI132" s="29" t="s">
        <v>656</v>
      </c>
      <c r="CJ132" s="29" t="s">
        <v>656</v>
      </c>
      <c r="CK132" s="29" t="s">
        <v>656</v>
      </c>
      <c r="CL132" s="29" t="s">
        <v>656</v>
      </c>
      <c r="CM132" s="115" t="s">
        <v>539</v>
      </c>
      <c r="CN132" s="29" t="s">
        <v>470</v>
      </c>
      <c r="CO132" s="29" t="s">
        <v>470</v>
      </c>
      <c r="CP132" s="29" t="s">
        <v>470</v>
      </c>
      <c r="CQ132" s="36" t="s">
        <v>470</v>
      </c>
      <c r="CR132" s="127"/>
      <c r="CS132" s="29"/>
      <c r="CT132" s="36"/>
      <c r="CU132" s="29"/>
      <c r="CV132" s="663"/>
      <c r="CW132" s="54" t="s">
        <v>656</v>
      </c>
      <c r="CX132" s="734" t="s">
        <v>656</v>
      </c>
      <c r="CY132" s="29" t="s">
        <v>1447</v>
      </c>
      <c r="CZ132" s="29" t="s">
        <v>1447</v>
      </c>
      <c r="DA132" s="29" t="s">
        <v>1482</v>
      </c>
      <c r="DB132" s="29" t="s">
        <v>1924</v>
      </c>
      <c r="DC132" s="29" t="s">
        <v>656</v>
      </c>
      <c r="DD132" s="29" t="s">
        <v>470</v>
      </c>
      <c r="DE132" s="29" t="s">
        <v>470</v>
      </c>
      <c r="DF132" s="29"/>
      <c r="DG132" s="127"/>
      <c r="DH132" s="29"/>
      <c r="DI132" s="127"/>
      <c r="DJ132" s="666"/>
      <c r="DK132" s="667"/>
      <c r="DL132" s="127"/>
      <c r="DM132" s="127"/>
      <c r="DN132" s="29" t="s">
        <v>656</v>
      </c>
      <c r="DO132" s="36" t="s">
        <v>656</v>
      </c>
      <c r="DP132" s="29"/>
      <c r="DQ132" s="29"/>
      <c r="DR132" s="29"/>
      <c r="DS132" s="29" t="s">
        <v>656</v>
      </c>
      <c r="DT132" s="29"/>
      <c r="DU132" s="29"/>
      <c r="DV132" s="29" t="s">
        <v>656</v>
      </c>
      <c r="DW132" s="29"/>
      <c r="DX132" s="29"/>
      <c r="DY132" s="29"/>
      <c r="DZ132" s="29"/>
      <c r="EA132" s="29"/>
      <c r="EB132" s="29"/>
      <c r="EC132" s="29" t="s">
        <v>1447</v>
      </c>
      <c r="ED132" s="29"/>
      <c r="EE132" s="29"/>
      <c r="EF132" s="29" t="s">
        <v>470</v>
      </c>
      <c r="EG132" s="663"/>
      <c r="EH132" s="186" t="s">
        <v>656</v>
      </c>
      <c r="EI132" s="186" t="s">
        <v>656</v>
      </c>
      <c r="EJ132" s="186" t="s">
        <v>656</v>
      </c>
      <c r="EK132" s="29"/>
      <c r="EL132" s="29"/>
      <c r="EM132" s="186"/>
      <c r="EN132" s="50" t="s">
        <v>2234</v>
      </c>
      <c r="EO132" s="29"/>
      <c r="EP132" s="36" t="s">
        <v>656</v>
      </c>
      <c r="EQ132" s="36" t="s">
        <v>470</v>
      </c>
      <c r="ER132" s="29"/>
      <c r="ES132" s="663"/>
      <c r="ET132" s="29" t="s">
        <v>470</v>
      </c>
      <c r="EU132" s="169" t="s">
        <v>470</v>
      </c>
      <c r="EV132" s="662" t="s">
        <v>656</v>
      </c>
      <c r="EW132" s="29"/>
      <c r="EX132" s="29"/>
      <c r="EY132" s="29" t="s">
        <v>656</v>
      </c>
      <c r="EZ132" s="663"/>
      <c r="FA132" s="29" t="s">
        <v>656</v>
      </c>
    </row>
    <row r="133" spans="1:157" ht="51" x14ac:dyDescent="0.2">
      <c r="A133" s="1205"/>
      <c r="B133" s="1206"/>
      <c r="C133" s="1208"/>
      <c r="D133" s="1204"/>
      <c r="E133" s="185" t="s">
        <v>209</v>
      </c>
      <c r="F133" s="36" t="s">
        <v>470</v>
      </c>
      <c r="G133" s="36" t="s">
        <v>656</v>
      </c>
      <c r="H133" s="161"/>
      <c r="I133" s="36" t="s">
        <v>656</v>
      </c>
      <c r="J133" s="36" t="s">
        <v>656</v>
      </c>
      <c r="K133" s="36" t="s">
        <v>656</v>
      </c>
      <c r="L133" s="36"/>
      <c r="M133" s="36"/>
      <c r="N133" s="50" t="s">
        <v>656</v>
      </c>
      <c r="O133" s="36" t="s">
        <v>656</v>
      </c>
      <c r="P133" s="36" t="s">
        <v>656</v>
      </c>
      <c r="Q133" s="54" t="s">
        <v>656</v>
      </c>
      <c r="R133" s="36" t="s">
        <v>656</v>
      </c>
      <c r="S133" s="36" t="s">
        <v>656</v>
      </c>
      <c r="T133" s="36">
        <v>0</v>
      </c>
      <c r="U133" s="36">
        <v>0</v>
      </c>
      <c r="V133" s="36">
        <v>0</v>
      </c>
      <c r="W133" s="36"/>
      <c r="X133" s="36"/>
      <c r="Y133" s="36"/>
      <c r="Z133" s="36"/>
      <c r="AA133" s="36"/>
      <c r="AB133" s="36"/>
      <c r="AC133" s="36"/>
      <c r="AD133" s="36" t="s">
        <v>656</v>
      </c>
      <c r="AE133" s="161" t="s">
        <v>656</v>
      </c>
      <c r="AF133" s="36"/>
      <c r="AG133" s="36"/>
      <c r="AH133" s="50" t="s">
        <v>470</v>
      </c>
      <c r="AI133" s="36"/>
      <c r="AJ133" s="36" t="s">
        <v>470</v>
      </c>
      <c r="AK133" s="663"/>
      <c r="AL133" s="36"/>
      <c r="AM133" s="36"/>
      <c r="AN133" s="36" t="s">
        <v>656</v>
      </c>
      <c r="AO133" s="36"/>
      <c r="AP133" s="663"/>
      <c r="AQ133" s="36"/>
      <c r="AR133" s="663"/>
      <c r="AS133" s="36"/>
      <c r="AT133" s="36"/>
      <c r="AU133" s="36"/>
      <c r="AV133" s="50"/>
      <c r="AW133" s="36"/>
      <c r="AX133" s="663"/>
      <c r="AY133" s="663"/>
      <c r="AZ133" s="36" t="s">
        <v>656</v>
      </c>
      <c r="BA133" s="36" t="s">
        <v>656</v>
      </c>
      <c r="BB133" s="36" t="s">
        <v>656</v>
      </c>
      <c r="BC133" s="36" t="s">
        <v>470</v>
      </c>
      <c r="BD133" s="36"/>
      <c r="BE133" s="36"/>
      <c r="BF133" s="36"/>
      <c r="BG133" s="36"/>
      <c r="BH133" s="36" t="s">
        <v>656</v>
      </c>
      <c r="BI133" s="36" t="s">
        <v>656</v>
      </c>
      <c r="BJ133" s="36" t="s">
        <v>656</v>
      </c>
      <c r="BK133" s="36"/>
      <c r="BL133" s="36"/>
      <c r="BM133" s="36" t="s">
        <v>656</v>
      </c>
      <c r="BN133" s="55"/>
      <c r="BO133" s="733"/>
      <c r="BP133" s="36" t="s">
        <v>470</v>
      </c>
      <c r="BQ133" s="36"/>
      <c r="BR133" s="36" t="s">
        <v>656</v>
      </c>
      <c r="BS133" s="36" t="s">
        <v>656</v>
      </c>
      <c r="BT133" s="54">
        <v>96</v>
      </c>
      <c r="BU133" s="36"/>
      <c r="BV133" s="36" t="s">
        <v>656</v>
      </c>
      <c r="BW133" s="36" t="s">
        <v>470</v>
      </c>
      <c r="BX133" s="36" t="s">
        <v>470</v>
      </c>
      <c r="BY133" s="663"/>
      <c r="BZ133" s="663"/>
      <c r="CA133" s="36"/>
      <c r="CB133" s="50">
        <v>0</v>
      </c>
      <c r="CC133" s="36" t="s">
        <v>470</v>
      </c>
      <c r="CD133" s="36"/>
      <c r="CE133" s="36">
        <v>0</v>
      </c>
      <c r="CF133" s="29"/>
      <c r="CG133" s="662"/>
      <c r="CH133" s="36" t="s">
        <v>656</v>
      </c>
      <c r="CI133" s="36" t="s">
        <v>656</v>
      </c>
      <c r="CJ133" s="36" t="s">
        <v>656</v>
      </c>
      <c r="CK133" s="36">
        <v>0</v>
      </c>
      <c r="CL133" s="36">
        <v>0</v>
      </c>
      <c r="CM133" s="115" t="s">
        <v>539</v>
      </c>
      <c r="CN133" s="29" t="s">
        <v>470</v>
      </c>
      <c r="CO133" s="29" t="s">
        <v>470</v>
      </c>
      <c r="CP133" s="29" t="s">
        <v>470</v>
      </c>
      <c r="CQ133" s="36" t="s">
        <v>470</v>
      </c>
      <c r="CR133" s="132"/>
      <c r="CS133" s="36"/>
      <c r="CT133" s="29"/>
      <c r="CU133" s="36"/>
      <c r="CV133" s="663"/>
      <c r="CW133" s="55" t="s">
        <v>656</v>
      </c>
      <c r="CX133" s="734" t="s">
        <v>656</v>
      </c>
      <c r="CY133" s="36" t="s">
        <v>1447</v>
      </c>
      <c r="CZ133" s="36" t="s">
        <v>1447</v>
      </c>
      <c r="DA133" s="29" t="s">
        <v>1482</v>
      </c>
      <c r="DB133" s="36">
        <v>0</v>
      </c>
      <c r="DC133" s="36" t="s">
        <v>656</v>
      </c>
      <c r="DD133" s="36" t="s">
        <v>470</v>
      </c>
      <c r="DE133" s="36" t="s">
        <v>470</v>
      </c>
      <c r="DF133" s="36"/>
      <c r="DG133" s="132"/>
      <c r="DH133" s="36"/>
      <c r="DI133" s="132"/>
      <c r="DJ133" s="736"/>
      <c r="DK133" s="737"/>
      <c r="DL133" s="132"/>
      <c r="DM133" s="132"/>
      <c r="DN133" s="36" t="s">
        <v>656</v>
      </c>
      <c r="DO133" s="36" t="s">
        <v>656</v>
      </c>
      <c r="DP133" s="36"/>
      <c r="DQ133" s="36"/>
      <c r="DR133" s="36"/>
      <c r="DS133" s="36" t="s">
        <v>656</v>
      </c>
      <c r="DT133" s="36"/>
      <c r="DU133" s="36"/>
      <c r="DV133" s="36" t="s">
        <v>656</v>
      </c>
      <c r="DW133" s="36"/>
      <c r="DX133" s="36"/>
      <c r="DY133" s="36"/>
      <c r="DZ133" s="36"/>
      <c r="EA133" s="36"/>
      <c r="EB133" s="36"/>
      <c r="EC133" s="36" t="s">
        <v>1447</v>
      </c>
      <c r="ED133" s="36"/>
      <c r="EE133" s="36"/>
      <c r="EF133" s="36" t="s">
        <v>470</v>
      </c>
      <c r="EG133" s="663"/>
      <c r="EH133" s="733" t="s">
        <v>656</v>
      </c>
      <c r="EI133" s="733" t="s">
        <v>656</v>
      </c>
      <c r="EJ133" s="733" t="s">
        <v>656</v>
      </c>
      <c r="EK133" s="36"/>
      <c r="EL133" s="36"/>
      <c r="EM133" s="733"/>
      <c r="EN133" s="50" t="s">
        <v>2234</v>
      </c>
      <c r="EO133" s="36"/>
      <c r="EP133" s="36" t="s">
        <v>656</v>
      </c>
      <c r="EQ133" s="36" t="s">
        <v>470</v>
      </c>
      <c r="ER133" s="36"/>
      <c r="ES133" s="663"/>
      <c r="ET133" s="36">
        <v>0</v>
      </c>
      <c r="EU133" s="169">
        <v>0</v>
      </c>
      <c r="EV133" s="161" t="s">
        <v>656</v>
      </c>
      <c r="EW133" s="36"/>
      <c r="EX133" s="36">
        <f>FU132</f>
        <v>0</v>
      </c>
      <c r="EY133" s="36" t="s">
        <v>656</v>
      </c>
      <c r="EZ133" s="663"/>
      <c r="FA133" s="36" t="s">
        <v>656</v>
      </c>
    </row>
    <row r="134" spans="1:157" ht="68" x14ac:dyDescent="0.2">
      <c r="A134" s="1205"/>
      <c r="B134" s="1206"/>
      <c r="C134" s="1208" t="s">
        <v>233</v>
      </c>
      <c r="D134" s="1204" t="s">
        <v>234</v>
      </c>
      <c r="E134" s="185" t="s">
        <v>204</v>
      </c>
      <c r="F134" s="29" t="s">
        <v>470</v>
      </c>
      <c r="G134" s="29" t="s">
        <v>470</v>
      </c>
      <c r="H134" s="662" t="s">
        <v>470</v>
      </c>
      <c r="I134" s="29" t="s">
        <v>470</v>
      </c>
      <c r="J134" s="29" t="s">
        <v>539</v>
      </c>
      <c r="K134" s="29" t="s">
        <v>539</v>
      </c>
      <c r="L134" s="29" t="s">
        <v>470</v>
      </c>
      <c r="M134" s="29" t="s">
        <v>470</v>
      </c>
      <c r="N134" s="29" t="s">
        <v>470</v>
      </c>
      <c r="O134" s="36" t="s">
        <v>539</v>
      </c>
      <c r="P134" s="29" t="s">
        <v>539</v>
      </c>
      <c r="Q134" s="36" t="s">
        <v>539</v>
      </c>
      <c r="R134" s="29" t="s">
        <v>539</v>
      </c>
      <c r="S134" s="29" t="s">
        <v>539</v>
      </c>
      <c r="T134" s="29" t="s">
        <v>470</v>
      </c>
      <c r="U134" s="29" t="s">
        <v>873</v>
      </c>
      <c r="V134" s="29" t="s">
        <v>470</v>
      </c>
      <c r="W134" s="29" t="s">
        <v>539</v>
      </c>
      <c r="X134" s="29" t="s">
        <v>470</v>
      </c>
      <c r="Y134" s="29"/>
      <c r="Z134" s="29" t="s">
        <v>539</v>
      </c>
      <c r="AA134" s="29"/>
      <c r="AB134" s="29"/>
      <c r="AC134" s="29"/>
      <c r="AD134" s="29" t="s">
        <v>539</v>
      </c>
      <c r="AE134" s="662" t="s">
        <v>470</v>
      </c>
      <c r="AF134" s="29" t="s">
        <v>470</v>
      </c>
      <c r="AG134" s="29" t="s">
        <v>470</v>
      </c>
      <c r="AH134" s="48" t="s">
        <v>470</v>
      </c>
      <c r="AI134" s="29" t="s">
        <v>470</v>
      </c>
      <c r="AJ134" s="36" t="s">
        <v>470</v>
      </c>
      <c r="AK134" s="663"/>
      <c r="AL134" s="29" t="s">
        <v>470</v>
      </c>
      <c r="AM134" s="29" t="s">
        <v>470</v>
      </c>
      <c r="AN134" s="29" t="s">
        <v>470</v>
      </c>
      <c r="AO134" s="29" t="s">
        <v>470</v>
      </c>
      <c r="AP134" s="663"/>
      <c r="AQ134" s="48" t="s">
        <v>470</v>
      </c>
      <c r="AR134" s="663"/>
      <c r="AS134" s="29"/>
      <c r="AT134" s="29" t="s">
        <v>470</v>
      </c>
      <c r="AU134" s="29" t="s">
        <v>470</v>
      </c>
      <c r="AV134" s="48" t="s">
        <v>470</v>
      </c>
      <c r="AW134" s="29" t="s">
        <v>470</v>
      </c>
      <c r="AX134" s="663"/>
      <c r="AY134" s="663"/>
      <c r="AZ134" s="29" t="s">
        <v>470</v>
      </c>
      <c r="BA134" s="29" t="s">
        <v>470</v>
      </c>
      <c r="BB134" s="29" t="s">
        <v>470</v>
      </c>
      <c r="BC134" s="29" t="s">
        <v>470</v>
      </c>
      <c r="BD134" s="54" t="s">
        <v>479</v>
      </c>
      <c r="BE134" s="29" t="s">
        <v>470</v>
      </c>
      <c r="BF134" s="29" t="s">
        <v>479</v>
      </c>
      <c r="BG134" s="29" t="s">
        <v>470</v>
      </c>
      <c r="BH134" s="29" t="s">
        <v>470</v>
      </c>
      <c r="BI134" s="29" t="s">
        <v>470</v>
      </c>
      <c r="BJ134" s="29" t="s">
        <v>470</v>
      </c>
      <c r="BK134" s="29" t="s">
        <v>470</v>
      </c>
      <c r="BL134" s="29" t="s">
        <v>470</v>
      </c>
      <c r="BM134" s="29" t="s">
        <v>470</v>
      </c>
      <c r="BN134" s="54"/>
      <c r="BO134" s="186" t="s">
        <v>470</v>
      </c>
      <c r="BP134" s="29" t="s">
        <v>470</v>
      </c>
      <c r="BQ134" s="29" t="s">
        <v>470</v>
      </c>
      <c r="BR134" s="29" t="s">
        <v>470</v>
      </c>
      <c r="BS134" s="29" t="s">
        <v>470</v>
      </c>
      <c r="BT134" s="54" t="s">
        <v>470</v>
      </c>
      <c r="BU134" s="29" t="s">
        <v>470</v>
      </c>
      <c r="BV134" s="29" t="s">
        <v>656</v>
      </c>
      <c r="BW134" s="29" t="s">
        <v>3007</v>
      </c>
      <c r="BX134" s="36" t="s">
        <v>470</v>
      </c>
      <c r="BY134" s="663"/>
      <c r="BZ134" s="663"/>
      <c r="CA134" s="29" t="s">
        <v>470</v>
      </c>
      <c r="CB134" s="48" t="s">
        <v>470</v>
      </c>
      <c r="CC134" s="29" t="s">
        <v>470</v>
      </c>
      <c r="CD134" s="29" t="s">
        <v>470</v>
      </c>
      <c r="CE134" s="29" t="s">
        <v>470</v>
      </c>
      <c r="CF134" s="36"/>
      <c r="CG134" s="161"/>
      <c r="CH134" s="29" t="s">
        <v>479</v>
      </c>
      <c r="CI134" s="29" t="s">
        <v>470</v>
      </c>
      <c r="CJ134" s="29" t="s">
        <v>470</v>
      </c>
      <c r="CK134" s="29" t="s">
        <v>470</v>
      </c>
      <c r="CL134" s="29" t="s">
        <v>470</v>
      </c>
      <c r="CM134" s="115" t="s">
        <v>539</v>
      </c>
      <c r="CN134" s="29" t="s">
        <v>470</v>
      </c>
      <c r="CO134" s="29" t="s">
        <v>470</v>
      </c>
      <c r="CP134" s="29" t="s">
        <v>470</v>
      </c>
      <c r="CQ134" s="36" t="s">
        <v>470</v>
      </c>
      <c r="CR134" s="127" t="s">
        <v>470</v>
      </c>
      <c r="CS134" s="29" t="s">
        <v>470</v>
      </c>
      <c r="CT134" s="29"/>
      <c r="CU134" s="29"/>
      <c r="CV134" s="663"/>
      <c r="CW134" s="54" t="s">
        <v>470</v>
      </c>
      <c r="CX134" s="664" t="s">
        <v>470</v>
      </c>
      <c r="CY134" s="29" t="s">
        <v>470</v>
      </c>
      <c r="CZ134" s="29" t="s">
        <v>470</v>
      </c>
      <c r="DA134" s="29" t="s">
        <v>1482</v>
      </c>
      <c r="DB134" s="29" t="s">
        <v>470</v>
      </c>
      <c r="DC134" s="29" t="s">
        <v>656</v>
      </c>
      <c r="DD134" s="29" t="s">
        <v>470</v>
      </c>
      <c r="DE134" s="29" t="s">
        <v>470</v>
      </c>
      <c r="DF134" s="29" t="s">
        <v>470</v>
      </c>
      <c r="DG134" s="127" t="s">
        <v>470</v>
      </c>
      <c r="DH134" s="29" t="s">
        <v>470</v>
      </c>
      <c r="DI134" s="127"/>
      <c r="DJ134" s="666"/>
      <c r="DK134" s="667" t="s">
        <v>470</v>
      </c>
      <c r="DL134" s="127" t="s">
        <v>470</v>
      </c>
      <c r="DM134" s="127" t="s">
        <v>470</v>
      </c>
      <c r="DN134" s="29" t="s">
        <v>470</v>
      </c>
      <c r="DO134" s="36" t="s">
        <v>470</v>
      </c>
      <c r="DP134" s="29" t="s">
        <v>470</v>
      </c>
      <c r="DQ134" s="29" t="s">
        <v>470</v>
      </c>
      <c r="DR134" s="29" t="s">
        <v>656</v>
      </c>
      <c r="DS134" s="29" t="s">
        <v>656</v>
      </c>
      <c r="DT134" s="29" t="s">
        <v>470</v>
      </c>
      <c r="DU134" s="29" t="s">
        <v>470</v>
      </c>
      <c r="DV134" s="29" t="s">
        <v>470</v>
      </c>
      <c r="DW134" s="29" t="s">
        <v>539</v>
      </c>
      <c r="DX134" s="29" t="s">
        <v>539</v>
      </c>
      <c r="DY134" s="36"/>
      <c r="DZ134" s="29" t="s">
        <v>539</v>
      </c>
      <c r="EA134" s="29" t="s">
        <v>539</v>
      </c>
      <c r="EB134" s="29"/>
      <c r="EC134" s="29" t="s">
        <v>470</v>
      </c>
      <c r="ED134" s="36" t="s">
        <v>470</v>
      </c>
      <c r="EE134" s="29" t="s">
        <v>470</v>
      </c>
      <c r="EF134" s="29" t="s">
        <v>470</v>
      </c>
      <c r="EG134" s="663"/>
      <c r="EH134" s="186" t="s">
        <v>470</v>
      </c>
      <c r="EI134" s="186" t="s">
        <v>470</v>
      </c>
      <c r="EJ134" s="186" t="s">
        <v>470</v>
      </c>
      <c r="EK134" s="29" t="s">
        <v>470</v>
      </c>
      <c r="EL134" s="29" t="s">
        <v>470</v>
      </c>
      <c r="EM134" s="186" t="s">
        <v>470</v>
      </c>
      <c r="EN134" s="50" t="s">
        <v>470</v>
      </c>
      <c r="EO134" s="29" t="s">
        <v>470</v>
      </c>
      <c r="EP134" s="36" t="s">
        <v>539</v>
      </c>
      <c r="EQ134" s="36" t="s">
        <v>470</v>
      </c>
      <c r="ER134" s="36"/>
      <c r="ES134" s="663"/>
      <c r="ET134" s="29" t="s">
        <v>470</v>
      </c>
      <c r="EU134" s="169" t="s">
        <v>470</v>
      </c>
      <c r="EV134" s="662" t="s">
        <v>656</v>
      </c>
      <c r="EW134" s="29" t="s">
        <v>470</v>
      </c>
      <c r="EX134" s="29" t="s">
        <v>479</v>
      </c>
      <c r="EY134" s="29" t="s">
        <v>470</v>
      </c>
      <c r="EZ134" s="663"/>
      <c r="FA134" s="29" t="s">
        <v>656</v>
      </c>
    </row>
    <row r="135" spans="1:157" ht="255" x14ac:dyDescent="0.2">
      <c r="A135" s="1205"/>
      <c r="B135" s="1206"/>
      <c r="C135" s="1208"/>
      <c r="D135" s="1204"/>
      <c r="E135" s="185" t="s">
        <v>205</v>
      </c>
      <c r="F135" s="29" t="s">
        <v>470</v>
      </c>
      <c r="G135" s="29" t="s">
        <v>656</v>
      </c>
      <c r="H135" s="662"/>
      <c r="I135" s="29" t="s">
        <v>656</v>
      </c>
      <c r="J135" s="29" t="s">
        <v>656</v>
      </c>
      <c r="K135" s="29" t="s">
        <v>656</v>
      </c>
      <c r="L135" s="29"/>
      <c r="M135" s="29"/>
      <c r="N135" s="50" t="s">
        <v>656</v>
      </c>
      <c r="O135" s="36" t="s">
        <v>656</v>
      </c>
      <c r="P135" s="29" t="s">
        <v>656</v>
      </c>
      <c r="Q135" s="54" t="s">
        <v>656</v>
      </c>
      <c r="R135" s="29" t="s">
        <v>656</v>
      </c>
      <c r="S135" s="29" t="s">
        <v>656</v>
      </c>
      <c r="T135" s="29" t="s">
        <v>656</v>
      </c>
      <c r="U135" s="29" t="s">
        <v>1930</v>
      </c>
      <c r="V135" s="29" t="s">
        <v>1924</v>
      </c>
      <c r="W135" s="29"/>
      <c r="X135" s="29"/>
      <c r="Y135" s="29"/>
      <c r="Z135" s="29"/>
      <c r="AA135" s="29"/>
      <c r="AB135" s="29"/>
      <c r="AC135" s="29"/>
      <c r="AD135" s="29" t="s">
        <v>656</v>
      </c>
      <c r="AE135" s="662" t="s">
        <v>656</v>
      </c>
      <c r="AF135" s="29"/>
      <c r="AG135" s="29"/>
      <c r="AH135" s="48" t="s">
        <v>470</v>
      </c>
      <c r="AI135" s="29"/>
      <c r="AJ135" s="36" t="s">
        <v>470</v>
      </c>
      <c r="AK135" s="663"/>
      <c r="AL135" s="29"/>
      <c r="AM135" s="29"/>
      <c r="AN135" s="29" t="s">
        <v>656</v>
      </c>
      <c r="AO135" s="29"/>
      <c r="AP135" s="663"/>
      <c r="AQ135" s="29"/>
      <c r="AR135" s="663"/>
      <c r="AS135" s="29"/>
      <c r="AT135" s="29"/>
      <c r="AU135" s="29"/>
      <c r="AV135" s="48"/>
      <c r="AW135" s="29"/>
      <c r="AX135" s="663"/>
      <c r="AY135" s="663"/>
      <c r="AZ135" s="29" t="s">
        <v>656</v>
      </c>
      <c r="BA135" s="29" t="s">
        <v>656</v>
      </c>
      <c r="BB135" s="29" t="s">
        <v>656</v>
      </c>
      <c r="BC135" s="29" t="s">
        <v>470</v>
      </c>
      <c r="BD135" s="54" t="s">
        <v>9495</v>
      </c>
      <c r="BE135" s="29"/>
      <c r="BF135" s="29" t="s">
        <v>1691</v>
      </c>
      <c r="BG135" s="29"/>
      <c r="BH135" s="29" t="s">
        <v>656</v>
      </c>
      <c r="BI135" s="29" t="s">
        <v>656</v>
      </c>
      <c r="BJ135" s="29" t="s">
        <v>656</v>
      </c>
      <c r="BK135" s="29"/>
      <c r="BL135" s="29"/>
      <c r="BM135" s="29" t="s">
        <v>656</v>
      </c>
      <c r="BN135" s="32"/>
      <c r="BO135" s="186"/>
      <c r="BP135" s="29" t="s">
        <v>470</v>
      </c>
      <c r="BQ135" s="29"/>
      <c r="BR135" s="29" t="s">
        <v>656</v>
      </c>
      <c r="BS135" s="29" t="s">
        <v>656</v>
      </c>
      <c r="BT135" s="54" t="s">
        <v>656</v>
      </c>
      <c r="BU135" s="29"/>
      <c r="BV135" s="29" t="s">
        <v>656</v>
      </c>
      <c r="BW135" s="29" t="s">
        <v>3007</v>
      </c>
      <c r="BX135" s="36" t="s">
        <v>470</v>
      </c>
      <c r="BY135" s="663"/>
      <c r="BZ135" s="663"/>
      <c r="CA135" s="29"/>
      <c r="CB135" s="48" t="s">
        <v>470</v>
      </c>
      <c r="CC135" s="29" t="s">
        <v>470</v>
      </c>
      <c r="CD135" s="29"/>
      <c r="CE135" s="29" t="s">
        <v>656</v>
      </c>
      <c r="CF135" s="29" t="s">
        <v>470</v>
      </c>
      <c r="CG135" s="662" t="s">
        <v>470</v>
      </c>
      <c r="CH135" s="32" t="s">
        <v>9548</v>
      </c>
      <c r="CI135" s="29" t="s">
        <v>656</v>
      </c>
      <c r="CJ135" s="29" t="s">
        <v>656</v>
      </c>
      <c r="CK135" s="29" t="s">
        <v>656</v>
      </c>
      <c r="CL135" s="29" t="s">
        <v>656</v>
      </c>
      <c r="CM135" s="115" t="s">
        <v>539</v>
      </c>
      <c r="CN135" s="29" t="s">
        <v>470</v>
      </c>
      <c r="CO135" s="29" t="s">
        <v>470</v>
      </c>
      <c r="CP135" s="29" t="s">
        <v>470</v>
      </c>
      <c r="CQ135" s="36" t="s">
        <v>470</v>
      </c>
      <c r="CR135" s="127"/>
      <c r="CS135" s="29"/>
      <c r="CT135" s="36"/>
      <c r="CU135" s="29"/>
      <c r="CV135" s="663"/>
      <c r="CW135" s="54" t="s">
        <v>656</v>
      </c>
      <c r="CX135" s="734" t="s">
        <v>656</v>
      </c>
      <c r="CY135" s="29" t="s">
        <v>1447</v>
      </c>
      <c r="CZ135" s="29" t="s">
        <v>1447</v>
      </c>
      <c r="DA135" s="29" t="s">
        <v>1482</v>
      </c>
      <c r="DB135" s="29" t="s">
        <v>1924</v>
      </c>
      <c r="DC135" s="29" t="s">
        <v>656</v>
      </c>
      <c r="DD135" s="29" t="s">
        <v>470</v>
      </c>
      <c r="DE135" s="29" t="s">
        <v>470</v>
      </c>
      <c r="DF135" s="29"/>
      <c r="DG135" s="127"/>
      <c r="DH135" s="29"/>
      <c r="DI135" s="127"/>
      <c r="DJ135" s="666"/>
      <c r="DK135" s="667"/>
      <c r="DL135" s="127"/>
      <c r="DM135" s="127"/>
      <c r="DN135" s="29" t="s">
        <v>656</v>
      </c>
      <c r="DO135" s="36" t="s">
        <v>656</v>
      </c>
      <c r="DP135" s="29"/>
      <c r="DQ135" s="29"/>
      <c r="DR135" s="29"/>
      <c r="DS135" s="29" t="s">
        <v>656</v>
      </c>
      <c r="DT135" s="29"/>
      <c r="DU135" s="29"/>
      <c r="DV135" s="29" t="s">
        <v>656</v>
      </c>
      <c r="DW135" s="29"/>
      <c r="DX135" s="29"/>
      <c r="DY135" s="36"/>
      <c r="DZ135" s="29"/>
      <c r="EA135" s="29"/>
      <c r="EB135" s="29"/>
      <c r="EC135" s="29" t="s">
        <v>1447</v>
      </c>
      <c r="ED135" s="29"/>
      <c r="EE135" s="29"/>
      <c r="EF135" s="29" t="s">
        <v>470</v>
      </c>
      <c r="EG135" s="663"/>
      <c r="EH135" s="186" t="s">
        <v>656</v>
      </c>
      <c r="EI135" s="186" t="s">
        <v>656</v>
      </c>
      <c r="EJ135" s="186" t="s">
        <v>656</v>
      </c>
      <c r="EK135" s="29"/>
      <c r="EL135" s="29"/>
      <c r="EM135" s="186"/>
      <c r="EN135" s="50" t="s">
        <v>2234</v>
      </c>
      <c r="EO135" s="29"/>
      <c r="EP135" s="36" t="s">
        <v>656</v>
      </c>
      <c r="EQ135" s="36" t="s">
        <v>470</v>
      </c>
      <c r="ER135" s="36"/>
      <c r="ES135" s="663"/>
      <c r="ET135" s="29" t="s">
        <v>470</v>
      </c>
      <c r="EU135" s="169" t="s">
        <v>470</v>
      </c>
      <c r="EV135" s="662" t="s">
        <v>656</v>
      </c>
      <c r="EW135" s="29"/>
      <c r="EX135" s="29"/>
      <c r="EY135" s="29" t="s">
        <v>656</v>
      </c>
      <c r="EZ135" s="663"/>
      <c r="FA135" s="29" t="s">
        <v>656</v>
      </c>
    </row>
    <row r="136" spans="1:157" ht="51" x14ac:dyDescent="0.2">
      <c r="A136" s="1205"/>
      <c r="B136" s="1206"/>
      <c r="C136" s="1208"/>
      <c r="D136" s="1204"/>
      <c r="E136" s="185" t="s">
        <v>209</v>
      </c>
      <c r="F136" s="36" t="s">
        <v>470</v>
      </c>
      <c r="G136" s="36" t="s">
        <v>656</v>
      </c>
      <c r="H136" s="161"/>
      <c r="I136" s="36" t="s">
        <v>656</v>
      </c>
      <c r="J136" s="36" t="s">
        <v>656</v>
      </c>
      <c r="K136" s="36" t="s">
        <v>656</v>
      </c>
      <c r="L136" s="36"/>
      <c r="M136" s="36"/>
      <c r="N136" s="50" t="s">
        <v>656</v>
      </c>
      <c r="O136" s="36" t="s">
        <v>656</v>
      </c>
      <c r="P136" s="36" t="s">
        <v>656</v>
      </c>
      <c r="Q136" s="54" t="s">
        <v>656</v>
      </c>
      <c r="R136" s="36" t="s">
        <v>656</v>
      </c>
      <c r="S136" s="36" t="s">
        <v>656</v>
      </c>
      <c r="T136" s="36">
        <v>0</v>
      </c>
      <c r="U136" s="36">
        <v>0</v>
      </c>
      <c r="V136" s="36">
        <v>0</v>
      </c>
      <c r="W136" s="36"/>
      <c r="X136" s="36"/>
      <c r="Y136" s="36"/>
      <c r="Z136" s="36"/>
      <c r="AA136" s="36"/>
      <c r="AB136" s="36"/>
      <c r="AC136" s="36"/>
      <c r="AD136" s="36" t="s">
        <v>656</v>
      </c>
      <c r="AE136" s="161" t="s">
        <v>656</v>
      </c>
      <c r="AF136" s="36"/>
      <c r="AG136" s="36"/>
      <c r="AH136" s="50" t="s">
        <v>470</v>
      </c>
      <c r="AI136" s="36"/>
      <c r="AJ136" s="36" t="s">
        <v>470</v>
      </c>
      <c r="AK136" s="663"/>
      <c r="AL136" s="36"/>
      <c r="AM136" s="36"/>
      <c r="AN136" s="36" t="s">
        <v>656</v>
      </c>
      <c r="AO136" s="36"/>
      <c r="AP136" s="663"/>
      <c r="AQ136" s="36"/>
      <c r="AR136" s="663"/>
      <c r="AS136" s="36"/>
      <c r="AT136" s="36"/>
      <c r="AU136" s="36"/>
      <c r="AV136" s="50"/>
      <c r="AW136" s="36"/>
      <c r="AX136" s="663"/>
      <c r="AY136" s="663"/>
      <c r="AZ136" s="36" t="s">
        <v>656</v>
      </c>
      <c r="BA136" s="36" t="s">
        <v>656</v>
      </c>
      <c r="BB136" s="36" t="s">
        <v>656</v>
      </c>
      <c r="BC136" s="36" t="s">
        <v>470</v>
      </c>
      <c r="BD136" s="55" t="s">
        <v>1816</v>
      </c>
      <c r="BE136" s="36"/>
      <c r="BF136" s="36">
        <v>315</v>
      </c>
      <c r="BG136" s="36"/>
      <c r="BH136" s="36" t="s">
        <v>656</v>
      </c>
      <c r="BI136" s="36" t="s">
        <v>656</v>
      </c>
      <c r="BJ136" s="36" t="s">
        <v>656</v>
      </c>
      <c r="BK136" s="36"/>
      <c r="BL136" s="36"/>
      <c r="BM136" s="36" t="s">
        <v>656</v>
      </c>
      <c r="BN136" s="55"/>
      <c r="BO136" s="733"/>
      <c r="BP136" s="36" t="s">
        <v>470</v>
      </c>
      <c r="BQ136" s="36"/>
      <c r="BR136" s="36" t="s">
        <v>656</v>
      </c>
      <c r="BS136" s="36" t="s">
        <v>656</v>
      </c>
      <c r="BT136" s="55" t="s">
        <v>656</v>
      </c>
      <c r="BU136" s="36"/>
      <c r="BV136" s="36" t="s">
        <v>656</v>
      </c>
      <c r="BW136" s="36" t="s">
        <v>3007</v>
      </c>
      <c r="BX136" s="36" t="s">
        <v>470</v>
      </c>
      <c r="BY136" s="663"/>
      <c r="BZ136" s="663"/>
      <c r="CA136" s="36"/>
      <c r="CB136" s="50">
        <v>0</v>
      </c>
      <c r="CC136" s="36" t="s">
        <v>470</v>
      </c>
      <c r="CD136" s="36"/>
      <c r="CE136" s="36">
        <v>0</v>
      </c>
      <c r="CF136" s="29"/>
      <c r="CG136" s="662"/>
      <c r="CH136" s="36">
        <v>258</v>
      </c>
      <c r="CI136" s="36" t="s">
        <v>656</v>
      </c>
      <c r="CJ136" s="36" t="s">
        <v>656</v>
      </c>
      <c r="CK136" s="36">
        <v>0</v>
      </c>
      <c r="CL136" s="36">
        <v>0</v>
      </c>
      <c r="CM136" s="115" t="s">
        <v>539</v>
      </c>
      <c r="CN136" s="29" t="s">
        <v>470</v>
      </c>
      <c r="CO136" s="29" t="s">
        <v>470</v>
      </c>
      <c r="CP136" s="29" t="s">
        <v>470</v>
      </c>
      <c r="CQ136" s="36" t="s">
        <v>470</v>
      </c>
      <c r="CR136" s="132"/>
      <c r="CS136" s="36"/>
      <c r="CT136" s="36"/>
      <c r="CU136" s="36"/>
      <c r="CV136" s="663"/>
      <c r="CW136" s="55" t="s">
        <v>656</v>
      </c>
      <c r="CX136" s="734" t="s">
        <v>656</v>
      </c>
      <c r="CY136" s="36" t="s">
        <v>1447</v>
      </c>
      <c r="CZ136" s="36" t="s">
        <v>1447</v>
      </c>
      <c r="DA136" s="29" t="s">
        <v>1482</v>
      </c>
      <c r="DB136" s="36">
        <v>0</v>
      </c>
      <c r="DC136" s="36" t="s">
        <v>656</v>
      </c>
      <c r="DD136" s="36" t="s">
        <v>470</v>
      </c>
      <c r="DE136" s="36" t="s">
        <v>470</v>
      </c>
      <c r="DF136" s="36"/>
      <c r="DG136" s="132"/>
      <c r="DH136" s="36"/>
      <c r="DI136" s="132"/>
      <c r="DJ136" s="736"/>
      <c r="DK136" s="737"/>
      <c r="DL136" s="132"/>
      <c r="DM136" s="132"/>
      <c r="DN136" s="36" t="s">
        <v>656</v>
      </c>
      <c r="DO136" s="36" t="s">
        <v>656</v>
      </c>
      <c r="DP136" s="36"/>
      <c r="DQ136" s="36"/>
      <c r="DR136" s="36"/>
      <c r="DS136" s="36" t="s">
        <v>656</v>
      </c>
      <c r="DT136" s="36"/>
      <c r="DU136" s="36"/>
      <c r="DV136" s="36" t="s">
        <v>656</v>
      </c>
      <c r="DW136" s="36"/>
      <c r="DX136" s="36"/>
      <c r="DY136" s="36"/>
      <c r="DZ136" s="36"/>
      <c r="EA136" s="36"/>
      <c r="EB136" s="36"/>
      <c r="EC136" s="36" t="s">
        <v>1447</v>
      </c>
      <c r="ED136" s="36"/>
      <c r="EE136" s="36"/>
      <c r="EF136" s="36" t="s">
        <v>470</v>
      </c>
      <c r="EG136" s="663"/>
      <c r="EH136" s="733" t="s">
        <v>656</v>
      </c>
      <c r="EI136" s="733" t="s">
        <v>656</v>
      </c>
      <c r="EJ136" s="733" t="s">
        <v>656</v>
      </c>
      <c r="EK136" s="36"/>
      <c r="EL136" s="36"/>
      <c r="EM136" s="733"/>
      <c r="EN136" s="50" t="s">
        <v>2234</v>
      </c>
      <c r="EO136" s="36"/>
      <c r="EP136" s="36" t="s">
        <v>656</v>
      </c>
      <c r="EQ136" s="36" t="s">
        <v>470</v>
      </c>
      <c r="ER136" s="36"/>
      <c r="ES136" s="663"/>
      <c r="ET136" s="36">
        <v>0</v>
      </c>
      <c r="EU136" s="169">
        <v>0</v>
      </c>
      <c r="EV136" s="161" t="s">
        <v>656</v>
      </c>
      <c r="EW136" s="36"/>
      <c r="EX136" s="36">
        <f>FU135</f>
        <v>0</v>
      </c>
      <c r="EY136" s="36" t="s">
        <v>656</v>
      </c>
      <c r="EZ136" s="663"/>
      <c r="FA136" s="36" t="s">
        <v>656</v>
      </c>
    </row>
    <row r="137" spans="1:157" ht="323" x14ac:dyDescent="0.2">
      <c r="A137" s="1205"/>
      <c r="B137" s="1206"/>
      <c r="C137" s="1208" t="s">
        <v>235</v>
      </c>
      <c r="D137" s="1204" t="s">
        <v>236</v>
      </c>
      <c r="E137" s="185" t="s">
        <v>204</v>
      </c>
      <c r="F137" s="29" t="s">
        <v>470</v>
      </c>
      <c r="G137" s="29" t="s">
        <v>479</v>
      </c>
      <c r="H137" s="662" t="s">
        <v>470</v>
      </c>
      <c r="I137" s="29" t="s">
        <v>479</v>
      </c>
      <c r="J137" s="29" t="s">
        <v>539</v>
      </c>
      <c r="K137" s="29" t="s">
        <v>539</v>
      </c>
      <c r="L137" s="29" t="s">
        <v>470</v>
      </c>
      <c r="M137" s="29" t="s">
        <v>470</v>
      </c>
      <c r="N137" s="50" t="s">
        <v>656</v>
      </c>
      <c r="O137" s="36" t="s">
        <v>539</v>
      </c>
      <c r="P137" s="29" t="s">
        <v>539</v>
      </c>
      <c r="Q137" s="36" t="s">
        <v>540</v>
      </c>
      <c r="R137" s="29" t="s">
        <v>539</v>
      </c>
      <c r="S137" s="29" t="s">
        <v>539</v>
      </c>
      <c r="T137" s="29" t="s">
        <v>479</v>
      </c>
      <c r="U137" s="29" t="s">
        <v>479</v>
      </c>
      <c r="V137" s="29" t="s">
        <v>479</v>
      </c>
      <c r="W137" s="29" t="s">
        <v>539</v>
      </c>
      <c r="X137" s="29" t="s">
        <v>479</v>
      </c>
      <c r="Y137" s="29"/>
      <c r="Z137" s="29" t="s">
        <v>539</v>
      </c>
      <c r="AA137" s="29"/>
      <c r="AB137" s="29"/>
      <c r="AC137" s="29"/>
      <c r="AD137" s="29" t="s">
        <v>539</v>
      </c>
      <c r="AE137" s="662" t="s">
        <v>470</v>
      </c>
      <c r="AF137" s="29" t="s">
        <v>470</v>
      </c>
      <c r="AG137" s="29" t="s">
        <v>470</v>
      </c>
      <c r="AH137" s="48" t="s">
        <v>479</v>
      </c>
      <c r="AI137" s="29" t="s">
        <v>479</v>
      </c>
      <c r="AJ137" s="36" t="s">
        <v>540</v>
      </c>
      <c r="AK137" s="663"/>
      <c r="AL137" s="29" t="s">
        <v>479</v>
      </c>
      <c r="AM137" s="29" t="s">
        <v>470</v>
      </c>
      <c r="AN137" s="29" t="s">
        <v>470</v>
      </c>
      <c r="AO137" s="29" t="s">
        <v>470</v>
      </c>
      <c r="AP137" s="663"/>
      <c r="AQ137" s="48" t="s">
        <v>470</v>
      </c>
      <c r="AR137" s="663"/>
      <c r="AS137" s="29"/>
      <c r="AT137" s="29" t="s">
        <v>470</v>
      </c>
      <c r="AU137" s="29" t="s">
        <v>470</v>
      </c>
      <c r="AV137" s="48" t="s">
        <v>470</v>
      </c>
      <c r="AW137" s="29" t="s">
        <v>470</v>
      </c>
      <c r="AX137" s="663"/>
      <c r="AY137" s="663"/>
      <c r="AZ137" s="29" t="s">
        <v>470</v>
      </c>
      <c r="BA137" s="29" t="s">
        <v>470</v>
      </c>
      <c r="BB137" s="29" t="s">
        <v>470</v>
      </c>
      <c r="BC137" s="29" t="s">
        <v>479</v>
      </c>
      <c r="BD137" s="29" t="s">
        <v>470</v>
      </c>
      <c r="BE137" s="29" t="s">
        <v>479</v>
      </c>
      <c r="BF137" s="29" t="s">
        <v>479</v>
      </c>
      <c r="BG137" s="29" t="s">
        <v>470</v>
      </c>
      <c r="BH137" s="29" t="s">
        <v>470</v>
      </c>
      <c r="BI137" s="29" t="s">
        <v>479</v>
      </c>
      <c r="BJ137" s="29" t="s">
        <v>470</v>
      </c>
      <c r="BK137" s="29" t="s">
        <v>479</v>
      </c>
      <c r="BL137" s="29"/>
      <c r="BM137" s="29" t="s">
        <v>470</v>
      </c>
      <c r="BN137" s="29"/>
      <c r="BO137" s="186" t="s">
        <v>470</v>
      </c>
      <c r="BP137" s="29" t="s">
        <v>470</v>
      </c>
      <c r="BQ137" s="29" t="s">
        <v>470</v>
      </c>
      <c r="BR137" s="29" t="s">
        <v>2146</v>
      </c>
      <c r="BS137" s="29" t="s">
        <v>2146</v>
      </c>
      <c r="BT137" s="54" t="s">
        <v>470</v>
      </c>
      <c r="BU137" s="29" t="s">
        <v>470</v>
      </c>
      <c r="BV137" s="29" t="s">
        <v>656</v>
      </c>
      <c r="BW137" s="29" t="s">
        <v>479</v>
      </c>
      <c r="BX137" s="36" t="s">
        <v>470</v>
      </c>
      <c r="BY137" s="663"/>
      <c r="BZ137" s="663"/>
      <c r="CA137" s="29" t="s">
        <v>479</v>
      </c>
      <c r="CB137" s="48" t="s">
        <v>479</v>
      </c>
      <c r="CC137" s="29" t="s">
        <v>470</v>
      </c>
      <c r="CD137" s="29" t="s">
        <v>470</v>
      </c>
      <c r="CE137" s="29" t="s">
        <v>470</v>
      </c>
      <c r="CF137" s="36"/>
      <c r="CG137" s="161"/>
      <c r="CH137" s="29" t="s">
        <v>470</v>
      </c>
      <c r="CI137" s="29" t="s">
        <v>479</v>
      </c>
      <c r="CJ137" s="29" t="s">
        <v>479</v>
      </c>
      <c r="CK137" s="29" t="s">
        <v>479</v>
      </c>
      <c r="CL137" s="29" t="s">
        <v>470</v>
      </c>
      <c r="CM137" s="115" t="s">
        <v>539</v>
      </c>
      <c r="CN137" s="29" t="s">
        <v>470</v>
      </c>
      <c r="CO137" s="29" t="s">
        <v>470</v>
      </c>
      <c r="CP137" s="29" t="s">
        <v>479</v>
      </c>
      <c r="CQ137" s="124" t="s">
        <v>479</v>
      </c>
      <c r="CR137" s="132" t="s">
        <v>479</v>
      </c>
      <c r="CS137" s="29" t="s">
        <v>470</v>
      </c>
      <c r="CT137" s="36"/>
      <c r="CU137" s="29"/>
      <c r="CV137" s="663"/>
      <c r="CW137" s="54" t="s">
        <v>470</v>
      </c>
      <c r="CX137" s="664" t="s">
        <v>470</v>
      </c>
      <c r="CY137" s="29" t="s">
        <v>470</v>
      </c>
      <c r="CZ137" s="29" t="s">
        <v>470</v>
      </c>
      <c r="DA137" s="29" t="s">
        <v>479</v>
      </c>
      <c r="DB137" s="29" t="s">
        <v>470</v>
      </c>
      <c r="DC137" s="29" t="s">
        <v>656</v>
      </c>
      <c r="DD137" s="54" t="s">
        <v>479</v>
      </c>
      <c r="DE137" s="29" t="s">
        <v>540</v>
      </c>
      <c r="DF137" s="29" t="s">
        <v>470</v>
      </c>
      <c r="DG137" s="127" t="s">
        <v>470</v>
      </c>
      <c r="DH137" s="29" t="s">
        <v>470</v>
      </c>
      <c r="DI137" s="132" t="s">
        <v>479</v>
      </c>
      <c r="DJ137" s="666" t="s">
        <v>479</v>
      </c>
      <c r="DK137" s="667" t="s">
        <v>470</v>
      </c>
      <c r="DL137" s="127" t="s">
        <v>470</v>
      </c>
      <c r="DM137" s="127" t="s">
        <v>479</v>
      </c>
      <c r="DN137" s="29" t="s">
        <v>470</v>
      </c>
      <c r="DO137" s="29" t="s">
        <v>479</v>
      </c>
      <c r="DP137" s="29" t="s">
        <v>2534</v>
      </c>
      <c r="DQ137" s="29" t="s">
        <v>479</v>
      </c>
      <c r="DR137" s="36" t="s">
        <v>479</v>
      </c>
      <c r="DS137" s="29" t="s">
        <v>479</v>
      </c>
      <c r="DT137" s="29" t="s">
        <v>470</v>
      </c>
      <c r="DU137" s="54" t="s">
        <v>479</v>
      </c>
      <c r="DV137" s="29" t="s">
        <v>479</v>
      </c>
      <c r="DW137" s="29" t="s">
        <v>539</v>
      </c>
      <c r="DX137" s="29" t="s">
        <v>539</v>
      </c>
      <c r="DY137" s="29"/>
      <c r="DZ137" s="29" t="s">
        <v>540</v>
      </c>
      <c r="EA137" s="29" t="s">
        <v>539</v>
      </c>
      <c r="EB137" s="29"/>
      <c r="EC137" s="29" t="s">
        <v>479</v>
      </c>
      <c r="ED137" s="36" t="s">
        <v>470</v>
      </c>
      <c r="EE137" s="54" t="s">
        <v>479</v>
      </c>
      <c r="EF137" s="29" t="s">
        <v>470</v>
      </c>
      <c r="EG137" s="663"/>
      <c r="EH137" s="186" t="s">
        <v>479</v>
      </c>
      <c r="EI137" s="186" t="s">
        <v>470</v>
      </c>
      <c r="EJ137" s="186" t="s">
        <v>470</v>
      </c>
      <c r="EK137" s="29" t="s">
        <v>470</v>
      </c>
      <c r="EL137" s="29" t="s">
        <v>470</v>
      </c>
      <c r="EM137" s="186" t="s">
        <v>470</v>
      </c>
      <c r="EN137" s="50" t="s">
        <v>470</v>
      </c>
      <c r="EO137" s="29" t="s">
        <v>470</v>
      </c>
      <c r="EP137" s="36" t="s">
        <v>539</v>
      </c>
      <c r="EQ137" s="36" t="s">
        <v>470</v>
      </c>
      <c r="ER137" s="29"/>
      <c r="ES137" s="663"/>
      <c r="ET137" s="29" t="s">
        <v>470</v>
      </c>
      <c r="EU137" s="127" t="s">
        <v>479</v>
      </c>
      <c r="EV137" s="662" t="s">
        <v>540</v>
      </c>
      <c r="EW137" s="29" t="s">
        <v>470</v>
      </c>
      <c r="EX137" s="29" t="s">
        <v>479</v>
      </c>
      <c r="EY137" s="29" t="s">
        <v>479</v>
      </c>
      <c r="EZ137" s="663"/>
      <c r="FA137" s="29" t="s">
        <v>479</v>
      </c>
    </row>
    <row r="138" spans="1:157" ht="409.6" x14ac:dyDescent="0.2">
      <c r="A138" s="1205"/>
      <c r="B138" s="1206"/>
      <c r="C138" s="1208"/>
      <c r="D138" s="1204"/>
      <c r="E138" s="185" t="s">
        <v>205</v>
      </c>
      <c r="F138" s="29" t="s">
        <v>470</v>
      </c>
      <c r="G138" s="29" t="s">
        <v>1034</v>
      </c>
      <c r="H138" s="662"/>
      <c r="I138" s="29" t="s">
        <v>3607</v>
      </c>
      <c r="J138" s="29" t="s">
        <v>656</v>
      </c>
      <c r="K138" s="29" t="s">
        <v>656</v>
      </c>
      <c r="L138" s="29"/>
      <c r="M138" s="29"/>
      <c r="N138" s="50" t="s">
        <v>656</v>
      </c>
      <c r="O138" s="36" t="s">
        <v>656</v>
      </c>
      <c r="P138" s="29" t="s">
        <v>656</v>
      </c>
      <c r="Q138" s="54" t="s">
        <v>1510</v>
      </c>
      <c r="R138" s="29" t="s">
        <v>656</v>
      </c>
      <c r="S138" s="29" t="s">
        <v>656</v>
      </c>
      <c r="T138" s="29" t="s">
        <v>1906</v>
      </c>
      <c r="U138" s="29" t="s">
        <v>1938</v>
      </c>
      <c r="V138" s="29" t="s">
        <v>1938</v>
      </c>
      <c r="W138" s="29"/>
      <c r="X138" s="29" t="s">
        <v>3628</v>
      </c>
      <c r="Y138" s="29"/>
      <c r="Z138" s="29"/>
      <c r="AA138" s="29"/>
      <c r="AB138" s="29"/>
      <c r="AC138" s="29"/>
      <c r="AD138" s="29" t="s">
        <v>656</v>
      </c>
      <c r="AE138" s="662" t="s">
        <v>656</v>
      </c>
      <c r="AF138" s="29"/>
      <c r="AG138" s="29"/>
      <c r="AH138" s="48" t="s">
        <v>920</v>
      </c>
      <c r="AI138" s="29" t="s">
        <v>936</v>
      </c>
      <c r="AJ138" s="36" t="s">
        <v>962</v>
      </c>
      <c r="AK138" s="663"/>
      <c r="AL138" s="29" t="s">
        <v>3472</v>
      </c>
      <c r="AM138" s="29"/>
      <c r="AN138" s="29" t="s">
        <v>656</v>
      </c>
      <c r="AO138" s="29"/>
      <c r="AP138" s="663"/>
      <c r="AQ138" s="29"/>
      <c r="AR138" s="663"/>
      <c r="AS138" s="29"/>
      <c r="AT138" s="29"/>
      <c r="AU138" s="29"/>
      <c r="AV138" s="48"/>
      <c r="AW138" s="29"/>
      <c r="AX138" s="663"/>
      <c r="AY138" s="663"/>
      <c r="AZ138" s="29" t="s">
        <v>656</v>
      </c>
      <c r="BA138" s="29" t="s">
        <v>656</v>
      </c>
      <c r="BB138" s="29" t="s">
        <v>656</v>
      </c>
      <c r="BC138" s="29" t="s">
        <v>980</v>
      </c>
      <c r="BD138" s="29"/>
      <c r="BE138" s="29" t="s">
        <v>1844</v>
      </c>
      <c r="BF138" s="29"/>
      <c r="BG138" s="29"/>
      <c r="BH138" s="29" t="s">
        <v>656</v>
      </c>
      <c r="BI138" s="29" t="s">
        <v>1097</v>
      </c>
      <c r="BJ138" s="29" t="s">
        <v>656</v>
      </c>
      <c r="BK138" s="29" t="s">
        <v>1597</v>
      </c>
      <c r="BL138" s="101" t="s">
        <v>2114</v>
      </c>
      <c r="BM138" s="29" t="s">
        <v>656</v>
      </c>
      <c r="BN138" s="29"/>
      <c r="BO138" s="186"/>
      <c r="BP138" s="29" t="s">
        <v>470</v>
      </c>
      <c r="BQ138" s="29"/>
      <c r="BR138" s="29" t="s">
        <v>640</v>
      </c>
      <c r="BS138" s="29" t="s">
        <v>1992</v>
      </c>
      <c r="BT138" s="54" t="s">
        <v>656</v>
      </c>
      <c r="BU138" s="29"/>
      <c r="BV138" s="29" t="s">
        <v>656</v>
      </c>
      <c r="BW138" s="29" t="s">
        <v>3010</v>
      </c>
      <c r="BX138" s="36" t="s">
        <v>470</v>
      </c>
      <c r="BY138" s="663"/>
      <c r="BZ138" s="663"/>
      <c r="CA138" s="29" t="s">
        <v>3273</v>
      </c>
      <c r="CB138" s="50" t="s">
        <v>1133</v>
      </c>
      <c r="CC138" s="29" t="s">
        <v>470</v>
      </c>
      <c r="CD138" s="29"/>
      <c r="CE138" s="29" t="s">
        <v>656</v>
      </c>
      <c r="CF138" s="29" t="s">
        <v>470</v>
      </c>
      <c r="CG138" s="662" t="s">
        <v>470</v>
      </c>
      <c r="CH138" s="29" t="s">
        <v>656</v>
      </c>
      <c r="CI138" s="29" t="s">
        <v>1292</v>
      </c>
      <c r="CJ138" s="29" t="s">
        <v>1307</v>
      </c>
      <c r="CK138" s="103" t="s">
        <v>1321</v>
      </c>
      <c r="CL138" s="29" t="s">
        <v>656</v>
      </c>
      <c r="CM138" s="115" t="s">
        <v>539</v>
      </c>
      <c r="CN138" s="29" t="s">
        <v>470</v>
      </c>
      <c r="CO138" s="29" t="s">
        <v>470</v>
      </c>
      <c r="CP138" s="29" t="s">
        <v>3405</v>
      </c>
      <c r="CQ138" s="124" t="s">
        <v>3182</v>
      </c>
      <c r="CR138" s="127" t="s">
        <v>1398</v>
      </c>
      <c r="CS138" s="29"/>
      <c r="CT138" s="36"/>
      <c r="CU138" s="29"/>
      <c r="CV138" s="663"/>
      <c r="CW138" s="54" t="s">
        <v>656</v>
      </c>
      <c r="CX138" s="734" t="s">
        <v>656</v>
      </c>
      <c r="CY138" s="29" t="s">
        <v>1447</v>
      </c>
      <c r="CZ138" s="29" t="s">
        <v>1447</v>
      </c>
      <c r="DA138" s="29" t="s">
        <v>2893</v>
      </c>
      <c r="DB138" s="29" t="s">
        <v>1924</v>
      </c>
      <c r="DC138" s="29" t="s">
        <v>656</v>
      </c>
      <c r="DD138" s="54" t="s">
        <v>2871</v>
      </c>
      <c r="DE138" s="29" t="s">
        <v>2633</v>
      </c>
      <c r="DF138" s="29"/>
      <c r="DG138" s="127"/>
      <c r="DH138" s="29"/>
      <c r="DI138" s="132" t="s">
        <v>2731</v>
      </c>
      <c r="DJ138" s="666" t="s">
        <v>2790</v>
      </c>
      <c r="DK138" s="667"/>
      <c r="DL138" s="127"/>
      <c r="DM138" s="127" t="s">
        <v>593</v>
      </c>
      <c r="DN138" s="29" t="s">
        <v>656</v>
      </c>
      <c r="DO138" s="32" t="s">
        <v>2677</v>
      </c>
      <c r="DP138" s="29" t="s">
        <v>2535</v>
      </c>
      <c r="DQ138" s="29" t="s">
        <v>2592</v>
      </c>
      <c r="DR138" s="36" t="s">
        <v>2569</v>
      </c>
      <c r="DS138" s="29" t="s">
        <v>707</v>
      </c>
      <c r="DT138" s="29"/>
      <c r="DU138" s="54" t="s">
        <v>485</v>
      </c>
      <c r="DV138" s="29" t="s">
        <v>656</v>
      </c>
      <c r="DW138" s="29"/>
      <c r="DX138" s="29"/>
      <c r="DY138" s="29"/>
      <c r="DZ138" s="29" t="s">
        <v>2460</v>
      </c>
      <c r="EA138" s="29"/>
      <c r="EB138" s="29"/>
      <c r="EC138" s="29" t="s">
        <v>3012</v>
      </c>
      <c r="ED138" s="29"/>
      <c r="EE138" s="54" t="s">
        <v>514</v>
      </c>
      <c r="EF138" s="29" t="s">
        <v>470</v>
      </c>
      <c r="EG138" s="663"/>
      <c r="EH138" s="186" t="s">
        <v>2354</v>
      </c>
      <c r="EI138" s="186" t="s">
        <v>656</v>
      </c>
      <c r="EJ138" s="186" t="s">
        <v>656</v>
      </c>
      <c r="EK138" s="29"/>
      <c r="EL138" s="29"/>
      <c r="EM138" s="186"/>
      <c r="EN138" s="50" t="s">
        <v>2234</v>
      </c>
      <c r="EO138" s="29"/>
      <c r="EP138" s="36" t="s">
        <v>656</v>
      </c>
      <c r="EQ138" s="36" t="s">
        <v>470</v>
      </c>
      <c r="ER138" s="29"/>
      <c r="ES138" s="663"/>
      <c r="ET138" s="29" t="s">
        <v>470</v>
      </c>
      <c r="EU138" s="132" t="s">
        <v>3376</v>
      </c>
      <c r="EV138" s="662" t="s">
        <v>1597</v>
      </c>
      <c r="EW138" s="29"/>
      <c r="EX138" s="767" t="s">
        <v>1433</v>
      </c>
      <c r="EY138" s="29" t="s">
        <v>2087</v>
      </c>
      <c r="EZ138" s="663"/>
      <c r="FA138" s="29" t="s">
        <v>1631</v>
      </c>
    </row>
    <row r="139" spans="1:157" ht="85" x14ac:dyDescent="0.2">
      <c r="A139" s="1205"/>
      <c r="B139" s="1206"/>
      <c r="C139" s="1208"/>
      <c r="D139" s="1204"/>
      <c r="E139" s="185" t="s">
        <v>209</v>
      </c>
      <c r="F139" s="36" t="s">
        <v>470</v>
      </c>
      <c r="G139" s="36">
        <v>8</v>
      </c>
      <c r="H139" s="161"/>
      <c r="I139" s="36">
        <v>11</v>
      </c>
      <c r="J139" s="36" t="s">
        <v>656</v>
      </c>
      <c r="K139" s="36" t="s">
        <v>656</v>
      </c>
      <c r="L139" s="36"/>
      <c r="M139" s="36"/>
      <c r="N139" s="50" t="s">
        <v>656</v>
      </c>
      <c r="O139" s="36" t="s">
        <v>656</v>
      </c>
      <c r="P139" s="36" t="s">
        <v>656</v>
      </c>
      <c r="Q139" s="54">
        <v>24</v>
      </c>
      <c r="R139" s="36" t="s">
        <v>656</v>
      </c>
      <c r="S139" s="36" t="s">
        <v>656</v>
      </c>
      <c r="T139" s="36">
        <v>396</v>
      </c>
      <c r="U139" s="36">
        <v>10</v>
      </c>
      <c r="V139" s="36">
        <v>10</v>
      </c>
      <c r="W139" s="36"/>
      <c r="X139" s="36" t="s">
        <v>3629</v>
      </c>
      <c r="Y139" s="36"/>
      <c r="Z139" s="36"/>
      <c r="AA139" s="36"/>
      <c r="AB139" s="36"/>
      <c r="AC139" s="36"/>
      <c r="AD139" s="36" t="s">
        <v>656</v>
      </c>
      <c r="AE139" s="161" t="s">
        <v>656</v>
      </c>
      <c r="AF139" s="36"/>
      <c r="AG139" s="36"/>
      <c r="AH139" s="768">
        <v>11</v>
      </c>
      <c r="AI139" s="36">
        <v>10</v>
      </c>
      <c r="AJ139" s="36">
        <v>9</v>
      </c>
      <c r="AK139" s="663"/>
      <c r="AL139" s="36">
        <v>13</v>
      </c>
      <c r="AM139" s="36"/>
      <c r="AN139" s="36" t="s">
        <v>656</v>
      </c>
      <c r="AO139" s="36"/>
      <c r="AP139" s="663"/>
      <c r="AQ139" s="36"/>
      <c r="AR139" s="663"/>
      <c r="AS139" s="36"/>
      <c r="AT139" s="36"/>
      <c r="AU139" s="36"/>
      <c r="AV139" s="50"/>
      <c r="AW139" s="36"/>
      <c r="AX139" s="663"/>
      <c r="AY139" s="663"/>
      <c r="AZ139" s="36" t="s">
        <v>656</v>
      </c>
      <c r="BA139" s="36" t="s">
        <v>656</v>
      </c>
      <c r="BB139" s="36" t="s">
        <v>656</v>
      </c>
      <c r="BC139" s="36">
        <v>8</v>
      </c>
      <c r="BD139" s="36"/>
      <c r="BE139" s="36">
        <v>17</v>
      </c>
      <c r="BF139" s="36"/>
      <c r="BG139" s="36"/>
      <c r="BH139" s="36" t="s">
        <v>656</v>
      </c>
      <c r="BI139" s="36">
        <v>23</v>
      </c>
      <c r="BJ139" s="36" t="s">
        <v>656</v>
      </c>
      <c r="BK139" s="36">
        <v>10</v>
      </c>
      <c r="BL139" s="36">
        <v>16</v>
      </c>
      <c r="BM139" s="36" t="s">
        <v>656</v>
      </c>
      <c r="BN139" s="36"/>
      <c r="BO139" s="733"/>
      <c r="BP139" s="36" t="s">
        <v>470</v>
      </c>
      <c r="BQ139" s="36"/>
      <c r="BR139" s="36">
        <v>795</v>
      </c>
      <c r="BS139" s="36">
        <v>925</v>
      </c>
      <c r="BT139" s="54"/>
      <c r="BU139" s="36"/>
      <c r="BV139" s="36" t="s">
        <v>656</v>
      </c>
      <c r="BW139" s="36" t="s">
        <v>3011</v>
      </c>
      <c r="BX139" s="36" t="s">
        <v>470</v>
      </c>
      <c r="BY139" s="663"/>
      <c r="BZ139" s="663"/>
      <c r="CA139" s="36">
        <v>13</v>
      </c>
      <c r="CB139" s="50">
        <v>14</v>
      </c>
      <c r="CC139" s="36" t="s">
        <v>470</v>
      </c>
      <c r="CD139" s="36"/>
      <c r="CE139" s="36">
        <v>0</v>
      </c>
      <c r="CF139" s="29"/>
      <c r="CG139" s="662"/>
      <c r="CH139" s="36" t="s">
        <v>656</v>
      </c>
      <c r="CI139" s="36">
        <v>12</v>
      </c>
      <c r="CJ139" s="36">
        <v>11</v>
      </c>
      <c r="CK139" s="36">
        <v>9</v>
      </c>
      <c r="CL139" s="36">
        <v>0</v>
      </c>
      <c r="CM139" s="115" t="s">
        <v>539</v>
      </c>
      <c r="CN139" s="29" t="s">
        <v>470</v>
      </c>
      <c r="CO139" s="29" t="s">
        <v>470</v>
      </c>
      <c r="CP139" s="29">
        <v>12</v>
      </c>
      <c r="CQ139" s="125">
        <v>9</v>
      </c>
      <c r="CR139" s="132">
        <v>13</v>
      </c>
      <c r="CS139" s="36"/>
      <c r="CT139" s="29"/>
      <c r="CU139" s="36"/>
      <c r="CV139" s="663"/>
      <c r="CW139" s="55" t="s">
        <v>656</v>
      </c>
      <c r="CX139" s="734" t="s">
        <v>656</v>
      </c>
      <c r="CY139" s="36" t="s">
        <v>1447</v>
      </c>
      <c r="CZ139" s="36" t="s">
        <v>1447</v>
      </c>
      <c r="DA139" s="29" t="s">
        <v>481</v>
      </c>
      <c r="DB139" s="36">
        <v>0</v>
      </c>
      <c r="DC139" s="36" t="s">
        <v>656</v>
      </c>
      <c r="DD139" s="54">
        <v>6</v>
      </c>
      <c r="DE139" s="36">
        <v>25</v>
      </c>
      <c r="DF139" s="36"/>
      <c r="DG139" s="132"/>
      <c r="DH139" s="36"/>
      <c r="DI139" s="132">
        <v>65</v>
      </c>
      <c r="DJ139" s="736">
        <v>14</v>
      </c>
      <c r="DK139" s="737"/>
      <c r="DL139" s="132"/>
      <c r="DM139" s="132">
        <v>13</v>
      </c>
      <c r="DN139" s="36" t="s">
        <v>656</v>
      </c>
      <c r="DO139" s="36">
        <v>17</v>
      </c>
      <c r="DP139" s="36" t="s">
        <v>2536</v>
      </c>
      <c r="DQ139" s="36">
        <v>5</v>
      </c>
      <c r="DR139" s="36">
        <v>16</v>
      </c>
      <c r="DS139" s="36">
        <v>15</v>
      </c>
      <c r="DT139" s="36"/>
      <c r="DU139" s="36">
        <v>7</v>
      </c>
      <c r="DV139" s="36">
        <v>48</v>
      </c>
      <c r="DW139" s="36"/>
      <c r="DX139" s="36"/>
      <c r="DY139" s="36"/>
      <c r="DZ139" s="36">
        <v>6</v>
      </c>
      <c r="EA139" s="36"/>
      <c r="EB139" s="36"/>
      <c r="EC139" s="36">
        <v>21</v>
      </c>
      <c r="ED139" s="36"/>
      <c r="EE139" s="36">
        <v>8</v>
      </c>
      <c r="EF139" s="36" t="s">
        <v>470</v>
      </c>
      <c r="EG139" s="663"/>
      <c r="EH139" s="733">
        <v>5</v>
      </c>
      <c r="EI139" s="733" t="s">
        <v>656</v>
      </c>
      <c r="EJ139" s="733" t="s">
        <v>656</v>
      </c>
      <c r="EK139" s="36"/>
      <c r="EL139" s="36"/>
      <c r="EM139" s="733"/>
      <c r="EN139" s="50" t="s">
        <v>2234</v>
      </c>
      <c r="EO139" s="36"/>
      <c r="EP139" s="36" t="s">
        <v>656</v>
      </c>
      <c r="EQ139" s="36" t="s">
        <v>470</v>
      </c>
      <c r="ER139" s="36"/>
      <c r="ES139" s="663"/>
      <c r="ET139" s="36">
        <v>0</v>
      </c>
      <c r="EU139" s="127">
        <v>15</v>
      </c>
      <c r="EV139" s="161">
        <v>26</v>
      </c>
      <c r="EW139" s="36"/>
      <c r="EX139" s="36">
        <f>14+14</f>
        <v>28</v>
      </c>
      <c r="EY139" s="36">
        <v>43</v>
      </c>
      <c r="EZ139" s="663"/>
      <c r="FA139" s="36">
        <v>16</v>
      </c>
    </row>
    <row r="140" spans="1:157" ht="170" x14ac:dyDescent="0.2">
      <c r="A140" s="1205"/>
      <c r="B140" s="1206"/>
      <c r="C140" s="1208" t="s">
        <v>237</v>
      </c>
      <c r="D140" s="1204" t="s">
        <v>238</v>
      </c>
      <c r="E140" s="185" t="s">
        <v>204</v>
      </c>
      <c r="F140" s="36" t="s">
        <v>479</v>
      </c>
      <c r="G140" s="36" t="s">
        <v>470</v>
      </c>
      <c r="H140" s="161" t="s">
        <v>479</v>
      </c>
      <c r="I140" s="36" t="s">
        <v>470</v>
      </c>
      <c r="J140" s="36" t="s">
        <v>540</v>
      </c>
      <c r="K140" s="36" t="s">
        <v>539</v>
      </c>
      <c r="L140" s="36" t="s">
        <v>470</v>
      </c>
      <c r="M140" s="36" t="s">
        <v>479</v>
      </c>
      <c r="N140" s="50" t="s">
        <v>656</v>
      </c>
      <c r="O140" s="36" t="s">
        <v>539</v>
      </c>
      <c r="P140" s="29" t="s">
        <v>539</v>
      </c>
      <c r="Q140" s="36" t="s">
        <v>539</v>
      </c>
      <c r="R140" s="29" t="s">
        <v>539</v>
      </c>
      <c r="S140" s="36" t="s">
        <v>540</v>
      </c>
      <c r="T140" s="36" t="s">
        <v>479</v>
      </c>
      <c r="U140" s="36" t="s">
        <v>470</v>
      </c>
      <c r="V140" s="36" t="s">
        <v>470</v>
      </c>
      <c r="W140" s="36" t="s">
        <v>539</v>
      </c>
      <c r="X140" s="36" t="s">
        <v>470</v>
      </c>
      <c r="Y140" s="36"/>
      <c r="Z140" s="36" t="s">
        <v>539</v>
      </c>
      <c r="AA140" s="36"/>
      <c r="AB140" s="36"/>
      <c r="AC140" s="36"/>
      <c r="AD140" s="54" t="s">
        <v>540</v>
      </c>
      <c r="AE140" s="161" t="s">
        <v>479</v>
      </c>
      <c r="AF140" s="36" t="s">
        <v>470</v>
      </c>
      <c r="AG140" s="36" t="s">
        <v>470</v>
      </c>
      <c r="AH140" s="50" t="s">
        <v>470</v>
      </c>
      <c r="AI140" s="36" t="s">
        <v>470</v>
      </c>
      <c r="AJ140" s="36" t="s">
        <v>470</v>
      </c>
      <c r="AK140" s="663"/>
      <c r="AL140" s="36" t="s">
        <v>470</v>
      </c>
      <c r="AM140" s="36" t="s">
        <v>470</v>
      </c>
      <c r="AN140" s="36" t="s">
        <v>470</v>
      </c>
      <c r="AO140" s="36" t="s">
        <v>470</v>
      </c>
      <c r="AP140" s="663"/>
      <c r="AQ140" s="50" t="s">
        <v>470</v>
      </c>
      <c r="AR140" s="663"/>
      <c r="AS140" s="36"/>
      <c r="AT140" s="36" t="s">
        <v>470</v>
      </c>
      <c r="AU140" s="36" t="s">
        <v>470</v>
      </c>
      <c r="AV140" s="50" t="s">
        <v>470</v>
      </c>
      <c r="AW140" s="36" t="s">
        <v>470</v>
      </c>
      <c r="AX140" s="663"/>
      <c r="AY140" s="663"/>
      <c r="AZ140" s="29" t="s">
        <v>470</v>
      </c>
      <c r="BA140" s="29" t="s">
        <v>470</v>
      </c>
      <c r="BB140" s="29" t="s">
        <v>470</v>
      </c>
      <c r="BC140" s="36" t="s">
        <v>470</v>
      </c>
      <c r="BD140" s="36" t="s">
        <v>470</v>
      </c>
      <c r="BE140" s="36" t="s">
        <v>470</v>
      </c>
      <c r="BF140" s="36" t="s">
        <v>479</v>
      </c>
      <c r="BG140" s="36" t="s">
        <v>470</v>
      </c>
      <c r="BH140" s="29" t="s">
        <v>470</v>
      </c>
      <c r="BI140" s="36" t="s">
        <v>470</v>
      </c>
      <c r="BJ140" s="36" t="s">
        <v>470</v>
      </c>
      <c r="BK140" s="36" t="s">
        <v>470</v>
      </c>
      <c r="BL140" s="36" t="s">
        <v>470</v>
      </c>
      <c r="BM140" s="29" t="s">
        <v>470</v>
      </c>
      <c r="BN140" s="29"/>
      <c r="BO140" s="733" t="s">
        <v>470</v>
      </c>
      <c r="BP140" s="36" t="s">
        <v>479</v>
      </c>
      <c r="BQ140" s="36" t="s">
        <v>470</v>
      </c>
      <c r="BR140" s="36" t="s">
        <v>470</v>
      </c>
      <c r="BS140" s="29" t="s">
        <v>470</v>
      </c>
      <c r="BT140" s="54"/>
      <c r="BU140" s="36" t="s">
        <v>470</v>
      </c>
      <c r="BV140" s="36" t="s">
        <v>656</v>
      </c>
      <c r="BW140" s="36" t="s">
        <v>3007</v>
      </c>
      <c r="BX140" s="36" t="s">
        <v>470</v>
      </c>
      <c r="BY140" s="663"/>
      <c r="BZ140" s="663"/>
      <c r="CA140" s="36" t="s">
        <v>470</v>
      </c>
      <c r="CB140" s="50" t="s">
        <v>479</v>
      </c>
      <c r="CC140" s="36" t="s">
        <v>470</v>
      </c>
      <c r="CD140" s="36" t="s">
        <v>479</v>
      </c>
      <c r="CE140" s="36" t="s">
        <v>470</v>
      </c>
      <c r="CF140" s="36"/>
      <c r="CG140" s="161"/>
      <c r="CH140" s="36" t="s">
        <v>470</v>
      </c>
      <c r="CI140" s="36" t="s">
        <v>470</v>
      </c>
      <c r="CJ140" s="36" t="s">
        <v>470</v>
      </c>
      <c r="CK140" s="36" t="s">
        <v>470</v>
      </c>
      <c r="CL140" s="36" t="s">
        <v>470</v>
      </c>
      <c r="CM140" s="115" t="s">
        <v>539</v>
      </c>
      <c r="CN140" s="36" t="s">
        <v>479</v>
      </c>
      <c r="CO140" s="36" t="s">
        <v>470</v>
      </c>
      <c r="CP140" s="36" t="s">
        <v>470</v>
      </c>
      <c r="CQ140" s="126" t="s">
        <v>470</v>
      </c>
      <c r="CR140" s="132" t="s">
        <v>470</v>
      </c>
      <c r="CS140" s="36" t="s">
        <v>470</v>
      </c>
      <c r="CT140" s="29"/>
      <c r="CU140" s="36"/>
      <c r="CV140" s="663"/>
      <c r="CW140" s="54" t="s">
        <v>479</v>
      </c>
      <c r="CX140" s="664" t="s">
        <v>470</v>
      </c>
      <c r="CY140" s="36" t="s">
        <v>479</v>
      </c>
      <c r="CZ140" s="36" t="s">
        <v>479</v>
      </c>
      <c r="DA140" s="36" t="s">
        <v>479</v>
      </c>
      <c r="DB140" s="36" t="s">
        <v>479</v>
      </c>
      <c r="DC140" s="36" t="s">
        <v>656</v>
      </c>
      <c r="DD140" s="54" t="s">
        <v>470</v>
      </c>
      <c r="DE140" s="29" t="s">
        <v>470</v>
      </c>
      <c r="DF140" s="36" t="s">
        <v>470</v>
      </c>
      <c r="DG140" s="132" t="s">
        <v>470</v>
      </c>
      <c r="DH140" s="179" t="s">
        <v>2760</v>
      </c>
      <c r="DI140" s="132"/>
      <c r="DJ140" s="736"/>
      <c r="DK140" s="737" t="s">
        <v>470</v>
      </c>
      <c r="DL140" s="127" t="s">
        <v>470</v>
      </c>
      <c r="DM140" s="132" t="s">
        <v>470</v>
      </c>
      <c r="DN140" s="36" t="s">
        <v>470</v>
      </c>
      <c r="DO140" s="36" t="s">
        <v>470</v>
      </c>
      <c r="DP140" s="36" t="s">
        <v>479</v>
      </c>
      <c r="DQ140" s="36" t="s">
        <v>470</v>
      </c>
      <c r="DR140" s="36" t="s">
        <v>2570</v>
      </c>
      <c r="DS140" s="36" t="s">
        <v>656</v>
      </c>
      <c r="DT140" s="36" t="s">
        <v>470</v>
      </c>
      <c r="DU140" s="36" t="s">
        <v>470</v>
      </c>
      <c r="DV140" s="29" t="s">
        <v>479</v>
      </c>
      <c r="DW140" s="36" t="s">
        <v>539</v>
      </c>
      <c r="DX140" s="36" t="s">
        <v>539</v>
      </c>
      <c r="DY140" s="769"/>
      <c r="DZ140" s="36" t="s">
        <v>539</v>
      </c>
      <c r="EA140" s="36" t="s">
        <v>539</v>
      </c>
      <c r="EB140" s="36"/>
      <c r="EC140" s="36" t="s">
        <v>470</v>
      </c>
      <c r="ED140" s="29" t="s">
        <v>479</v>
      </c>
      <c r="EE140" s="36" t="s">
        <v>470</v>
      </c>
      <c r="EF140" s="36" t="s">
        <v>479</v>
      </c>
      <c r="EG140" s="663"/>
      <c r="EH140" s="733" t="s">
        <v>470</v>
      </c>
      <c r="EI140" s="186" t="s">
        <v>479</v>
      </c>
      <c r="EJ140" s="186" t="s">
        <v>470</v>
      </c>
      <c r="EK140" s="36" t="s">
        <v>479</v>
      </c>
      <c r="EL140" s="36" t="s">
        <v>470</v>
      </c>
      <c r="EM140" s="733" t="s">
        <v>470</v>
      </c>
      <c r="EN140" s="50" t="s">
        <v>470</v>
      </c>
      <c r="EO140" s="36" t="s">
        <v>470</v>
      </c>
      <c r="EP140" s="36" t="s">
        <v>539</v>
      </c>
      <c r="EQ140" s="36" t="s">
        <v>689</v>
      </c>
      <c r="ER140" s="29" t="s">
        <v>3687</v>
      </c>
      <c r="ES140" s="663"/>
      <c r="ET140" s="36" t="s">
        <v>470</v>
      </c>
      <c r="EU140" s="127" t="s">
        <v>479</v>
      </c>
      <c r="EV140" s="161" t="s">
        <v>540</v>
      </c>
      <c r="EW140" s="29" t="s">
        <v>479</v>
      </c>
      <c r="EX140" s="36" t="s">
        <v>479</v>
      </c>
      <c r="EY140" s="36" t="s">
        <v>470</v>
      </c>
      <c r="EZ140" s="663"/>
      <c r="FA140" s="36" t="s">
        <v>470</v>
      </c>
    </row>
    <row r="141" spans="1:157" ht="409.6" x14ac:dyDescent="0.2">
      <c r="A141" s="1205"/>
      <c r="B141" s="1206"/>
      <c r="C141" s="1211"/>
      <c r="D141" s="1204"/>
      <c r="E141" s="185" t="s">
        <v>205</v>
      </c>
      <c r="F141" s="36" t="s">
        <v>1009</v>
      </c>
      <c r="G141" s="36" t="s">
        <v>656</v>
      </c>
      <c r="H141" s="161" t="s">
        <v>920</v>
      </c>
      <c r="I141" s="36" t="s">
        <v>656</v>
      </c>
      <c r="J141" s="29" t="s">
        <v>1097</v>
      </c>
      <c r="K141" s="36" t="s">
        <v>656</v>
      </c>
      <c r="L141" s="36"/>
      <c r="M141" s="36"/>
      <c r="N141" s="50" t="s">
        <v>656</v>
      </c>
      <c r="O141" s="36" t="s">
        <v>656</v>
      </c>
      <c r="P141" s="29" t="s">
        <v>656</v>
      </c>
      <c r="Q141" s="54" t="s">
        <v>656</v>
      </c>
      <c r="R141" s="29" t="s">
        <v>656</v>
      </c>
      <c r="S141" s="67" t="s">
        <v>9549</v>
      </c>
      <c r="T141" s="36" t="s">
        <v>1907</v>
      </c>
      <c r="U141" s="36" t="s">
        <v>1930</v>
      </c>
      <c r="V141" s="36" t="s">
        <v>1924</v>
      </c>
      <c r="W141" s="36"/>
      <c r="X141" s="36"/>
      <c r="Y141" s="36"/>
      <c r="Z141" s="36"/>
      <c r="AA141" s="36"/>
      <c r="AB141" s="36"/>
      <c r="AC141" s="36"/>
      <c r="AD141" s="54" t="s">
        <v>664</v>
      </c>
      <c r="AE141" s="695" t="s">
        <v>9483</v>
      </c>
      <c r="AF141" s="67"/>
      <c r="AG141" s="36"/>
      <c r="AH141" s="50" t="s">
        <v>470</v>
      </c>
      <c r="AI141" s="36"/>
      <c r="AJ141" s="36" t="s">
        <v>470</v>
      </c>
      <c r="AK141" s="663"/>
      <c r="AL141" s="36"/>
      <c r="AM141" s="36"/>
      <c r="AN141" s="36" t="s">
        <v>656</v>
      </c>
      <c r="AO141" s="36"/>
      <c r="AP141" s="663"/>
      <c r="AQ141" s="36"/>
      <c r="AR141" s="663"/>
      <c r="AS141" s="36"/>
      <c r="AT141" s="36"/>
      <c r="AU141" s="36"/>
      <c r="AV141" s="50"/>
      <c r="AW141" s="36"/>
      <c r="AX141" s="663"/>
      <c r="AY141" s="663"/>
      <c r="AZ141" s="29" t="s">
        <v>656</v>
      </c>
      <c r="BA141" s="29" t="s">
        <v>656</v>
      </c>
      <c r="BB141" s="29" t="s">
        <v>656</v>
      </c>
      <c r="BC141" s="36" t="s">
        <v>470</v>
      </c>
      <c r="BD141" s="36"/>
      <c r="BE141" s="36"/>
      <c r="BF141" s="36" t="s">
        <v>1692</v>
      </c>
      <c r="BG141" s="36"/>
      <c r="BH141" s="29" t="s">
        <v>656</v>
      </c>
      <c r="BI141" s="36" t="s">
        <v>656</v>
      </c>
      <c r="BJ141" s="36" t="s">
        <v>656</v>
      </c>
      <c r="BK141" s="36"/>
      <c r="BL141" s="36"/>
      <c r="BM141" s="36" t="s">
        <v>656</v>
      </c>
      <c r="BN141" s="54" t="s">
        <v>3563</v>
      </c>
      <c r="BO141" s="733"/>
      <c r="BP141" s="36" t="s">
        <v>565</v>
      </c>
      <c r="BQ141" s="36"/>
      <c r="BR141" s="36" t="s">
        <v>656</v>
      </c>
      <c r="BS141" s="29" t="s">
        <v>656</v>
      </c>
      <c r="BT141" s="54"/>
      <c r="BU141" s="36"/>
      <c r="BV141" s="36" t="s">
        <v>656</v>
      </c>
      <c r="BW141" s="36" t="s">
        <v>3007</v>
      </c>
      <c r="BX141" s="36"/>
      <c r="BY141" s="663"/>
      <c r="BZ141" s="663"/>
      <c r="CA141" s="36"/>
      <c r="CB141" s="50" t="s">
        <v>1134</v>
      </c>
      <c r="CC141" s="36" t="s">
        <v>470</v>
      </c>
      <c r="CD141" s="36" t="s">
        <v>2192</v>
      </c>
      <c r="CE141" s="36" t="s">
        <v>656</v>
      </c>
      <c r="CF141" s="36" t="s">
        <v>470</v>
      </c>
      <c r="CG141" s="161" t="s">
        <v>470</v>
      </c>
      <c r="CH141" s="36" t="s">
        <v>656</v>
      </c>
      <c r="CI141" s="36" t="s">
        <v>656</v>
      </c>
      <c r="CJ141" s="36" t="s">
        <v>656</v>
      </c>
      <c r="CK141" s="36" t="s">
        <v>656</v>
      </c>
      <c r="CL141" s="36" t="s">
        <v>656</v>
      </c>
      <c r="CM141" s="115" t="s">
        <v>539</v>
      </c>
      <c r="CN141" s="36" t="s">
        <v>3158</v>
      </c>
      <c r="CO141" s="29" t="s">
        <v>470</v>
      </c>
      <c r="CP141" s="29" t="s">
        <v>470</v>
      </c>
      <c r="CQ141" s="126" t="s">
        <v>470</v>
      </c>
      <c r="CR141" s="127"/>
      <c r="CS141" s="36"/>
      <c r="CT141" s="36"/>
      <c r="CU141" s="36"/>
      <c r="CV141" s="663"/>
      <c r="CW141" s="54" t="s">
        <v>3075</v>
      </c>
      <c r="CX141" s="734" t="s">
        <v>656</v>
      </c>
      <c r="CY141" s="36" t="s">
        <v>640</v>
      </c>
      <c r="CZ141" s="36" t="s">
        <v>640</v>
      </c>
      <c r="DA141" s="67" t="s">
        <v>2894</v>
      </c>
      <c r="DB141" s="36" t="s">
        <v>2847</v>
      </c>
      <c r="DC141" s="36" t="s">
        <v>656</v>
      </c>
      <c r="DD141" s="54" t="s">
        <v>470</v>
      </c>
      <c r="DE141" s="29" t="s">
        <v>470</v>
      </c>
      <c r="DF141" s="36"/>
      <c r="DG141" s="132"/>
      <c r="DH141" s="179" t="s">
        <v>2761</v>
      </c>
      <c r="DI141" s="132"/>
      <c r="DJ141" s="736"/>
      <c r="DK141" s="737"/>
      <c r="DL141" s="127"/>
      <c r="DM141" s="132"/>
      <c r="DN141" s="36" t="s">
        <v>656</v>
      </c>
      <c r="DO141" s="36" t="s">
        <v>656</v>
      </c>
      <c r="DP141" s="36" t="s">
        <v>2537</v>
      </c>
      <c r="DQ141" s="36"/>
      <c r="DR141" s="36" t="s">
        <v>2571</v>
      </c>
      <c r="DS141" s="36" t="s">
        <v>656</v>
      </c>
      <c r="DT141" s="36"/>
      <c r="DU141" s="36"/>
      <c r="DV141" s="29" t="s">
        <v>656</v>
      </c>
      <c r="DW141" s="36"/>
      <c r="DX141" s="36"/>
      <c r="DY141" s="770"/>
      <c r="DZ141" s="36"/>
      <c r="EA141" s="36"/>
      <c r="EB141" s="36"/>
      <c r="EC141" s="36" t="s">
        <v>1447</v>
      </c>
      <c r="ED141" s="29" t="s">
        <v>3454</v>
      </c>
      <c r="EE141" s="36"/>
      <c r="EF141" s="29" t="s">
        <v>3661</v>
      </c>
      <c r="EG141" s="663"/>
      <c r="EH141" s="733" t="s">
        <v>656</v>
      </c>
      <c r="EI141" s="186" t="s">
        <v>1097</v>
      </c>
      <c r="EJ141" s="186" t="s">
        <v>656</v>
      </c>
      <c r="EK141" s="36" t="s">
        <v>2309</v>
      </c>
      <c r="EL141" s="36"/>
      <c r="EM141" s="733"/>
      <c r="EN141" s="50" t="s">
        <v>2234</v>
      </c>
      <c r="EO141" s="36"/>
      <c r="EP141" s="36" t="s">
        <v>656</v>
      </c>
      <c r="EQ141" s="36" t="s">
        <v>1660</v>
      </c>
      <c r="ER141" s="29" t="s">
        <v>3688</v>
      </c>
      <c r="ES141" s="663"/>
      <c r="ET141" s="36" t="s">
        <v>470</v>
      </c>
      <c r="EU141" s="771" t="s">
        <v>3378</v>
      </c>
      <c r="EV141" s="161" t="s">
        <v>920</v>
      </c>
      <c r="EW141" s="29" t="s">
        <v>749</v>
      </c>
      <c r="EX141" s="36" t="s">
        <v>1434</v>
      </c>
      <c r="EY141" s="36" t="s">
        <v>656</v>
      </c>
      <c r="EZ141" s="663"/>
      <c r="FA141" s="36" t="s">
        <v>656</v>
      </c>
    </row>
    <row r="142" spans="1:157" ht="204" x14ac:dyDescent="0.2">
      <c r="A142" s="1205"/>
      <c r="B142" s="1206"/>
      <c r="C142" s="1211"/>
      <c r="D142" s="1204"/>
      <c r="E142" s="185" t="s">
        <v>209</v>
      </c>
      <c r="F142" s="36">
        <v>13</v>
      </c>
      <c r="G142" s="36" t="s">
        <v>656</v>
      </c>
      <c r="H142" s="161">
        <v>6</v>
      </c>
      <c r="I142" s="36" t="s">
        <v>656</v>
      </c>
      <c r="J142" s="36">
        <v>12</v>
      </c>
      <c r="K142" s="36" t="s">
        <v>656</v>
      </c>
      <c r="L142" s="36"/>
      <c r="M142" s="36"/>
      <c r="N142" s="50" t="s">
        <v>656</v>
      </c>
      <c r="O142" s="36" t="s">
        <v>656</v>
      </c>
      <c r="P142" s="36" t="s">
        <v>656</v>
      </c>
      <c r="Q142" s="54" t="s">
        <v>656</v>
      </c>
      <c r="R142" s="36" t="s">
        <v>656</v>
      </c>
      <c r="S142" s="36">
        <v>16</v>
      </c>
      <c r="T142" s="36">
        <v>70</v>
      </c>
      <c r="U142" s="36">
        <v>0</v>
      </c>
      <c r="V142" s="36">
        <v>0</v>
      </c>
      <c r="W142" s="36"/>
      <c r="X142" s="36"/>
      <c r="Y142" s="36"/>
      <c r="Z142" s="36"/>
      <c r="AA142" s="36"/>
      <c r="AB142" s="36"/>
      <c r="AC142" s="36"/>
      <c r="AD142" s="36">
        <v>14</v>
      </c>
      <c r="AE142" s="161">
        <v>19</v>
      </c>
      <c r="AF142" s="36"/>
      <c r="AG142" s="36"/>
      <c r="AH142" s="50" t="s">
        <v>470</v>
      </c>
      <c r="AI142" s="36"/>
      <c r="AJ142" s="36" t="s">
        <v>470</v>
      </c>
      <c r="AK142" s="663"/>
      <c r="AL142" s="36"/>
      <c r="AM142" s="36"/>
      <c r="AN142" s="36" t="s">
        <v>656</v>
      </c>
      <c r="AO142" s="36"/>
      <c r="AP142" s="663"/>
      <c r="AQ142" s="36"/>
      <c r="AR142" s="663"/>
      <c r="AS142" s="36"/>
      <c r="AT142" s="36"/>
      <c r="AU142" s="36"/>
      <c r="AV142" s="50"/>
      <c r="AW142" s="36"/>
      <c r="AX142" s="663"/>
      <c r="AY142" s="663"/>
      <c r="AZ142" s="36" t="s">
        <v>656</v>
      </c>
      <c r="BA142" s="36" t="s">
        <v>656</v>
      </c>
      <c r="BB142" s="36" t="s">
        <v>656</v>
      </c>
      <c r="BC142" s="36" t="s">
        <v>470</v>
      </c>
      <c r="BD142" s="36"/>
      <c r="BE142" s="36"/>
      <c r="BF142" s="36">
        <v>16</v>
      </c>
      <c r="BG142" s="36"/>
      <c r="BH142" s="36" t="s">
        <v>656</v>
      </c>
      <c r="BI142" s="36" t="s">
        <v>656</v>
      </c>
      <c r="BJ142" s="36" t="s">
        <v>656</v>
      </c>
      <c r="BK142" s="36"/>
      <c r="BL142" s="36"/>
      <c r="BM142" s="36" t="s">
        <v>656</v>
      </c>
      <c r="BN142" s="38">
        <v>14</v>
      </c>
      <c r="BO142" s="733"/>
      <c r="BP142" s="36" t="s">
        <v>566</v>
      </c>
      <c r="BQ142" s="36"/>
      <c r="BR142" s="36" t="s">
        <v>656</v>
      </c>
      <c r="BS142" s="36" t="s">
        <v>656</v>
      </c>
      <c r="BT142" s="54"/>
      <c r="BU142" s="36"/>
      <c r="BV142" s="36" t="s">
        <v>656</v>
      </c>
      <c r="BW142" s="36" t="s">
        <v>3007</v>
      </c>
      <c r="BX142" s="36"/>
      <c r="BY142" s="663"/>
      <c r="BZ142" s="663"/>
      <c r="CA142" s="36"/>
      <c r="CB142" s="50">
        <v>35</v>
      </c>
      <c r="CC142" s="36" t="s">
        <v>470</v>
      </c>
      <c r="CD142" s="36">
        <v>14</v>
      </c>
      <c r="CE142" s="36">
        <v>0</v>
      </c>
      <c r="CF142" s="36"/>
      <c r="CG142" s="161"/>
      <c r="CH142" s="36" t="s">
        <v>656</v>
      </c>
      <c r="CI142" s="36" t="s">
        <v>656</v>
      </c>
      <c r="CJ142" s="36" t="s">
        <v>656</v>
      </c>
      <c r="CK142" s="36">
        <v>0</v>
      </c>
      <c r="CL142" s="36">
        <v>0</v>
      </c>
      <c r="CM142" s="115" t="s">
        <v>539</v>
      </c>
      <c r="CN142" s="36">
        <v>10</v>
      </c>
      <c r="CO142" s="29" t="s">
        <v>470</v>
      </c>
      <c r="CP142" s="29" t="s">
        <v>470</v>
      </c>
      <c r="CQ142" s="126" t="s">
        <v>470</v>
      </c>
      <c r="CR142" s="132"/>
      <c r="CS142" s="36"/>
      <c r="CT142" s="29" t="s">
        <v>3133</v>
      </c>
      <c r="CU142" s="36"/>
      <c r="CV142" s="663"/>
      <c r="CW142" s="54">
        <v>8</v>
      </c>
      <c r="CX142" s="734" t="s">
        <v>656</v>
      </c>
      <c r="CY142" s="36">
        <v>13</v>
      </c>
      <c r="CZ142" s="36">
        <v>13</v>
      </c>
      <c r="DA142" s="36">
        <v>15</v>
      </c>
      <c r="DB142" s="36">
        <v>14</v>
      </c>
      <c r="DC142" s="36" t="s">
        <v>656</v>
      </c>
      <c r="DD142" s="54" t="s">
        <v>470</v>
      </c>
      <c r="DE142" s="36" t="s">
        <v>470</v>
      </c>
      <c r="DF142" s="36"/>
      <c r="DG142" s="132"/>
      <c r="DH142" s="179">
        <v>22</v>
      </c>
      <c r="DI142" s="132"/>
      <c r="DJ142" s="736"/>
      <c r="DK142" s="737"/>
      <c r="DL142" s="132"/>
      <c r="DM142" s="132"/>
      <c r="DN142" s="36" t="s">
        <v>656</v>
      </c>
      <c r="DO142" s="36" t="s">
        <v>656</v>
      </c>
      <c r="DP142" s="36" t="s">
        <v>2538</v>
      </c>
      <c r="DQ142" s="36"/>
      <c r="DR142" s="36">
        <v>23</v>
      </c>
      <c r="DS142" s="36" t="s">
        <v>656</v>
      </c>
      <c r="DT142" s="36"/>
      <c r="DU142" s="36"/>
      <c r="DV142" s="36">
        <v>169</v>
      </c>
      <c r="DW142" s="36"/>
      <c r="DX142" s="36"/>
      <c r="DY142" s="38"/>
      <c r="DZ142" s="36"/>
      <c r="EA142" s="36"/>
      <c r="EB142" s="36"/>
      <c r="EC142" s="36" t="s">
        <v>1447</v>
      </c>
      <c r="ED142" s="36"/>
      <c r="EE142" s="36"/>
      <c r="EF142" s="36">
        <v>14</v>
      </c>
      <c r="EG142" s="663"/>
      <c r="EH142" s="733" t="s">
        <v>656</v>
      </c>
      <c r="EI142" s="733">
        <v>109</v>
      </c>
      <c r="EJ142" s="733" t="s">
        <v>656</v>
      </c>
      <c r="EK142" s="36">
        <v>18</v>
      </c>
      <c r="EL142" s="36"/>
      <c r="EM142" s="733"/>
      <c r="EN142" s="50" t="s">
        <v>2234</v>
      </c>
      <c r="EO142" s="36"/>
      <c r="EP142" s="36" t="s">
        <v>656</v>
      </c>
      <c r="EQ142" s="36" t="s">
        <v>1661</v>
      </c>
      <c r="ER142" s="38">
        <v>53</v>
      </c>
      <c r="ES142" s="663"/>
      <c r="ET142" s="36">
        <v>0</v>
      </c>
      <c r="EU142" s="180">
        <v>15</v>
      </c>
      <c r="EV142" s="161">
        <v>278</v>
      </c>
      <c r="EW142" s="36">
        <v>9</v>
      </c>
      <c r="EX142" s="36">
        <v>9</v>
      </c>
      <c r="EY142" s="36" t="s">
        <v>656</v>
      </c>
      <c r="EZ142" s="663"/>
      <c r="FA142" s="36" t="s">
        <v>656</v>
      </c>
    </row>
    <row r="143" spans="1:157" ht="409.6" x14ac:dyDescent="0.2">
      <c r="A143" s="1205"/>
      <c r="B143" s="1206"/>
      <c r="C143" s="1208" t="s">
        <v>239</v>
      </c>
      <c r="D143" s="1204" t="s">
        <v>240</v>
      </c>
      <c r="E143" s="185" t="s">
        <v>222</v>
      </c>
      <c r="F143" s="29" t="s">
        <v>470</v>
      </c>
      <c r="G143" s="29" t="s">
        <v>470</v>
      </c>
      <c r="H143" s="662"/>
      <c r="I143" s="29" t="s">
        <v>470</v>
      </c>
      <c r="J143" s="29" t="s">
        <v>656</v>
      </c>
      <c r="K143" s="29" t="s">
        <v>3205</v>
      </c>
      <c r="L143" s="29"/>
      <c r="M143" s="29" t="s">
        <v>470</v>
      </c>
      <c r="N143" s="29" t="s">
        <v>1876</v>
      </c>
      <c r="O143" s="36" t="s">
        <v>539</v>
      </c>
      <c r="P143" s="29" t="s">
        <v>470</v>
      </c>
      <c r="Q143" s="36" t="s">
        <v>539</v>
      </c>
      <c r="R143" s="29" t="s">
        <v>539</v>
      </c>
      <c r="S143" s="29" t="s">
        <v>539</v>
      </c>
      <c r="T143" s="29" t="s">
        <v>470</v>
      </c>
      <c r="U143" s="29" t="s">
        <v>1930</v>
      </c>
      <c r="V143" s="29" t="s">
        <v>1924</v>
      </c>
      <c r="W143" s="29" t="s">
        <v>539</v>
      </c>
      <c r="X143" s="29"/>
      <c r="Y143" s="29"/>
      <c r="Z143" s="29"/>
      <c r="AA143" s="29"/>
      <c r="AB143" s="29"/>
      <c r="AC143" s="29"/>
      <c r="AD143" s="36" t="s">
        <v>539</v>
      </c>
      <c r="AE143" s="662"/>
      <c r="AF143" s="29" t="s">
        <v>803</v>
      </c>
      <c r="AG143" s="29" t="s">
        <v>831</v>
      </c>
      <c r="AH143" s="48" t="s">
        <v>470</v>
      </c>
      <c r="AI143" s="29"/>
      <c r="AJ143" s="36" t="s">
        <v>470</v>
      </c>
      <c r="AK143" s="663"/>
      <c r="AL143" s="29" t="s">
        <v>470</v>
      </c>
      <c r="AM143" s="29" t="s">
        <v>470</v>
      </c>
      <c r="AN143" s="29" t="s">
        <v>470</v>
      </c>
      <c r="AO143" s="29" t="s">
        <v>470</v>
      </c>
      <c r="AP143" s="663"/>
      <c r="AQ143" s="48"/>
      <c r="AR143" s="663"/>
      <c r="AS143" s="29"/>
      <c r="AT143" s="29" t="s">
        <v>1993</v>
      </c>
      <c r="AU143" s="29" t="s">
        <v>479</v>
      </c>
      <c r="AV143" s="48"/>
      <c r="AW143" s="29" t="s">
        <v>470</v>
      </c>
      <c r="AX143" s="663"/>
      <c r="AY143" s="663"/>
      <c r="AZ143" s="29" t="s">
        <v>470</v>
      </c>
      <c r="BA143" s="29" t="s">
        <v>470</v>
      </c>
      <c r="BB143" s="29" t="s">
        <v>470</v>
      </c>
      <c r="BC143" s="29" t="s">
        <v>470</v>
      </c>
      <c r="BD143" s="29"/>
      <c r="BE143" s="29"/>
      <c r="BF143" s="29" t="s">
        <v>873</v>
      </c>
      <c r="BG143" s="29" t="s">
        <v>470</v>
      </c>
      <c r="BH143" s="29" t="s">
        <v>470</v>
      </c>
      <c r="BI143" s="29" t="s">
        <v>470</v>
      </c>
      <c r="BJ143" s="29" t="s">
        <v>470</v>
      </c>
      <c r="BK143" s="29" t="s">
        <v>470</v>
      </c>
      <c r="BL143" s="29" t="s">
        <v>470</v>
      </c>
      <c r="BM143" s="29" t="s">
        <v>470</v>
      </c>
      <c r="BN143" s="29" t="s">
        <v>470</v>
      </c>
      <c r="BO143" s="186"/>
      <c r="BP143" s="29" t="s">
        <v>470</v>
      </c>
      <c r="BQ143" s="29" t="s">
        <v>470</v>
      </c>
      <c r="BR143" s="29" t="s">
        <v>470</v>
      </c>
      <c r="BS143" s="29" t="s">
        <v>470</v>
      </c>
      <c r="BT143" s="54"/>
      <c r="BU143" s="29" t="s">
        <v>620</v>
      </c>
      <c r="BV143" s="29" t="s">
        <v>656</v>
      </c>
      <c r="BW143" s="36" t="s">
        <v>3010</v>
      </c>
      <c r="BX143" s="36" t="s">
        <v>470</v>
      </c>
      <c r="BY143" s="663"/>
      <c r="BZ143" s="663"/>
      <c r="CA143" s="29"/>
      <c r="CB143" s="48" t="s">
        <v>470</v>
      </c>
      <c r="CC143" s="29" t="s">
        <v>470</v>
      </c>
      <c r="CD143" s="29" t="s">
        <v>470</v>
      </c>
      <c r="CE143" s="29" t="s">
        <v>470</v>
      </c>
      <c r="CF143" s="36"/>
      <c r="CG143" s="161"/>
      <c r="CH143" s="29" t="s">
        <v>470</v>
      </c>
      <c r="CI143" s="29" t="s">
        <v>470</v>
      </c>
      <c r="CJ143" s="29" t="s">
        <v>470</v>
      </c>
      <c r="CK143" s="29" t="s">
        <v>470</v>
      </c>
      <c r="CL143" s="29" t="s">
        <v>470</v>
      </c>
      <c r="CM143" s="115" t="s">
        <v>539</v>
      </c>
      <c r="CN143" s="29" t="s">
        <v>470</v>
      </c>
      <c r="CO143" s="29" t="s">
        <v>470</v>
      </c>
      <c r="CP143" s="29" t="s">
        <v>470</v>
      </c>
      <c r="CQ143" s="29" t="s">
        <v>470</v>
      </c>
      <c r="CR143" s="127" t="s">
        <v>470</v>
      </c>
      <c r="CS143" s="29" t="s">
        <v>470</v>
      </c>
      <c r="CT143" s="29" t="s">
        <v>3134</v>
      </c>
      <c r="CU143" s="29"/>
      <c r="CV143" s="663"/>
      <c r="CW143" s="54" t="s">
        <v>470</v>
      </c>
      <c r="CX143" s="664" t="s">
        <v>470</v>
      </c>
      <c r="CY143" s="29" t="s">
        <v>470</v>
      </c>
      <c r="CZ143" s="29" t="s">
        <v>470</v>
      </c>
      <c r="DA143" s="29" t="s">
        <v>1482</v>
      </c>
      <c r="DB143" s="29" t="s">
        <v>470</v>
      </c>
      <c r="DC143" s="140" t="s">
        <v>656</v>
      </c>
      <c r="DD143" s="29" t="s">
        <v>470</v>
      </c>
      <c r="DE143" s="29" t="s">
        <v>470</v>
      </c>
      <c r="DF143" s="29" t="s">
        <v>3325</v>
      </c>
      <c r="DG143" s="127" t="s">
        <v>470</v>
      </c>
      <c r="DH143" s="29"/>
      <c r="DI143" s="127" t="s">
        <v>2732</v>
      </c>
      <c r="DJ143" s="666"/>
      <c r="DK143" s="667"/>
      <c r="DL143" s="127" t="s">
        <v>470</v>
      </c>
      <c r="DM143" s="127" t="s">
        <v>470</v>
      </c>
      <c r="DN143" s="29" t="s">
        <v>2657</v>
      </c>
      <c r="DO143" s="29" t="s">
        <v>479</v>
      </c>
      <c r="DP143" s="29" t="s">
        <v>873</v>
      </c>
      <c r="DQ143" s="36" t="s">
        <v>470</v>
      </c>
      <c r="DR143" s="36" t="s">
        <v>656</v>
      </c>
      <c r="DS143" s="29" t="s">
        <v>656</v>
      </c>
      <c r="DT143" s="29"/>
      <c r="DU143" s="29" t="s">
        <v>470</v>
      </c>
      <c r="DV143" s="29" t="s">
        <v>3407</v>
      </c>
      <c r="DW143" s="29"/>
      <c r="DX143" s="29" t="s">
        <v>540</v>
      </c>
      <c r="DY143" s="29" t="s">
        <v>2471</v>
      </c>
      <c r="DZ143" s="29" t="s">
        <v>539</v>
      </c>
      <c r="EA143" s="29"/>
      <c r="EB143" s="29"/>
      <c r="EC143" s="29" t="s">
        <v>1447</v>
      </c>
      <c r="ED143" s="29" t="s">
        <v>470</v>
      </c>
      <c r="EE143" s="29" t="s">
        <v>470</v>
      </c>
      <c r="EF143" s="29" t="s">
        <v>3662</v>
      </c>
      <c r="EG143" s="663"/>
      <c r="EH143" s="186" t="s">
        <v>470</v>
      </c>
      <c r="EI143" s="186" t="s">
        <v>470</v>
      </c>
      <c r="EJ143" s="186" t="s">
        <v>470</v>
      </c>
      <c r="EK143" s="29"/>
      <c r="EL143" s="29" t="s">
        <v>2333</v>
      </c>
      <c r="EM143" s="186"/>
      <c r="EN143" s="50" t="s">
        <v>470</v>
      </c>
      <c r="EO143" s="29" t="s">
        <v>470</v>
      </c>
      <c r="EP143" s="36" t="s">
        <v>539</v>
      </c>
      <c r="EQ143" s="29" t="s">
        <v>470</v>
      </c>
      <c r="ER143" s="29" t="s">
        <v>470</v>
      </c>
      <c r="ES143" s="663"/>
      <c r="ET143" s="29" t="s">
        <v>470</v>
      </c>
      <c r="EU143" s="169" t="s">
        <v>470</v>
      </c>
      <c r="EV143" s="662" t="s">
        <v>656</v>
      </c>
      <c r="EW143" s="29"/>
      <c r="EX143" s="29" t="s">
        <v>470</v>
      </c>
      <c r="EY143" s="29" t="s">
        <v>470</v>
      </c>
      <c r="EZ143" s="663"/>
      <c r="FA143" s="29" t="s">
        <v>1632</v>
      </c>
    </row>
    <row r="144" spans="1:157" ht="85" x14ac:dyDescent="0.2">
      <c r="A144" s="1205"/>
      <c r="B144" s="1206"/>
      <c r="C144" s="1208"/>
      <c r="D144" s="1204"/>
      <c r="E144" s="185" t="s">
        <v>205</v>
      </c>
      <c r="F144" s="29" t="s">
        <v>470</v>
      </c>
      <c r="G144" s="29" t="s">
        <v>656</v>
      </c>
      <c r="H144" s="662"/>
      <c r="I144" s="29" t="s">
        <v>656</v>
      </c>
      <c r="J144" s="29" t="s">
        <v>656</v>
      </c>
      <c r="K144" s="29"/>
      <c r="L144" s="29"/>
      <c r="M144" s="29"/>
      <c r="N144" s="29" t="s">
        <v>1877</v>
      </c>
      <c r="O144" s="36" t="s">
        <v>656</v>
      </c>
      <c r="P144" s="29" t="s">
        <v>656</v>
      </c>
      <c r="Q144" s="54" t="s">
        <v>656</v>
      </c>
      <c r="R144" s="29" t="s">
        <v>656</v>
      </c>
      <c r="S144" s="29" t="s">
        <v>656</v>
      </c>
      <c r="T144" s="29" t="s">
        <v>656</v>
      </c>
      <c r="U144" s="29" t="s">
        <v>1930</v>
      </c>
      <c r="V144" s="29" t="s">
        <v>1924</v>
      </c>
      <c r="W144" s="29"/>
      <c r="X144" s="29"/>
      <c r="Y144" s="29"/>
      <c r="Z144" s="29"/>
      <c r="AA144" s="29"/>
      <c r="AB144" s="29"/>
      <c r="AC144" s="29"/>
      <c r="AD144" s="36" t="s">
        <v>656</v>
      </c>
      <c r="AE144" s="662"/>
      <c r="AF144" s="29" t="s">
        <v>804</v>
      </c>
      <c r="AG144" s="29" t="s">
        <v>832</v>
      </c>
      <c r="AH144" s="48" t="s">
        <v>470</v>
      </c>
      <c r="AI144" s="29"/>
      <c r="AJ144" s="36" t="s">
        <v>470</v>
      </c>
      <c r="AK144" s="663"/>
      <c r="AL144" s="29"/>
      <c r="AM144" s="29"/>
      <c r="AN144" s="29" t="s">
        <v>656</v>
      </c>
      <c r="AO144" s="29"/>
      <c r="AP144" s="663"/>
      <c r="AQ144" s="29"/>
      <c r="AR144" s="663"/>
      <c r="AS144" s="29"/>
      <c r="AT144" s="29" t="s">
        <v>1994</v>
      </c>
      <c r="AU144" s="29" t="s">
        <v>2009</v>
      </c>
      <c r="AV144" s="48"/>
      <c r="AW144" s="60"/>
      <c r="AX144" s="663"/>
      <c r="AY144" s="663"/>
      <c r="AZ144" s="29" t="s">
        <v>656</v>
      </c>
      <c r="BA144" s="29" t="s">
        <v>656</v>
      </c>
      <c r="BB144" s="29" t="s">
        <v>656</v>
      </c>
      <c r="BC144" s="29" t="s">
        <v>470</v>
      </c>
      <c r="BD144" s="29"/>
      <c r="BE144" s="29"/>
      <c r="BF144" s="29"/>
      <c r="BG144" s="29"/>
      <c r="BH144" s="29" t="s">
        <v>656</v>
      </c>
      <c r="BI144" s="29" t="s">
        <v>656</v>
      </c>
      <c r="BJ144" s="29" t="s">
        <v>656</v>
      </c>
      <c r="BK144" s="29"/>
      <c r="BL144" s="29"/>
      <c r="BM144" s="29" t="s">
        <v>656</v>
      </c>
      <c r="BN144" s="29" t="s">
        <v>470</v>
      </c>
      <c r="BO144" s="186"/>
      <c r="BP144" s="29" t="s">
        <v>470</v>
      </c>
      <c r="BQ144" s="29"/>
      <c r="BR144" s="29" t="s">
        <v>656</v>
      </c>
      <c r="BS144" s="29" t="s">
        <v>656</v>
      </c>
      <c r="BT144" s="54"/>
      <c r="BU144" s="29" t="s">
        <v>621</v>
      </c>
      <c r="BV144" s="29" t="s">
        <v>656</v>
      </c>
      <c r="BW144" s="36" t="s">
        <v>3012</v>
      </c>
      <c r="BX144" s="36" t="s">
        <v>470</v>
      </c>
      <c r="BY144" s="663"/>
      <c r="BZ144" s="663"/>
      <c r="CA144" s="29"/>
      <c r="CB144" s="48" t="s">
        <v>470</v>
      </c>
      <c r="CC144" s="29" t="s">
        <v>470</v>
      </c>
      <c r="CD144" s="29"/>
      <c r="CE144" s="29" t="s">
        <v>656</v>
      </c>
      <c r="CF144" s="29" t="s">
        <v>470</v>
      </c>
      <c r="CG144" s="662" t="s">
        <v>470</v>
      </c>
      <c r="CH144" s="29" t="s">
        <v>656</v>
      </c>
      <c r="CI144" s="29" t="s">
        <v>656</v>
      </c>
      <c r="CJ144" s="29" t="s">
        <v>656</v>
      </c>
      <c r="CK144" s="29" t="s">
        <v>656</v>
      </c>
      <c r="CL144" s="29" t="s">
        <v>656</v>
      </c>
      <c r="CM144" s="115" t="s">
        <v>539</v>
      </c>
      <c r="CN144" s="29" t="s">
        <v>470</v>
      </c>
      <c r="CO144" s="29" t="s">
        <v>470</v>
      </c>
      <c r="CP144" s="29" t="s">
        <v>470</v>
      </c>
      <c r="CQ144" s="29" t="s">
        <v>470</v>
      </c>
      <c r="CR144" s="127"/>
      <c r="CS144" s="29"/>
      <c r="CT144" s="38">
        <v>37</v>
      </c>
      <c r="CU144" s="29"/>
      <c r="CV144" s="663"/>
      <c r="CW144" s="54" t="s">
        <v>656</v>
      </c>
      <c r="CX144" s="734" t="s">
        <v>656</v>
      </c>
      <c r="CY144" s="29" t="s">
        <v>1447</v>
      </c>
      <c r="CZ144" s="29" t="s">
        <v>1447</v>
      </c>
      <c r="DA144" s="29" t="s">
        <v>1482</v>
      </c>
      <c r="DB144" s="29" t="s">
        <v>1924</v>
      </c>
      <c r="DC144" s="29" t="s">
        <v>656</v>
      </c>
      <c r="DD144" s="29" t="s">
        <v>470</v>
      </c>
      <c r="DE144" s="29" t="s">
        <v>470</v>
      </c>
      <c r="DF144" s="29" t="s">
        <v>3326</v>
      </c>
      <c r="DG144" s="127"/>
      <c r="DH144" s="29"/>
      <c r="DI144" s="766"/>
      <c r="DJ144" s="666"/>
      <c r="DK144" s="667"/>
      <c r="DL144" s="127"/>
      <c r="DM144" s="127"/>
      <c r="DN144" s="29" t="s">
        <v>2658</v>
      </c>
      <c r="DO144" s="29" t="s">
        <v>2678</v>
      </c>
      <c r="DP144" s="29" t="s">
        <v>656</v>
      </c>
      <c r="DQ144" s="29"/>
      <c r="DR144" s="36"/>
      <c r="DS144" s="29" t="s">
        <v>656</v>
      </c>
      <c r="DT144" s="29"/>
      <c r="DU144" s="29"/>
      <c r="DV144" s="29" t="s">
        <v>656</v>
      </c>
      <c r="DW144" s="29"/>
      <c r="DX144" s="29" t="s">
        <v>2448</v>
      </c>
      <c r="DY144" s="29"/>
      <c r="DZ144" s="29"/>
      <c r="EA144" s="29"/>
      <c r="EB144" s="29"/>
      <c r="EC144" s="29" t="s">
        <v>1447</v>
      </c>
      <c r="ED144" s="29"/>
      <c r="EE144" s="29"/>
      <c r="EF144" s="29" t="s">
        <v>3663</v>
      </c>
      <c r="EG144" s="663"/>
      <c r="EH144" s="186" t="s">
        <v>656</v>
      </c>
      <c r="EI144" s="186" t="s">
        <v>656</v>
      </c>
      <c r="EJ144" s="186" t="s">
        <v>656</v>
      </c>
      <c r="EK144" s="29"/>
      <c r="EL144" s="29" t="s">
        <v>2334</v>
      </c>
      <c r="EM144" s="186"/>
      <c r="EN144" s="50" t="s">
        <v>2234</v>
      </c>
      <c r="EO144" s="29"/>
      <c r="EP144" s="36" t="s">
        <v>656</v>
      </c>
      <c r="EQ144" s="29" t="s">
        <v>470</v>
      </c>
      <c r="ER144" s="29"/>
      <c r="ES144" s="663"/>
      <c r="ET144" s="29" t="s">
        <v>470</v>
      </c>
      <c r="EU144" s="169" t="s">
        <v>470</v>
      </c>
      <c r="EV144" s="662" t="s">
        <v>656</v>
      </c>
      <c r="EW144" s="29"/>
      <c r="EX144" s="29" t="s">
        <v>656</v>
      </c>
      <c r="EY144" s="29" t="s">
        <v>656</v>
      </c>
      <c r="EZ144" s="663"/>
      <c r="FA144" s="29" t="s">
        <v>1633</v>
      </c>
    </row>
    <row r="145" spans="1:157" ht="102" x14ac:dyDescent="0.2">
      <c r="A145" s="1205"/>
      <c r="B145" s="1206"/>
      <c r="C145" s="1208"/>
      <c r="D145" s="1204"/>
      <c r="E145" s="185" t="s">
        <v>209</v>
      </c>
      <c r="F145" s="36" t="s">
        <v>470</v>
      </c>
      <c r="G145" s="36" t="s">
        <v>656</v>
      </c>
      <c r="H145" s="161"/>
      <c r="I145" s="36" t="s">
        <v>656</v>
      </c>
      <c r="J145" s="36" t="s">
        <v>656</v>
      </c>
      <c r="K145" s="36">
        <v>9</v>
      </c>
      <c r="L145" s="36"/>
      <c r="M145" s="36"/>
      <c r="N145" s="36">
        <v>251</v>
      </c>
      <c r="O145" s="36" t="s">
        <v>656</v>
      </c>
      <c r="P145" s="36" t="s">
        <v>656</v>
      </c>
      <c r="Q145" s="54" t="s">
        <v>656</v>
      </c>
      <c r="R145" s="36" t="s">
        <v>656</v>
      </c>
      <c r="S145" s="36" t="s">
        <v>656</v>
      </c>
      <c r="T145" s="36">
        <v>0</v>
      </c>
      <c r="U145" s="36">
        <v>0</v>
      </c>
      <c r="V145" s="36">
        <v>0</v>
      </c>
      <c r="W145" s="36"/>
      <c r="X145" s="36"/>
      <c r="Y145" s="36"/>
      <c r="Z145" s="36"/>
      <c r="AA145" s="36"/>
      <c r="AB145" s="36"/>
      <c r="AC145" s="36"/>
      <c r="AD145" s="36" t="s">
        <v>656</v>
      </c>
      <c r="AE145" s="161"/>
      <c r="AF145" s="36">
        <v>671</v>
      </c>
      <c r="AG145" s="36">
        <v>9</v>
      </c>
      <c r="AH145" s="50" t="s">
        <v>470</v>
      </c>
      <c r="AI145" s="36"/>
      <c r="AJ145" s="36" t="s">
        <v>470</v>
      </c>
      <c r="AK145" s="663"/>
      <c r="AL145" s="36"/>
      <c r="AM145" s="36"/>
      <c r="AN145" s="36" t="s">
        <v>656</v>
      </c>
      <c r="AO145" s="36"/>
      <c r="AP145" s="663"/>
      <c r="AQ145" s="36"/>
      <c r="AR145" s="663"/>
      <c r="AS145" s="36"/>
      <c r="AT145" s="36">
        <v>40</v>
      </c>
      <c r="AU145" s="36">
        <v>30</v>
      </c>
      <c r="AV145" s="50"/>
      <c r="AW145" s="107"/>
      <c r="AX145" s="663"/>
      <c r="AY145" s="663"/>
      <c r="AZ145" s="36" t="s">
        <v>656</v>
      </c>
      <c r="BA145" s="36" t="s">
        <v>656</v>
      </c>
      <c r="BB145" s="36" t="s">
        <v>656</v>
      </c>
      <c r="BC145" s="36" t="s">
        <v>470</v>
      </c>
      <c r="BD145" s="36"/>
      <c r="BE145" s="36"/>
      <c r="BF145" s="36"/>
      <c r="BG145" s="36"/>
      <c r="BH145" s="36" t="s">
        <v>656</v>
      </c>
      <c r="BI145" s="36" t="s">
        <v>656</v>
      </c>
      <c r="BJ145" s="36" t="s">
        <v>656</v>
      </c>
      <c r="BK145" s="36"/>
      <c r="BL145" s="36"/>
      <c r="BM145" s="36" t="s">
        <v>656</v>
      </c>
      <c r="BN145" s="29"/>
      <c r="BO145" s="733"/>
      <c r="BP145" s="36" t="s">
        <v>470</v>
      </c>
      <c r="BQ145" s="36"/>
      <c r="BR145" s="36" t="s">
        <v>656</v>
      </c>
      <c r="BS145" s="36" t="s">
        <v>656</v>
      </c>
      <c r="BT145" s="55" t="s">
        <v>656</v>
      </c>
      <c r="BU145" s="36">
        <v>35</v>
      </c>
      <c r="BV145" s="36" t="s">
        <v>656</v>
      </c>
      <c r="BW145" s="36" t="s">
        <v>3013</v>
      </c>
      <c r="BX145" s="36" t="s">
        <v>470</v>
      </c>
      <c r="BY145" s="663"/>
      <c r="BZ145" s="663"/>
      <c r="CA145" s="36"/>
      <c r="CB145" s="50">
        <v>0</v>
      </c>
      <c r="CC145" s="36" t="s">
        <v>470</v>
      </c>
      <c r="CD145" s="36"/>
      <c r="CE145" s="36">
        <v>0</v>
      </c>
      <c r="CF145" s="29"/>
      <c r="CG145" s="662"/>
      <c r="CH145" s="36" t="s">
        <v>656</v>
      </c>
      <c r="CI145" s="36" t="s">
        <v>656</v>
      </c>
      <c r="CJ145" s="36" t="s">
        <v>656</v>
      </c>
      <c r="CK145" s="36">
        <v>0</v>
      </c>
      <c r="CL145" s="36">
        <v>0</v>
      </c>
      <c r="CM145" s="115" t="s">
        <v>539</v>
      </c>
      <c r="CN145" s="29" t="s">
        <v>470</v>
      </c>
      <c r="CO145" s="29" t="s">
        <v>470</v>
      </c>
      <c r="CP145" s="29" t="s">
        <v>470</v>
      </c>
      <c r="CQ145" s="29" t="s">
        <v>470</v>
      </c>
      <c r="CR145" s="132"/>
      <c r="CS145" s="36"/>
      <c r="CT145" s="29" t="s">
        <v>479</v>
      </c>
      <c r="CU145" s="36"/>
      <c r="CV145" s="663"/>
      <c r="CW145" s="55" t="s">
        <v>656</v>
      </c>
      <c r="CX145" s="734" t="s">
        <v>656</v>
      </c>
      <c r="CY145" s="36" t="s">
        <v>1447</v>
      </c>
      <c r="CZ145" s="36" t="s">
        <v>1447</v>
      </c>
      <c r="DA145" s="29" t="s">
        <v>1482</v>
      </c>
      <c r="DB145" s="36">
        <v>0</v>
      </c>
      <c r="DC145" s="36" t="s">
        <v>656</v>
      </c>
      <c r="DD145" s="29" t="s">
        <v>470</v>
      </c>
      <c r="DE145" s="36" t="s">
        <v>470</v>
      </c>
      <c r="DF145" s="36"/>
      <c r="DG145" s="132"/>
      <c r="DH145" s="36"/>
      <c r="DI145" s="132">
        <v>13959</v>
      </c>
      <c r="DJ145" s="736"/>
      <c r="DK145" s="737"/>
      <c r="DL145" s="132"/>
      <c r="DM145" s="132"/>
      <c r="DN145" s="36">
        <v>8822</v>
      </c>
      <c r="DO145" s="36"/>
      <c r="DP145" s="36" t="s">
        <v>656</v>
      </c>
      <c r="DQ145" s="36"/>
      <c r="DR145" s="36"/>
      <c r="DS145" s="36" t="s">
        <v>656</v>
      </c>
      <c r="DT145" s="36"/>
      <c r="DU145" s="36"/>
      <c r="DV145" s="36">
        <v>88</v>
      </c>
      <c r="DW145" s="36"/>
      <c r="DX145" s="36"/>
      <c r="DY145" s="89" t="s">
        <v>2472</v>
      </c>
      <c r="DZ145" s="36"/>
      <c r="EA145" s="36"/>
      <c r="EB145" s="36"/>
      <c r="EC145" s="36" t="s">
        <v>1447</v>
      </c>
      <c r="ED145" s="36"/>
      <c r="EE145" s="36"/>
      <c r="EF145" s="36">
        <v>172074</v>
      </c>
      <c r="EG145" s="663"/>
      <c r="EH145" s="733" t="s">
        <v>656</v>
      </c>
      <c r="EI145" s="733" t="s">
        <v>656</v>
      </c>
      <c r="EJ145" s="733" t="s">
        <v>656</v>
      </c>
      <c r="EK145" s="36"/>
      <c r="EL145" s="36">
        <v>2483</v>
      </c>
      <c r="EM145" s="733"/>
      <c r="EN145" s="50" t="s">
        <v>2234</v>
      </c>
      <c r="EO145" s="36"/>
      <c r="EP145" s="36" t="s">
        <v>656</v>
      </c>
      <c r="EQ145" s="36" t="s">
        <v>470</v>
      </c>
      <c r="ER145" s="29" t="s">
        <v>3689</v>
      </c>
      <c r="ES145" s="663"/>
      <c r="ET145" s="36">
        <v>0</v>
      </c>
      <c r="EU145" s="169">
        <v>0</v>
      </c>
      <c r="EV145" s="161" t="s">
        <v>656</v>
      </c>
      <c r="EW145" s="36"/>
      <c r="EX145" s="36" t="s">
        <v>656</v>
      </c>
      <c r="EY145" s="36" t="s">
        <v>656</v>
      </c>
      <c r="EZ145" s="663"/>
      <c r="FA145" s="36">
        <v>2767</v>
      </c>
    </row>
    <row r="146" spans="1:157" ht="409.6" x14ac:dyDescent="0.2">
      <c r="A146" s="1205" t="s">
        <v>241</v>
      </c>
      <c r="B146" s="1206" t="s">
        <v>242</v>
      </c>
      <c r="C146" s="26" t="s">
        <v>243</v>
      </c>
      <c r="D146" s="168" t="s">
        <v>244</v>
      </c>
      <c r="E146" s="185" t="s">
        <v>245</v>
      </c>
      <c r="F146" s="29" t="s">
        <v>1010</v>
      </c>
      <c r="G146" s="29">
        <v>100</v>
      </c>
      <c r="H146" s="662" t="s">
        <v>3593</v>
      </c>
      <c r="I146" s="29">
        <v>100</v>
      </c>
      <c r="J146" s="29" t="s">
        <v>2033</v>
      </c>
      <c r="K146" s="45">
        <v>1</v>
      </c>
      <c r="L146" s="29" t="s">
        <v>470</v>
      </c>
      <c r="M146" s="29" t="s">
        <v>3301</v>
      </c>
      <c r="N146" s="45">
        <v>1</v>
      </c>
      <c r="O146" s="45">
        <v>1</v>
      </c>
      <c r="P146" s="45">
        <v>1</v>
      </c>
      <c r="Q146" s="29" t="s">
        <v>540</v>
      </c>
      <c r="R146" s="45">
        <v>1</v>
      </c>
      <c r="S146" s="45">
        <v>1</v>
      </c>
      <c r="T146" s="45">
        <v>1</v>
      </c>
      <c r="U146" s="45">
        <v>1</v>
      </c>
      <c r="V146" s="45">
        <v>1</v>
      </c>
      <c r="W146" s="45">
        <v>1</v>
      </c>
      <c r="X146" s="34">
        <v>1</v>
      </c>
      <c r="Y146" s="29" t="s">
        <v>854</v>
      </c>
      <c r="Z146" s="29" t="s">
        <v>881</v>
      </c>
      <c r="AA146" s="45">
        <v>1</v>
      </c>
      <c r="AB146" s="45">
        <v>1</v>
      </c>
      <c r="AC146" s="45">
        <v>1</v>
      </c>
      <c r="AD146" s="45" t="s">
        <v>665</v>
      </c>
      <c r="AE146" s="772">
        <v>1</v>
      </c>
      <c r="AF146" s="71">
        <v>1</v>
      </c>
      <c r="AG146" s="29" t="s">
        <v>833</v>
      </c>
      <c r="AH146" s="73">
        <v>1</v>
      </c>
      <c r="AI146" s="29">
        <v>100</v>
      </c>
      <c r="AJ146" s="45">
        <v>1</v>
      </c>
      <c r="AK146" s="663"/>
      <c r="AL146" s="45">
        <v>1</v>
      </c>
      <c r="AM146" s="45">
        <v>1</v>
      </c>
      <c r="AN146" s="29" t="s">
        <v>3525</v>
      </c>
      <c r="AO146" s="45">
        <v>1</v>
      </c>
      <c r="AP146" s="663"/>
      <c r="AQ146" s="73">
        <v>1</v>
      </c>
      <c r="AR146" s="663"/>
      <c r="AS146" s="29" t="s">
        <v>1970</v>
      </c>
      <c r="AT146" s="29" t="s">
        <v>1995</v>
      </c>
      <c r="AU146" s="36" t="s">
        <v>2005</v>
      </c>
      <c r="AV146" s="73">
        <v>1</v>
      </c>
      <c r="AW146" s="29" t="s">
        <v>2068</v>
      </c>
      <c r="AX146" s="663"/>
      <c r="AY146" s="663"/>
      <c r="AZ146" s="45">
        <v>1</v>
      </c>
      <c r="BA146" s="45" t="s">
        <v>1765</v>
      </c>
      <c r="BB146" s="45" t="s">
        <v>470</v>
      </c>
      <c r="BC146" s="45">
        <v>1</v>
      </c>
      <c r="BD146" s="45" t="s">
        <v>1817</v>
      </c>
      <c r="BE146" s="45">
        <v>1</v>
      </c>
      <c r="BF146" s="45">
        <v>1</v>
      </c>
      <c r="BG146" s="29" t="s">
        <v>1054</v>
      </c>
      <c r="BH146" s="45">
        <v>1</v>
      </c>
      <c r="BI146" s="45">
        <v>1</v>
      </c>
      <c r="BJ146" s="45">
        <v>1</v>
      </c>
      <c r="BK146" s="29" t="s">
        <v>1723</v>
      </c>
      <c r="BL146" s="101" t="s">
        <v>2115</v>
      </c>
      <c r="BM146" s="45">
        <v>1</v>
      </c>
      <c r="BN146" s="54"/>
      <c r="BO146" s="704">
        <v>1</v>
      </c>
      <c r="BP146" s="45">
        <v>1</v>
      </c>
      <c r="BQ146" s="29" t="s">
        <v>3045</v>
      </c>
      <c r="BR146" s="45" t="s">
        <v>2147</v>
      </c>
      <c r="BS146" s="45" t="s">
        <v>2171</v>
      </c>
      <c r="BT146" s="54" t="s">
        <v>3577</v>
      </c>
      <c r="BU146" s="45">
        <v>1</v>
      </c>
      <c r="BV146" s="29" t="s">
        <v>2951</v>
      </c>
      <c r="BW146" s="36" t="s">
        <v>2985</v>
      </c>
      <c r="BX146" s="29" t="s">
        <v>2985</v>
      </c>
      <c r="BY146" s="663"/>
      <c r="BZ146" s="663"/>
      <c r="CA146" s="45">
        <v>1</v>
      </c>
      <c r="CB146" s="73">
        <v>1</v>
      </c>
      <c r="CC146" s="29" t="s">
        <v>1159</v>
      </c>
      <c r="CD146" s="29" t="s">
        <v>2193</v>
      </c>
      <c r="CE146" s="45">
        <v>1</v>
      </c>
      <c r="CF146" s="36"/>
      <c r="CG146" s="161"/>
      <c r="CH146" s="29" t="s">
        <v>1269</v>
      </c>
      <c r="CI146" s="29" t="s">
        <v>1293</v>
      </c>
      <c r="CJ146" s="29" t="s">
        <v>1308</v>
      </c>
      <c r="CK146" s="29" t="s">
        <v>1322</v>
      </c>
      <c r="CL146" s="45" t="s">
        <v>1338</v>
      </c>
      <c r="CM146" s="110" t="s">
        <v>1185</v>
      </c>
      <c r="CN146" s="29" t="s">
        <v>3159</v>
      </c>
      <c r="CO146" s="29" t="s">
        <v>3399</v>
      </c>
      <c r="CP146" s="29" t="s">
        <v>3406</v>
      </c>
      <c r="CQ146" s="45" t="s">
        <v>3183</v>
      </c>
      <c r="CR146" s="133">
        <v>0.94</v>
      </c>
      <c r="CS146" s="45">
        <v>1</v>
      </c>
      <c r="CT146" s="29" t="s">
        <v>3135</v>
      </c>
      <c r="CU146" s="45">
        <v>1</v>
      </c>
      <c r="CV146" s="663"/>
      <c r="CW146" s="71">
        <v>1</v>
      </c>
      <c r="CX146" s="751">
        <v>1</v>
      </c>
      <c r="CY146" s="45">
        <v>1</v>
      </c>
      <c r="CZ146" s="45">
        <v>1</v>
      </c>
      <c r="DA146" s="29" t="s">
        <v>2895</v>
      </c>
      <c r="DB146" s="45">
        <v>1</v>
      </c>
      <c r="DC146" s="29" t="s">
        <v>656</v>
      </c>
      <c r="DD146" s="54" t="s">
        <v>2872</v>
      </c>
      <c r="DE146" s="45">
        <v>1</v>
      </c>
      <c r="DF146" s="29" t="s">
        <v>3327</v>
      </c>
      <c r="DG146" s="127" t="s">
        <v>470</v>
      </c>
      <c r="DH146" s="29"/>
      <c r="DI146" s="127" t="s">
        <v>470</v>
      </c>
      <c r="DJ146" s="773">
        <v>1</v>
      </c>
      <c r="DK146" s="667" t="s">
        <v>2828</v>
      </c>
      <c r="DL146" s="133">
        <v>1</v>
      </c>
      <c r="DM146" s="133">
        <v>1</v>
      </c>
      <c r="DN146" s="45">
        <v>1</v>
      </c>
      <c r="DO146" s="45">
        <v>1</v>
      </c>
      <c r="DP146" s="45">
        <v>1</v>
      </c>
      <c r="DQ146" s="29" t="s">
        <v>2593</v>
      </c>
      <c r="DR146" s="45">
        <v>1</v>
      </c>
      <c r="DS146" s="29">
        <v>100</v>
      </c>
      <c r="DT146" s="29">
        <v>100</v>
      </c>
      <c r="DU146" s="54" t="s">
        <v>486</v>
      </c>
      <c r="DV146" s="45">
        <v>1</v>
      </c>
      <c r="DW146" s="54" t="s">
        <v>2418</v>
      </c>
      <c r="DX146" s="45">
        <v>1</v>
      </c>
      <c r="DY146" s="29" t="s">
        <v>2473</v>
      </c>
      <c r="DZ146" s="29">
        <v>100</v>
      </c>
      <c r="EA146" s="71">
        <v>1</v>
      </c>
      <c r="EB146" s="45">
        <v>1</v>
      </c>
      <c r="EC146" s="29">
        <v>100</v>
      </c>
      <c r="ED146" s="29" t="s">
        <v>3455</v>
      </c>
      <c r="EE146" s="54" t="s">
        <v>515</v>
      </c>
      <c r="EF146" s="45">
        <v>1</v>
      </c>
      <c r="EG146" s="663"/>
      <c r="EH146" s="186" t="s">
        <v>2355</v>
      </c>
      <c r="EI146" s="774">
        <v>1</v>
      </c>
      <c r="EJ146" s="184" t="s">
        <v>2377</v>
      </c>
      <c r="EK146" s="45">
        <v>1</v>
      </c>
      <c r="EL146" s="45">
        <v>1</v>
      </c>
      <c r="EM146" s="704" t="s">
        <v>2218</v>
      </c>
      <c r="EN146" s="73" t="s">
        <v>2245</v>
      </c>
      <c r="EO146" s="45">
        <v>1</v>
      </c>
      <c r="EP146" s="29" t="s">
        <v>1562</v>
      </c>
      <c r="EQ146" s="29">
        <v>100</v>
      </c>
      <c r="ER146" s="29" t="s">
        <v>3690</v>
      </c>
      <c r="ES146" s="663"/>
      <c r="ET146" s="29" t="s">
        <v>3353</v>
      </c>
      <c r="EU146" s="180" t="s">
        <v>3379</v>
      </c>
      <c r="EV146" s="772">
        <v>1</v>
      </c>
      <c r="EW146" s="45">
        <v>1</v>
      </c>
      <c r="EX146" s="45">
        <v>1</v>
      </c>
      <c r="EY146" s="45">
        <v>1</v>
      </c>
      <c r="EZ146" s="663"/>
      <c r="FA146" s="45">
        <v>1</v>
      </c>
    </row>
    <row r="147" spans="1:157" ht="409.6" x14ac:dyDescent="0.2">
      <c r="A147" s="1205"/>
      <c r="B147" s="1206"/>
      <c r="C147" s="26" t="s">
        <v>246</v>
      </c>
      <c r="D147" s="168" t="s">
        <v>247</v>
      </c>
      <c r="E147" s="185" t="s">
        <v>15</v>
      </c>
      <c r="F147" s="29" t="s">
        <v>1011</v>
      </c>
      <c r="G147" s="29" t="s">
        <v>656</v>
      </c>
      <c r="H147" s="662" t="s">
        <v>3593</v>
      </c>
      <c r="I147" s="29" t="s">
        <v>656</v>
      </c>
      <c r="J147" s="29" t="s">
        <v>2034</v>
      </c>
      <c r="K147" s="29" t="s">
        <v>656</v>
      </c>
      <c r="L147" s="29" t="s">
        <v>692</v>
      </c>
      <c r="M147" s="29"/>
      <c r="N147" s="51" t="s">
        <v>656</v>
      </c>
      <c r="O147" s="29" t="s">
        <v>656</v>
      </c>
      <c r="P147" s="36" t="s">
        <v>656</v>
      </c>
      <c r="Q147" s="54" t="s">
        <v>656</v>
      </c>
      <c r="R147" s="36" t="s">
        <v>656</v>
      </c>
      <c r="S147" s="29" t="s">
        <v>656</v>
      </c>
      <c r="T147" s="29" t="s">
        <v>656</v>
      </c>
      <c r="U147" s="29" t="s">
        <v>873</v>
      </c>
      <c r="V147" s="29" t="s">
        <v>656</v>
      </c>
      <c r="W147" s="29"/>
      <c r="X147" s="29"/>
      <c r="Y147" s="29" t="s">
        <v>855</v>
      </c>
      <c r="Z147" s="29" t="s">
        <v>882</v>
      </c>
      <c r="AA147" s="29"/>
      <c r="AB147" s="29"/>
      <c r="AC147" s="29"/>
      <c r="AD147" s="54" t="s">
        <v>666</v>
      </c>
      <c r="AE147" s="662" t="s">
        <v>656</v>
      </c>
      <c r="AF147" s="29"/>
      <c r="AG147" s="29"/>
      <c r="AH147" s="48" t="s">
        <v>470</v>
      </c>
      <c r="AI147" s="29"/>
      <c r="AJ147" s="29"/>
      <c r="AK147" s="663"/>
      <c r="AL147" s="29"/>
      <c r="AM147" s="29"/>
      <c r="AN147" s="29" t="s">
        <v>3526</v>
      </c>
      <c r="AO147" s="29"/>
      <c r="AP147" s="663"/>
      <c r="AQ147" s="48"/>
      <c r="AR147" s="663"/>
      <c r="AS147" s="29" t="s">
        <v>1971</v>
      </c>
      <c r="AT147" s="29"/>
      <c r="AU147" s="29" t="s">
        <v>2010</v>
      </c>
      <c r="AV147" s="29"/>
      <c r="AW147" s="29" t="s">
        <v>2069</v>
      </c>
      <c r="AX147" s="663"/>
      <c r="AY147" s="663"/>
      <c r="AZ147" s="29" t="s">
        <v>656</v>
      </c>
      <c r="BA147" s="29" t="s">
        <v>1766</v>
      </c>
      <c r="BB147" s="29" t="s">
        <v>1780</v>
      </c>
      <c r="BC147" s="29" t="s">
        <v>981</v>
      </c>
      <c r="BD147" s="54" t="s">
        <v>1818</v>
      </c>
      <c r="BE147" s="29"/>
      <c r="BF147" s="29"/>
      <c r="BG147" s="29" t="s">
        <v>1055</v>
      </c>
      <c r="BH147" s="29" t="s">
        <v>656</v>
      </c>
      <c r="BI147" s="29" t="s">
        <v>656</v>
      </c>
      <c r="BJ147" s="29" t="s">
        <v>656</v>
      </c>
      <c r="BK147" s="29" t="s">
        <v>1724</v>
      </c>
      <c r="BL147" s="101" t="s">
        <v>2116</v>
      </c>
      <c r="BM147" s="29" t="s">
        <v>656</v>
      </c>
      <c r="BN147" s="54"/>
      <c r="BO147" s="186"/>
      <c r="BP147" s="29" t="s">
        <v>470</v>
      </c>
      <c r="BQ147" s="29" t="s">
        <v>3046</v>
      </c>
      <c r="BR147" s="36" t="s">
        <v>2148</v>
      </c>
      <c r="BS147" s="29" t="s">
        <v>656</v>
      </c>
      <c r="BT147" s="54" t="s">
        <v>3578</v>
      </c>
      <c r="BU147" s="29"/>
      <c r="BV147" s="29" t="s">
        <v>2952</v>
      </c>
      <c r="BW147" s="29" t="s">
        <v>656</v>
      </c>
      <c r="BX147" s="29"/>
      <c r="BY147" s="663"/>
      <c r="BZ147" s="663"/>
      <c r="CA147" s="29"/>
      <c r="CB147" s="48" t="s">
        <v>470</v>
      </c>
      <c r="CC147" s="29" t="s">
        <v>470</v>
      </c>
      <c r="CD147" s="29" t="s">
        <v>2194</v>
      </c>
      <c r="CE147" s="29" t="s">
        <v>656</v>
      </c>
      <c r="CF147" s="29" t="s">
        <v>1245</v>
      </c>
      <c r="CG147" s="662" t="s">
        <v>1245</v>
      </c>
      <c r="CH147" s="29" t="s">
        <v>1270</v>
      </c>
      <c r="CI147" s="60" t="s">
        <v>9509</v>
      </c>
      <c r="CJ147" s="29" t="s">
        <v>1309</v>
      </c>
      <c r="CK147" s="29" t="s">
        <v>9511</v>
      </c>
      <c r="CL147" s="29" t="s">
        <v>1339</v>
      </c>
      <c r="CM147" s="110" t="s">
        <v>1186</v>
      </c>
      <c r="CN147" s="29" t="s">
        <v>3159</v>
      </c>
      <c r="CO147" s="29" t="s">
        <v>3400</v>
      </c>
      <c r="CP147" s="29" t="s">
        <v>3406</v>
      </c>
      <c r="CQ147" s="29" t="s">
        <v>3183</v>
      </c>
      <c r="CR147" s="127" t="s">
        <v>1399</v>
      </c>
      <c r="CS147" s="29"/>
      <c r="CT147" s="32" t="s">
        <v>9516</v>
      </c>
      <c r="CU147" s="29" t="s">
        <v>656</v>
      </c>
      <c r="CV147" s="663"/>
      <c r="CW147" s="54" t="s">
        <v>656</v>
      </c>
      <c r="CX147" s="664" t="s">
        <v>656</v>
      </c>
      <c r="CY147" s="29" t="s">
        <v>1447</v>
      </c>
      <c r="CZ147" s="29" t="s">
        <v>1447</v>
      </c>
      <c r="DA147" s="29" t="s">
        <v>1482</v>
      </c>
      <c r="DB147" s="29" t="s">
        <v>1924</v>
      </c>
      <c r="DC147" s="29" t="s">
        <v>656</v>
      </c>
      <c r="DD147" s="54" t="s">
        <v>2873</v>
      </c>
      <c r="DE147" s="29" t="s">
        <v>2634</v>
      </c>
      <c r="DF147" s="29" t="s">
        <v>3328</v>
      </c>
      <c r="DG147" s="127" t="s">
        <v>2700</v>
      </c>
      <c r="DH147" s="29"/>
      <c r="DI147" s="127" t="s">
        <v>2733</v>
      </c>
      <c r="DJ147" s="666"/>
      <c r="DK147" s="667" t="s">
        <v>2829</v>
      </c>
      <c r="DL147" s="132"/>
      <c r="DM147" s="127" t="s">
        <v>576</v>
      </c>
      <c r="DN147" s="29"/>
      <c r="DO147" s="29"/>
      <c r="DP147" s="29" t="s">
        <v>656</v>
      </c>
      <c r="DQ147" s="29" t="s">
        <v>2594</v>
      </c>
      <c r="DR147" s="29" t="s">
        <v>2572</v>
      </c>
      <c r="DS147" s="29"/>
      <c r="DT147" s="29"/>
      <c r="DU147" s="169" t="s">
        <v>487</v>
      </c>
      <c r="DV147" s="29" t="s">
        <v>656</v>
      </c>
      <c r="DW147" s="54" t="s">
        <v>2419</v>
      </c>
      <c r="DX147" s="29"/>
      <c r="DY147" s="29"/>
      <c r="DZ147" s="29"/>
      <c r="EA147" s="54"/>
      <c r="EB147" s="29"/>
      <c r="EC147" s="29" t="s">
        <v>1447</v>
      </c>
      <c r="ED147" s="29"/>
      <c r="EE147" s="54" t="s">
        <v>516</v>
      </c>
      <c r="EF147" s="29" t="s">
        <v>470</v>
      </c>
      <c r="EG147" s="663"/>
      <c r="EH147" s="186" t="s">
        <v>9526</v>
      </c>
      <c r="EI147" s="775" t="s">
        <v>656</v>
      </c>
      <c r="EJ147" s="775" t="s">
        <v>2378</v>
      </c>
      <c r="EK147" s="29"/>
      <c r="EL147" s="29"/>
      <c r="EM147" s="186" t="s">
        <v>2219</v>
      </c>
      <c r="EN147" s="73" t="s">
        <v>2234</v>
      </c>
      <c r="EO147" s="29"/>
      <c r="EP147" s="29" t="s">
        <v>1563</v>
      </c>
      <c r="EQ147" s="29" t="s">
        <v>470</v>
      </c>
      <c r="ER147" s="29" t="s">
        <v>3691</v>
      </c>
      <c r="ES147" s="663"/>
      <c r="ET147" s="29" t="s">
        <v>3354</v>
      </c>
      <c r="EU147" s="169" t="s">
        <v>3380</v>
      </c>
      <c r="EV147" s="662" t="s">
        <v>656</v>
      </c>
      <c r="EW147" s="29"/>
      <c r="EX147" s="29" t="s">
        <v>656</v>
      </c>
      <c r="EY147" s="29" t="s">
        <v>656</v>
      </c>
      <c r="EZ147" s="663"/>
      <c r="FA147" s="29" t="s">
        <v>656</v>
      </c>
    </row>
    <row r="148" spans="1:157" ht="222" customHeight="1" x14ac:dyDescent="0.2">
      <c r="A148" s="196" t="s">
        <v>248</v>
      </c>
      <c r="B148" s="165" t="s">
        <v>249</v>
      </c>
      <c r="C148" s="167" t="s">
        <v>250</v>
      </c>
      <c r="D148" s="168" t="s">
        <v>251</v>
      </c>
      <c r="E148" s="185" t="s">
        <v>117</v>
      </c>
      <c r="F148" s="38">
        <v>16</v>
      </c>
      <c r="G148" s="36">
        <v>13</v>
      </c>
      <c r="H148" s="161">
        <v>9</v>
      </c>
      <c r="I148" s="36">
        <v>11</v>
      </c>
      <c r="J148" s="38" t="s">
        <v>2035</v>
      </c>
      <c r="K148" s="38">
        <v>39</v>
      </c>
      <c r="L148" s="36">
        <v>104</v>
      </c>
      <c r="M148" s="36">
        <v>12</v>
      </c>
      <c r="N148" s="38">
        <v>35</v>
      </c>
      <c r="O148" s="38">
        <v>63</v>
      </c>
      <c r="P148" s="62">
        <v>5</v>
      </c>
      <c r="Q148" s="38">
        <v>29</v>
      </c>
      <c r="R148" s="38">
        <v>20</v>
      </c>
      <c r="S148" s="38">
        <v>858</v>
      </c>
      <c r="T148" s="38">
        <v>22</v>
      </c>
      <c r="U148" s="38">
        <v>22</v>
      </c>
      <c r="V148" s="38">
        <v>22</v>
      </c>
      <c r="W148" s="38">
        <v>76</v>
      </c>
      <c r="X148" s="38">
        <v>248</v>
      </c>
      <c r="Y148" s="30">
        <v>31</v>
      </c>
      <c r="Z148" s="36">
        <v>30</v>
      </c>
      <c r="AA148" s="38">
        <v>80</v>
      </c>
      <c r="AB148" s="38">
        <v>38</v>
      </c>
      <c r="AC148" s="38">
        <v>38</v>
      </c>
      <c r="AD148" s="36">
        <v>195</v>
      </c>
      <c r="AE148" s="748">
        <v>132</v>
      </c>
      <c r="AF148" s="38">
        <v>399</v>
      </c>
      <c r="AG148" s="38">
        <v>79</v>
      </c>
      <c r="AH148" s="74">
        <v>17</v>
      </c>
      <c r="AI148" s="38">
        <v>42</v>
      </c>
      <c r="AJ148" s="38">
        <v>5</v>
      </c>
      <c r="AK148" s="663"/>
      <c r="AL148" s="38">
        <v>83</v>
      </c>
      <c r="AM148" s="38">
        <v>56</v>
      </c>
      <c r="AN148" s="36">
        <v>7</v>
      </c>
      <c r="AO148" s="38">
        <v>66</v>
      </c>
      <c r="AP148" s="663"/>
      <c r="AQ148" s="50">
        <v>453</v>
      </c>
      <c r="AR148" s="663"/>
      <c r="AS148" s="38" t="s">
        <v>1972</v>
      </c>
      <c r="AT148" s="38">
        <v>5</v>
      </c>
      <c r="AU148" s="38">
        <v>21</v>
      </c>
      <c r="AV148" s="50">
        <v>23</v>
      </c>
      <c r="AW148" s="38">
        <v>260</v>
      </c>
      <c r="AX148" s="663"/>
      <c r="AY148" s="663"/>
      <c r="AZ148" s="38">
        <v>66</v>
      </c>
      <c r="BA148" s="38">
        <v>75</v>
      </c>
      <c r="BB148" s="38">
        <v>38</v>
      </c>
      <c r="BC148" s="38">
        <v>179</v>
      </c>
      <c r="BD148" s="38">
        <v>21</v>
      </c>
      <c r="BE148" s="36">
        <v>154</v>
      </c>
      <c r="BF148" s="38" t="s">
        <v>1693</v>
      </c>
      <c r="BG148" s="38">
        <v>21</v>
      </c>
      <c r="BH148" s="36" t="s">
        <v>1075</v>
      </c>
      <c r="BI148" s="38">
        <v>70</v>
      </c>
      <c r="BJ148" s="36">
        <v>35</v>
      </c>
      <c r="BK148" s="38">
        <v>259</v>
      </c>
      <c r="BL148" s="38">
        <v>266</v>
      </c>
      <c r="BM148" s="38">
        <v>4</v>
      </c>
      <c r="BN148" s="29"/>
      <c r="BO148" s="746">
        <v>9</v>
      </c>
      <c r="BP148" s="38">
        <v>87</v>
      </c>
      <c r="BQ148" s="38">
        <v>89</v>
      </c>
      <c r="BR148" s="38">
        <v>159</v>
      </c>
      <c r="BS148" s="38">
        <v>185</v>
      </c>
      <c r="BT148" s="38">
        <v>13</v>
      </c>
      <c r="BU148" s="38">
        <v>2</v>
      </c>
      <c r="BV148" s="38">
        <v>51</v>
      </c>
      <c r="BW148" s="36">
        <v>67</v>
      </c>
      <c r="BX148" s="29">
        <v>43</v>
      </c>
      <c r="BY148" s="663"/>
      <c r="BZ148" s="663"/>
      <c r="CA148" s="38">
        <v>57</v>
      </c>
      <c r="CB148" s="48">
        <v>29</v>
      </c>
      <c r="CC148" s="38">
        <v>16</v>
      </c>
      <c r="CD148" s="36">
        <v>252</v>
      </c>
      <c r="CE148" s="38">
        <v>119</v>
      </c>
      <c r="CF148" s="29" t="s">
        <v>1246</v>
      </c>
      <c r="CG148" s="662" t="s">
        <v>1246</v>
      </c>
      <c r="CH148" s="38">
        <v>18</v>
      </c>
      <c r="CI148" s="38">
        <v>19</v>
      </c>
      <c r="CJ148" s="38">
        <v>49</v>
      </c>
      <c r="CK148" s="38">
        <v>84</v>
      </c>
      <c r="CL148" s="38">
        <v>25</v>
      </c>
      <c r="CM148" s="119">
        <v>255</v>
      </c>
      <c r="CN148" s="38">
        <v>70</v>
      </c>
      <c r="CO148" s="36">
        <v>7</v>
      </c>
      <c r="CP148" s="36">
        <v>1</v>
      </c>
      <c r="CQ148" s="38">
        <v>11</v>
      </c>
      <c r="CR148" s="134">
        <v>174</v>
      </c>
      <c r="CS148" s="38">
        <v>9</v>
      </c>
      <c r="CT148" s="32" t="s">
        <v>3136</v>
      </c>
      <c r="CU148" s="38">
        <v>16</v>
      </c>
      <c r="CV148" s="663"/>
      <c r="CW148" s="54">
        <v>39</v>
      </c>
      <c r="CX148" s="776" t="s">
        <v>3252</v>
      </c>
      <c r="CY148" s="38">
        <v>28</v>
      </c>
      <c r="CZ148" s="38">
        <v>100</v>
      </c>
      <c r="DA148" s="36">
        <v>53</v>
      </c>
      <c r="DB148" s="76">
        <v>177</v>
      </c>
      <c r="DC148" s="38">
        <v>17</v>
      </c>
      <c r="DD148" s="38">
        <v>11</v>
      </c>
      <c r="DE148" s="38">
        <v>173</v>
      </c>
      <c r="DF148" s="38">
        <v>22</v>
      </c>
      <c r="DG148" s="134">
        <v>0</v>
      </c>
      <c r="DH148" s="38"/>
      <c r="DI148" s="134">
        <v>0</v>
      </c>
      <c r="DJ148" s="777">
        <v>216</v>
      </c>
      <c r="DK148" s="747" t="s">
        <v>2830</v>
      </c>
      <c r="DL148" s="132">
        <v>41</v>
      </c>
      <c r="DM148" s="134">
        <v>366</v>
      </c>
      <c r="DN148" s="38">
        <v>18</v>
      </c>
      <c r="DO148" s="38">
        <v>15</v>
      </c>
      <c r="DP148" s="36">
        <v>34</v>
      </c>
      <c r="DQ148" s="29">
        <v>9</v>
      </c>
      <c r="DR148" s="29">
        <v>50</v>
      </c>
      <c r="DS148" s="38">
        <v>10</v>
      </c>
      <c r="DT148" s="38">
        <v>1</v>
      </c>
      <c r="DU148" s="29">
        <v>15</v>
      </c>
      <c r="DV148" s="36">
        <v>28</v>
      </c>
      <c r="DW148" s="38">
        <v>251</v>
      </c>
      <c r="DX148" s="38">
        <v>18</v>
      </c>
      <c r="DY148" s="29">
        <v>92</v>
      </c>
      <c r="DZ148" s="38">
        <v>15</v>
      </c>
      <c r="EA148" s="38">
        <v>25</v>
      </c>
      <c r="EB148" s="38">
        <v>887</v>
      </c>
      <c r="EC148" s="38">
        <v>76</v>
      </c>
      <c r="ED148" s="38">
        <v>24</v>
      </c>
      <c r="EE148" s="38">
        <v>61</v>
      </c>
      <c r="EF148" s="38">
        <v>26</v>
      </c>
      <c r="EG148" s="663"/>
      <c r="EH148" s="733">
        <v>16</v>
      </c>
      <c r="EI148" s="778">
        <v>50</v>
      </c>
      <c r="EJ148" s="778">
        <v>2</v>
      </c>
      <c r="EK148" s="38">
        <v>30</v>
      </c>
      <c r="EL148" s="38">
        <v>30</v>
      </c>
      <c r="EM148" s="746" t="s">
        <v>2220</v>
      </c>
      <c r="EN148" s="74">
        <v>13</v>
      </c>
      <c r="EO148" s="38">
        <v>126</v>
      </c>
      <c r="EP148" s="38">
        <v>45</v>
      </c>
      <c r="EQ148" s="38">
        <v>147</v>
      </c>
      <c r="ER148" s="1203" t="s">
        <v>3692</v>
      </c>
      <c r="ES148" s="663"/>
      <c r="ET148" s="38">
        <v>15</v>
      </c>
      <c r="EU148" s="180">
        <v>22</v>
      </c>
      <c r="EV148" s="161">
        <v>43</v>
      </c>
      <c r="EW148" s="38">
        <v>9</v>
      </c>
      <c r="EX148" s="29">
        <v>297</v>
      </c>
      <c r="EY148" s="38">
        <v>17</v>
      </c>
      <c r="EZ148" s="663"/>
      <c r="FA148" s="38">
        <v>71</v>
      </c>
    </row>
    <row r="149" spans="1:157" ht="255" x14ac:dyDescent="0.2">
      <c r="A149" s="1205" t="s">
        <v>252</v>
      </c>
      <c r="B149" s="1206" t="s">
        <v>253</v>
      </c>
      <c r="C149" s="167" t="s">
        <v>254</v>
      </c>
      <c r="D149" s="168" t="s">
        <v>255</v>
      </c>
      <c r="E149" s="185" t="s">
        <v>256</v>
      </c>
      <c r="F149" s="29" t="s">
        <v>470</v>
      </c>
      <c r="G149" s="29" t="s">
        <v>470</v>
      </c>
      <c r="H149" s="662" t="s">
        <v>470</v>
      </c>
      <c r="I149" s="29" t="s">
        <v>470</v>
      </c>
      <c r="J149" s="29" t="s">
        <v>540</v>
      </c>
      <c r="K149" s="29" t="s">
        <v>3206</v>
      </c>
      <c r="L149" s="29"/>
      <c r="M149" s="29" t="s">
        <v>470</v>
      </c>
      <c r="N149" s="29" t="s">
        <v>470</v>
      </c>
      <c r="O149" s="54" t="s">
        <v>539</v>
      </c>
      <c r="P149" s="29" t="s">
        <v>539</v>
      </c>
      <c r="Q149" s="29" t="s">
        <v>539</v>
      </c>
      <c r="R149" s="29" t="s">
        <v>539</v>
      </c>
      <c r="S149" s="29" t="s">
        <v>1538</v>
      </c>
      <c r="T149" s="29" t="s">
        <v>470</v>
      </c>
      <c r="U149" s="29" t="s">
        <v>873</v>
      </c>
      <c r="V149" s="29" t="s">
        <v>470</v>
      </c>
      <c r="W149" s="29" t="s">
        <v>539</v>
      </c>
      <c r="X149" s="29" t="s">
        <v>470</v>
      </c>
      <c r="Y149" s="29" t="s">
        <v>470</v>
      </c>
      <c r="Z149" s="29" t="s">
        <v>539</v>
      </c>
      <c r="AA149" s="29" t="s">
        <v>470</v>
      </c>
      <c r="AB149" s="54"/>
      <c r="AC149" s="54" t="s">
        <v>479</v>
      </c>
      <c r="AD149" s="29" t="s">
        <v>539</v>
      </c>
      <c r="AE149" s="662" t="s">
        <v>775</v>
      </c>
      <c r="AF149" s="29" t="s">
        <v>479</v>
      </c>
      <c r="AG149" s="29" t="s">
        <v>470</v>
      </c>
      <c r="AH149" s="48" t="s">
        <v>470</v>
      </c>
      <c r="AI149" s="29" t="s">
        <v>470</v>
      </c>
      <c r="AJ149" s="29" t="s">
        <v>470</v>
      </c>
      <c r="AK149" s="663"/>
      <c r="AL149" s="29" t="s">
        <v>3473</v>
      </c>
      <c r="AM149" s="29"/>
      <c r="AN149" s="29" t="s">
        <v>470</v>
      </c>
      <c r="AO149" s="29" t="s">
        <v>470</v>
      </c>
      <c r="AP149" s="663"/>
      <c r="AQ149" s="48" t="s">
        <v>470</v>
      </c>
      <c r="AR149" s="663"/>
      <c r="AS149" s="29" t="s">
        <v>470</v>
      </c>
      <c r="AT149" s="29" t="s">
        <v>470</v>
      </c>
      <c r="AU149" s="29" t="s">
        <v>470</v>
      </c>
      <c r="AV149" s="48" t="s">
        <v>470</v>
      </c>
      <c r="AW149" s="29" t="s">
        <v>470</v>
      </c>
      <c r="AX149" s="663"/>
      <c r="AY149" s="663"/>
      <c r="AZ149" s="29" t="s">
        <v>470</v>
      </c>
      <c r="BA149" s="29" t="s">
        <v>470</v>
      </c>
      <c r="BB149" s="29" t="s">
        <v>479</v>
      </c>
      <c r="BC149" s="29" t="s">
        <v>470</v>
      </c>
      <c r="BD149" s="29" t="s">
        <v>479</v>
      </c>
      <c r="BE149" s="29" t="s">
        <v>479</v>
      </c>
      <c r="BF149" s="29" t="s">
        <v>873</v>
      </c>
      <c r="BG149" s="29" t="s">
        <v>470</v>
      </c>
      <c r="BH149" s="29" t="s">
        <v>470</v>
      </c>
      <c r="BI149" s="29" t="s">
        <v>470</v>
      </c>
      <c r="BJ149" s="29" t="s">
        <v>470</v>
      </c>
      <c r="BK149" s="29" t="s">
        <v>470</v>
      </c>
      <c r="BL149" s="101" t="s">
        <v>2117</v>
      </c>
      <c r="BM149" s="29" t="s">
        <v>470</v>
      </c>
      <c r="BN149" s="54"/>
      <c r="BO149" s="186" t="s">
        <v>470</v>
      </c>
      <c r="BP149" s="29" t="s">
        <v>470</v>
      </c>
      <c r="BQ149" s="29" t="s">
        <v>540</v>
      </c>
      <c r="BR149" s="29" t="s">
        <v>470</v>
      </c>
      <c r="BS149" s="29" t="s">
        <v>470</v>
      </c>
      <c r="BT149" s="54" t="s">
        <v>470</v>
      </c>
      <c r="BU149" s="29" t="s">
        <v>470</v>
      </c>
      <c r="BV149" s="29" t="s">
        <v>2953</v>
      </c>
      <c r="BW149" s="29" t="s">
        <v>479</v>
      </c>
      <c r="BX149" s="29" t="s">
        <v>470</v>
      </c>
      <c r="BY149" s="663"/>
      <c r="BZ149" s="663"/>
      <c r="CA149" s="29" t="s">
        <v>3274</v>
      </c>
      <c r="CB149" s="74" t="s">
        <v>479</v>
      </c>
      <c r="CC149" s="29" t="s">
        <v>470</v>
      </c>
      <c r="CD149" s="29" t="s">
        <v>470</v>
      </c>
      <c r="CE149" s="29" t="s">
        <v>1219</v>
      </c>
      <c r="CF149" s="38">
        <v>57</v>
      </c>
      <c r="CG149" s="748">
        <v>2</v>
      </c>
      <c r="CH149" s="29" t="s">
        <v>1271</v>
      </c>
      <c r="CI149" s="29" t="s">
        <v>479</v>
      </c>
      <c r="CJ149" s="29" t="s">
        <v>479</v>
      </c>
      <c r="CK149" s="29" t="s">
        <v>1323</v>
      </c>
      <c r="CL149" s="32" t="s">
        <v>1340</v>
      </c>
      <c r="CM149" s="110" t="s">
        <v>539</v>
      </c>
      <c r="CN149" s="29" t="s">
        <v>470</v>
      </c>
      <c r="CO149" s="29" t="s">
        <v>470</v>
      </c>
      <c r="CP149" s="29" t="s">
        <v>470</v>
      </c>
      <c r="CQ149" s="29" t="s">
        <v>470</v>
      </c>
      <c r="CR149" s="127" t="s">
        <v>479</v>
      </c>
      <c r="CS149" s="29" t="s">
        <v>470</v>
      </c>
      <c r="CT149" s="32" t="s">
        <v>3137</v>
      </c>
      <c r="CU149" s="29" t="s">
        <v>470</v>
      </c>
      <c r="CV149" s="663"/>
      <c r="CW149" s="54" t="s">
        <v>479</v>
      </c>
      <c r="CX149" s="664" t="s">
        <v>3253</v>
      </c>
      <c r="CY149" s="29" t="s">
        <v>470</v>
      </c>
      <c r="CZ149" s="29" t="s">
        <v>470</v>
      </c>
      <c r="DA149" s="29" t="s">
        <v>470</v>
      </c>
      <c r="DB149" s="29" t="s">
        <v>470</v>
      </c>
      <c r="DC149" s="29" t="s">
        <v>470</v>
      </c>
      <c r="DD149" s="29" t="s">
        <v>470</v>
      </c>
      <c r="DE149" s="29" t="s">
        <v>539</v>
      </c>
      <c r="DF149" s="29" t="s">
        <v>470</v>
      </c>
      <c r="DG149" s="127" t="s">
        <v>479</v>
      </c>
      <c r="DH149" s="29" t="s">
        <v>470</v>
      </c>
      <c r="DI149" s="127" t="s">
        <v>479</v>
      </c>
      <c r="DJ149" s="666" t="s">
        <v>470</v>
      </c>
      <c r="DK149" s="667" t="s">
        <v>470</v>
      </c>
      <c r="DL149" s="127" t="s">
        <v>2812</v>
      </c>
      <c r="DM149" s="127" t="s">
        <v>540</v>
      </c>
      <c r="DN149" s="29" t="s">
        <v>479</v>
      </c>
      <c r="DO149" s="29" t="s">
        <v>479</v>
      </c>
      <c r="DP149" s="29" t="s">
        <v>470</v>
      </c>
      <c r="DQ149" s="29" t="s">
        <v>470</v>
      </c>
      <c r="DR149" s="29" t="s">
        <v>2573</v>
      </c>
      <c r="DS149" s="29" t="s">
        <v>470</v>
      </c>
      <c r="DT149" s="29" t="s">
        <v>470</v>
      </c>
      <c r="DU149" s="29" t="s">
        <v>470</v>
      </c>
      <c r="DV149" s="29" t="s">
        <v>479</v>
      </c>
      <c r="DW149" s="29" t="s">
        <v>539</v>
      </c>
      <c r="DX149" s="29" t="s">
        <v>539</v>
      </c>
      <c r="DY149" s="29" t="s">
        <v>470</v>
      </c>
      <c r="DZ149" s="29" t="s">
        <v>539</v>
      </c>
      <c r="EA149" s="29" t="s">
        <v>539</v>
      </c>
      <c r="EB149" s="29" t="s">
        <v>470</v>
      </c>
      <c r="EC149" s="29" t="s">
        <v>479</v>
      </c>
      <c r="ED149" s="29" t="s">
        <v>470</v>
      </c>
      <c r="EE149" s="29" t="s">
        <v>470</v>
      </c>
      <c r="EF149" s="29" t="s">
        <v>479</v>
      </c>
      <c r="EG149" s="663"/>
      <c r="EH149" s="186" t="s">
        <v>470</v>
      </c>
      <c r="EI149" s="186" t="s">
        <v>470</v>
      </c>
      <c r="EJ149" s="186" t="s">
        <v>479</v>
      </c>
      <c r="EK149" s="29" t="s">
        <v>2310</v>
      </c>
      <c r="EL149" s="29" t="s">
        <v>479</v>
      </c>
      <c r="EM149" s="186" t="s">
        <v>470</v>
      </c>
      <c r="EN149" s="29" t="s">
        <v>470</v>
      </c>
      <c r="EO149" s="29" t="s">
        <v>9528</v>
      </c>
      <c r="EP149" s="29" t="s">
        <v>470</v>
      </c>
      <c r="EQ149" s="29" t="s">
        <v>470</v>
      </c>
      <c r="ER149" s="1203"/>
      <c r="ES149" s="663"/>
      <c r="ET149" s="29" t="s">
        <v>479</v>
      </c>
      <c r="EU149" s="29" t="s">
        <v>479</v>
      </c>
      <c r="EV149" s="662" t="s">
        <v>540</v>
      </c>
      <c r="EW149" s="32" t="s">
        <v>750</v>
      </c>
      <c r="EX149" s="29" t="s">
        <v>1435</v>
      </c>
      <c r="EY149" s="29" t="s">
        <v>470</v>
      </c>
      <c r="EZ149" s="663"/>
      <c r="FA149" s="29" t="s">
        <v>470</v>
      </c>
    </row>
    <row r="150" spans="1:157" ht="409.6" x14ac:dyDescent="0.2">
      <c r="A150" s="1205"/>
      <c r="B150" s="1206"/>
      <c r="C150" s="167" t="s">
        <v>257</v>
      </c>
      <c r="D150" s="168" t="s">
        <v>258</v>
      </c>
      <c r="E150" s="185" t="s">
        <v>15</v>
      </c>
      <c r="F150" s="29" t="s">
        <v>470</v>
      </c>
      <c r="G150" s="29" t="s">
        <v>656</v>
      </c>
      <c r="H150" s="662" t="s">
        <v>656</v>
      </c>
      <c r="I150" s="29" t="s">
        <v>656</v>
      </c>
      <c r="J150" s="29" t="s">
        <v>2036</v>
      </c>
      <c r="K150" s="29" t="s">
        <v>3207</v>
      </c>
      <c r="L150" s="29"/>
      <c r="M150" s="29"/>
      <c r="N150" s="50" t="s">
        <v>656</v>
      </c>
      <c r="O150" s="29" t="s">
        <v>1487</v>
      </c>
      <c r="P150" s="36" t="s">
        <v>656</v>
      </c>
      <c r="Q150" s="29" t="s">
        <v>1511</v>
      </c>
      <c r="R150" s="36" t="s">
        <v>656</v>
      </c>
      <c r="S150" s="29" t="s">
        <v>1539</v>
      </c>
      <c r="T150" s="29" t="s">
        <v>470</v>
      </c>
      <c r="U150" s="29" t="s">
        <v>873</v>
      </c>
      <c r="V150" s="29" t="s">
        <v>1929</v>
      </c>
      <c r="W150" s="29"/>
      <c r="X150" s="29"/>
      <c r="Y150" s="29"/>
      <c r="Z150" s="29"/>
      <c r="AA150" s="29"/>
      <c r="AB150" s="54"/>
      <c r="AC150" s="54" t="s">
        <v>1860</v>
      </c>
      <c r="AD150" s="29" t="s">
        <v>656</v>
      </c>
      <c r="AE150" s="662" t="s">
        <v>776</v>
      </c>
      <c r="AF150" s="29" t="s">
        <v>805</v>
      </c>
      <c r="AG150" s="29"/>
      <c r="AH150" s="48" t="s">
        <v>470</v>
      </c>
      <c r="AI150" s="29"/>
      <c r="AJ150" s="29" t="s">
        <v>470</v>
      </c>
      <c r="AK150" s="663"/>
      <c r="AL150" s="29" t="s">
        <v>3474</v>
      </c>
      <c r="AM150" s="29" t="s">
        <v>3498</v>
      </c>
      <c r="AN150" s="29" t="s">
        <v>656</v>
      </c>
      <c r="AO150" s="29"/>
      <c r="AP150" s="663"/>
      <c r="AQ150" s="48"/>
      <c r="AR150" s="663"/>
      <c r="AS150" s="29"/>
      <c r="AT150" s="29"/>
      <c r="AU150" s="29"/>
      <c r="AV150" s="29"/>
      <c r="AW150" s="60"/>
      <c r="AX150" s="663"/>
      <c r="AY150" s="663"/>
      <c r="AZ150" s="29" t="s">
        <v>656</v>
      </c>
      <c r="BA150" s="29" t="s">
        <v>656</v>
      </c>
      <c r="BB150" s="29" t="s">
        <v>1781</v>
      </c>
      <c r="BC150" s="29" t="s">
        <v>470</v>
      </c>
      <c r="BD150" s="54" t="s">
        <v>1819</v>
      </c>
      <c r="BE150" s="29" t="s">
        <v>1845</v>
      </c>
      <c r="BF150" s="29"/>
      <c r="BG150" s="29" t="s">
        <v>470</v>
      </c>
      <c r="BH150" s="29" t="s">
        <v>656</v>
      </c>
      <c r="BI150" s="29" t="s">
        <v>656</v>
      </c>
      <c r="BJ150" s="29" t="s">
        <v>656</v>
      </c>
      <c r="BK150" s="29"/>
      <c r="BL150" s="29"/>
      <c r="BM150" s="29" t="s">
        <v>656</v>
      </c>
      <c r="BN150" s="29"/>
      <c r="BO150" s="186"/>
      <c r="BP150" s="29" t="s">
        <v>470</v>
      </c>
      <c r="BQ150" s="29" t="s">
        <v>3047</v>
      </c>
      <c r="BR150" s="29" t="s">
        <v>656</v>
      </c>
      <c r="BS150" s="29" t="s">
        <v>656</v>
      </c>
      <c r="BT150" s="29" t="s">
        <v>656</v>
      </c>
      <c r="BU150" s="29"/>
      <c r="BV150" s="29"/>
      <c r="BW150" s="29" t="s">
        <v>3014</v>
      </c>
      <c r="BX150" s="29"/>
      <c r="BY150" s="663"/>
      <c r="BZ150" s="663"/>
      <c r="CA150" s="29" t="s">
        <v>3275</v>
      </c>
      <c r="CB150" s="74" t="s">
        <v>1135</v>
      </c>
      <c r="CC150" s="29" t="s">
        <v>470</v>
      </c>
      <c r="CD150" s="29" t="s">
        <v>2195</v>
      </c>
      <c r="CE150" s="29" t="s">
        <v>1220</v>
      </c>
      <c r="CF150" s="29" t="s">
        <v>470</v>
      </c>
      <c r="CG150" s="662" t="s">
        <v>470</v>
      </c>
      <c r="CH150" s="29" t="s">
        <v>1272</v>
      </c>
      <c r="CI150" s="29" t="s">
        <v>1294</v>
      </c>
      <c r="CJ150" s="29" t="s">
        <v>1310</v>
      </c>
      <c r="CK150" s="29" t="s">
        <v>1324</v>
      </c>
      <c r="CL150" s="36" t="s">
        <v>656</v>
      </c>
      <c r="CM150" s="110" t="s">
        <v>539</v>
      </c>
      <c r="CN150" s="29" t="s">
        <v>470</v>
      </c>
      <c r="CO150" s="29" t="s">
        <v>470</v>
      </c>
      <c r="CP150" s="29" t="s">
        <v>470</v>
      </c>
      <c r="CQ150" s="29" t="s">
        <v>470</v>
      </c>
      <c r="CR150" s="127" t="s">
        <v>1400</v>
      </c>
      <c r="CS150" s="29"/>
      <c r="CT150" s="29" t="s">
        <v>3138</v>
      </c>
      <c r="CU150" s="29" t="s">
        <v>656</v>
      </c>
      <c r="CV150" s="663"/>
      <c r="CW150" s="54" t="s">
        <v>3076</v>
      </c>
      <c r="CX150" s="664" t="s">
        <v>3254</v>
      </c>
      <c r="CY150" s="29" t="s">
        <v>1447</v>
      </c>
      <c r="CZ150" s="29" t="s">
        <v>1447</v>
      </c>
      <c r="DA150" s="29" t="s">
        <v>1482</v>
      </c>
      <c r="DB150" s="29" t="s">
        <v>1924</v>
      </c>
      <c r="DC150" s="29" t="s">
        <v>656</v>
      </c>
      <c r="DD150" s="29" t="s">
        <v>470</v>
      </c>
      <c r="DE150" s="29" t="s">
        <v>2635</v>
      </c>
      <c r="DF150" s="29"/>
      <c r="DG150" s="127" t="s">
        <v>2701</v>
      </c>
      <c r="DH150" s="29"/>
      <c r="DI150" s="766" t="s">
        <v>2734</v>
      </c>
      <c r="DJ150" s="666"/>
      <c r="DK150" s="667"/>
      <c r="DL150" s="127"/>
      <c r="DM150" s="127" t="s">
        <v>594</v>
      </c>
      <c r="DN150" s="32" t="s">
        <v>2659</v>
      </c>
      <c r="DO150" s="32" t="s">
        <v>2679</v>
      </c>
      <c r="DP150" s="29" t="s">
        <v>2539</v>
      </c>
      <c r="DQ150" s="29"/>
      <c r="DR150" s="29" t="s">
        <v>2574</v>
      </c>
      <c r="DS150" s="29" t="s">
        <v>656</v>
      </c>
      <c r="DT150" s="29"/>
      <c r="DU150" s="29" t="s">
        <v>470</v>
      </c>
      <c r="DV150" s="29" t="s">
        <v>2495</v>
      </c>
      <c r="DW150" s="29"/>
      <c r="DX150" s="29"/>
      <c r="DY150" s="29"/>
      <c r="DZ150" s="29"/>
      <c r="EA150" s="29"/>
      <c r="EB150" s="29"/>
      <c r="EC150" s="29" t="s">
        <v>3428</v>
      </c>
      <c r="ED150" s="29"/>
      <c r="EE150" s="29" t="s">
        <v>517</v>
      </c>
      <c r="EF150" s="29" t="s">
        <v>3664</v>
      </c>
      <c r="EG150" s="663"/>
      <c r="EH150" s="186" t="s">
        <v>656</v>
      </c>
      <c r="EI150" s="775" t="s">
        <v>2399</v>
      </c>
      <c r="EJ150" s="775" t="s">
        <v>2379</v>
      </c>
      <c r="EK150" s="29" t="s">
        <v>2311</v>
      </c>
      <c r="EL150" s="29" t="s">
        <v>2335</v>
      </c>
      <c r="EM150" s="186"/>
      <c r="EN150" s="29" t="s">
        <v>470</v>
      </c>
      <c r="EO150" s="29" t="s">
        <v>2276</v>
      </c>
      <c r="EP150" s="29" t="s">
        <v>656</v>
      </c>
      <c r="EQ150" s="29" t="s">
        <v>470</v>
      </c>
      <c r="ER150" s="29" t="s">
        <v>3693</v>
      </c>
      <c r="ES150" s="663"/>
      <c r="ET150" s="29" t="s">
        <v>3355</v>
      </c>
      <c r="EU150" s="29" t="s">
        <v>3381</v>
      </c>
      <c r="EV150" s="662" t="s">
        <v>1598</v>
      </c>
      <c r="EW150" s="29" t="s">
        <v>751</v>
      </c>
      <c r="EX150" s="29" t="s">
        <v>1436</v>
      </c>
      <c r="EY150" s="29" t="s">
        <v>656</v>
      </c>
      <c r="EZ150" s="663"/>
      <c r="FA150" s="29" t="s">
        <v>656</v>
      </c>
    </row>
    <row r="151" spans="1:157" ht="409.6" x14ac:dyDescent="0.2">
      <c r="A151" s="1205" t="s">
        <v>259</v>
      </c>
      <c r="B151" s="1206" t="s">
        <v>260</v>
      </c>
      <c r="C151" s="167" t="s">
        <v>261</v>
      </c>
      <c r="D151" s="168" t="s">
        <v>262</v>
      </c>
      <c r="E151" s="185" t="s">
        <v>34</v>
      </c>
      <c r="F151" s="32" t="s">
        <v>1012</v>
      </c>
      <c r="G151" s="29" t="s">
        <v>1035</v>
      </c>
      <c r="H151" s="662"/>
      <c r="I151" s="29" t="s">
        <v>3608</v>
      </c>
      <c r="J151" s="29" t="s">
        <v>2037</v>
      </c>
      <c r="K151" s="32" t="s">
        <v>3208</v>
      </c>
      <c r="L151" s="32" t="s">
        <v>693</v>
      </c>
      <c r="M151" s="29" t="s">
        <v>3302</v>
      </c>
      <c r="N151" s="32" t="s">
        <v>1878</v>
      </c>
      <c r="O151" s="32" t="s">
        <v>1488</v>
      </c>
      <c r="P151" s="29" t="s">
        <v>3230</v>
      </c>
      <c r="Q151" s="54" t="s">
        <v>656</v>
      </c>
      <c r="R151" s="29" t="s">
        <v>3230</v>
      </c>
      <c r="S151" s="32" t="s">
        <v>1540</v>
      </c>
      <c r="T151" s="29" t="s">
        <v>1908</v>
      </c>
      <c r="U151" s="29" t="s">
        <v>1939</v>
      </c>
      <c r="V151" s="103" t="s">
        <v>1939</v>
      </c>
      <c r="W151" s="29"/>
      <c r="X151" s="29" t="s">
        <v>3630</v>
      </c>
      <c r="Y151" s="57" t="s">
        <v>856</v>
      </c>
      <c r="Z151" s="32" t="s">
        <v>870</v>
      </c>
      <c r="AA151" s="57" t="s">
        <v>895</v>
      </c>
      <c r="AB151" s="32" t="s">
        <v>1797</v>
      </c>
      <c r="AC151" s="32" t="s">
        <v>1861</v>
      </c>
      <c r="AD151" s="728" t="s">
        <v>667</v>
      </c>
      <c r="AE151" s="682" t="s">
        <v>777</v>
      </c>
      <c r="AF151" s="32" t="s">
        <v>806</v>
      </c>
      <c r="AG151" s="29" t="s">
        <v>834</v>
      </c>
      <c r="AH151" s="766" t="s">
        <v>921</v>
      </c>
      <c r="AI151" s="32" t="s">
        <v>937</v>
      </c>
      <c r="AJ151" s="29" t="s">
        <v>470</v>
      </c>
      <c r="AK151" s="663"/>
      <c r="AL151" s="57" t="s">
        <v>3475</v>
      </c>
      <c r="AM151" s="32" t="s">
        <v>3499</v>
      </c>
      <c r="AN151" s="32" t="s">
        <v>3516</v>
      </c>
      <c r="AO151" s="29" t="s">
        <v>1367</v>
      </c>
      <c r="AP151" s="663"/>
      <c r="AQ151" s="48" t="s">
        <v>641</v>
      </c>
      <c r="AR151" s="663"/>
      <c r="AS151" s="29" t="s">
        <v>470</v>
      </c>
      <c r="AT151" s="29" t="s">
        <v>470</v>
      </c>
      <c r="AU151" s="29" t="s">
        <v>470</v>
      </c>
      <c r="AV151" s="29" t="s">
        <v>719</v>
      </c>
      <c r="AW151" s="102" t="s">
        <v>2070</v>
      </c>
      <c r="AX151" s="663"/>
      <c r="AY151" s="663"/>
      <c r="AZ151" s="102" t="s">
        <v>1746</v>
      </c>
      <c r="BA151" s="102" t="s">
        <v>1767</v>
      </c>
      <c r="BB151" s="32" t="s">
        <v>1782</v>
      </c>
      <c r="BC151" s="87" t="s">
        <v>982</v>
      </c>
      <c r="BD151" s="29" t="s">
        <v>1820</v>
      </c>
      <c r="BE151" s="89" t="s">
        <v>1846</v>
      </c>
      <c r="BF151" s="32" t="s">
        <v>1694</v>
      </c>
      <c r="BG151" s="32" t="s">
        <v>1056</v>
      </c>
      <c r="BH151" s="32" t="s">
        <v>1076</v>
      </c>
      <c r="BI151" s="32" t="s">
        <v>1098</v>
      </c>
      <c r="BJ151" s="32" t="s">
        <v>1113</v>
      </c>
      <c r="BK151" s="29" t="s">
        <v>1725</v>
      </c>
      <c r="BL151" s="102" t="s">
        <v>2118</v>
      </c>
      <c r="BM151" s="29" t="s">
        <v>656</v>
      </c>
      <c r="BN151" s="29"/>
      <c r="BO151" s="186" t="s">
        <v>3549</v>
      </c>
      <c r="BP151" s="29" t="s">
        <v>470</v>
      </c>
      <c r="BQ151" s="32" t="s">
        <v>3048</v>
      </c>
      <c r="BR151" s="29" t="s">
        <v>656</v>
      </c>
      <c r="BS151" s="29" t="s">
        <v>656</v>
      </c>
      <c r="BT151" s="57"/>
      <c r="BU151" s="32" t="s">
        <v>622</v>
      </c>
      <c r="BV151" s="32" t="s">
        <v>2954</v>
      </c>
      <c r="BW151" s="103" t="s">
        <v>3015</v>
      </c>
      <c r="BX151" s="29" t="s">
        <v>2986</v>
      </c>
      <c r="BY151" s="663"/>
      <c r="BZ151" s="663"/>
      <c r="CA151" s="32" t="s">
        <v>3272</v>
      </c>
      <c r="CB151" s="48" t="s">
        <v>470</v>
      </c>
      <c r="CC151" s="32" t="s">
        <v>1160</v>
      </c>
      <c r="CD151" s="29" t="s">
        <v>2196</v>
      </c>
      <c r="CE151" s="32" t="s">
        <v>1221</v>
      </c>
      <c r="CF151" s="29"/>
      <c r="CG151" s="662"/>
      <c r="CH151" s="32" t="s">
        <v>1221</v>
      </c>
      <c r="CI151" s="32" t="s">
        <v>1221</v>
      </c>
      <c r="CJ151" s="32" t="s">
        <v>1221</v>
      </c>
      <c r="CK151" s="32" t="s">
        <v>1221</v>
      </c>
      <c r="CL151" s="32" t="s">
        <v>1337</v>
      </c>
      <c r="CM151" s="75" t="s">
        <v>1187</v>
      </c>
      <c r="CN151" s="57" t="s">
        <v>3160</v>
      </c>
      <c r="CO151" s="29" t="s">
        <v>470</v>
      </c>
      <c r="CP151" s="29" t="s">
        <v>470</v>
      </c>
      <c r="CQ151" s="29" t="s">
        <v>470</v>
      </c>
      <c r="CR151" s="127" t="s">
        <v>1401</v>
      </c>
      <c r="CS151" s="29"/>
      <c r="CT151" s="32"/>
      <c r="CU151" s="32" t="s">
        <v>3116</v>
      </c>
      <c r="CV151" s="663"/>
      <c r="CW151" s="32" t="s">
        <v>3077</v>
      </c>
      <c r="CX151" s="664" t="s">
        <v>3253</v>
      </c>
      <c r="CY151" s="29" t="s">
        <v>1447</v>
      </c>
      <c r="CZ151" s="29" t="s">
        <v>1447</v>
      </c>
      <c r="DA151" s="32" t="s">
        <v>2896</v>
      </c>
      <c r="DB151" s="32" t="s">
        <v>2848</v>
      </c>
      <c r="DC151" s="29" t="s">
        <v>656</v>
      </c>
      <c r="DD151" s="32" t="s">
        <v>2874</v>
      </c>
      <c r="DE151" s="32" t="s">
        <v>2636</v>
      </c>
      <c r="DF151" s="29" t="s">
        <v>3329</v>
      </c>
      <c r="DG151" s="173" t="s">
        <v>2702</v>
      </c>
      <c r="DH151" s="684" t="s">
        <v>2762</v>
      </c>
      <c r="DI151" s="686" t="s">
        <v>2735</v>
      </c>
      <c r="DJ151" s="689" t="s">
        <v>2791</v>
      </c>
      <c r="DK151" s="667"/>
      <c r="DL151" s="750" t="s">
        <v>2813</v>
      </c>
      <c r="DM151" s="173" t="s">
        <v>595</v>
      </c>
      <c r="DN151" s="32" t="s">
        <v>2660</v>
      </c>
      <c r="DO151" s="32" t="s">
        <v>2680</v>
      </c>
      <c r="DP151" s="57" t="s">
        <v>2540</v>
      </c>
      <c r="DQ151" s="57" t="s">
        <v>2595</v>
      </c>
      <c r="DR151" s="57" t="s">
        <v>2575</v>
      </c>
      <c r="DS151" s="151" t="s">
        <v>710</v>
      </c>
      <c r="DT151" s="87" t="s">
        <v>2915</v>
      </c>
      <c r="DU151" s="29" t="s">
        <v>488</v>
      </c>
      <c r="DV151" s="29" t="s">
        <v>2496</v>
      </c>
      <c r="DW151" s="54" t="s">
        <v>2420</v>
      </c>
      <c r="DX151" s="57" t="s">
        <v>2449</v>
      </c>
      <c r="DY151" s="779" t="s">
        <v>2474</v>
      </c>
      <c r="DZ151" s="32" t="s">
        <v>2449</v>
      </c>
      <c r="EA151" s="54"/>
      <c r="EB151" s="29"/>
      <c r="EC151" s="29" t="s">
        <v>3429</v>
      </c>
      <c r="ED151" s="29" t="s">
        <v>3456</v>
      </c>
      <c r="EE151" s="57" t="s">
        <v>518</v>
      </c>
      <c r="EF151" s="32" t="s">
        <v>3659</v>
      </c>
      <c r="EG151" s="663"/>
      <c r="EH151" s="764" t="s">
        <v>2356</v>
      </c>
      <c r="EI151" s="190" t="s">
        <v>656</v>
      </c>
      <c r="EJ151" s="191" t="s">
        <v>2380</v>
      </c>
      <c r="EK151" s="57" t="s">
        <v>2312</v>
      </c>
      <c r="EL151" s="57" t="s">
        <v>2336</v>
      </c>
      <c r="EM151" s="186" t="s">
        <v>2221</v>
      </c>
      <c r="EN151" s="81" t="s">
        <v>2246</v>
      </c>
      <c r="EO151" s="57" t="s">
        <v>2277</v>
      </c>
      <c r="EP151" s="102" t="s">
        <v>1564</v>
      </c>
      <c r="EQ151" s="29" t="s">
        <v>1662</v>
      </c>
      <c r="ER151" s="29"/>
      <c r="ES151" s="663"/>
      <c r="ET151" s="85" t="s">
        <v>3356</v>
      </c>
      <c r="EU151" s="127" t="s">
        <v>3378</v>
      </c>
      <c r="EV151" s="662" t="s">
        <v>1599</v>
      </c>
      <c r="EW151" s="32" t="s">
        <v>752</v>
      </c>
      <c r="EX151" s="32" t="s">
        <v>1437</v>
      </c>
      <c r="EY151" s="32" t="s">
        <v>2088</v>
      </c>
      <c r="EZ151" s="663"/>
      <c r="FA151" s="29" t="s">
        <v>1634</v>
      </c>
    </row>
    <row r="152" spans="1:157" ht="409.6" x14ac:dyDescent="0.2">
      <c r="A152" s="1205"/>
      <c r="B152" s="1206"/>
      <c r="C152" s="167" t="s">
        <v>263</v>
      </c>
      <c r="D152" s="168" t="s">
        <v>264</v>
      </c>
      <c r="E152" s="185" t="s">
        <v>34</v>
      </c>
      <c r="F152" s="32" t="s">
        <v>1013</v>
      </c>
      <c r="G152" s="29" t="s">
        <v>1036</v>
      </c>
      <c r="H152" s="662"/>
      <c r="I152" s="29" t="s">
        <v>1036</v>
      </c>
      <c r="J152" s="29" t="s">
        <v>2038</v>
      </c>
      <c r="K152" s="29" t="s">
        <v>656</v>
      </c>
      <c r="L152" s="32" t="s">
        <v>694</v>
      </c>
      <c r="M152" s="46" t="s">
        <v>3303</v>
      </c>
      <c r="N152" s="32" t="s">
        <v>1879</v>
      </c>
      <c r="O152" s="32" t="s">
        <v>9550</v>
      </c>
      <c r="P152" s="36" t="s">
        <v>656</v>
      </c>
      <c r="Q152" s="54" t="s">
        <v>656</v>
      </c>
      <c r="R152" s="36" t="s">
        <v>656</v>
      </c>
      <c r="S152" s="32" t="s">
        <v>1541</v>
      </c>
      <c r="T152" s="29" t="s">
        <v>470</v>
      </c>
      <c r="U152" s="29" t="s">
        <v>1940</v>
      </c>
      <c r="V152" s="103" t="s">
        <v>1940</v>
      </c>
      <c r="W152" s="29"/>
      <c r="X152" s="29"/>
      <c r="Y152" s="29"/>
      <c r="Z152" s="29"/>
      <c r="AA152" s="29"/>
      <c r="AB152" s="29"/>
      <c r="AC152" s="29"/>
      <c r="AD152" s="728" t="s">
        <v>667</v>
      </c>
      <c r="AE152" s="662"/>
      <c r="AF152" s="135" t="s">
        <v>807</v>
      </c>
      <c r="AG152" s="29"/>
      <c r="AH152" s="75"/>
      <c r="AI152" s="29"/>
      <c r="AJ152" s="29" t="s">
        <v>470</v>
      </c>
      <c r="AK152" s="663"/>
      <c r="AL152" s="57" t="s">
        <v>3476</v>
      </c>
      <c r="AM152" s="29" t="s">
        <v>3500</v>
      </c>
      <c r="AN152" s="29" t="s">
        <v>656</v>
      </c>
      <c r="AO152" s="29" t="s">
        <v>1368</v>
      </c>
      <c r="AP152" s="663"/>
      <c r="AQ152" s="29"/>
      <c r="AR152" s="663"/>
      <c r="AS152" s="29"/>
      <c r="AT152" s="29"/>
      <c r="AU152" s="29"/>
      <c r="AV152" s="29" t="s">
        <v>727</v>
      </c>
      <c r="AW152" s="183"/>
      <c r="AX152" s="663"/>
      <c r="AY152" s="663"/>
      <c r="AZ152" s="29" t="s">
        <v>1747</v>
      </c>
      <c r="BA152" s="29" t="s">
        <v>1768</v>
      </c>
      <c r="BB152" s="29" t="s">
        <v>1783</v>
      </c>
      <c r="BC152" s="87" t="s">
        <v>983</v>
      </c>
      <c r="BD152" s="29" t="s">
        <v>1821</v>
      </c>
      <c r="BE152" s="89" t="s">
        <v>1847</v>
      </c>
      <c r="BF152" s="29" t="s">
        <v>1695</v>
      </c>
      <c r="BG152" s="29" t="s">
        <v>470</v>
      </c>
      <c r="BH152" s="29" t="s">
        <v>656</v>
      </c>
      <c r="BI152" s="29" t="s">
        <v>656</v>
      </c>
      <c r="BJ152" s="29" t="s">
        <v>656</v>
      </c>
      <c r="BK152" s="29" t="s">
        <v>1726</v>
      </c>
      <c r="BL152" s="29" t="s">
        <v>2119</v>
      </c>
      <c r="BM152" s="29" t="s">
        <v>656</v>
      </c>
      <c r="BN152" s="29"/>
      <c r="BO152" s="186"/>
      <c r="BP152" s="29" t="s">
        <v>470</v>
      </c>
      <c r="BQ152" s="32" t="s">
        <v>3049</v>
      </c>
      <c r="BR152" s="29" t="s">
        <v>2149</v>
      </c>
      <c r="BS152" s="29" t="s">
        <v>2172</v>
      </c>
      <c r="BT152" s="728"/>
      <c r="BU152" s="29"/>
      <c r="BV152" s="32" t="s">
        <v>2954</v>
      </c>
      <c r="BW152" s="32" t="s">
        <v>3016</v>
      </c>
      <c r="BX152" s="29" t="s">
        <v>470</v>
      </c>
      <c r="BY152" s="663"/>
      <c r="BZ152" s="663"/>
      <c r="CA152" s="29" t="s">
        <v>470</v>
      </c>
      <c r="CB152" s="48" t="s">
        <v>470</v>
      </c>
      <c r="CC152" s="29" t="s">
        <v>470</v>
      </c>
      <c r="CD152" s="29"/>
      <c r="CE152" s="32" t="s">
        <v>1222</v>
      </c>
      <c r="CF152" s="29" t="s">
        <v>479</v>
      </c>
      <c r="CG152" s="662" t="s">
        <v>479</v>
      </c>
      <c r="CH152" s="32" t="s">
        <v>1273</v>
      </c>
      <c r="CI152" s="32" t="s">
        <v>1222</v>
      </c>
      <c r="CJ152" s="32" t="s">
        <v>1222</v>
      </c>
      <c r="CK152" s="32" t="s">
        <v>1222</v>
      </c>
      <c r="CL152" s="32" t="s">
        <v>1341</v>
      </c>
      <c r="CM152" s="75" t="s">
        <v>1188</v>
      </c>
      <c r="CN152" s="181" t="s">
        <v>3161</v>
      </c>
      <c r="CO152" s="29" t="s">
        <v>470</v>
      </c>
      <c r="CP152" s="29" t="s">
        <v>470</v>
      </c>
      <c r="CQ152" s="29" t="s">
        <v>470</v>
      </c>
      <c r="CR152" s="127" t="s">
        <v>1402</v>
      </c>
      <c r="CS152" s="29"/>
      <c r="CT152" s="29" t="s">
        <v>656</v>
      </c>
      <c r="CU152" s="32" t="s">
        <v>3117</v>
      </c>
      <c r="CV152" s="663"/>
      <c r="CW152" s="32" t="s">
        <v>3078</v>
      </c>
      <c r="CX152" s="664" t="s">
        <v>656</v>
      </c>
      <c r="CY152" s="57" t="s">
        <v>1458</v>
      </c>
      <c r="CZ152" s="57" t="s">
        <v>1458</v>
      </c>
      <c r="DA152" s="32" t="s">
        <v>2897</v>
      </c>
      <c r="DB152" s="85" t="s">
        <v>2849</v>
      </c>
      <c r="DC152" s="29" t="s">
        <v>656</v>
      </c>
      <c r="DD152" s="29" t="s">
        <v>470</v>
      </c>
      <c r="DE152" s="32" t="s">
        <v>2637</v>
      </c>
      <c r="DF152" s="29"/>
      <c r="DG152" s="173" t="s">
        <v>2703</v>
      </c>
      <c r="DH152" s="684" t="s">
        <v>2759</v>
      </c>
      <c r="DI152" s="686" t="s">
        <v>2736</v>
      </c>
      <c r="DJ152" s="666"/>
      <c r="DK152" s="737"/>
      <c r="DL152" s="127"/>
      <c r="DM152" s="173" t="s">
        <v>596</v>
      </c>
      <c r="DN152" s="32" t="s">
        <v>2661</v>
      </c>
      <c r="DO152" s="32" t="s">
        <v>2661</v>
      </c>
      <c r="DP152" s="57" t="s">
        <v>2541</v>
      </c>
      <c r="DQ152" s="29" t="s">
        <v>656</v>
      </c>
      <c r="DR152" s="29" t="s">
        <v>2576</v>
      </c>
      <c r="DS152" s="29" t="s">
        <v>656</v>
      </c>
      <c r="DT152" s="29"/>
      <c r="DU152" s="29" t="s">
        <v>470</v>
      </c>
      <c r="DV152" s="29" t="s">
        <v>2497</v>
      </c>
      <c r="DW152" s="54"/>
      <c r="DX152" s="29"/>
      <c r="DY152" s="29"/>
      <c r="DZ152" s="29"/>
      <c r="EA152" s="54"/>
      <c r="EB152" s="29"/>
      <c r="EC152" s="29" t="s">
        <v>3430</v>
      </c>
      <c r="ED152" s="29" t="s">
        <v>3457</v>
      </c>
      <c r="EE152" s="29" t="s">
        <v>519</v>
      </c>
      <c r="EF152" s="32" t="s">
        <v>3665</v>
      </c>
      <c r="EG152" s="663"/>
      <c r="EH152" s="764" t="s">
        <v>9527</v>
      </c>
      <c r="EI152" s="190" t="s">
        <v>656</v>
      </c>
      <c r="EJ152" s="191" t="s">
        <v>2381</v>
      </c>
      <c r="EK152" s="57" t="s">
        <v>2313</v>
      </c>
      <c r="EL152" s="57" t="s">
        <v>2337</v>
      </c>
      <c r="EM152" s="186"/>
      <c r="EN152" s="780" t="s">
        <v>2247</v>
      </c>
      <c r="EO152" s="57" t="s">
        <v>2278</v>
      </c>
      <c r="EP152" s="29" t="s">
        <v>1565</v>
      </c>
      <c r="EQ152" s="29" t="s">
        <v>1663</v>
      </c>
      <c r="ER152" s="29"/>
      <c r="ES152" s="663"/>
      <c r="ET152" s="29" t="s">
        <v>3357</v>
      </c>
      <c r="EU152" s="127" t="s">
        <v>3382</v>
      </c>
      <c r="EV152" s="662" t="s">
        <v>1600</v>
      </c>
      <c r="EW152" s="32" t="s">
        <v>9551</v>
      </c>
      <c r="EX152" s="32" t="s">
        <v>1438</v>
      </c>
      <c r="EY152" s="32" t="s">
        <v>2088</v>
      </c>
      <c r="EZ152" s="663"/>
      <c r="FA152" s="32" t="s">
        <v>1635</v>
      </c>
    </row>
    <row r="153" spans="1:157" ht="409.6" x14ac:dyDescent="0.2">
      <c r="A153" s="1205"/>
      <c r="B153" s="1206"/>
      <c r="C153" s="167" t="s">
        <v>265</v>
      </c>
      <c r="D153" s="168" t="s">
        <v>266</v>
      </c>
      <c r="E153" s="185" t="s">
        <v>267</v>
      </c>
      <c r="F153" s="29" t="s">
        <v>470</v>
      </c>
      <c r="G153" s="29" t="s">
        <v>656</v>
      </c>
      <c r="H153" s="662"/>
      <c r="I153" s="29" t="s">
        <v>3609</v>
      </c>
      <c r="J153" s="32" t="s">
        <v>2039</v>
      </c>
      <c r="K153" s="32" t="s">
        <v>3209</v>
      </c>
      <c r="L153" s="29"/>
      <c r="M153" s="29"/>
      <c r="N153" s="50" t="s">
        <v>656</v>
      </c>
      <c r="O153" s="57" t="s">
        <v>1489</v>
      </c>
      <c r="P153" s="36" t="s">
        <v>656</v>
      </c>
      <c r="Q153" s="54" t="s">
        <v>656</v>
      </c>
      <c r="R153" s="36" t="s">
        <v>656</v>
      </c>
      <c r="S153" s="32" t="s">
        <v>1542</v>
      </c>
      <c r="T153" s="756" t="s">
        <v>1908</v>
      </c>
      <c r="U153" s="29" t="s">
        <v>470</v>
      </c>
      <c r="V153" s="29" t="s">
        <v>1924</v>
      </c>
      <c r="W153" s="29"/>
      <c r="X153" s="29"/>
      <c r="Y153" s="29"/>
      <c r="Z153" s="29"/>
      <c r="AA153" s="29"/>
      <c r="AB153" s="29"/>
      <c r="AC153" s="29"/>
      <c r="AD153" s="728"/>
      <c r="AE153" s="662"/>
      <c r="AF153" s="32" t="s">
        <v>806</v>
      </c>
      <c r="AG153" s="29"/>
      <c r="AH153" s="48" t="s">
        <v>470</v>
      </c>
      <c r="AI153" s="29"/>
      <c r="AJ153" s="29" t="s">
        <v>470</v>
      </c>
      <c r="AK153" s="663"/>
      <c r="AL153" s="29" t="s">
        <v>470</v>
      </c>
      <c r="AM153" s="32" t="s">
        <v>3501</v>
      </c>
      <c r="AN153" s="29" t="s">
        <v>656</v>
      </c>
      <c r="AO153" s="29" t="s">
        <v>1367</v>
      </c>
      <c r="AP153" s="663"/>
      <c r="AQ153" s="29"/>
      <c r="AR153" s="663"/>
      <c r="AS153" s="29"/>
      <c r="AT153" s="29"/>
      <c r="AU153" s="29"/>
      <c r="AV153" s="29"/>
      <c r="AW153" s="102" t="s">
        <v>2070</v>
      </c>
      <c r="AX153" s="663"/>
      <c r="AY153" s="663"/>
      <c r="AZ153" s="29" t="s">
        <v>470</v>
      </c>
      <c r="BA153" s="32" t="s">
        <v>1769</v>
      </c>
      <c r="BB153" s="32" t="s">
        <v>1784</v>
      </c>
      <c r="BC153" s="32" t="s">
        <v>984</v>
      </c>
      <c r="BD153" s="57" t="s">
        <v>1822</v>
      </c>
      <c r="BE153" s="29" t="s">
        <v>1848</v>
      </c>
      <c r="BF153" s="32" t="s">
        <v>1696</v>
      </c>
      <c r="BG153" s="29" t="s">
        <v>470</v>
      </c>
      <c r="BH153" s="29" t="s">
        <v>656</v>
      </c>
      <c r="BI153" s="29" t="s">
        <v>656</v>
      </c>
      <c r="BJ153" s="29" t="s">
        <v>656</v>
      </c>
      <c r="BK153" s="29"/>
      <c r="BL153" s="103" t="s">
        <v>2120</v>
      </c>
      <c r="BM153" s="29" t="s">
        <v>656</v>
      </c>
      <c r="BN153" s="54"/>
      <c r="BO153" s="186"/>
      <c r="BP153" s="29" t="s">
        <v>470</v>
      </c>
      <c r="BQ153" s="32" t="s">
        <v>3038</v>
      </c>
      <c r="BR153" s="29"/>
      <c r="BS153" s="29"/>
      <c r="BT153" s="728"/>
      <c r="BU153" s="29"/>
      <c r="BV153" s="32" t="s">
        <v>2955</v>
      </c>
      <c r="BW153" s="29" t="s">
        <v>470</v>
      </c>
      <c r="BX153" s="29" t="s">
        <v>470</v>
      </c>
      <c r="BY153" s="663"/>
      <c r="BZ153" s="663"/>
      <c r="CA153" s="29" t="s">
        <v>470</v>
      </c>
      <c r="CB153" s="48" t="s">
        <v>470</v>
      </c>
      <c r="CC153" s="29" t="s">
        <v>470</v>
      </c>
      <c r="CD153" s="29"/>
      <c r="CE153" s="32" t="s">
        <v>1221</v>
      </c>
      <c r="CF153" s="29" t="s">
        <v>1247</v>
      </c>
      <c r="CG153" s="662" t="s">
        <v>1247</v>
      </c>
      <c r="CH153" s="32" t="s">
        <v>1221</v>
      </c>
      <c r="CI153" s="32" t="s">
        <v>1221</v>
      </c>
      <c r="CJ153" s="32" t="s">
        <v>1221</v>
      </c>
      <c r="CK153" s="32" t="s">
        <v>1221</v>
      </c>
      <c r="CL153" s="32" t="s">
        <v>1342</v>
      </c>
      <c r="CM153" s="75"/>
      <c r="CN153" s="121" t="s">
        <v>3162</v>
      </c>
      <c r="CO153" s="29" t="s">
        <v>470</v>
      </c>
      <c r="CP153" s="29" t="s">
        <v>470</v>
      </c>
      <c r="CQ153" s="29" t="s">
        <v>470</v>
      </c>
      <c r="CR153" s="127" t="s">
        <v>1403</v>
      </c>
      <c r="CS153" s="29"/>
      <c r="CT153" s="29" t="s">
        <v>656</v>
      </c>
      <c r="CU153" s="32" t="s">
        <v>3117</v>
      </c>
      <c r="CV153" s="663"/>
      <c r="CW153" s="32" t="s">
        <v>3077</v>
      </c>
      <c r="CX153" s="781" t="s">
        <v>3255</v>
      </c>
      <c r="CY153" s="29" t="s">
        <v>1447</v>
      </c>
      <c r="CZ153" s="29" t="s">
        <v>1447</v>
      </c>
      <c r="DA153" s="29" t="s">
        <v>1482</v>
      </c>
      <c r="DB153" s="29"/>
      <c r="DC153" s="29" t="s">
        <v>656</v>
      </c>
      <c r="DD153" s="29" t="s">
        <v>470</v>
      </c>
      <c r="DE153" s="32" t="s">
        <v>2638</v>
      </c>
      <c r="DF153" s="29"/>
      <c r="DG153" s="686" t="s">
        <v>2704</v>
      </c>
      <c r="DH153" s="782" t="s">
        <v>2762</v>
      </c>
      <c r="DI153" s="749" t="s">
        <v>2737</v>
      </c>
      <c r="DJ153" s="689" t="s">
        <v>2792</v>
      </c>
      <c r="DK153" s="737"/>
      <c r="DL153" s="127" t="s">
        <v>2813</v>
      </c>
      <c r="DM153" s="173" t="s">
        <v>581</v>
      </c>
      <c r="DN153" s="29" t="s">
        <v>470</v>
      </c>
      <c r="DO153" s="29" t="s">
        <v>470</v>
      </c>
      <c r="DP153" s="29"/>
      <c r="DQ153" s="29" t="s">
        <v>656</v>
      </c>
      <c r="DR153" s="57" t="s">
        <v>2577</v>
      </c>
      <c r="DS153" s="29" t="s">
        <v>656</v>
      </c>
      <c r="DT153" s="29"/>
      <c r="DU153" s="29" t="s">
        <v>470</v>
      </c>
      <c r="DV153" s="29" t="s">
        <v>2498</v>
      </c>
      <c r="DW153" s="54" t="s">
        <v>2421</v>
      </c>
      <c r="DX153" s="29"/>
      <c r="DY153" s="779" t="s">
        <v>2474</v>
      </c>
      <c r="DZ153" s="29"/>
      <c r="EA153" s="54"/>
      <c r="EB153" s="29"/>
      <c r="EC153" s="29" t="s">
        <v>3431</v>
      </c>
      <c r="ED153" s="29" t="s">
        <v>470</v>
      </c>
      <c r="EE153" s="57" t="s">
        <v>520</v>
      </c>
      <c r="EF153" s="32" t="s">
        <v>3666</v>
      </c>
      <c r="EG153" s="663"/>
      <c r="EH153" s="186" t="s">
        <v>656</v>
      </c>
      <c r="EI153" s="192" t="s">
        <v>656</v>
      </c>
      <c r="EJ153" s="191" t="s">
        <v>2382</v>
      </c>
      <c r="EK153" s="57" t="s">
        <v>2314</v>
      </c>
      <c r="EL153" s="57" t="s">
        <v>2338</v>
      </c>
      <c r="EM153" s="186"/>
      <c r="EN153" s="780" t="s">
        <v>2248</v>
      </c>
      <c r="EO153" s="57" t="s">
        <v>2279</v>
      </c>
      <c r="EP153" s="29" t="s">
        <v>656</v>
      </c>
      <c r="EQ153" s="29" t="s">
        <v>1664</v>
      </c>
      <c r="ER153" s="29"/>
      <c r="ES153" s="663"/>
      <c r="ET153" s="32" t="s">
        <v>3358</v>
      </c>
      <c r="EU153" s="127" t="s">
        <v>3383</v>
      </c>
      <c r="EV153" s="662" t="s">
        <v>656</v>
      </c>
      <c r="EW153" s="29"/>
      <c r="EX153" s="29" t="s">
        <v>1439</v>
      </c>
      <c r="EY153" s="29" t="s">
        <v>656</v>
      </c>
      <c r="EZ153" s="663"/>
      <c r="FA153" s="32" t="s">
        <v>1636</v>
      </c>
    </row>
    <row r="154" spans="1:157" ht="409.6" x14ac:dyDescent="0.2">
      <c r="A154" s="1205"/>
      <c r="B154" s="1206"/>
      <c r="C154" s="167" t="s">
        <v>268</v>
      </c>
      <c r="D154" s="168" t="s">
        <v>269</v>
      </c>
      <c r="E154" s="185" t="s">
        <v>15</v>
      </c>
      <c r="F154" s="29" t="s">
        <v>1014</v>
      </c>
      <c r="G154" s="29" t="s">
        <v>1037</v>
      </c>
      <c r="H154" s="662"/>
      <c r="I154" s="29" t="s">
        <v>656</v>
      </c>
      <c r="J154" s="29" t="s">
        <v>2040</v>
      </c>
      <c r="K154" s="87" t="s">
        <v>3210</v>
      </c>
      <c r="L154" s="29"/>
      <c r="M154" s="29" t="s">
        <v>3304</v>
      </c>
      <c r="N154" s="36" t="s">
        <v>1880</v>
      </c>
      <c r="O154" s="58" t="s">
        <v>1490</v>
      </c>
      <c r="P154" s="29" t="s">
        <v>3231</v>
      </c>
      <c r="Q154" s="197" t="s">
        <v>1512</v>
      </c>
      <c r="R154" s="29" t="s">
        <v>3235</v>
      </c>
      <c r="S154" s="29" t="s">
        <v>1543</v>
      </c>
      <c r="T154" s="29" t="s">
        <v>1909</v>
      </c>
      <c r="U154" s="29" t="s">
        <v>1941</v>
      </c>
      <c r="V154" s="29" t="s">
        <v>1954</v>
      </c>
      <c r="W154" s="29" t="s">
        <v>544</v>
      </c>
      <c r="X154" s="29"/>
      <c r="Y154" s="29"/>
      <c r="Z154" s="29" t="s">
        <v>883</v>
      </c>
      <c r="AA154" s="29"/>
      <c r="AB154" s="29"/>
      <c r="AC154" s="32" t="s">
        <v>9552</v>
      </c>
      <c r="AD154" s="29" t="s">
        <v>668</v>
      </c>
      <c r="AE154" s="662" t="s">
        <v>778</v>
      </c>
      <c r="AF154" s="29" t="s">
        <v>808</v>
      </c>
      <c r="AG154" s="29" t="s">
        <v>835</v>
      </c>
      <c r="AH154" s="48" t="s">
        <v>656</v>
      </c>
      <c r="AI154" s="29" t="s">
        <v>938</v>
      </c>
      <c r="AJ154" s="29" t="s">
        <v>470</v>
      </c>
      <c r="AK154" s="663"/>
      <c r="AL154" s="29" t="s">
        <v>3477</v>
      </c>
      <c r="AM154" s="29" t="s">
        <v>3502</v>
      </c>
      <c r="AN154" s="32" t="s">
        <v>3516</v>
      </c>
      <c r="AO154" s="29" t="s">
        <v>1369</v>
      </c>
      <c r="AP154" s="663"/>
      <c r="AQ154" s="48" t="s">
        <v>642</v>
      </c>
      <c r="AR154" s="663"/>
      <c r="AS154" s="29"/>
      <c r="AT154" s="29"/>
      <c r="AU154" s="29"/>
      <c r="AV154" s="29" t="s">
        <v>728</v>
      </c>
      <c r="AW154" s="29" t="s">
        <v>2071</v>
      </c>
      <c r="AX154" s="663"/>
      <c r="AY154" s="663"/>
      <c r="AZ154" s="29" t="s">
        <v>1748</v>
      </c>
      <c r="BA154" s="29" t="s">
        <v>1748</v>
      </c>
      <c r="BB154" s="29" t="s">
        <v>1748</v>
      </c>
      <c r="BC154" s="169" t="s">
        <v>985</v>
      </c>
      <c r="BD154" s="54" t="s">
        <v>1823</v>
      </c>
      <c r="BE154" s="29" t="s">
        <v>9497</v>
      </c>
      <c r="BF154" s="54" t="s">
        <v>1697</v>
      </c>
      <c r="BG154" s="29" t="s">
        <v>470</v>
      </c>
      <c r="BH154" s="29" t="s">
        <v>1077</v>
      </c>
      <c r="BI154" s="29" t="s">
        <v>1099</v>
      </c>
      <c r="BJ154" s="29" t="s">
        <v>656</v>
      </c>
      <c r="BK154" s="29"/>
      <c r="BL154" s="103" t="s">
        <v>2121</v>
      </c>
      <c r="BM154" s="29" t="s">
        <v>656</v>
      </c>
      <c r="BN154" s="54"/>
      <c r="BO154" s="186"/>
      <c r="BP154" s="29" t="s">
        <v>567</v>
      </c>
      <c r="BQ154" s="29" t="s">
        <v>3050</v>
      </c>
      <c r="BR154" s="29" t="s">
        <v>2149</v>
      </c>
      <c r="BS154" s="169" t="s">
        <v>2173</v>
      </c>
      <c r="BT154" s="728"/>
      <c r="BU154" s="29"/>
      <c r="BV154" s="29" t="s">
        <v>2956</v>
      </c>
      <c r="BW154" s="29" t="s">
        <v>3017</v>
      </c>
      <c r="BX154" s="29" t="s">
        <v>2987</v>
      </c>
      <c r="BY154" s="663"/>
      <c r="BZ154" s="663"/>
      <c r="CA154" s="29" t="s">
        <v>470</v>
      </c>
      <c r="CB154" s="48" t="s">
        <v>1136</v>
      </c>
      <c r="CC154" s="29" t="s">
        <v>1161</v>
      </c>
      <c r="CD154" s="29" t="s">
        <v>2197</v>
      </c>
      <c r="CE154" s="29" t="s">
        <v>1223</v>
      </c>
      <c r="CF154" s="29"/>
      <c r="CG154" s="662"/>
      <c r="CH154" s="29" t="s">
        <v>1274</v>
      </c>
      <c r="CI154" s="32" t="s">
        <v>9553</v>
      </c>
      <c r="CJ154" s="32" t="s">
        <v>9554</v>
      </c>
      <c r="CK154" s="29" t="s">
        <v>1325</v>
      </c>
      <c r="CL154" s="29" t="s">
        <v>1343</v>
      </c>
      <c r="CM154" s="110" t="s">
        <v>539</v>
      </c>
      <c r="CN154" s="29" t="s">
        <v>3163</v>
      </c>
      <c r="CO154" s="29" t="s">
        <v>470</v>
      </c>
      <c r="CP154" s="29" t="s">
        <v>470</v>
      </c>
      <c r="CQ154" s="29" t="s">
        <v>3184</v>
      </c>
      <c r="CR154" s="127" t="s">
        <v>1404</v>
      </c>
      <c r="CS154" s="29"/>
      <c r="CT154" s="29" t="s">
        <v>656</v>
      </c>
      <c r="CU154" s="29" t="s">
        <v>3118</v>
      </c>
      <c r="CV154" s="663"/>
      <c r="CW154" s="54" t="s">
        <v>3079</v>
      </c>
      <c r="CX154" s="664" t="s">
        <v>3256</v>
      </c>
      <c r="CY154" s="29" t="s">
        <v>1447</v>
      </c>
      <c r="CZ154" s="29" t="s">
        <v>1447</v>
      </c>
      <c r="DA154" s="29" t="s">
        <v>2898</v>
      </c>
      <c r="DB154" s="783" t="s">
        <v>2850</v>
      </c>
      <c r="DC154" s="29" t="s">
        <v>656</v>
      </c>
      <c r="DD154" s="29" t="s">
        <v>470</v>
      </c>
      <c r="DE154" s="29" t="s">
        <v>9520</v>
      </c>
      <c r="DF154" s="29" t="s">
        <v>3330</v>
      </c>
      <c r="DG154" s="127" t="s">
        <v>2705</v>
      </c>
      <c r="DH154" s="784" t="s">
        <v>2763</v>
      </c>
      <c r="DI154" s="142" t="s">
        <v>9522</v>
      </c>
      <c r="DJ154" s="689" t="s">
        <v>2793</v>
      </c>
      <c r="DK154" s="737"/>
      <c r="DL154" s="127"/>
      <c r="DM154" s="127" t="s">
        <v>597</v>
      </c>
      <c r="DN154" s="32" t="s">
        <v>2662</v>
      </c>
      <c r="DO154" s="29" t="s">
        <v>2681</v>
      </c>
      <c r="DP154" s="29" t="s">
        <v>2542</v>
      </c>
      <c r="DQ154" s="29" t="s">
        <v>2596</v>
      </c>
      <c r="DR154" s="29" t="s">
        <v>2578</v>
      </c>
      <c r="DS154" s="29" t="s">
        <v>711</v>
      </c>
      <c r="DT154" s="29"/>
      <c r="DU154" s="29" t="s">
        <v>489</v>
      </c>
      <c r="DV154" s="29" t="s">
        <v>2499</v>
      </c>
      <c r="DW154" s="54" t="s">
        <v>2422</v>
      </c>
      <c r="DX154" s="29" t="s">
        <v>2450</v>
      </c>
      <c r="DY154" s="29" t="s">
        <v>2475</v>
      </c>
      <c r="DZ154" s="29" t="s">
        <v>2450</v>
      </c>
      <c r="EA154" s="54" t="s">
        <v>2435</v>
      </c>
      <c r="EB154" s="29"/>
      <c r="EC154" s="29" t="s">
        <v>3432</v>
      </c>
      <c r="ED154" s="29" t="s">
        <v>3430</v>
      </c>
      <c r="EE154" s="54" t="s">
        <v>521</v>
      </c>
      <c r="EF154" s="29" t="s">
        <v>3667</v>
      </c>
      <c r="EG154" s="663"/>
      <c r="EH154" s="186" t="s">
        <v>656</v>
      </c>
      <c r="EI154" s="190" t="s">
        <v>2400</v>
      </c>
      <c r="EJ154" s="191" t="s">
        <v>2383</v>
      </c>
      <c r="EK154" s="57" t="s">
        <v>2315</v>
      </c>
      <c r="EL154" s="29" t="s">
        <v>2339</v>
      </c>
      <c r="EM154" s="186"/>
      <c r="EN154" s="48" t="s">
        <v>2249</v>
      </c>
      <c r="EO154" s="29" t="s">
        <v>2280</v>
      </c>
      <c r="EP154" s="29" t="s">
        <v>1566</v>
      </c>
      <c r="EQ154" s="29" t="s">
        <v>1665</v>
      </c>
      <c r="ER154" s="29" t="s">
        <v>3694</v>
      </c>
      <c r="ES154" s="663"/>
      <c r="ET154" s="29" t="s">
        <v>3359</v>
      </c>
      <c r="EU154" s="127" t="s">
        <v>3384</v>
      </c>
      <c r="EV154" s="662" t="s">
        <v>1601</v>
      </c>
      <c r="EW154" s="29" t="s">
        <v>753</v>
      </c>
      <c r="EX154" s="29"/>
      <c r="EY154" s="29" t="s">
        <v>2089</v>
      </c>
      <c r="EZ154" s="663"/>
      <c r="FA154" s="29" t="s">
        <v>1637</v>
      </c>
    </row>
    <row r="155" spans="1:157" ht="409.6" x14ac:dyDescent="0.2">
      <c r="A155" s="1205"/>
      <c r="B155" s="1206"/>
      <c r="C155" s="167" t="s">
        <v>270</v>
      </c>
      <c r="D155" s="168" t="s">
        <v>271</v>
      </c>
      <c r="E155" s="185" t="s">
        <v>15</v>
      </c>
      <c r="F155" s="29" t="s">
        <v>470</v>
      </c>
      <c r="G155" s="29" t="s">
        <v>656</v>
      </c>
      <c r="H155" s="662"/>
      <c r="I155" s="29" t="s">
        <v>656</v>
      </c>
      <c r="J155" s="32" t="s">
        <v>2041</v>
      </c>
      <c r="K155" s="29" t="s">
        <v>3211</v>
      </c>
      <c r="L155" s="29"/>
      <c r="M155" s="29"/>
      <c r="N155" s="50" t="s">
        <v>656</v>
      </c>
      <c r="O155" s="54" t="s">
        <v>539</v>
      </c>
      <c r="P155" s="29" t="s">
        <v>656</v>
      </c>
      <c r="Q155" s="29" t="s">
        <v>1513</v>
      </c>
      <c r="R155" s="29" t="s">
        <v>656</v>
      </c>
      <c r="S155" s="29" t="s">
        <v>470</v>
      </c>
      <c r="T155" s="29" t="s">
        <v>470</v>
      </c>
      <c r="U155" s="29" t="s">
        <v>1930</v>
      </c>
      <c r="V155" s="29" t="s">
        <v>1929</v>
      </c>
      <c r="W155" s="29"/>
      <c r="X155" s="29"/>
      <c r="Y155" s="29"/>
      <c r="Z155" s="29"/>
      <c r="AA155" s="29"/>
      <c r="AB155" s="29" t="s">
        <v>1798</v>
      </c>
      <c r="AC155" s="32" t="s">
        <v>1862</v>
      </c>
      <c r="AD155" s="29" t="s">
        <v>656</v>
      </c>
      <c r="AE155" s="662"/>
      <c r="AF155" s="29" t="s">
        <v>809</v>
      </c>
      <c r="AG155" s="29" t="s">
        <v>836</v>
      </c>
      <c r="AH155" s="48" t="s">
        <v>656</v>
      </c>
      <c r="AI155" s="32" t="s">
        <v>939</v>
      </c>
      <c r="AJ155" s="29" t="s">
        <v>470</v>
      </c>
      <c r="AK155" s="663"/>
      <c r="AL155" s="29" t="s">
        <v>470</v>
      </c>
      <c r="AM155" s="29" t="s">
        <v>3503</v>
      </c>
      <c r="AN155" s="29" t="s">
        <v>656</v>
      </c>
      <c r="AO155" s="29" t="s">
        <v>470</v>
      </c>
      <c r="AP155" s="663"/>
      <c r="AQ155" s="29"/>
      <c r="AR155" s="663"/>
      <c r="AS155" s="29"/>
      <c r="AT155" s="29"/>
      <c r="AU155" s="29"/>
      <c r="AV155" s="29"/>
      <c r="AW155" s="60"/>
      <c r="AX155" s="663"/>
      <c r="AY155" s="663"/>
      <c r="AZ155" s="29" t="s">
        <v>1749</v>
      </c>
      <c r="BA155" s="29"/>
      <c r="BB155" s="29" t="s">
        <v>656</v>
      </c>
      <c r="BC155" s="29" t="s">
        <v>986</v>
      </c>
      <c r="BD155" s="54" t="s">
        <v>1824</v>
      </c>
      <c r="BE155" s="29" t="s">
        <v>1849</v>
      </c>
      <c r="BF155" s="32" t="s">
        <v>1698</v>
      </c>
      <c r="BG155" s="29" t="s">
        <v>470</v>
      </c>
      <c r="BH155" s="29" t="s">
        <v>656</v>
      </c>
      <c r="BI155" s="29" t="s">
        <v>656</v>
      </c>
      <c r="BJ155" s="29" t="s">
        <v>656</v>
      </c>
      <c r="BK155" s="29"/>
      <c r="BL155" s="103" t="s">
        <v>2122</v>
      </c>
      <c r="BM155" s="29" t="s">
        <v>656</v>
      </c>
      <c r="BN155" s="32"/>
      <c r="BO155" s="186"/>
      <c r="BP155" s="29" t="s">
        <v>568</v>
      </c>
      <c r="BQ155" s="29" t="s">
        <v>3051</v>
      </c>
      <c r="BR155" s="102" t="s">
        <v>2150</v>
      </c>
      <c r="BS155" s="29" t="s">
        <v>2174</v>
      </c>
      <c r="BT155" s="728"/>
      <c r="BU155" s="29"/>
      <c r="BV155" s="32" t="s">
        <v>2957</v>
      </c>
      <c r="BW155" s="29" t="s">
        <v>470</v>
      </c>
      <c r="BX155" s="29" t="s">
        <v>2988</v>
      </c>
      <c r="BY155" s="663"/>
      <c r="BZ155" s="663"/>
      <c r="CA155" s="29" t="s">
        <v>470</v>
      </c>
      <c r="CB155" s="48" t="s">
        <v>470</v>
      </c>
      <c r="CC155" s="32" t="s">
        <v>1162</v>
      </c>
      <c r="CD155" s="29"/>
      <c r="CE155" s="32" t="s">
        <v>1224</v>
      </c>
      <c r="CF155" s="29" t="s">
        <v>470</v>
      </c>
      <c r="CG155" s="662" t="s">
        <v>470</v>
      </c>
      <c r="CH155" s="32"/>
      <c r="CI155" s="32" t="s">
        <v>1224</v>
      </c>
      <c r="CJ155" s="32" t="s">
        <v>1224</v>
      </c>
      <c r="CK155" s="32" t="s">
        <v>1224</v>
      </c>
      <c r="CL155" s="36" t="s">
        <v>656</v>
      </c>
      <c r="CM155" s="110" t="s">
        <v>539</v>
      </c>
      <c r="CN155" s="29" t="s">
        <v>3164</v>
      </c>
      <c r="CO155" s="29" t="s">
        <v>470</v>
      </c>
      <c r="CP155" s="29" t="s">
        <v>470</v>
      </c>
      <c r="CQ155" s="29" t="s">
        <v>3185</v>
      </c>
      <c r="CR155" s="127" t="s">
        <v>1405</v>
      </c>
      <c r="CS155" s="29"/>
      <c r="CT155" s="29" t="s">
        <v>3139</v>
      </c>
      <c r="CU155" s="29" t="s">
        <v>656</v>
      </c>
      <c r="CV155" s="663"/>
      <c r="CW155" s="54" t="s">
        <v>3080</v>
      </c>
      <c r="CX155" s="781" t="s">
        <v>9519</v>
      </c>
      <c r="CY155" s="29" t="s">
        <v>1459</v>
      </c>
      <c r="CZ155" s="29" t="s">
        <v>1459</v>
      </c>
      <c r="DA155" s="29" t="s">
        <v>1482</v>
      </c>
      <c r="DB155" s="87" t="s">
        <v>2851</v>
      </c>
      <c r="DC155" s="29" t="s">
        <v>656</v>
      </c>
      <c r="DD155" s="29" t="s">
        <v>470</v>
      </c>
      <c r="DE155" s="29" t="s">
        <v>2639</v>
      </c>
      <c r="DF155" s="29"/>
      <c r="DG155" s="127" t="s">
        <v>470</v>
      </c>
      <c r="DH155" s="784" t="s">
        <v>2762</v>
      </c>
      <c r="DI155" s="127" t="s">
        <v>2738</v>
      </c>
      <c r="DJ155" s="666" t="s">
        <v>2794</v>
      </c>
      <c r="DK155" s="667"/>
      <c r="DL155" s="127"/>
      <c r="DM155" s="173" t="s">
        <v>595</v>
      </c>
      <c r="DN155" s="32" t="s">
        <v>2663</v>
      </c>
      <c r="DO155" s="32" t="s">
        <v>2682</v>
      </c>
      <c r="DP155" s="29"/>
      <c r="DQ155" s="29" t="s">
        <v>656</v>
      </c>
      <c r="DR155" s="29" t="s">
        <v>2579</v>
      </c>
      <c r="DS155" s="29" t="s">
        <v>656</v>
      </c>
      <c r="DT155" s="29"/>
      <c r="DU155" s="29" t="s">
        <v>470</v>
      </c>
      <c r="DV155" s="29" t="s">
        <v>2500</v>
      </c>
      <c r="DW155" s="29"/>
      <c r="DX155" s="29" t="s">
        <v>539</v>
      </c>
      <c r="DY155" s="779"/>
      <c r="DZ155" s="29" t="s">
        <v>539</v>
      </c>
      <c r="EA155" s="29"/>
      <c r="EB155" s="29"/>
      <c r="EC155" s="29" t="s">
        <v>1447</v>
      </c>
      <c r="ED155" s="29"/>
      <c r="EE155" s="29" t="s">
        <v>522</v>
      </c>
      <c r="EF155" s="32" t="s">
        <v>3668</v>
      </c>
      <c r="EG155" s="663"/>
      <c r="EH155" s="186" t="s">
        <v>656</v>
      </c>
      <c r="EI155" s="775" t="s">
        <v>656</v>
      </c>
      <c r="EJ155" s="775" t="s">
        <v>1749</v>
      </c>
      <c r="EK155" s="57" t="s">
        <v>2316</v>
      </c>
      <c r="EL155" s="29" t="s">
        <v>2340</v>
      </c>
      <c r="EM155" s="186"/>
      <c r="EN155" s="780" t="s">
        <v>2248</v>
      </c>
      <c r="EO155" s="57" t="s">
        <v>2281</v>
      </c>
      <c r="EP155" s="29" t="s">
        <v>1567</v>
      </c>
      <c r="EQ155" s="29" t="s">
        <v>1666</v>
      </c>
      <c r="ER155" s="29" t="s">
        <v>3695</v>
      </c>
      <c r="ES155" s="663"/>
      <c r="ET155" s="29"/>
      <c r="EU155" s="127" t="s">
        <v>3383</v>
      </c>
      <c r="EV155" s="662" t="s">
        <v>656</v>
      </c>
      <c r="EW155" s="29"/>
      <c r="EX155" s="1203" t="s">
        <v>9555</v>
      </c>
      <c r="EY155" s="29" t="s">
        <v>656</v>
      </c>
      <c r="EZ155" s="663"/>
      <c r="FA155" s="29" t="s">
        <v>656</v>
      </c>
    </row>
    <row r="156" spans="1:157" ht="409.6" x14ac:dyDescent="0.2">
      <c r="A156" s="1205" t="s">
        <v>272</v>
      </c>
      <c r="B156" s="1206" t="s">
        <v>273</v>
      </c>
      <c r="C156" s="167" t="s">
        <v>274</v>
      </c>
      <c r="D156" s="168" t="s">
        <v>275</v>
      </c>
      <c r="E156" s="185" t="s">
        <v>15</v>
      </c>
      <c r="F156" s="29" t="s">
        <v>1015</v>
      </c>
      <c r="G156" s="29" t="s">
        <v>656</v>
      </c>
      <c r="H156" s="662" t="s">
        <v>656</v>
      </c>
      <c r="I156" s="29" t="s">
        <v>656</v>
      </c>
      <c r="J156" s="29" t="s">
        <v>2042</v>
      </c>
      <c r="K156" s="29" t="s">
        <v>3212</v>
      </c>
      <c r="L156" s="29" t="s">
        <v>695</v>
      </c>
      <c r="M156" s="29" t="s">
        <v>3305</v>
      </c>
      <c r="N156" s="36" t="s">
        <v>1881</v>
      </c>
      <c r="O156" s="29" t="s">
        <v>1491</v>
      </c>
      <c r="P156" s="29" t="s">
        <v>656</v>
      </c>
      <c r="Q156" s="54" t="s">
        <v>1514</v>
      </c>
      <c r="R156" s="29" t="s">
        <v>656</v>
      </c>
      <c r="S156" s="29" t="s">
        <v>1544</v>
      </c>
      <c r="T156" s="29" t="s">
        <v>1910</v>
      </c>
      <c r="U156" s="29" t="s">
        <v>1942</v>
      </c>
      <c r="V156" s="29" t="s">
        <v>1955</v>
      </c>
      <c r="W156" s="29" t="s">
        <v>539</v>
      </c>
      <c r="X156" s="29"/>
      <c r="Y156" s="29"/>
      <c r="Z156" s="29" t="s">
        <v>539</v>
      </c>
      <c r="AA156" s="29" t="s">
        <v>470</v>
      </c>
      <c r="AB156" s="29" t="s">
        <v>1799</v>
      </c>
      <c r="AC156" s="29"/>
      <c r="AD156" s="29" t="s">
        <v>656</v>
      </c>
      <c r="AE156" s="662" t="s">
        <v>779</v>
      </c>
      <c r="AF156" s="29" t="s">
        <v>810</v>
      </c>
      <c r="AG156" s="29"/>
      <c r="AH156" s="48" t="s">
        <v>470</v>
      </c>
      <c r="AI156" s="29"/>
      <c r="AJ156" s="29" t="s">
        <v>470</v>
      </c>
      <c r="AK156" s="663"/>
      <c r="AL156" s="29" t="s">
        <v>3478</v>
      </c>
      <c r="AM156" s="29" t="s">
        <v>3504</v>
      </c>
      <c r="AN156" s="29" t="s">
        <v>3527</v>
      </c>
      <c r="AO156" s="29" t="s">
        <v>1370</v>
      </c>
      <c r="AP156" s="663"/>
      <c r="AQ156" s="48" t="s">
        <v>643</v>
      </c>
      <c r="AR156" s="663"/>
      <c r="AS156" s="29" t="s">
        <v>1750</v>
      </c>
      <c r="AT156" s="29" t="s">
        <v>1750</v>
      </c>
      <c r="AU156" s="29" t="s">
        <v>1750</v>
      </c>
      <c r="AV156" s="29" t="s">
        <v>729</v>
      </c>
      <c r="AW156" s="60" t="s">
        <v>9487</v>
      </c>
      <c r="AX156" s="663"/>
      <c r="AY156" s="663"/>
      <c r="AZ156" s="29" t="s">
        <v>1750</v>
      </c>
      <c r="BA156" s="29" t="s">
        <v>1770</v>
      </c>
      <c r="BB156" s="29" t="s">
        <v>656</v>
      </c>
      <c r="BC156" s="29" t="s">
        <v>987</v>
      </c>
      <c r="BD156" s="54" t="s">
        <v>9496</v>
      </c>
      <c r="BE156" s="29" t="s">
        <v>1850</v>
      </c>
      <c r="BF156" s="29" t="s">
        <v>1699</v>
      </c>
      <c r="BG156" s="29" t="s">
        <v>656</v>
      </c>
      <c r="BH156" s="29" t="s">
        <v>656</v>
      </c>
      <c r="BI156" s="29" t="s">
        <v>1100</v>
      </c>
      <c r="BJ156" s="29" t="s">
        <v>656</v>
      </c>
      <c r="BK156" s="29" t="s">
        <v>1727</v>
      </c>
      <c r="BL156" s="29" t="s">
        <v>2123</v>
      </c>
      <c r="BM156" s="29" t="s">
        <v>656</v>
      </c>
      <c r="BN156" s="29"/>
      <c r="BO156" s="186"/>
      <c r="BP156" s="29" t="s">
        <v>569</v>
      </c>
      <c r="BQ156" s="29" t="s">
        <v>3052</v>
      </c>
      <c r="BR156" s="29" t="s">
        <v>2151</v>
      </c>
      <c r="BS156" s="84" t="s">
        <v>9556</v>
      </c>
      <c r="BT156" s="29" t="s">
        <v>656</v>
      </c>
      <c r="BU156" s="29"/>
      <c r="BV156" s="29" t="s">
        <v>2958</v>
      </c>
      <c r="BW156" s="29" t="s">
        <v>3018</v>
      </c>
      <c r="BX156" s="29" t="s">
        <v>2989</v>
      </c>
      <c r="BY156" s="663"/>
      <c r="BZ156" s="663"/>
      <c r="CA156" s="29" t="s">
        <v>3276</v>
      </c>
      <c r="CB156" s="48" t="s">
        <v>1137</v>
      </c>
      <c r="CC156" s="29" t="s">
        <v>1163</v>
      </c>
      <c r="CD156" s="29"/>
      <c r="CE156" s="29" t="s">
        <v>1225</v>
      </c>
      <c r="CF156" s="29"/>
      <c r="CG156" s="662"/>
      <c r="CH156" s="29" t="s">
        <v>1275</v>
      </c>
      <c r="CI156" s="29" t="s">
        <v>1295</v>
      </c>
      <c r="CJ156" s="29" t="s">
        <v>1295</v>
      </c>
      <c r="CK156" s="29" t="s">
        <v>1326</v>
      </c>
      <c r="CL156" s="29" t="s">
        <v>1344</v>
      </c>
      <c r="CM156" s="110" t="s">
        <v>1189</v>
      </c>
      <c r="CN156" s="29" t="s">
        <v>3165</v>
      </c>
      <c r="CO156" s="29" t="s">
        <v>470</v>
      </c>
      <c r="CP156" s="29" t="s">
        <v>470</v>
      </c>
      <c r="CQ156" s="29" t="s">
        <v>3186</v>
      </c>
      <c r="CR156" s="127" t="s">
        <v>1406</v>
      </c>
      <c r="CS156" s="29"/>
      <c r="CT156" s="29" t="s">
        <v>3140</v>
      </c>
      <c r="CU156" s="29" t="s">
        <v>656</v>
      </c>
      <c r="CV156" s="663"/>
      <c r="CW156" s="54" t="s">
        <v>3081</v>
      </c>
      <c r="CX156" s="664" t="s">
        <v>1750</v>
      </c>
      <c r="CY156" s="29" t="s">
        <v>1447</v>
      </c>
      <c r="CZ156" s="29" t="s">
        <v>1447</v>
      </c>
      <c r="DA156" s="29" t="s">
        <v>2899</v>
      </c>
      <c r="DB156" s="29" t="s">
        <v>2852</v>
      </c>
      <c r="DC156" s="29" t="s">
        <v>656</v>
      </c>
      <c r="DD156" s="29" t="s">
        <v>656</v>
      </c>
      <c r="DE156" s="29" t="s">
        <v>2640</v>
      </c>
      <c r="DF156" s="29"/>
      <c r="DG156" s="127" t="s">
        <v>470</v>
      </c>
      <c r="DH156" s="665" t="s">
        <v>2764</v>
      </c>
      <c r="DI156" s="127" t="s">
        <v>2739</v>
      </c>
      <c r="DJ156" s="666" t="s">
        <v>2795</v>
      </c>
      <c r="DK156" s="667"/>
      <c r="DL156" s="127"/>
      <c r="DM156" s="127" t="s">
        <v>598</v>
      </c>
      <c r="DN156" s="29" t="s">
        <v>2664</v>
      </c>
      <c r="DO156" s="29" t="s">
        <v>2683</v>
      </c>
      <c r="DP156" s="29" t="s">
        <v>2543</v>
      </c>
      <c r="DQ156" s="29" t="s">
        <v>656</v>
      </c>
      <c r="DR156" s="29" t="s">
        <v>2580</v>
      </c>
      <c r="DS156" s="29" t="s">
        <v>656</v>
      </c>
      <c r="DT156" s="29" t="s">
        <v>2916</v>
      </c>
      <c r="DU156" s="29" t="s">
        <v>490</v>
      </c>
      <c r="DV156" s="29" t="s">
        <v>2501</v>
      </c>
      <c r="DW156" s="29" t="s">
        <v>2423</v>
      </c>
      <c r="DX156" s="29" t="s">
        <v>2451</v>
      </c>
      <c r="DY156" s="29"/>
      <c r="DZ156" s="29" t="s">
        <v>2451</v>
      </c>
      <c r="EA156" s="29" t="s">
        <v>2436</v>
      </c>
      <c r="EB156" s="29" t="s">
        <v>2934</v>
      </c>
      <c r="EC156" s="29" t="s">
        <v>3433</v>
      </c>
      <c r="ED156" s="29" t="s">
        <v>479</v>
      </c>
      <c r="EE156" s="29" t="s">
        <v>523</v>
      </c>
      <c r="EF156" s="29" t="s">
        <v>470</v>
      </c>
      <c r="EG156" s="663"/>
      <c r="EH156" s="186" t="s">
        <v>656</v>
      </c>
      <c r="EI156" s="186" t="s">
        <v>656</v>
      </c>
      <c r="EJ156" s="186" t="s">
        <v>656</v>
      </c>
      <c r="EK156" s="29" t="s">
        <v>2317</v>
      </c>
      <c r="EL156" s="29" t="s">
        <v>2341</v>
      </c>
      <c r="EM156" s="186" t="s">
        <v>2222</v>
      </c>
      <c r="EN156" s="29"/>
      <c r="EO156" s="29" t="s">
        <v>9529</v>
      </c>
      <c r="EP156" s="29" t="s">
        <v>1568</v>
      </c>
      <c r="EQ156" s="29" t="s">
        <v>1667</v>
      </c>
      <c r="ER156" s="32" t="s">
        <v>3696</v>
      </c>
      <c r="ES156" s="663"/>
      <c r="ET156" s="29" t="s">
        <v>470</v>
      </c>
      <c r="EU156" s="127" t="s">
        <v>3385</v>
      </c>
      <c r="EV156" s="662" t="s">
        <v>1602</v>
      </c>
      <c r="EW156" s="29"/>
      <c r="EX156" s="1203"/>
      <c r="EY156" s="29" t="s">
        <v>2090</v>
      </c>
      <c r="EZ156" s="663"/>
      <c r="FA156" s="29" t="s">
        <v>1638</v>
      </c>
    </row>
    <row r="157" spans="1:157" ht="102" x14ac:dyDescent="0.2">
      <c r="A157" s="1214"/>
      <c r="B157" s="1206"/>
      <c r="C157" s="167" t="s">
        <v>276</v>
      </c>
      <c r="D157" s="168" t="s">
        <v>277</v>
      </c>
      <c r="E157" s="185" t="s">
        <v>117</v>
      </c>
      <c r="F157" s="29">
        <v>3</v>
      </c>
      <c r="G157" s="29" t="s">
        <v>656</v>
      </c>
      <c r="H157" s="662" t="s">
        <v>656</v>
      </c>
      <c r="I157" s="29" t="s">
        <v>656</v>
      </c>
      <c r="J157" s="29">
        <v>39</v>
      </c>
      <c r="K157" s="29">
        <v>4</v>
      </c>
      <c r="L157" s="29">
        <v>3</v>
      </c>
      <c r="M157" s="29">
        <v>13</v>
      </c>
      <c r="N157" s="36">
        <v>2</v>
      </c>
      <c r="O157" s="29">
        <v>3</v>
      </c>
      <c r="P157" s="29" t="s">
        <v>656</v>
      </c>
      <c r="Q157" s="54">
        <v>2</v>
      </c>
      <c r="R157" s="29" t="s">
        <v>656</v>
      </c>
      <c r="S157" s="29">
        <v>16</v>
      </c>
      <c r="T157" s="29">
        <v>88</v>
      </c>
      <c r="U157" s="29" t="s">
        <v>1943</v>
      </c>
      <c r="V157" s="29">
        <v>53</v>
      </c>
      <c r="W157" s="29"/>
      <c r="X157" s="29"/>
      <c r="Y157" s="29"/>
      <c r="Z157" s="29"/>
      <c r="AA157" s="29"/>
      <c r="AB157" s="29">
        <v>1</v>
      </c>
      <c r="AC157" s="29"/>
      <c r="AD157" s="29" t="s">
        <v>656</v>
      </c>
      <c r="AE157" s="662" t="s">
        <v>780</v>
      </c>
      <c r="AF157" s="29">
        <v>4</v>
      </c>
      <c r="AG157" s="29"/>
      <c r="AH157" s="48" t="s">
        <v>470</v>
      </c>
      <c r="AI157" s="29"/>
      <c r="AJ157" s="29" t="s">
        <v>470</v>
      </c>
      <c r="AK157" s="663"/>
      <c r="AL157" s="29">
        <v>1</v>
      </c>
      <c r="AM157" s="29">
        <v>1</v>
      </c>
      <c r="AN157" s="29" t="s">
        <v>3528</v>
      </c>
      <c r="AO157" s="29">
        <v>1</v>
      </c>
      <c r="AP157" s="663"/>
      <c r="AQ157" s="48">
        <v>5</v>
      </c>
      <c r="AR157" s="663"/>
      <c r="AS157" s="29"/>
      <c r="AT157" s="29"/>
      <c r="AU157" s="29"/>
      <c r="AV157" s="29">
        <v>1</v>
      </c>
      <c r="AW157" s="169">
        <v>2</v>
      </c>
      <c r="AX157" s="663"/>
      <c r="AY157" s="663"/>
      <c r="AZ157" s="29"/>
      <c r="BA157" s="29">
        <v>15</v>
      </c>
      <c r="BB157" s="29" t="s">
        <v>656</v>
      </c>
      <c r="BC157" s="29">
        <v>12</v>
      </c>
      <c r="BD157" s="54" t="s">
        <v>1825</v>
      </c>
      <c r="BE157" s="29">
        <v>2</v>
      </c>
      <c r="BF157" s="29" t="s">
        <v>1700</v>
      </c>
      <c r="BG157" s="29" t="s">
        <v>656</v>
      </c>
      <c r="BH157" s="29" t="s">
        <v>656</v>
      </c>
      <c r="BI157" s="29" t="s">
        <v>656</v>
      </c>
      <c r="BJ157" s="29" t="s">
        <v>656</v>
      </c>
      <c r="BK157" s="29">
        <v>14</v>
      </c>
      <c r="BL157" s="29">
        <v>32</v>
      </c>
      <c r="BM157" s="29" t="s">
        <v>656</v>
      </c>
      <c r="BN157" s="54"/>
      <c r="BO157" s="186"/>
      <c r="BP157" s="29">
        <v>3</v>
      </c>
      <c r="BQ157" s="29">
        <v>60</v>
      </c>
      <c r="BR157" s="29">
        <v>3</v>
      </c>
      <c r="BS157" s="169">
        <v>3</v>
      </c>
      <c r="BT157" s="29" t="s">
        <v>656</v>
      </c>
      <c r="BU157" s="29"/>
      <c r="BV157" s="32" t="s">
        <v>2959</v>
      </c>
      <c r="BW157" s="29" t="s">
        <v>3019</v>
      </c>
      <c r="BX157" s="29">
        <v>3</v>
      </c>
      <c r="BY157" s="663"/>
      <c r="BZ157" s="663"/>
      <c r="CA157" s="29">
        <v>2</v>
      </c>
      <c r="CB157" s="48">
        <v>29</v>
      </c>
      <c r="CC157" s="29">
        <v>2</v>
      </c>
      <c r="CD157" s="29"/>
      <c r="CE157" s="29">
        <v>1</v>
      </c>
      <c r="CF157" s="29"/>
      <c r="CG157" s="662"/>
      <c r="CH157" s="29">
        <v>3</v>
      </c>
      <c r="CI157" s="29">
        <v>1</v>
      </c>
      <c r="CJ157" s="29">
        <v>1</v>
      </c>
      <c r="CK157" s="29">
        <v>2</v>
      </c>
      <c r="CL157" s="29">
        <v>1</v>
      </c>
      <c r="CM157" s="110">
        <v>30</v>
      </c>
      <c r="CN157" s="29">
        <v>24</v>
      </c>
      <c r="CO157" s="29" t="s">
        <v>470</v>
      </c>
      <c r="CP157" s="29" t="s">
        <v>470</v>
      </c>
      <c r="CQ157" s="29">
        <v>1</v>
      </c>
      <c r="CR157" s="127">
        <v>9</v>
      </c>
      <c r="CS157" s="29"/>
      <c r="CT157" s="32" t="s">
        <v>3141</v>
      </c>
      <c r="CU157" s="29" t="s">
        <v>656</v>
      </c>
      <c r="CV157" s="663"/>
      <c r="CW157" s="54">
        <v>6</v>
      </c>
      <c r="CX157" s="664">
        <v>0</v>
      </c>
      <c r="CY157" s="29" t="s">
        <v>1447</v>
      </c>
      <c r="CZ157" s="29" t="s">
        <v>1447</v>
      </c>
      <c r="DA157" s="29">
        <v>3</v>
      </c>
      <c r="DB157" s="29">
        <v>20</v>
      </c>
      <c r="DC157" s="29" t="s">
        <v>656</v>
      </c>
      <c r="DD157" s="29" t="s">
        <v>656</v>
      </c>
      <c r="DE157" s="29">
        <v>2</v>
      </c>
      <c r="DF157" s="29"/>
      <c r="DG157" s="127">
        <v>0</v>
      </c>
      <c r="DH157" s="665">
        <f>'[3]Учетная политика'!$L$15</f>
        <v>15</v>
      </c>
      <c r="DI157" s="127">
        <v>93</v>
      </c>
      <c r="DJ157" s="666">
        <v>6</v>
      </c>
      <c r="DK157" s="667"/>
      <c r="DL157" s="127"/>
      <c r="DM157" s="127">
        <v>3</v>
      </c>
      <c r="DN157" s="29" t="s">
        <v>656</v>
      </c>
      <c r="DO157" s="29" t="s">
        <v>656</v>
      </c>
      <c r="DP157" s="29"/>
      <c r="DQ157" s="29" t="s">
        <v>656</v>
      </c>
      <c r="DR157" s="29">
        <v>1</v>
      </c>
      <c r="DS157" s="29" t="s">
        <v>656</v>
      </c>
      <c r="DT157" s="29">
        <v>1</v>
      </c>
      <c r="DU157" s="29">
        <v>1</v>
      </c>
      <c r="DV157" s="29">
        <v>58</v>
      </c>
      <c r="DW157" s="29"/>
      <c r="DX157" s="29"/>
      <c r="DY157" s="29"/>
      <c r="DZ157" s="29"/>
      <c r="EA157" s="29">
        <v>30</v>
      </c>
      <c r="EB157" s="29">
        <v>10</v>
      </c>
      <c r="EC157" s="29">
        <v>3</v>
      </c>
      <c r="ED157" s="29">
        <v>1</v>
      </c>
      <c r="EE157" s="29">
        <v>1</v>
      </c>
      <c r="EF157" s="29" t="s">
        <v>470</v>
      </c>
      <c r="EG157" s="663"/>
      <c r="EH157" s="186" t="s">
        <v>656</v>
      </c>
      <c r="EI157" s="186" t="s">
        <v>656</v>
      </c>
      <c r="EJ157" s="186" t="s">
        <v>656</v>
      </c>
      <c r="EK157" s="29">
        <v>19</v>
      </c>
      <c r="EL157" s="29">
        <v>49</v>
      </c>
      <c r="EM157" s="186" t="s">
        <v>2223</v>
      </c>
      <c r="EN157" s="29"/>
      <c r="EO157" s="29">
        <v>8</v>
      </c>
      <c r="EP157" s="29">
        <v>4</v>
      </c>
      <c r="EQ157" s="29">
        <v>32</v>
      </c>
      <c r="ER157" s="29" t="s">
        <v>1572</v>
      </c>
      <c r="ES157" s="663"/>
      <c r="ET157" s="29">
        <v>0</v>
      </c>
      <c r="EU157" s="127">
        <v>2</v>
      </c>
      <c r="EV157" s="662" t="s">
        <v>1603</v>
      </c>
      <c r="EW157" s="29"/>
      <c r="EX157" s="29">
        <f>26+26+4+4+4+1</f>
        <v>65</v>
      </c>
      <c r="EY157" s="29" t="s">
        <v>656</v>
      </c>
      <c r="EZ157" s="663"/>
      <c r="FA157" s="29">
        <v>5</v>
      </c>
    </row>
    <row r="158" spans="1:157" ht="136" x14ac:dyDescent="0.2">
      <c r="A158" s="1214"/>
      <c r="B158" s="1206"/>
      <c r="C158" s="167" t="s">
        <v>278</v>
      </c>
      <c r="D158" s="168" t="s">
        <v>279</v>
      </c>
      <c r="E158" s="185" t="s">
        <v>117</v>
      </c>
      <c r="F158" s="29">
        <v>27</v>
      </c>
      <c r="G158" s="29" t="s">
        <v>656</v>
      </c>
      <c r="H158" s="662" t="s">
        <v>656</v>
      </c>
      <c r="I158" s="29" t="s">
        <v>656</v>
      </c>
      <c r="J158" s="29">
        <v>1684</v>
      </c>
      <c r="K158" s="29">
        <v>500</v>
      </c>
      <c r="L158" s="29">
        <v>130</v>
      </c>
      <c r="M158" s="29">
        <v>200</v>
      </c>
      <c r="N158" s="36">
        <v>70</v>
      </c>
      <c r="O158" s="29">
        <v>340</v>
      </c>
      <c r="P158" s="29" t="s">
        <v>656</v>
      </c>
      <c r="Q158" s="54">
        <v>120</v>
      </c>
      <c r="R158" s="29" t="s">
        <v>656</v>
      </c>
      <c r="S158" s="29">
        <v>800</v>
      </c>
      <c r="T158" s="29">
        <v>1584</v>
      </c>
      <c r="U158" s="29">
        <v>1252</v>
      </c>
      <c r="V158" s="29">
        <v>1252</v>
      </c>
      <c r="W158" s="29"/>
      <c r="X158" s="29"/>
      <c r="Y158" s="29"/>
      <c r="Z158" s="29"/>
      <c r="AA158" s="29"/>
      <c r="AB158" s="29">
        <v>235</v>
      </c>
      <c r="AC158" s="29"/>
      <c r="AD158" s="29" t="s">
        <v>656</v>
      </c>
      <c r="AE158" s="662" t="s">
        <v>781</v>
      </c>
      <c r="AF158" s="36">
        <v>12318</v>
      </c>
      <c r="AG158" s="29"/>
      <c r="AH158" s="48" t="s">
        <v>470</v>
      </c>
      <c r="AI158" s="29"/>
      <c r="AJ158" s="29" t="s">
        <v>470</v>
      </c>
      <c r="AK158" s="663"/>
      <c r="AL158" s="29">
        <v>23</v>
      </c>
      <c r="AM158" s="29">
        <v>35</v>
      </c>
      <c r="AN158" s="29" t="s">
        <v>3529</v>
      </c>
      <c r="AO158" s="29" t="s">
        <v>1371</v>
      </c>
      <c r="AP158" s="663"/>
      <c r="AQ158" s="48">
        <v>813</v>
      </c>
      <c r="AR158" s="663"/>
      <c r="AS158" s="29"/>
      <c r="AT158" s="29"/>
      <c r="AU158" s="29"/>
      <c r="AV158" s="29">
        <v>34</v>
      </c>
      <c r="AW158" s="169">
        <v>376</v>
      </c>
      <c r="AX158" s="663"/>
      <c r="AY158" s="663"/>
      <c r="AZ158" s="29"/>
      <c r="BA158" s="29" t="s">
        <v>656</v>
      </c>
      <c r="BB158" s="29" t="s">
        <v>656</v>
      </c>
      <c r="BC158" s="29">
        <v>830</v>
      </c>
      <c r="BD158" s="54" t="s">
        <v>1826</v>
      </c>
      <c r="BE158" s="29">
        <v>91</v>
      </c>
      <c r="BF158" s="29" t="s">
        <v>1701</v>
      </c>
      <c r="BG158" s="29" t="s">
        <v>656</v>
      </c>
      <c r="BH158" s="29" t="s">
        <v>656</v>
      </c>
      <c r="BI158" s="29" t="s">
        <v>656</v>
      </c>
      <c r="BJ158" s="29" t="s">
        <v>656</v>
      </c>
      <c r="BK158" s="29">
        <v>3000</v>
      </c>
      <c r="BL158" s="29">
        <v>1382</v>
      </c>
      <c r="BM158" s="29" t="s">
        <v>656</v>
      </c>
      <c r="BN158" s="54"/>
      <c r="BO158" s="186"/>
      <c r="BP158" s="29">
        <v>400</v>
      </c>
      <c r="BQ158" s="29">
        <v>1200</v>
      </c>
      <c r="BR158" s="29" t="s">
        <v>2152</v>
      </c>
      <c r="BS158" s="84" t="s">
        <v>2175</v>
      </c>
      <c r="BT158" s="29" t="s">
        <v>656</v>
      </c>
      <c r="BU158" s="29"/>
      <c r="BV158" s="29" t="s">
        <v>656</v>
      </c>
      <c r="BW158" s="29" t="s">
        <v>3007</v>
      </c>
      <c r="BX158" s="29" t="s">
        <v>2990</v>
      </c>
      <c r="BY158" s="663"/>
      <c r="BZ158" s="663"/>
      <c r="CA158" s="29">
        <v>102</v>
      </c>
      <c r="CB158" s="48">
        <v>29</v>
      </c>
      <c r="CC158" s="29">
        <v>80</v>
      </c>
      <c r="CD158" s="29"/>
      <c r="CE158" s="29">
        <v>150</v>
      </c>
      <c r="CF158" s="29"/>
      <c r="CG158" s="662"/>
      <c r="CH158" s="29">
        <f>150+31+18</f>
        <v>199</v>
      </c>
      <c r="CI158" s="29">
        <v>150</v>
      </c>
      <c r="CJ158" s="29">
        <v>150</v>
      </c>
      <c r="CK158" s="29">
        <v>250</v>
      </c>
      <c r="CL158" s="29">
        <v>730</v>
      </c>
      <c r="CM158" s="110">
        <v>755</v>
      </c>
      <c r="CN158" s="29">
        <v>415</v>
      </c>
      <c r="CO158" s="29" t="s">
        <v>470</v>
      </c>
      <c r="CP158" s="29" t="s">
        <v>470</v>
      </c>
      <c r="CQ158" s="29" t="s">
        <v>3187</v>
      </c>
      <c r="CR158" s="127">
        <v>932</v>
      </c>
      <c r="CS158" s="29"/>
      <c r="CT158" s="29" t="s">
        <v>3103</v>
      </c>
      <c r="CU158" s="29" t="s">
        <v>656</v>
      </c>
      <c r="CV158" s="663"/>
      <c r="CW158" s="54">
        <v>380</v>
      </c>
      <c r="CX158" s="664">
        <v>0</v>
      </c>
      <c r="CY158" s="29" t="s">
        <v>1447</v>
      </c>
      <c r="CZ158" s="29" t="s">
        <v>1447</v>
      </c>
      <c r="DA158" s="29" t="s">
        <v>481</v>
      </c>
      <c r="DB158" s="29">
        <v>570</v>
      </c>
      <c r="DC158" s="29" t="s">
        <v>656</v>
      </c>
      <c r="DD158" s="29" t="s">
        <v>656</v>
      </c>
      <c r="DE158" s="29">
        <v>1700</v>
      </c>
      <c r="DF158" s="29"/>
      <c r="DG158" s="127">
        <v>0</v>
      </c>
      <c r="DH158" s="665">
        <f>'[3]Учетная политика'!$M$15</f>
        <v>3060</v>
      </c>
      <c r="DI158" s="127">
        <v>3720</v>
      </c>
      <c r="DJ158" s="666">
        <v>600</v>
      </c>
      <c r="DK158" s="667"/>
      <c r="DL158" s="127"/>
      <c r="DM158" s="127" t="s">
        <v>599</v>
      </c>
      <c r="DN158" s="29" t="s">
        <v>656</v>
      </c>
      <c r="DO158" s="29" t="s">
        <v>656</v>
      </c>
      <c r="DP158" s="29"/>
      <c r="DQ158" s="29" t="s">
        <v>656</v>
      </c>
      <c r="DR158" s="29">
        <v>100</v>
      </c>
      <c r="DS158" s="29" t="s">
        <v>656</v>
      </c>
      <c r="DT158" s="29">
        <v>1</v>
      </c>
      <c r="DU158" s="29">
        <v>195</v>
      </c>
      <c r="DV158" s="29">
        <v>1414</v>
      </c>
      <c r="DW158" s="29"/>
      <c r="DX158" s="29"/>
      <c r="DY158" s="29"/>
      <c r="DZ158" s="29"/>
      <c r="EA158" s="29">
        <v>274</v>
      </c>
      <c r="EB158" s="29">
        <v>304</v>
      </c>
      <c r="EC158" s="29" t="s">
        <v>934</v>
      </c>
      <c r="ED158" s="29">
        <v>315</v>
      </c>
      <c r="EE158" s="29">
        <v>58</v>
      </c>
      <c r="EF158" s="29" t="s">
        <v>470</v>
      </c>
      <c r="EG158" s="663"/>
      <c r="EH158" s="186" t="s">
        <v>656</v>
      </c>
      <c r="EI158" s="775" t="s">
        <v>656</v>
      </c>
      <c r="EJ158" s="775" t="s">
        <v>656</v>
      </c>
      <c r="EK158" s="29">
        <f>1134+596</f>
        <v>1730</v>
      </c>
      <c r="EL158" s="29">
        <v>4323</v>
      </c>
      <c r="EM158" s="186">
        <v>87</v>
      </c>
      <c r="EN158" s="29"/>
      <c r="EO158" s="29">
        <v>251</v>
      </c>
      <c r="EP158" s="29">
        <v>327</v>
      </c>
      <c r="EQ158" s="29">
        <v>480</v>
      </c>
      <c r="ER158" s="29" t="s">
        <v>1573</v>
      </c>
      <c r="ES158" s="663"/>
      <c r="ET158" s="29">
        <v>0</v>
      </c>
      <c r="EU158" s="29">
        <v>450</v>
      </c>
      <c r="EV158" s="662" t="s">
        <v>1604</v>
      </c>
      <c r="EW158" s="29"/>
      <c r="EX158" s="29">
        <f>1630+115+220+12</f>
        <v>1977</v>
      </c>
      <c r="EY158" s="29" t="s">
        <v>656</v>
      </c>
      <c r="EZ158" s="663"/>
      <c r="FA158" s="29">
        <v>200</v>
      </c>
    </row>
    <row r="159" spans="1:157" ht="409.6" x14ac:dyDescent="0.2">
      <c r="A159" s="1205" t="s">
        <v>280</v>
      </c>
      <c r="B159" s="1206" t="s">
        <v>281</v>
      </c>
      <c r="C159" s="167" t="s">
        <v>282</v>
      </c>
      <c r="D159" s="168" t="s">
        <v>283</v>
      </c>
      <c r="E159" s="185" t="s">
        <v>15</v>
      </c>
      <c r="F159" s="29" t="s">
        <v>1016</v>
      </c>
      <c r="G159" s="29" t="s">
        <v>1038</v>
      </c>
      <c r="H159" s="662" t="s">
        <v>3594</v>
      </c>
      <c r="I159" s="29" t="s">
        <v>1038</v>
      </c>
      <c r="J159" s="29" t="s">
        <v>2043</v>
      </c>
      <c r="K159" s="29" t="s">
        <v>3213</v>
      </c>
      <c r="L159" s="29" t="s">
        <v>696</v>
      </c>
      <c r="M159" s="29" t="s">
        <v>3306</v>
      </c>
      <c r="N159" s="29" t="s">
        <v>1882</v>
      </c>
      <c r="O159" s="54" t="s">
        <v>1492</v>
      </c>
      <c r="P159" s="29" t="s">
        <v>1545</v>
      </c>
      <c r="Q159" s="54" t="s">
        <v>1515</v>
      </c>
      <c r="R159" s="29" t="s">
        <v>1545</v>
      </c>
      <c r="S159" s="29" t="s">
        <v>1545</v>
      </c>
      <c r="T159" s="29" t="s">
        <v>1911</v>
      </c>
      <c r="U159" s="29" t="s">
        <v>1944</v>
      </c>
      <c r="V159" s="29" t="s">
        <v>1944</v>
      </c>
      <c r="W159" s="29" t="s">
        <v>545</v>
      </c>
      <c r="X159" s="29" t="s">
        <v>3631</v>
      </c>
      <c r="Y159" s="29" t="s">
        <v>857</v>
      </c>
      <c r="Z159" s="29" t="s">
        <v>884</v>
      </c>
      <c r="AA159" s="29" t="s">
        <v>906</v>
      </c>
      <c r="AB159" s="54" t="s">
        <v>1800</v>
      </c>
      <c r="AC159" s="54" t="s">
        <v>1800</v>
      </c>
      <c r="AD159" s="54" t="s">
        <v>669</v>
      </c>
      <c r="AE159" s="662" t="s">
        <v>782</v>
      </c>
      <c r="AF159" s="54" t="s">
        <v>811</v>
      </c>
      <c r="AG159" s="29" t="s">
        <v>837</v>
      </c>
      <c r="AH159" s="169" t="s">
        <v>922</v>
      </c>
      <c r="AI159" s="29" t="s">
        <v>940</v>
      </c>
      <c r="AJ159" s="29" t="s">
        <v>963</v>
      </c>
      <c r="AK159" s="663"/>
      <c r="AL159" s="29" t="s">
        <v>3479</v>
      </c>
      <c r="AM159" s="29" t="s">
        <v>3505</v>
      </c>
      <c r="AN159" s="29" t="s">
        <v>3530</v>
      </c>
      <c r="AO159" s="29" t="s">
        <v>1372</v>
      </c>
      <c r="AP159" s="663"/>
      <c r="AQ159" s="48" t="s">
        <v>644</v>
      </c>
      <c r="AR159" s="663"/>
      <c r="AS159" s="29" t="s">
        <v>1973</v>
      </c>
      <c r="AT159" s="29" t="s">
        <v>1996</v>
      </c>
      <c r="AU159" s="29" t="s">
        <v>2011</v>
      </c>
      <c r="AV159" s="29" t="s">
        <v>730</v>
      </c>
      <c r="AW159" s="29" t="s">
        <v>2072</v>
      </c>
      <c r="AX159" s="663"/>
      <c r="AY159" s="663"/>
      <c r="AZ159" s="29" t="s">
        <v>1751</v>
      </c>
      <c r="BA159" s="29" t="s">
        <v>1751</v>
      </c>
      <c r="BB159" s="29" t="s">
        <v>1751</v>
      </c>
      <c r="BC159" s="29" t="s">
        <v>988</v>
      </c>
      <c r="BD159" s="54" t="s">
        <v>1827</v>
      </c>
      <c r="BE159" s="29" t="s">
        <v>1851</v>
      </c>
      <c r="BF159" s="90" t="s">
        <v>1702</v>
      </c>
      <c r="BG159" s="29" t="s">
        <v>1057</v>
      </c>
      <c r="BH159" s="29" t="s">
        <v>1078</v>
      </c>
      <c r="BI159" s="29" t="s">
        <v>1101</v>
      </c>
      <c r="BJ159" s="29" t="s">
        <v>1114</v>
      </c>
      <c r="BK159" s="29"/>
      <c r="BL159" s="54" t="s">
        <v>2124</v>
      </c>
      <c r="BM159" s="29" t="s">
        <v>3541</v>
      </c>
      <c r="BN159" s="54" t="s">
        <v>3564</v>
      </c>
      <c r="BO159" s="186" t="s">
        <v>3555</v>
      </c>
      <c r="BP159" s="29" t="s">
        <v>570</v>
      </c>
      <c r="BQ159" s="29" t="s">
        <v>3053</v>
      </c>
      <c r="BR159" s="29" t="s">
        <v>2153</v>
      </c>
      <c r="BS159" s="29" t="s">
        <v>2153</v>
      </c>
      <c r="BT159" s="29" t="s">
        <v>656</v>
      </c>
      <c r="BU159" s="29" t="s">
        <v>623</v>
      </c>
      <c r="BV159" s="29" t="s">
        <v>2960</v>
      </c>
      <c r="BW159" s="29" t="s">
        <v>3020</v>
      </c>
      <c r="BX159" s="29" t="s">
        <v>2991</v>
      </c>
      <c r="BY159" s="663"/>
      <c r="BZ159" s="663"/>
      <c r="CA159" s="29" t="s">
        <v>3277</v>
      </c>
      <c r="CB159" s="48" t="s">
        <v>1138</v>
      </c>
      <c r="CC159" s="29" t="s">
        <v>1164</v>
      </c>
      <c r="CD159" s="29" t="s">
        <v>2198</v>
      </c>
      <c r="CE159" s="29" t="s">
        <v>1226</v>
      </c>
      <c r="CF159" s="29" t="s">
        <v>1248</v>
      </c>
      <c r="CG159" s="662" t="s">
        <v>1248</v>
      </c>
      <c r="CH159" s="29" t="s">
        <v>1226</v>
      </c>
      <c r="CI159" s="29" t="s">
        <v>1296</v>
      </c>
      <c r="CJ159" s="29" t="s">
        <v>1296</v>
      </c>
      <c r="CK159" s="29" t="s">
        <v>1226</v>
      </c>
      <c r="CL159" s="29" t="s">
        <v>1345</v>
      </c>
      <c r="CM159" s="110" t="s">
        <v>1190</v>
      </c>
      <c r="CN159" s="29" t="s">
        <v>3166</v>
      </c>
      <c r="CO159" s="29" t="s">
        <v>3401</v>
      </c>
      <c r="CP159" s="29" t="s">
        <v>3401</v>
      </c>
      <c r="CQ159" s="29" t="s">
        <v>3188</v>
      </c>
      <c r="CR159" s="127" t="s">
        <v>1407</v>
      </c>
      <c r="CS159" s="29" t="s">
        <v>3100</v>
      </c>
      <c r="CT159" s="29" t="s">
        <v>3104</v>
      </c>
      <c r="CU159" s="29"/>
      <c r="CV159" s="663"/>
      <c r="CW159" s="54" t="s">
        <v>3082</v>
      </c>
      <c r="CX159" s="664" t="s">
        <v>3257</v>
      </c>
      <c r="CY159" s="29" t="s">
        <v>1460</v>
      </c>
      <c r="CZ159" s="29" t="s">
        <v>1460</v>
      </c>
      <c r="DA159" s="29" t="s">
        <v>2900</v>
      </c>
      <c r="DB159" s="29" t="s">
        <v>2853</v>
      </c>
      <c r="DC159" s="29" t="s">
        <v>3641</v>
      </c>
      <c r="DD159" s="54" t="s">
        <v>2875</v>
      </c>
      <c r="DE159" s="29" t="s">
        <v>2641</v>
      </c>
      <c r="DF159" s="29" t="s">
        <v>3331</v>
      </c>
      <c r="DG159" s="127" t="s">
        <v>2706</v>
      </c>
      <c r="DH159" s="665" t="s">
        <v>2765</v>
      </c>
      <c r="DI159" s="662" t="s">
        <v>2740</v>
      </c>
      <c r="DJ159" s="666" t="s">
        <v>2796</v>
      </c>
      <c r="DK159" s="29" t="s">
        <v>2831</v>
      </c>
      <c r="DL159" s="127" t="s">
        <v>2814</v>
      </c>
      <c r="DM159" s="127" t="s">
        <v>600</v>
      </c>
      <c r="DN159" s="29" t="s">
        <v>2665</v>
      </c>
      <c r="DO159" s="29" t="s">
        <v>2665</v>
      </c>
      <c r="DP159" s="54" t="s">
        <v>2544</v>
      </c>
      <c r="DQ159" s="29" t="s">
        <v>2597</v>
      </c>
      <c r="DR159" s="29" t="s">
        <v>2581</v>
      </c>
      <c r="DS159" s="84" t="s">
        <v>712</v>
      </c>
      <c r="DT159" s="29" t="s">
        <v>2917</v>
      </c>
      <c r="DU159" s="54" t="s">
        <v>491</v>
      </c>
      <c r="DV159" s="29" t="s">
        <v>2502</v>
      </c>
      <c r="DW159" s="54" t="s">
        <v>2424</v>
      </c>
      <c r="DX159" s="29" t="s">
        <v>2452</v>
      </c>
      <c r="DY159" s="29" t="s">
        <v>2476</v>
      </c>
      <c r="DZ159" s="29" t="s">
        <v>2461</v>
      </c>
      <c r="EA159" s="54" t="s">
        <v>2437</v>
      </c>
      <c r="EB159" s="29" t="s">
        <v>2935</v>
      </c>
      <c r="EC159" s="29" t="s">
        <v>3434</v>
      </c>
      <c r="ED159" s="29" t="s">
        <v>3458</v>
      </c>
      <c r="EE159" s="54" t="s">
        <v>9557</v>
      </c>
      <c r="EF159" s="29" t="s">
        <v>3669</v>
      </c>
      <c r="EG159" s="663"/>
      <c r="EH159" s="186" t="s">
        <v>2357</v>
      </c>
      <c r="EI159" s="184" t="s">
        <v>2360</v>
      </c>
      <c r="EJ159" s="184" t="s">
        <v>2384</v>
      </c>
      <c r="EK159" s="29" t="s">
        <v>2318</v>
      </c>
      <c r="EL159" s="29" t="s">
        <v>2318</v>
      </c>
      <c r="EM159" s="186" t="s">
        <v>2224</v>
      </c>
      <c r="EN159" s="48" t="s">
        <v>2250</v>
      </c>
      <c r="EO159" s="29" t="s">
        <v>2282</v>
      </c>
      <c r="EP159" s="29" t="s">
        <v>1569</v>
      </c>
      <c r="EQ159" s="29" t="s">
        <v>1668</v>
      </c>
      <c r="ER159" s="29" t="s">
        <v>1574</v>
      </c>
      <c r="ES159" s="663"/>
      <c r="ET159" s="29" t="s">
        <v>3360</v>
      </c>
      <c r="EU159" s="29" t="s">
        <v>3386</v>
      </c>
      <c r="EV159" s="662" t="s">
        <v>1605</v>
      </c>
      <c r="EW159" s="29" t="s">
        <v>754</v>
      </c>
      <c r="EX159" s="29" t="s">
        <v>1440</v>
      </c>
      <c r="EY159" s="29" t="s">
        <v>2091</v>
      </c>
      <c r="EZ159" s="663"/>
      <c r="FA159" s="29" t="s">
        <v>1639</v>
      </c>
    </row>
    <row r="160" spans="1:157" ht="34" x14ac:dyDescent="0.2">
      <c r="A160" s="1205"/>
      <c r="B160" s="1206"/>
      <c r="C160" s="167" t="s">
        <v>284</v>
      </c>
      <c r="D160" s="168" t="s">
        <v>285</v>
      </c>
      <c r="E160" s="185" t="s">
        <v>286</v>
      </c>
      <c r="F160" s="29" t="s">
        <v>1017</v>
      </c>
      <c r="G160" s="29" t="s">
        <v>1039</v>
      </c>
      <c r="H160" s="662" t="s">
        <v>3595</v>
      </c>
      <c r="I160" s="29" t="s">
        <v>3610</v>
      </c>
      <c r="J160" s="29" t="s">
        <v>2044</v>
      </c>
      <c r="K160" s="29">
        <v>83852298621</v>
      </c>
      <c r="L160" s="29" t="s">
        <v>697</v>
      </c>
      <c r="M160" s="29" t="s">
        <v>3307</v>
      </c>
      <c r="N160" s="29" t="s">
        <v>1883</v>
      </c>
      <c r="O160" s="54" t="s">
        <v>1493</v>
      </c>
      <c r="P160" s="29">
        <v>89273059095</v>
      </c>
      <c r="Q160" s="54" t="s">
        <v>1516</v>
      </c>
      <c r="R160" s="29">
        <v>89273059095</v>
      </c>
      <c r="S160" s="29">
        <v>89273059095</v>
      </c>
      <c r="T160" s="29" t="s">
        <v>1912</v>
      </c>
      <c r="U160" s="29" t="s">
        <v>1945</v>
      </c>
      <c r="V160" s="29" t="s">
        <v>1945</v>
      </c>
      <c r="W160" s="29" t="s">
        <v>546</v>
      </c>
      <c r="X160" s="29" t="s">
        <v>3632</v>
      </c>
      <c r="Y160" s="29" t="s">
        <v>858</v>
      </c>
      <c r="Z160" s="29" t="s">
        <v>885</v>
      </c>
      <c r="AA160" s="54" t="s">
        <v>907</v>
      </c>
      <c r="AB160" s="54" t="s">
        <v>1801</v>
      </c>
      <c r="AC160" s="54" t="s">
        <v>1801</v>
      </c>
      <c r="AD160" s="54" t="s">
        <v>670</v>
      </c>
      <c r="AE160" s="662" t="s">
        <v>783</v>
      </c>
      <c r="AF160" s="54" t="s">
        <v>812</v>
      </c>
      <c r="AG160" s="29" t="s">
        <v>838</v>
      </c>
      <c r="AH160" s="169" t="s">
        <v>923</v>
      </c>
      <c r="AI160" s="29" t="s">
        <v>941</v>
      </c>
      <c r="AJ160" s="29">
        <v>88722511902</v>
      </c>
      <c r="AK160" s="663"/>
      <c r="AL160" s="29" t="s">
        <v>3480</v>
      </c>
      <c r="AM160" s="29" t="s">
        <v>3506</v>
      </c>
      <c r="AN160" s="29" t="s">
        <v>3531</v>
      </c>
      <c r="AO160" s="29" t="s">
        <v>1373</v>
      </c>
      <c r="AP160" s="663"/>
      <c r="AQ160" s="48" t="s">
        <v>645</v>
      </c>
      <c r="AR160" s="663"/>
      <c r="AS160" s="29" t="s">
        <v>1974</v>
      </c>
      <c r="AT160" s="29" t="s">
        <v>1997</v>
      </c>
      <c r="AU160" s="29">
        <v>599408</v>
      </c>
      <c r="AV160" s="29" t="s">
        <v>731</v>
      </c>
      <c r="AW160" s="29" t="s">
        <v>2073</v>
      </c>
      <c r="AX160" s="663"/>
      <c r="AY160" s="663"/>
      <c r="AZ160" s="29" t="s">
        <v>1752</v>
      </c>
      <c r="BA160" s="29" t="s">
        <v>1752</v>
      </c>
      <c r="BB160" s="29" t="s">
        <v>1752</v>
      </c>
      <c r="BC160" s="29" t="s">
        <v>989</v>
      </c>
      <c r="BD160" s="55" t="s">
        <v>1828</v>
      </c>
      <c r="BE160" s="29" t="s">
        <v>1852</v>
      </c>
      <c r="BF160" s="90" t="s">
        <v>1703</v>
      </c>
      <c r="BG160" s="29" t="s">
        <v>1058</v>
      </c>
      <c r="BH160" s="29" t="s">
        <v>1079</v>
      </c>
      <c r="BI160" s="29" t="s">
        <v>1102</v>
      </c>
      <c r="BJ160" s="29" t="s">
        <v>1115</v>
      </c>
      <c r="BK160" s="29"/>
      <c r="BL160" s="54" t="s">
        <v>2125</v>
      </c>
      <c r="BM160" s="29" t="s">
        <v>3542</v>
      </c>
      <c r="BN160" s="54" t="s">
        <v>3565</v>
      </c>
      <c r="BO160" s="186">
        <v>83522433750</v>
      </c>
      <c r="BP160" s="29" t="s">
        <v>571</v>
      </c>
      <c r="BQ160" s="29" t="s">
        <v>3054</v>
      </c>
      <c r="BR160" s="29" t="s">
        <v>2154</v>
      </c>
      <c r="BS160" s="29" t="s">
        <v>2154</v>
      </c>
      <c r="BT160" s="29" t="s">
        <v>656</v>
      </c>
      <c r="BU160" s="29" t="s">
        <v>624</v>
      </c>
      <c r="BV160" s="29" t="s">
        <v>2961</v>
      </c>
      <c r="BW160" s="29" t="s">
        <v>3021</v>
      </c>
      <c r="BX160" s="29" t="s">
        <v>2992</v>
      </c>
      <c r="BY160" s="663"/>
      <c r="BZ160" s="663"/>
      <c r="CA160" s="29" t="s">
        <v>3278</v>
      </c>
      <c r="CB160" s="48" t="s">
        <v>1139</v>
      </c>
      <c r="CC160" s="29" t="s">
        <v>1165</v>
      </c>
      <c r="CD160" s="29" t="s">
        <v>2199</v>
      </c>
      <c r="CE160" s="29" t="s">
        <v>1227</v>
      </c>
      <c r="CF160" s="29" t="s">
        <v>1249</v>
      </c>
      <c r="CG160" s="662" t="s">
        <v>1249</v>
      </c>
      <c r="CH160" s="29" t="s">
        <v>1276</v>
      </c>
      <c r="CI160" s="29" t="s">
        <v>1227</v>
      </c>
      <c r="CJ160" s="29" t="s">
        <v>1227</v>
      </c>
      <c r="CK160" s="29" t="s">
        <v>1227</v>
      </c>
      <c r="CL160" s="108" t="s">
        <v>1346</v>
      </c>
      <c r="CM160" s="110" t="s">
        <v>1191</v>
      </c>
      <c r="CN160" s="29" t="s">
        <v>3167</v>
      </c>
      <c r="CO160" s="29" t="s">
        <v>3402</v>
      </c>
      <c r="CP160" s="29" t="s">
        <v>3402</v>
      </c>
      <c r="CQ160" s="29" t="s">
        <v>3189</v>
      </c>
      <c r="CR160" s="127" t="s">
        <v>1408</v>
      </c>
      <c r="CS160" s="29" t="s">
        <v>3101</v>
      </c>
      <c r="CT160" s="29" t="s">
        <v>3105</v>
      </c>
      <c r="CU160" s="29"/>
      <c r="CV160" s="663"/>
      <c r="CW160" s="54" t="s">
        <v>3083</v>
      </c>
      <c r="CX160" s="664" t="s">
        <v>3258</v>
      </c>
      <c r="CY160" s="29" t="s">
        <v>1461</v>
      </c>
      <c r="CZ160" s="29" t="s">
        <v>1461</v>
      </c>
      <c r="DA160" s="29" t="s">
        <v>2901</v>
      </c>
      <c r="DB160" s="29" t="s">
        <v>2854</v>
      </c>
      <c r="DC160" s="29" t="s">
        <v>3642</v>
      </c>
      <c r="DD160" s="785" t="s">
        <v>2876</v>
      </c>
      <c r="DE160" s="29" t="s">
        <v>2642</v>
      </c>
      <c r="DF160" s="29" t="s">
        <v>3332</v>
      </c>
      <c r="DG160" s="127" t="s">
        <v>2707</v>
      </c>
      <c r="DH160" s="665" t="s">
        <v>2766</v>
      </c>
      <c r="DI160" s="662" t="s">
        <v>2741</v>
      </c>
      <c r="DJ160" s="786" t="s">
        <v>2797</v>
      </c>
      <c r="DK160" s="80" t="s">
        <v>2832</v>
      </c>
      <c r="DL160" s="127" t="s">
        <v>2815</v>
      </c>
      <c r="DM160" s="127" t="s">
        <v>601</v>
      </c>
      <c r="DN160" s="54" t="s">
        <v>2666</v>
      </c>
      <c r="DO160" s="54" t="s">
        <v>2666</v>
      </c>
      <c r="DP160" s="54" t="s">
        <v>2545</v>
      </c>
      <c r="DQ160" s="29" t="s">
        <v>2598</v>
      </c>
      <c r="DR160" s="29" t="s">
        <v>2582</v>
      </c>
      <c r="DS160" s="29" t="s">
        <v>713</v>
      </c>
      <c r="DT160" s="29" t="s">
        <v>2918</v>
      </c>
      <c r="DU160" s="29" t="s">
        <v>492</v>
      </c>
      <c r="DV160" s="29" t="s">
        <v>2503</v>
      </c>
      <c r="DW160" s="54" t="s">
        <v>2425</v>
      </c>
      <c r="DX160" s="36" t="s">
        <v>2453</v>
      </c>
      <c r="DY160" s="29" t="s">
        <v>2477</v>
      </c>
      <c r="DZ160" s="29" t="s">
        <v>2462</v>
      </c>
      <c r="EA160" s="54" t="s">
        <v>2438</v>
      </c>
      <c r="EB160" s="29" t="s">
        <v>2936</v>
      </c>
      <c r="EC160" s="29" t="s">
        <v>3435</v>
      </c>
      <c r="ED160" s="29" t="s">
        <v>3459</v>
      </c>
      <c r="EE160" s="54" t="s">
        <v>524</v>
      </c>
      <c r="EF160" s="29" t="s">
        <v>3670</v>
      </c>
      <c r="EG160" s="663"/>
      <c r="EH160" s="186" t="s">
        <v>2358</v>
      </c>
      <c r="EI160" s="186" t="s">
        <v>2361</v>
      </c>
      <c r="EJ160" s="186" t="s">
        <v>2385</v>
      </c>
      <c r="EK160" s="29" t="s">
        <v>2319</v>
      </c>
      <c r="EL160" s="29" t="s">
        <v>2319</v>
      </c>
      <c r="EM160" s="186" t="s">
        <v>2225</v>
      </c>
      <c r="EN160" s="48" t="s">
        <v>2251</v>
      </c>
      <c r="EO160" s="29" t="s">
        <v>2283</v>
      </c>
      <c r="EP160" s="29" t="s">
        <v>1570</v>
      </c>
      <c r="EQ160" s="148" t="s">
        <v>1669</v>
      </c>
      <c r="ER160" s="663"/>
      <c r="ES160" s="663"/>
      <c r="ET160" s="29" t="s">
        <v>3361</v>
      </c>
      <c r="EU160" s="29" t="s">
        <v>3387</v>
      </c>
      <c r="EV160" s="662" t="s">
        <v>1606</v>
      </c>
      <c r="EW160" s="29" t="s">
        <v>755</v>
      </c>
      <c r="EX160" s="29" t="s">
        <v>1441</v>
      </c>
      <c r="EY160" s="29" t="s">
        <v>2092</v>
      </c>
      <c r="EZ160" s="663"/>
      <c r="FA160" s="29" t="s">
        <v>1640</v>
      </c>
    </row>
    <row r="161" spans="1:157" ht="51" x14ac:dyDescent="0.2">
      <c r="A161" s="1205"/>
      <c r="B161" s="1206"/>
      <c r="C161" s="167" t="s">
        <v>287</v>
      </c>
      <c r="D161" s="168" t="s">
        <v>288</v>
      </c>
      <c r="E161" s="185" t="s">
        <v>289</v>
      </c>
      <c r="F161" s="29" t="s">
        <v>1018</v>
      </c>
      <c r="G161" s="29" t="s">
        <v>1040</v>
      </c>
      <c r="H161" s="662" t="s">
        <v>3596</v>
      </c>
      <c r="I161" s="29" t="s">
        <v>1040</v>
      </c>
      <c r="J161" s="42" t="s">
        <v>2045</v>
      </c>
      <c r="K161" s="29" t="s">
        <v>3214</v>
      </c>
      <c r="L161" s="32" t="s">
        <v>698</v>
      </c>
      <c r="M161" s="32" t="s">
        <v>3308</v>
      </c>
      <c r="N161" s="32" t="s">
        <v>1884</v>
      </c>
      <c r="O161" s="57" t="s">
        <v>1494</v>
      </c>
      <c r="P161" s="32" t="s">
        <v>1546</v>
      </c>
      <c r="Q161" s="32" t="s">
        <v>1517</v>
      </c>
      <c r="R161" s="32" t="s">
        <v>1546</v>
      </c>
      <c r="S161" s="32" t="s">
        <v>1546</v>
      </c>
      <c r="T161" s="32" t="s">
        <v>1913</v>
      </c>
      <c r="U161" s="29" t="s">
        <v>1946</v>
      </c>
      <c r="V161" s="103" t="s">
        <v>1946</v>
      </c>
      <c r="W161" s="57" t="s">
        <v>547</v>
      </c>
      <c r="X161" s="32" t="s">
        <v>3633</v>
      </c>
      <c r="Y161" s="57" t="s">
        <v>859</v>
      </c>
      <c r="Z161" s="32" t="s">
        <v>886</v>
      </c>
      <c r="AA161" s="57" t="s">
        <v>908</v>
      </c>
      <c r="AB161" s="32" t="s">
        <v>1802</v>
      </c>
      <c r="AC161" s="32" t="s">
        <v>1802</v>
      </c>
      <c r="AD161" s="57" t="s">
        <v>671</v>
      </c>
      <c r="AE161" s="682" t="s">
        <v>784</v>
      </c>
      <c r="AF161" s="54" t="s">
        <v>813</v>
      </c>
      <c r="AG161" s="32" t="s">
        <v>839</v>
      </c>
      <c r="AH161" s="32" t="s">
        <v>924</v>
      </c>
      <c r="AI161" s="29" t="s">
        <v>942</v>
      </c>
      <c r="AJ161" s="32" t="s">
        <v>964</v>
      </c>
      <c r="AK161" s="663"/>
      <c r="AL161" s="57" t="s">
        <v>3481</v>
      </c>
      <c r="AM161" s="32" t="s">
        <v>3507</v>
      </c>
      <c r="AN161" s="32" t="s">
        <v>3532</v>
      </c>
      <c r="AO161" s="32" t="s">
        <v>1374</v>
      </c>
      <c r="AP161" s="663"/>
      <c r="AQ161" s="48" t="s">
        <v>646</v>
      </c>
      <c r="AR161" s="663"/>
      <c r="AS161" s="32" t="s">
        <v>1975</v>
      </c>
      <c r="AT161" s="32" t="s">
        <v>1998</v>
      </c>
      <c r="AU161" s="32" t="s">
        <v>2012</v>
      </c>
      <c r="AV161" s="32" t="s">
        <v>732</v>
      </c>
      <c r="AW161" s="29" t="s">
        <v>2074</v>
      </c>
      <c r="AX161" s="663"/>
      <c r="AY161" s="663"/>
      <c r="AZ161" s="32" t="s">
        <v>1753</v>
      </c>
      <c r="BA161" s="29" t="s">
        <v>1753</v>
      </c>
      <c r="BB161" s="29" t="s">
        <v>1753</v>
      </c>
      <c r="BC161" s="29" t="s">
        <v>990</v>
      </c>
      <c r="BD161" s="57" t="s">
        <v>1829</v>
      </c>
      <c r="BE161" s="89" t="s">
        <v>1853</v>
      </c>
      <c r="BF161" s="91" t="s">
        <v>1704</v>
      </c>
      <c r="BG161" s="32" t="s">
        <v>1059</v>
      </c>
      <c r="BH161" s="32" t="s">
        <v>1080</v>
      </c>
      <c r="BI161" s="32" t="s">
        <v>1103</v>
      </c>
      <c r="BJ161" s="32" t="s">
        <v>1116</v>
      </c>
      <c r="BK161" s="29"/>
      <c r="BL161" s="57" t="s">
        <v>2126</v>
      </c>
      <c r="BM161" s="57" t="s">
        <v>3543</v>
      </c>
      <c r="BN161" s="32" t="s">
        <v>3566</v>
      </c>
      <c r="BO161" s="764" t="s">
        <v>3556</v>
      </c>
      <c r="BP161" s="57" t="s">
        <v>572</v>
      </c>
      <c r="BQ161" s="32" t="s">
        <v>3055</v>
      </c>
      <c r="BR161" s="102" t="s">
        <v>2155</v>
      </c>
      <c r="BS161" s="102" t="s">
        <v>2155</v>
      </c>
      <c r="BT161" s="29" t="s">
        <v>656</v>
      </c>
      <c r="BU161" s="32" t="s">
        <v>625</v>
      </c>
      <c r="BV161" s="32" t="s">
        <v>2962</v>
      </c>
      <c r="BW161" s="32" t="s">
        <v>3022</v>
      </c>
      <c r="BX161" s="29" t="s">
        <v>2993</v>
      </c>
      <c r="BY161" s="663"/>
      <c r="BZ161" s="663"/>
      <c r="CA161" s="32" t="s">
        <v>3279</v>
      </c>
      <c r="CB161" s="787" t="s">
        <v>1140</v>
      </c>
      <c r="CC161" s="32" t="s">
        <v>1166</v>
      </c>
      <c r="CD161" s="32" t="s">
        <v>2200</v>
      </c>
      <c r="CE161" s="32" t="s">
        <v>1228</v>
      </c>
      <c r="CF161" s="57" t="s">
        <v>1250</v>
      </c>
      <c r="CG161" s="682" t="s">
        <v>1250</v>
      </c>
      <c r="CH161" s="32" t="s">
        <v>1277</v>
      </c>
      <c r="CI161" s="32" t="s">
        <v>1228</v>
      </c>
      <c r="CJ161" s="32" t="s">
        <v>1228</v>
      </c>
      <c r="CK161" s="32" t="s">
        <v>1228</v>
      </c>
      <c r="CL161" s="85" t="s">
        <v>1347</v>
      </c>
      <c r="CM161" s="75" t="s">
        <v>1192</v>
      </c>
      <c r="CN161" s="57" t="s">
        <v>3168</v>
      </c>
      <c r="CO161" s="57" t="s">
        <v>3403</v>
      </c>
      <c r="CP161" s="57" t="s">
        <v>3403</v>
      </c>
      <c r="CQ161" s="788" t="s">
        <v>3190</v>
      </c>
      <c r="CR161" s="686" t="s">
        <v>1409</v>
      </c>
      <c r="CS161" s="32" t="s">
        <v>3102</v>
      </c>
      <c r="CT161" s="29"/>
      <c r="CU161" s="29"/>
      <c r="CV161" s="663"/>
      <c r="CW161" s="32" t="s">
        <v>3084</v>
      </c>
      <c r="CX161" s="687" t="s">
        <v>3259</v>
      </c>
      <c r="CY161" s="57" t="s">
        <v>1462</v>
      </c>
      <c r="CZ161" s="57" t="s">
        <v>1462</v>
      </c>
      <c r="DA161" s="32" t="s">
        <v>2902</v>
      </c>
      <c r="DB161" s="32" t="s">
        <v>2855</v>
      </c>
      <c r="DC161" s="32" t="s">
        <v>3643</v>
      </c>
      <c r="DD161" s="32" t="s">
        <v>2877</v>
      </c>
      <c r="DE161" s="32" t="s">
        <v>2643</v>
      </c>
      <c r="DF161" s="29" t="s">
        <v>3333</v>
      </c>
      <c r="DG161" s="173" t="s">
        <v>2708</v>
      </c>
      <c r="DH161" s="684" t="s">
        <v>2767</v>
      </c>
      <c r="DI161" s="789" t="s">
        <v>2742</v>
      </c>
      <c r="DJ161" s="689" t="s">
        <v>2798</v>
      </c>
      <c r="DK161" s="92" t="s">
        <v>2833</v>
      </c>
      <c r="DL161" s="750" t="s">
        <v>2816</v>
      </c>
      <c r="DM161" s="127" t="s">
        <v>602</v>
      </c>
      <c r="DN161" s="84" t="s">
        <v>2667</v>
      </c>
      <c r="DO161" s="84" t="s">
        <v>2667</v>
      </c>
      <c r="DP161" s="57" t="s">
        <v>2546</v>
      </c>
      <c r="DQ161" s="29" t="s">
        <v>2599</v>
      </c>
      <c r="DR161" s="29" t="s">
        <v>2583</v>
      </c>
      <c r="DS161" s="57" t="s">
        <v>714</v>
      </c>
      <c r="DT161" s="32" t="s">
        <v>2919</v>
      </c>
      <c r="DU161" s="57" t="s">
        <v>493</v>
      </c>
      <c r="DV161" s="29" t="s">
        <v>2504</v>
      </c>
      <c r="DW161" s="54" t="s">
        <v>2426</v>
      </c>
      <c r="DX161" s="57" t="s">
        <v>2454</v>
      </c>
      <c r="DY161" s="779" t="s">
        <v>2478</v>
      </c>
      <c r="DZ161" s="32" t="s">
        <v>2463</v>
      </c>
      <c r="EA161" s="103" t="s">
        <v>2439</v>
      </c>
      <c r="EB161" s="32" t="s">
        <v>2937</v>
      </c>
      <c r="EC161" s="29" t="s">
        <v>3436</v>
      </c>
      <c r="ED161" s="32" t="s">
        <v>3460</v>
      </c>
      <c r="EE161" s="57" t="s">
        <v>525</v>
      </c>
      <c r="EF161" s="32" t="s">
        <v>3671</v>
      </c>
      <c r="EG161" s="663"/>
      <c r="EH161" s="186" t="s">
        <v>2359</v>
      </c>
      <c r="EI161" s="191" t="s">
        <v>2362</v>
      </c>
      <c r="EJ161" s="191" t="s">
        <v>2386</v>
      </c>
      <c r="EK161" s="57" t="s">
        <v>2320</v>
      </c>
      <c r="EL161" s="29" t="s">
        <v>2320</v>
      </c>
      <c r="EM161" s="186" t="s">
        <v>2226</v>
      </c>
      <c r="EN161" s="780" t="s">
        <v>2252</v>
      </c>
      <c r="EO161" s="57" t="s">
        <v>2284</v>
      </c>
      <c r="EP161" s="29" t="s">
        <v>1571</v>
      </c>
      <c r="EQ161" s="32" t="s">
        <v>1670</v>
      </c>
      <c r="ER161" s="663"/>
      <c r="ES161" s="663"/>
      <c r="ET161" s="29" t="s">
        <v>3362</v>
      </c>
      <c r="EU161" s="29" t="s">
        <v>3388</v>
      </c>
      <c r="EV161" s="662" t="s">
        <v>1607</v>
      </c>
      <c r="EW161" s="32" t="s">
        <v>756</v>
      </c>
      <c r="EX161" s="32" t="s">
        <v>1442</v>
      </c>
      <c r="EY161" s="32" t="s">
        <v>2093</v>
      </c>
      <c r="EZ161" s="663"/>
      <c r="FA161" s="32" t="s">
        <v>1641</v>
      </c>
    </row>
    <row r="162" spans="1:157" ht="255" x14ac:dyDescent="0.2">
      <c r="A162" s="1205" t="s">
        <v>290</v>
      </c>
      <c r="B162" s="1206" t="s">
        <v>291</v>
      </c>
      <c r="C162" s="167" t="s">
        <v>292</v>
      </c>
      <c r="D162" s="168" t="s">
        <v>293</v>
      </c>
      <c r="E162" s="185" t="s">
        <v>15</v>
      </c>
      <c r="F162" s="29" t="s">
        <v>470</v>
      </c>
      <c r="G162" s="29" t="s">
        <v>1041</v>
      </c>
      <c r="H162" s="662" t="s">
        <v>1041</v>
      </c>
      <c r="I162" s="29" t="s">
        <v>1041</v>
      </c>
      <c r="J162" s="29" t="s">
        <v>2046</v>
      </c>
      <c r="K162" s="29" t="s">
        <v>3215</v>
      </c>
      <c r="L162" s="29" t="s">
        <v>696</v>
      </c>
      <c r="M162" s="29" t="s">
        <v>3309</v>
      </c>
      <c r="N162" s="50" t="s">
        <v>656</v>
      </c>
      <c r="O162" s="54" t="s">
        <v>1495</v>
      </c>
      <c r="P162" s="54" t="s">
        <v>1495</v>
      </c>
      <c r="Q162" s="54" t="s">
        <v>1518</v>
      </c>
      <c r="R162" s="29" t="s">
        <v>1495</v>
      </c>
      <c r="S162" s="29" t="s">
        <v>1495</v>
      </c>
      <c r="T162" s="29" t="s">
        <v>1914</v>
      </c>
      <c r="U162" s="29" t="s">
        <v>1914</v>
      </c>
      <c r="V162" s="29" t="s">
        <v>1914</v>
      </c>
      <c r="W162" s="29" t="s">
        <v>548</v>
      </c>
      <c r="X162" s="29"/>
      <c r="Y162" s="29" t="s">
        <v>860</v>
      </c>
      <c r="Z162" s="29" t="s">
        <v>887</v>
      </c>
      <c r="AA162" s="29"/>
      <c r="AB162" s="54" t="s">
        <v>1800</v>
      </c>
      <c r="AC162" s="54" t="s">
        <v>1800</v>
      </c>
      <c r="AD162" s="29" t="s">
        <v>656</v>
      </c>
      <c r="AE162" s="662"/>
      <c r="AF162" s="54"/>
      <c r="AG162" s="29"/>
      <c r="AH162" s="29" t="s">
        <v>925</v>
      </c>
      <c r="AI162" s="29" t="s">
        <v>943</v>
      </c>
      <c r="AJ162" s="29"/>
      <c r="AK162" s="663"/>
      <c r="AL162" s="29" t="s">
        <v>3482</v>
      </c>
      <c r="AM162" s="29" t="s">
        <v>3482</v>
      </c>
      <c r="AN162" s="29" t="s">
        <v>3482</v>
      </c>
      <c r="AO162" s="29" t="s">
        <v>1375</v>
      </c>
      <c r="AP162" s="663"/>
      <c r="AQ162" s="48" t="s">
        <v>647</v>
      </c>
      <c r="AR162" s="663"/>
      <c r="AS162" s="29" t="s">
        <v>1976</v>
      </c>
      <c r="AT162" s="29" t="s">
        <v>1976</v>
      </c>
      <c r="AU162" s="29" t="s">
        <v>1976</v>
      </c>
      <c r="AV162" s="29"/>
      <c r="AW162" s="29" t="s">
        <v>2072</v>
      </c>
      <c r="AX162" s="663"/>
      <c r="AY162" s="663"/>
      <c r="AZ162" s="29" t="s">
        <v>1754</v>
      </c>
      <c r="BA162" s="29" t="s">
        <v>1754</v>
      </c>
      <c r="BB162" s="29" t="s">
        <v>1754</v>
      </c>
      <c r="BC162" s="29"/>
      <c r="BD162" s="29"/>
      <c r="BE162" s="54" t="s">
        <v>1827</v>
      </c>
      <c r="BF162" s="29"/>
      <c r="BG162" s="29" t="s">
        <v>1060</v>
      </c>
      <c r="BH162" s="29" t="s">
        <v>1060</v>
      </c>
      <c r="BI162" s="29" t="s">
        <v>1060</v>
      </c>
      <c r="BJ162" s="29" t="s">
        <v>1060</v>
      </c>
      <c r="BK162" s="29"/>
      <c r="BL162" s="29"/>
      <c r="BM162" s="29" t="s">
        <v>3544</v>
      </c>
      <c r="BN162" s="29" t="s">
        <v>3544</v>
      </c>
      <c r="BO162" s="186" t="s">
        <v>3544</v>
      </c>
      <c r="BP162" s="29" t="s">
        <v>573</v>
      </c>
      <c r="BQ162" s="29" t="s">
        <v>3056</v>
      </c>
      <c r="BR162" s="29" t="s">
        <v>2156</v>
      </c>
      <c r="BS162" s="29" t="s">
        <v>2156</v>
      </c>
      <c r="BT162" s="29" t="s">
        <v>3579</v>
      </c>
      <c r="BU162" s="29"/>
      <c r="BV162" s="29" t="s">
        <v>2963</v>
      </c>
      <c r="BW162" s="29" t="s">
        <v>2963</v>
      </c>
      <c r="BX162" s="29" t="s">
        <v>2963</v>
      </c>
      <c r="BY162" s="663"/>
      <c r="BZ162" s="663"/>
      <c r="CA162" s="29" t="s">
        <v>3280</v>
      </c>
      <c r="CB162" s="48"/>
      <c r="CC162" s="29"/>
      <c r="CD162" s="29" t="s">
        <v>2201</v>
      </c>
      <c r="CE162" s="29" t="s">
        <v>1229</v>
      </c>
      <c r="CF162" s="29" t="s">
        <v>1251</v>
      </c>
      <c r="CG162" s="662" t="s">
        <v>1251</v>
      </c>
      <c r="CH162" s="29" t="s">
        <v>1251</v>
      </c>
      <c r="CI162" s="29" t="s">
        <v>1297</v>
      </c>
      <c r="CJ162" s="29" t="s">
        <v>1297</v>
      </c>
      <c r="CK162" s="29" t="s">
        <v>1229</v>
      </c>
      <c r="CL162" s="29" t="s">
        <v>1229</v>
      </c>
      <c r="CM162" s="110" t="s">
        <v>539</v>
      </c>
      <c r="CN162" s="193" t="s">
        <v>656</v>
      </c>
      <c r="CO162" s="29" t="s">
        <v>3166</v>
      </c>
      <c r="CP162" s="29" t="s">
        <v>3166</v>
      </c>
      <c r="CQ162" s="29" t="s">
        <v>3166</v>
      </c>
      <c r="CR162" s="127" t="s">
        <v>1410</v>
      </c>
      <c r="CS162" s="29" t="s">
        <v>3103</v>
      </c>
      <c r="CT162" s="29"/>
      <c r="CU162" s="29" t="s">
        <v>3103</v>
      </c>
      <c r="CV162" s="663"/>
      <c r="CW162" s="54" t="s">
        <v>3085</v>
      </c>
      <c r="CX162" s="664" t="s">
        <v>3257</v>
      </c>
      <c r="CY162" s="29" t="s">
        <v>1463</v>
      </c>
      <c r="CZ162" s="29" t="s">
        <v>1463</v>
      </c>
      <c r="DA162" s="29" t="s">
        <v>2903</v>
      </c>
      <c r="DB162" s="29"/>
      <c r="DC162" s="29" t="s">
        <v>656</v>
      </c>
      <c r="DD162" s="29"/>
      <c r="DE162" s="29" t="s">
        <v>470</v>
      </c>
      <c r="DF162" s="29"/>
      <c r="DG162" s="127" t="s">
        <v>2709</v>
      </c>
      <c r="DH162" s="665" t="s">
        <v>2768</v>
      </c>
      <c r="DI162" s="662" t="s">
        <v>2743</v>
      </c>
      <c r="DJ162" s="666"/>
      <c r="DK162" s="29" t="s">
        <v>2796</v>
      </c>
      <c r="DL162" s="29" t="s">
        <v>2796</v>
      </c>
      <c r="DM162" s="127" t="s">
        <v>603</v>
      </c>
      <c r="DN162" s="29"/>
      <c r="DO162" s="29"/>
      <c r="DP162" s="29"/>
      <c r="DQ162" s="29"/>
      <c r="DR162" s="29"/>
      <c r="DS162" s="29"/>
      <c r="DT162" s="29"/>
      <c r="DU162" s="29" t="s">
        <v>494</v>
      </c>
      <c r="DV162" s="29" t="s">
        <v>2505</v>
      </c>
      <c r="DW162" s="29" t="s">
        <v>470</v>
      </c>
      <c r="DX162" s="29"/>
      <c r="DY162" s="29"/>
      <c r="DZ162" s="29"/>
      <c r="EA162" s="29"/>
      <c r="EB162" s="54"/>
      <c r="EC162" s="29" t="s">
        <v>3434</v>
      </c>
      <c r="ED162" s="29" t="s">
        <v>3458</v>
      </c>
      <c r="EE162" s="29"/>
      <c r="EF162" s="29" t="s">
        <v>3672</v>
      </c>
      <c r="EG162" s="663"/>
      <c r="EH162" s="186" t="s">
        <v>2360</v>
      </c>
      <c r="EI162" s="186" t="s">
        <v>2360</v>
      </c>
      <c r="EJ162" s="186" t="s">
        <v>2360</v>
      </c>
      <c r="EK162" s="29"/>
      <c r="EL162" s="29"/>
      <c r="EM162" s="186"/>
      <c r="EN162" s="29"/>
      <c r="EO162" s="29" t="s">
        <v>2285</v>
      </c>
      <c r="EP162" s="29" t="s">
        <v>1572</v>
      </c>
      <c r="EQ162" s="29" t="s">
        <v>1572</v>
      </c>
      <c r="ER162" s="663"/>
      <c r="ES162" s="663"/>
      <c r="ET162" s="29"/>
      <c r="EU162" s="29"/>
      <c r="EV162" s="662" t="s">
        <v>1608</v>
      </c>
      <c r="EW162" s="29"/>
      <c r="EX162" s="29" t="s">
        <v>1443</v>
      </c>
      <c r="EY162" s="29"/>
      <c r="EZ162" s="663"/>
      <c r="FA162" s="29" t="s">
        <v>656</v>
      </c>
    </row>
    <row r="163" spans="1:157" ht="68" x14ac:dyDescent="0.2">
      <c r="A163" s="1205"/>
      <c r="B163" s="1206"/>
      <c r="C163" s="167" t="s">
        <v>294</v>
      </c>
      <c r="D163" s="168" t="s">
        <v>285</v>
      </c>
      <c r="E163" s="185" t="s">
        <v>286</v>
      </c>
      <c r="F163" s="29" t="s">
        <v>470</v>
      </c>
      <c r="G163" s="29" t="s">
        <v>1042</v>
      </c>
      <c r="H163" s="662" t="s">
        <v>1042</v>
      </c>
      <c r="I163" s="29" t="s">
        <v>1042</v>
      </c>
      <c r="J163" s="29" t="s">
        <v>2047</v>
      </c>
      <c r="K163" s="29">
        <v>83852291487</v>
      </c>
      <c r="L163" s="29" t="s">
        <v>697</v>
      </c>
      <c r="M163" s="29" t="s">
        <v>3310</v>
      </c>
      <c r="N163" s="50" t="s">
        <v>656</v>
      </c>
      <c r="O163" s="29" t="s">
        <v>1496</v>
      </c>
      <c r="P163" s="29" t="s">
        <v>1496</v>
      </c>
      <c r="Q163" s="54" t="s">
        <v>1519</v>
      </c>
      <c r="R163" s="29" t="s">
        <v>1496</v>
      </c>
      <c r="S163" s="29" t="s">
        <v>1496</v>
      </c>
      <c r="T163" s="29" t="s">
        <v>1915</v>
      </c>
      <c r="U163" s="29" t="s">
        <v>1947</v>
      </c>
      <c r="V163" s="29" t="s">
        <v>1947</v>
      </c>
      <c r="W163" s="29" t="s">
        <v>549</v>
      </c>
      <c r="X163" s="29"/>
      <c r="Y163" s="29" t="s">
        <v>861</v>
      </c>
      <c r="Z163" s="29" t="s">
        <v>888</v>
      </c>
      <c r="AA163" s="29"/>
      <c r="AB163" s="54" t="s">
        <v>1801</v>
      </c>
      <c r="AC163" s="54" t="s">
        <v>1801</v>
      </c>
      <c r="AD163" s="29" t="s">
        <v>656</v>
      </c>
      <c r="AE163" s="662"/>
      <c r="AF163" s="54"/>
      <c r="AG163" s="29"/>
      <c r="AH163" s="36" t="s">
        <v>926</v>
      </c>
      <c r="AI163" s="36">
        <v>88722671918</v>
      </c>
      <c r="AJ163" s="29"/>
      <c r="AK163" s="663"/>
      <c r="AL163" s="29" t="s">
        <v>3483</v>
      </c>
      <c r="AM163" s="29" t="s">
        <v>3483</v>
      </c>
      <c r="AN163" s="29" t="s">
        <v>3483</v>
      </c>
      <c r="AO163" s="29" t="s">
        <v>1376</v>
      </c>
      <c r="AP163" s="663"/>
      <c r="AQ163" s="48" t="s">
        <v>648</v>
      </c>
      <c r="AR163" s="663"/>
      <c r="AS163" s="29" t="s">
        <v>1977</v>
      </c>
      <c r="AT163" s="29" t="s">
        <v>1977</v>
      </c>
      <c r="AU163" s="29" t="s">
        <v>1977</v>
      </c>
      <c r="AV163" s="29"/>
      <c r="AW163" s="29" t="s">
        <v>2073</v>
      </c>
      <c r="AX163" s="663"/>
      <c r="AY163" s="663"/>
      <c r="AZ163" s="29" t="s">
        <v>1755</v>
      </c>
      <c r="BA163" s="29" t="s">
        <v>1755</v>
      </c>
      <c r="BB163" s="29" t="s">
        <v>1755</v>
      </c>
      <c r="BC163" s="29"/>
      <c r="BD163" s="29"/>
      <c r="BE163" s="55" t="s">
        <v>1828</v>
      </c>
      <c r="BF163" s="29"/>
      <c r="BG163" s="29" t="s">
        <v>1061</v>
      </c>
      <c r="BH163" s="29" t="s">
        <v>1081</v>
      </c>
      <c r="BI163" s="29" t="s">
        <v>1061</v>
      </c>
      <c r="BJ163" s="29" t="s">
        <v>1081</v>
      </c>
      <c r="BK163" s="29"/>
      <c r="BL163" s="29"/>
      <c r="BM163" s="29" t="s">
        <v>3545</v>
      </c>
      <c r="BN163" s="54" t="s">
        <v>3545</v>
      </c>
      <c r="BO163" s="186" t="s">
        <v>3545</v>
      </c>
      <c r="BP163" s="29" t="s">
        <v>574</v>
      </c>
      <c r="BQ163" s="29" t="s">
        <v>3057</v>
      </c>
      <c r="BR163" s="29" t="s">
        <v>2157</v>
      </c>
      <c r="BS163" s="29" t="s">
        <v>2157</v>
      </c>
      <c r="BT163" s="29" t="s">
        <v>3580</v>
      </c>
      <c r="BU163" s="29"/>
      <c r="BV163" s="29" t="s">
        <v>2964</v>
      </c>
      <c r="BW163" s="29" t="s">
        <v>2964</v>
      </c>
      <c r="BX163" s="29" t="s">
        <v>2964</v>
      </c>
      <c r="BY163" s="663"/>
      <c r="BZ163" s="663"/>
      <c r="CA163" s="29" t="s">
        <v>3281</v>
      </c>
      <c r="CB163" s="48"/>
      <c r="CC163" s="29"/>
      <c r="CD163" s="29" t="s">
        <v>2202</v>
      </c>
      <c r="CE163" s="29" t="s">
        <v>1230</v>
      </c>
      <c r="CF163" s="29" t="s">
        <v>1230</v>
      </c>
      <c r="CG163" s="662" t="s">
        <v>1230</v>
      </c>
      <c r="CH163" s="29" t="s">
        <v>1230</v>
      </c>
      <c r="CI163" s="29" t="s">
        <v>1230</v>
      </c>
      <c r="CJ163" s="29" t="s">
        <v>1230</v>
      </c>
      <c r="CK163" s="29" t="s">
        <v>1230</v>
      </c>
      <c r="CL163" s="29" t="s">
        <v>1230</v>
      </c>
      <c r="CM163" s="110" t="s">
        <v>539</v>
      </c>
      <c r="CN163" s="193" t="s">
        <v>656</v>
      </c>
      <c r="CO163" s="29" t="s">
        <v>3167</v>
      </c>
      <c r="CP163" s="29" t="s">
        <v>3167</v>
      </c>
      <c r="CQ163" s="29" t="s">
        <v>3167</v>
      </c>
      <c r="CR163" s="127" t="s">
        <v>1411</v>
      </c>
      <c r="CS163" s="29" t="s">
        <v>3104</v>
      </c>
      <c r="CT163" s="32"/>
      <c r="CU163" s="29" t="s">
        <v>3104</v>
      </c>
      <c r="CV163" s="663"/>
      <c r="CW163" s="54" t="s">
        <v>3086</v>
      </c>
      <c r="CX163" s="664" t="s">
        <v>3258</v>
      </c>
      <c r="CY163" s="29" t="s">
        <v>1464</v>
      </c>
      <c r="CZ163" s="29" t="s">
        <v>1464</v>
      </c>
      <c r="DA163" s="29" t="s">
        <v>2904</v>
      </c>
      <c r="DB163" s="29"/>
      <c r="DC163" s="29" t="s">
        <v>656</v>
      </c>
      <c r="DD163" s="29"/>
      <c r="DE163" s="29" t="s">
        <v>470</v>
      </c>
      <c r="DF163" s="29"/>
      <c r="DG163" s="127" t="s">
        <v>2710</v>
      </c>
      <c r="DH163" s="665" t="s">
        <v>2769</v>
      </c>
      <c r="DI163" s="662" t="s">
        <v>2710</v>
      </c>
      <c r="DJ163" s="666"/>
      <c r="DK163" s="80" t="s">
        <v>2797</v>
      </c>
      <c r="DL163" s="80" t="s">
        <v>2797</v>
      </c>
      <c r="DM163" s="127" t="s">
        <v>604</v>
      </c>
      <c r="DN163" s="29"/>
      <c r="DO163" s="29"/>
      <c r="DP163" s="29"/>
      <c r="DQ163" s="29"/>
      <c r="DR163" s="29"/>
      <c r="DS163" s="29"/>
      <c r="DT163" s="29"/>
      <c r="DU163" s="29" t="s">
        <v>495</v>
      </c>
      <c r="DV163" s="29" t="s">
        <v>2506</v>
      </c>
      <c r="DW163" s="29" t="s">
        <v>470</v>
      </c>
      <c r="DX163" s="29"/>
      <c r="DY163" s="29"/>
      <c r="DZ163" s="29"/>
      <c r="EA163" s="29"/>
      <c r="EB163" s="54"/>
      <c r="EC163" s="29" t="s">
        <v>3435</v>
      </c>
      <c r="ED163" s="29" t="s">
        <v>3459</v>
      </c>
      <c r="EE163" s="29"/>
      <c r="EF163" s="29" t="s">
        <v>3673</v>
      </c>
      <c r="EG163" s="663"/>
      <c r="EH163" s="186" t="s">
        <v>2361</v>
      </c>
      <c r="EI163" s="186" t="s">
        <v>2361</v>
      </c>
      <c r="EJ163" s="186" t="s">
        <v>2361</v>
      </c>
      <c r="EK163" s="29"/>
      <c r="EL163" s="29"/>
      <c r="EM163" s="186"/>
      <c r="EN163" s="29"/>
      <c r="EO163" s="29" t="s">
        <v>2286</v>
      </c>
      <c r="EP163" s="29" t="s">
        <v>1573</v>
      </c>
      <c r="EQ163" s="29" t="s">
        <v>1573</v>
      </c>
      <c r="ER163" s="663"/>
      <c r="ES163" s="663"/>
      <c r="ET163" s="29"/>
      <c r="EU163" s="29"/>
      <c r="EV163" s="662" t="s">
        <v>1609</v>
      </c>
      <c r="EW163" s="29"/>
      <c r="EX163" s="29" t="s">
        <v>1444</v>
      </c>
      <c r="EY163" s="29"/>
      <c r="EZ163" s="663"/>
      <c r="FA163" s="29" t="s">
        <v>656</v>
      </c>
    </row>
    <row r="164" spans="1:157" ht="51" x14ac:dyDescent="0.2">
      <c r="A164" s="1205"/>
      <c r="B164" s="1206"/>
      <c r="C164" s="167" t="s">
        <v>295</v>
      </c>
      <c r="D164" s="168" t="s">
        <v>288</v>
      </c>
      <c r="E164" s="185" t="s">
        <v>289</v>
      </c>
      <c r="F164" s="29" t="s">
        <v>470</v>
      </c>
      <c r="G164" s="29" t="s">
        <v>1043</v>
      </c>
      <c r="H164" s="662" t="s">
        <v>1043</v>
      </c>
      <c r="I164" s="29" t="s">
        <v>1043</v>
      </c>
      <c r="J164" s="32" t="s">
        <v>2048</v>
      </c>
      <c r="K164" s="32" t="s">
        <v>3216</v>
      </c>
      <c r="L164" s="32" t="s">
        <v>698</v>
      </c>
      <c r="M164" s="32" t="s">
        <v>3311</v>
      </c>
      <c r="N164" s="50" t="s">
        <v>656</v>
      </c>
      <c r="O164" s="57" t="s">
        <v>1497</v>
      </c>
      <c r="P164" s="57" t="s">
        <v>1497</v>
      </c>
      <c r="Q164" s="32" t="s">
        <v>1497</v>
      </c>
      <c r="R164" s="32" t="s">
        <v>1497</v>
      </c>
      <c r="S164" s="32" t="s">
        <v>1497</v>
      </c>
      <c r="T164" s="102" t="s">
        <v>1916</v>
      </c>
      <c r="U164" s="103" t="s">
        <v>1916</v>
      </c>
      <c r="V164" s="103" t="s">
        <v>1916</v>
      </c>
      <c r="W164" s="57" t="s">
        <v>550</v>
      </c>
      <c r="X164" s="29"/>
      <c r="Y164" s="57" t="s">
        <v>862</v>
      </c>
      <c r="Z164" s="29" t="s">
        <v>889</v>
      </c>
      <c r="AA164" s="29"/>
      <c r="AB164" s="32" t="s">
        <v>1802</v>
      </c>
      <c r="AC164" s="32" t="s">
        <v>1802</v>
      </c>
      <c r="AD164" s="29" t="s">
        <v>656</v>
      </c>
      <c r="AE164" s="662"/>
      <c r="AF164" s="54"/>
      <c r="AG164" s="29"/>
      <c r="AH164" s="32" t="s">
        <v>927</v>
      </c>
      <c r="AI164" s="32" t="s">
        <v>944</v>
      </c>
      <c r="AJ164" s="29"/>
      <c r="AK164" s="663"/>
      <c r="AL164" s="57" t="s">
        <v>3484</v>
      </c>
      <c r="AM164" s="32" t="s">
        <v>3484</v>
      </c>
      <c r="AN164" s="32" t="s">
        <v>3484</v>
      </c>
      <c r="AO164" s="87" t="s">
        <v>1377</v>
      </c>
      <c r="AP164" s="663"/>
      <c r="AQ164" s="81" t="s">
        <v>649</v>
      </c>
      <c r="AR164" s="663"/>
      <c r="AS164" s="32" t="s">
        <v>1978</v>
      </c>
      <c r="AT164" s="32" t="s">
        <v>1978</v>
      </c>
      <c r="AU164" s="32" t="s">
        <v>1978</v>
      </c>
      <c r="AV164" s="29"/>
      <c r="AW164" s="29" t="s">
        <v>2074</v>
      </c>
      <c r="AX164" s="663"/>
      <c r="AY164" s="663"/>
      <c r="AZ164" s="32" t="s">
        <v>1756</v>
      </c>
      <c r="BA164" s="32" t="s">
        <v>1756</v>
      </c>
      <c r="BB164" s="32" t="s">
        <v>1756</v>
      </c>
      <c r="BC164" s="29"/>
      <c r="BD164" s="29"/>
      <c r="BE164" s="57" t="s">
        <v>1829</v>
      </c>
      <c r="BF164" s="29"/>
      <c r="BG164" s="32" t="s">
        <v>1062</v>
      </c>
      <c r="BH164" s="32" t="s">
        <v>1062</v>
      </c>
      <c r="BI164" s="32" t="s">
        <v>1062</v>
      </c>
      <c r="BJ164" s="32" t="s">
        <v>1062</v>
      </c>
      <c r="BK164" s="29"/>
      <c r="BL164" s="29"/>
      <c r="BM164" s="29" t="s">
        <v>3546</v>
      </c>
      <c r="BN164" s="54" t="s">
        <v>3546</v>
      </c>
      <c r="BO164" s="186" t="s">
        <v>3546</v>
      </c>
      <c r="BP164" s="57" t="s">
        <v>575</v>
      </c>
      <c r="BQ164" s="32" t="s">
        <v>3055</v>
      </c>
      <c r="BR164" s="102" t="s">
        <v>2158</v>
      </c>
      <c r="BS164" s="102" t="s">
        <v>2158</v>
      </c>
      <c r="BT164" s="57" t="s">
        <v>3581</v>
      </c>
      <c r="BU164" s="29"/>
      <c r="BV164" s="32" t="s">
        <v>2965</v>
      </c>
      <c r="BW164" s="32" t="s">
        <v>2965</v>
      </c>
      <c r="BX164" s="32" t="s">
        <v>2965</v>
      </c>
      <c r="BY164" s="663"/>
      <c r="BZ164" s="663"/>
      <c r="CA164" s="57" t="s">
        <v>3282</v>
      </c>
      <c r="CB164" s="48"/>
      <c r="CC164" s="29"/>
      <c r="CD164" s="32" t="s">
        <v>2203</v>
      </c>
      <c r="CE164" s="32" t="s">
        <v>1231</v>
      </c>
      <c r="CF164" s="57" t="s">
        <v>1231</v>
      </c>
      <c r="CG164" s="682" t="s">
        <v>1231</v>
      </c>
      <c r="CH164" s="32" t="s">
        <v>1231</v>
      </c>
      <c r="CI164" s="32" t="s">
        <v>1231</v>
      </c>
      <c r="CJ164" s="32" t="s">
        <v>1231</v>
      </c>
      <c r="CK164" s="32" t="s">
        <v>1231</v>
      </c>
      <c r="CL164" s="32" t="s">
        <v>1231</v>
      </c>
      <c r="CM164" s="110" t="s">
        <v>539</v>
      </c>
      <c r="CN164" s="193" t="s">
        <v>656</v>
      </c>
      <c r="CO164" s="57" t="s">
        <v>3168</v>
      </c>
      <c r="CP164" s="57" t="s">
        <v>3168</v>
      </c>
      <c r="CQ164" s="57" t="s">
        <v>3168</v>
      </c>
      <c r="CR164" s="686" t="s">
        <v>1412</v>
      </c>
      <c r="CS164" s="57" t="s">
        <v>3105</v>
      </c>
      <c r="CT164" s="29"/>
      <c r="CU164" s="32" t="s">
        <v>3105</v>
      </c>
      <c r="CV164" s="663"/>
      <c r="CW164" s="32" t="s">
        <v>3087</v>
      </c>
      <c r="CX164" s="687" t="s">
        <v>3259</v>
      </c>
      <c r="CY164" s="57" t="s">
        <v>1465</v>
      </c>
      <c r="CZ164" s="57" t="s">
        <v>1465</v>
      </c>
      <c r="DA164" s="32" t="s">
        <v>2905</v>
      </c>
      <c r="DB164" s="29"/>
      <c r="DC164" s="29" t="s">
        <v>656</v>
      </c>
      <c r="DD164" s="29"/>
      <c r="DE164" s="29" t="s">
        <v>470</v>
      </c>
      <c r="DF164" s="29"/>
      <c r="DG164" s="127" t="s">
        <v>2711</v>
      </c>
      <c r="DH164" s="782" t="s">
        <v>2770</v>
      </c>
      <c r="DI164" s="789" t="s">
        <v>2711</v>
      </c>
      <c r="DJ164" s="666"/>
      <c r="DK164" s="92" t="s">
        <v>2798</v>
      </c>
      <c r="DL164" s="92" t="s">
        <v>2798</v>
      </c>
      <c r="DM164" s="127" t="s">
        <v>605</v>
      </c>
      <c r="DN164" s="80"/>
      <c r="DO164" s="29"/>
      <c r="DP164" s="29"/>
      <c r="DQ164" s="29"/>
      <c r="DR164" s="29"/>
      <c r="DS164" s="29"/>
      <c r="DT164" s="29"/>
      <c r="DU164" s="32" t="s">
        <v>496</v>
      </c>
      <c r="DV164" s="29" t="s">
        <v>2507</v>
      </c>
      <c r="DW164" s="29" t="s">
        <v>470</v>
      </c>
      <c r="DX164" s="29"/>
      <c r="DY164" s="29"/>
      <c r="DZ164" s="29"/>
      <c r="EA164" s="29"/>
      <c r="EB164" s="32"/>
      <c r="EC164" s="29" t="s">
        <v>3436</v>
      </c>
      <c r="ED164" s="32" t="s">
        <v>3460</v>
      </c>
      <c r="EE164" s="29"/>
      <c r="EF164" s="32" t="s">
        <v>3674</v>
      </c>
      <c r="EG164" s="663"/>
      <c r="EH164" s="186" t="s">
        <v>2362</v>
      </c>
      <c r="EI164" s="186" t="s">
        <v>2362</v>
      </c>
      <c r="EJ164" s="186" t="s">
        <v>2362</v>
      </c>
      <c r="EK164" s="57"/>
      <c r="EL164" s="29"/>
      <c r="EM164" s="186"/>
      <c r="EN164" s="29"/>
      <c r="EO164" s="121" t="s">
        <v>2287</v>
      </c>
      <c r="EP164" s="29" t="s">
        <v>1574</v>
      </c>
      <c r="EQ164" s="32" t="s">
        <v>1574</v>
      </c>
      <c r="ER164" s="663"/>
      <c r="ES164" s="663"/>
      <c r="ET164" s="29"/>
      <c r="EU164" s="29"/>
      <c r="EV164" s="694" t="s">
        <v>1610</v>
      </c>
      <c r="EW164" s="32"/>
      <c r="EX164" s="32" t="s">
        <v>1445</v>
      </c>
      <c r="EY164" s="32"/>
      <c r="EZ164" s="663"/>
      <c r="FA164" s="29" t="s">
        <v>656</v>
      </c>
    </row>
    <row r="165" spans="1:157" ht="17" x14ac:dyDescent="0.2">
      <c r="AF165" s="40"/>
      <c r="BT165" s="166" t="s">
        <v>656</v>
      </c>
      <c r="CT165" s="29"/>
    </row>
    <row r="166" spans="1:157" ht="17" x14ac:dyDescent="0.2">
      <c r="BT166" s="166" t="s">
        <v>656</v>
      </c>
      <c r="CT166" s="57"/>
    </row>
    <row r="167" spans="1:157" ht="17" x14ac:dyDescent="0.2">
      <c r="BT167" s="166" t="s">
        <v>656</v>
      </c>
    </row>
  </sheetData>
  <mergeCells count="106">
    <mergeCell ref="DR116:DR118"/>
    <mergeCell ref="A162:A164"/>
    <mergeCell ref="B162:B164"/>
    <mergeCell ref="A151:A155"/>
    <mergeCell ref="B151:B155"/>
    <mergeCell ref="A156:A158"/>
    <mergeCell ref="B156:B158"/>
    <mergeCell ref="A159:A161"/>
    <mergeCell ref="B159:B161"/>
    <mergeCell ref="C143:C145"/>
    <mergeCell ref="D143:D145"/>
    <mergeCell ref="A146:A147"/>
    <mergeCell ref="B146:B147"/>
    <mergeCell ref="A149:A150"/>
    <mergeCell ref="B149:B150"/>
    <mergeCell ref="A122:A145"/>
    <mergeCell ref="B122:B145"/>
    <mergeCell ref="C122:C124"/>
    <mergeCell ref="D122:D124"/>
    <mergeCell ref="C125:C127"/>
    <mergeCell ref="D125:D127"/>
    <mergeCell ref="C128:C130"/>
    <mergeCell ref="D128:D130"/>
    <mergeCell ref="C131:C133"/>
    <mergeCell ref="D131:D133"/>
    <mergeCell ref="C134:C136"/>
    <mergeCell ref="D134:D136"/>
    <mergeCell ref="C137:C139"/>
    <mergeCell ref="D137:D139"/>
    <mergeCell ref="C140:C142"/>
    <mergeCell ref="D140:D142"/>
    <mergeCell ref="D119:D121"/>
    <mergeCell ref="D98:D100"/>
    <mergeCell ref="C101:C103"/>
    <mergeCell ref="D101:D103"/>
    <mergeCell ref="C104:C106"/>
    <mergeCell ref="D104:D106"/>
    <mergeCell ref="C107:C109"/>
    <mergeCell ref="D107:D109"/>
    <mergeCell ref="D110:D112"/>
    <mergeCell ref="C113:C115"/>
    <mergeCell ref="D113:D115"/>
    <mergeCell ref="C116:C118"/>
    <mergeCell ref="D116:D118"/>
    <mergeCell ref="A91:A97"/>
    <mergeCell ref="B91:B97"/>
    <mergeCell ref="C92:C93"/>
    <mergeCell ref="A98:A121"/>
    <mergeCell ref="B98:B121"/>
    <mergeCell ref="C98:C100"/>
    <mergeCell ref="C110:C112"/>
    <mergeCell ref="C119:C121"/>
    <mergeCell ref="A60:A84"/>
    <mergeCell ref="B60:B84"/>
    <mergeCell ref="A85:A90"/>
    <mergeCell ref="B85:B90"/>
    <mergeCell ref="C86:C87"/>
    <mergeCell ref="C89:C90"/>
    <mergeCell ref="D89:D90"/>
    <mergeCell ref="C52:C53"/>
    <mergeCell ref="D52:D53"/>
    <mergeCell ref="A42:A43"/>
    <mergeCell ref="B42:B43"/>
    <mergeCell ref="A55:A56"/>
    <mergeCell ref="B55:B56"/>
    <mergeCell ref="A57:A59"/>
    <mergeCell ref="B57:B59"/>
    <mergeCell ref="A44:A45"/>
    <mergeCell ref="B44:B45"/>
    <mergeCell ref="A46:A50"/>
    <mergeCell ref="B46:B50"/>
    <mergeCell ref="A51:A54"/>
    <mergeCell ref="B51:B54"/>
    <mergeCell ref="B37:B38"/>
    <mergeCell ref="A40:A41"/>
    <mergeCell ref="B40:B41"/>
    <mergeCell ref="D11:D12"/>
    <mergeCell ref="C13:C14"/>
    <mergeCell ref="D13:D14"/>
    <mergeCell ref="C15:C16"/>
    <mergeCell ref="D15:D16"/>
    <mergeCell ref="D86:D87"/>
    <mergeCell ref="EX155:EX156"/>
    <mergeCell ref="D8:D9"/>
    <mergeCell ref="A5:A6"/>
    <mergeCell ref="B5:B6"/>
    <mergeCell ref="A8:A9"/>
    <mergeCell ref="B8:B9"/>
    <mergeCell ref="C8:C9"/>
    <mergeCell ref="C19:C20"/>
    <mergeCell ref="D19:D20"/>
    <mergeCell ref="A30:A32"/>
    <mergeCell ref="B30:B32"/>
    <mergeCell ref="A34:A36"/>
    <mergeCell ref="B34:B36"/>
    <mergeCell ref="A10:A20"/>
    <mergeCell ref="B10:B20"/>
    <mergeCell ref="C11:C12"/>
    <mergeCell ref="CX13:CX14"/>
    <mergeCell ref="CX15:CX16"/>
    <mergeCell ref="CX17:CX18"/>
    <mergeCell ref="CX46:CX50"/>
    <mergeCell ref="ER148:ER149"/>
    <mergeCell ref="C17:C18"/>
    <mergeCell ref="D17:D18"/>
    <mergeCell ref="A37:A38"/>
  </mergeCells>
  <dataValidations count="1">
    <dataValidation type="textLength" allowBlank="1" showInputMessage="1" showErrorMessage="1" error="Ввод текста ограничен до 250 символов" sqref="DF34" xr:uid="{9F6209DE-464B-2D4B-99C6-E8BABDCB2C8F}">
      <formula1>0</formula1>
      <formula2>250</formula2>
    </dataValidation>
  </dataValidations>
  <hyperlinks>
    <hyperlink ref="DU161" r:id="rId1" xr:uid="{BE6E9D99-BBF8-9E4E-A01B-C9C32803E741}"/>
    <hyperlink ref="DU164" r:id="rId2" xr:uid="{6EF095D5-B517-7141-A52D-771AB142E9A8}"/>
    <hyperlink ref="EE20" r:id="rId3" xr:uid="{DE48B203-4575-C14B-9720-9FD385750A2D}"/>
    <hyperlink ref="EE87" r:id="rId4" xr:uid="{E86E0BE1-84BF-2542-9B5A-5D4317EF6B0C}"/>
    <hyperlink ref="EE161" r:id="rId5" xr:uid="{2FFEC2AF-15B0-DC41-94FD-2852E12F489A}"/>
    <hyperlink ref="EE153" r:id="rId6" xr:uid="{3B1D6038-4DA6-E24D-89A0-A839BA1514F9}"/>
    <hyperlink ref="EE151" r:id="rId7" xr:uid="{412539AE-6677-834A-99DB-39BB15792167}"/>
    <hyperlink ref="W90" r:id="rId8" xr:uid="{70051E7B-2CBE-084F-8AC8-ECEF6D8D2964}"/>
    <hyperlink ref="W161" r:id="rId9" xr:uid="{BF2FBA9A-5DC2-8A44-AC23-214115F2FF4F}"/>
    <hyperlink ref="W164" r:id="rId10" xr:uid="{E689BE17-675E-E948-A59C-6EC0F18F3743}"/>
    <hyperlink ref="BP14" r:id="rId11" xr:uid="{7B0C9161-7E8B-CC47-9DCF-0607F6860B4B}"/>
    <hyperlink ref="BP90" r:id="rId12" xr:uid="{D078055D-BD9D-EC42-91B3-182EAC83D36D}"/>
    <hyperlink ref="BP161" r:id="rId13" xr:uid="{4876515B-1A84-2C47-ACCE-63688A442CFD}"/>
    <hyperlink ref="BP164" r:id="rId14" xr:uid="{F6BE1568-2B96-594D-BAB3-CEA36C4014E5}"/>
    <hyperlink ref="BP20" r:id="rId15" display="https://docs.cntd.ru/document/444712158 " xr:uid="{147C52A9-9AC8-2C47-AEA4-7DA950E734BD}"/>
    <hyperlink ref="DM14" r:id="rId16" xr:uid="{F1C95EA2-CE57-1349-8A2A-1DBA52BDB8DA}"/>
    <hyperlink ref="DM90" r:id="rId17" xr:uid="{258A5EE0-9A91-2D4B-9BCF-66A40BC3FFE0}"/>
    <hyperlink ref="DM151" r:id="rId18" xr:uid="{D81A1DE0-4406-FA40-9196-C352B0CD7820}"/>
    <hyperlink ref="DM153" r:id="rId19" xr:uid="{E0CA3919-BC30-694C-AD6C-E50453DE671C}"/>
    <hyperlink ref="DM155" r:id="rId20" xr:uid="{FDAB7AC6-9EBC-F747-B170-DC1E0F79A75A}"/>
    <hyperlink ref="BU86" r:id="rId21" display="https://27.rosstat.gov.ru" xr:uid="{B792F2C3-A7A1-2741-93DC-CED2B3E9532F}"/>
    <hyperlink ref="BU90" r:id="rId22" xr:uid="{FE751927-D832-E144-8141-6CAB6D612FAC}"/>
    <hyperlink ref="BU151" r:id="rId23" xr:uid="{FE2E0401-E6C6-2F4F-AD04-BECA6030DC21}"/>
    <hyperlink ref="BU161" r:id="rId24" xr:uid="{E37B2870-71C2-8443-853A-C0E7C0B42DD1}"/>
    <hyperlink ref="AQ90" r:id="rId25" xr:uid="{8E97D418-DA5C-6D4E-9F9C-A58B46953E6B}"/>
    <hyperlink ref="AQ164" r:id="rId26" xr:uid="{6B50FDCF-5584-674F-B9BA-C8F780BCAC7D}"/>
    <hyperlink ref="AD12" r:id="rId27" xr:uid="{608D23A0-3982-C547-87B6-F7BA73DB367F}"/>
    <hyperlink ref="AD87" r:id="rId28" xr:uid="{D1F0AFED-3677-8442-BC6E-9860088D67AB}"/>
    <hyperlink ref="AD90" r:id="rId29" xr:uid="{3484EAE3-7841-A94E-ACB3-BEBBC4EF6EE6}"/>
    <hyperlink ref="AD152" r:id="rId30" xr:uid="{8881E51B-5347-FC4E-996B-AE2C0467062E}"/>
    <hyperlink ref="AD151" r:id="rId31" xr:uid="{57D8C0CB-0EDC-7F41-8F86-3DC8D52D41AA}"/>
    <hyperlink ref="AD154" r:id="rId32" display="https://вести35.рф/video/2022/03/24/itogi_realizacii_proekta_narodnyy_byudzhet_za_2021_god_podveli_v_vologde_x000a__x000a_" xr:uid="{DFF2B676-8155-5F4A-89EB-2A371B72549F}"/>
    <hyperlink ref="AD161" r:id="rId33" xr:uid="{C0FAB7C8-F3E9-B448-B5B6-EFBBC1759B11}"/>
    <hyperlink ref="L90" r:id="rId34" xr:uid="{5F7EAD98-64A9-FE4F-B552-39627A0108C0}"/>
    <hyperlink ref="L152" r:id="rId35" xr:uid="{A2A9B8EF-6965-AB42-807B-DAB0DFD310E3}"/>
    <hyperlink ref="L151" r:id="rId36" xr:uid="{D2DF1E11-3504-4E4E-A846-DB49BB74BBFF}"/>
    <hyperlink ref="L161" r:id="rId37" xr:uid="{CB824B73-0D7E-B544-A671-0793B0D5ECFA}"/>
    <hyperlink ref="L164" r:id="rId38" xr:uid="{9DA2D37F-82EC-2644-98B2-B7942621CF33}"/>
    <hyperlink ref="DS151" r:id="rId39" xr:uid="{F16CA92A-CB75-0E47-A3AA-08D2683E5F74}"/>
    <hyperlink ref="DS161" r:id="rId40" xr:uid="{58DAD64F-0DF1-4149-8DA6-29FBB46A7969}"/>
    <hyperlink ref="AV12" r:id="rId41" xr:uid="{D87A1AEB-D0B2-414C-AD92-21B6D06FAA0F}"/>
    <hyperlink ref="AV20" r:id="rId42" xr:uid="{71C0C185-73BE-8542-97F2-A5CC38837282}"/>
    <hyperlink ref="AV161" r:id="rId43" xr:uid="{2FEAF870-3065-4646-9F7E-EBDECD4B6419}"/>
    <hyperlink ref="AV87" r:id="rId44" xr:uid="{DE076E4E-6B35-8248-AD45-9060AB01C5DC}"/>
    <hyperlink ref="AV90" r:id="rId45" xr:uid="{0B41E09A-23B5-8E40-A87E-F48C218AA24C}"/>
    <hyperlink ref="EW16" r:id="rId46" xr:uid="{BB76849C-246B-B842-970C-DE7DF1BBD315}"/>
    <hyperlink ref="EW12" r:id="rId47" xr:uid="{1DC85429-AA2B-FE4E-9815-958E08284B4C}"/>
    <hyperlink ref="EW18" r:id="rId48" xr:uid="{AE75E5CB-4CFA-6F4F-8535-D1B6BD179F3D}"/>
    <hyperlink ref="EW20" r:id="rId49" xr:uid="{EA3298DA-FE67-EC42-9BAB-AB9013006D58}"/>
    <hyperlink ref="EW161" r:id="rId50" xr:uid="{E2BC692F-6CEA-6941-A96C-B8E7923AE9D7}"/>
    <hyperlink ref="EW149" r:id="rId51" xr:uid="{E4FDADD9-501E-244F-95CC-6B7E90DD2495}"/>
    <hyperlink ref="EW151" r:id="rId52" xr:uid="{C1AB90E0-9BDF-0440-984C-F8ECB8E7CA7F}"/>
    <hyperlink ref="EW152" r:id="rId53" display="http://www.a-martan.ru/index.php?option=com_content&amp;view=article&amp;id=2543:izveshchenie-o-provedenii-konkursnogo-otbora-initsiativnykh-proektov&amp;catid=143&amp;Itemid=713       " xr:uid="{C9150761-3CA9-9440-8A4E-11817D1D0592}"/>
    <hyperlink ref="EW90" r:id="rId54" xr:uid="{FFCB2799-468A-FF45-9E64-1F4CCC53042C}"/>
    <hyperlink ref="AE12" r:id="rId55" xr:uid="{43CF4C09-E997-AF40-BA0D-E72AC0FB9817}"/>
    <hyperlink ref="AE20" r:id="rId56" xr:uid="{3C2CBF38-5703-EE4E-A349-09358C3DDCD9}"/>
    <hyperlink ref="AE151" r:id="rId57" xr:uid="{F4B35201-B678-1448-83AB-EC9D81BF13F6}"/>
    <hyperlink ref="AE161" r:id="rId58" xr:uid="{240D6788-E0B4-B942-986D-39323F87F995}"/>
    <hyperlink ref="AF12" r:id="rId59" xr:uid="{A33A06CD-A7E3-874A-9C1F-49C6E57214C7}"/>
    <hyperlink ref="AF20" r:id="rId60" xr:uid="{681E89AD-09A3-2143-ACDF-20B2014C2972}"/>
    <hyperlink ref="AF152" r:id="rId61" display="https://smovrn.ru/; " xr:uid="{9F7C6D67-A8F6-8F47-BFBC-4D8ACCC6674C}"/>
    <hyperlink ref="AF153" r:id="rId62" xr:uid="{72ABD77D-4387-144D-BABF-06EF0F5B4FD6}"/>
    <hyperlink ref="AF18" r:id="rId63" display="https://pravo.govvrn.ru/?q=node/21716" xr:uid="{350C3496-8F0B-D342-B8D3-A78F5F48A595}"/>
    <hyperlink ref="AF151" r:id="rId64" xr:uid="{DCF3E2E1-61C5-3D4F-8949-1333BA109989}"/>
    <hyperlink ref="AF161" r:id="rId65" xr:uid="{5B6C0D26-824E-7742-877A-00DEB40AC8FD}"/>
    <hyperlink ref="AG12" r:id="rId66" xr:uid="{4DB8CBEF-7C0A-1D4B-899C-C5F8B5937D88}"/>
    <hyperlink ref="AG20" r:id="rId67" xr:uid="{3AD03A85-746D-4742-8ABA-5D630344E924}"/>
    <hyperlink ref="AG161" r:id="rId68" xr:uid="{64C68731-4A20-AC42-9AAE-DE60C988A133}"/>
    <hyperlink ref="Y12" r:id="rId69" xr:uid="{103452A3-3DB7-BF4C-8B09-EF5551ED8CAB}"/>
    <hyperlink ref="Y151" r:id="rId70" xr:uid="{FD41BB82-A970-ED4F-BC6E-05157066C427}"/>
    <hyperlink ref="Y161" r:id="rId71" xr:uid="{6FF3446E-267E-554C-B46B-9687ED3EC4FE}"/>
    <hyperlink ref="Y164" r:id="rId72" xr:uid="{F649475A-9A97-6B47-A817-89F8090AF07A}"/>
    <hyperlink ref="Y90" r:id="rId73" xr:uid="{BEBEC508-C26D-584C-8CD5-EABAEA555E79}"/>
    <hyperlink ref="Z90" r:id="rId74" xr:uid="{7CF524CA-B3C2-FA4E-AE59-F4BB3AF07DDC}"/>
    <hyperlink ref="Z151" r:id="rId75" xr:uid="{82FB328B-5025-A245-A1A6-9DEF3B5B4EC6}"/>
    <hyperlink ref="Z161" r:id="rId76" xr:uid="{8950E347-5C63-1D46-95C6-C299DD1CB49D}"/>
    <hyperlink ref="Z20" r:id="rId77" xr:uid="{1A4B7780-3812-1649-A31A-DD18EACEDF52}"/>
    <hyperlink ref="AA12" r:id="rId78" xr:uid="{A26ECC05-34CB-664B-9106-ACD3D5FBE033}"/>
    <hyperlink ref="AA151" r:id="rId79" xr:uid="{2CB19B01-C3F8-394F-880E-33D10F64F2DA}"/>
    <hyperlink ref="AA161" r:id="rId80" xr:uid="{AF00886C-C5FB-744E-9394-D96B854D4D45}"/>
    <hyperlink ref="AA90" r:id="rId81" xr:uid="{BDABF4AB-49BB-EA4B-8368-F54660C138BE}"/>
    <hyperlink ref="AH164" r:id="rId82" xr:uid="{7155C4D5-3CDF-D744-A819-4874C85CA5D3}"/>
    <hyperlink ref="AH90" r:id="rId83" xr:uid="{2D551EA4-E70A-4046-88D9-9D3F87A5BA0C}"/>
    <hyperlink ref="AH151" r:id="rId84" xr:uid="{5557F592-1ADF-0740-BA6C-C6C40B8406D0}"/>
    <hyperlink ref="AH161" r:id="rId85" xr:uid="{9A6377E8-6915-0C47-97BC-BA232EE14DCB}"/>
    <hyperlink ref="AI164" r:id="rId86" xr:uid="{03F24713-1760-0F49-9B94-FE3E93B8C55C}"/>
    <hyperlink ref="AI151" r:id="rId87" xr:uid="{4F3E53C8-974C-0743-B553-7DD6753678F2}"/>
    <hyperlink ref="AI155" r:id="rId88" xr:uid="{0A20CF5A-DBD5-D14C-AF4E-8D843F94B664}"/>
    <hyperlink ref="AJ12" r:id="rId89" xr:uid="{51762DFC-9643-FA4A-9B86-D360983EFB7C}"/>
    <hyperlink ref="AJ90" r:id="rId90" xr:uid="{65639989-8454-8F42-9B4F-4FDFA4E23FAC}"/>
    <hyperlink ref="AJ161" r:id="rId91" xr:uid="{54A7EACD-99B1-2C40-9E69-ADDD6B256363}"/>
    <hyperlink ref="AJ20" r:id="rId92" xr:uid="{D8FBA250-0D63-6D48-8A26-342CC4082657}"/>
    <hyperlink ref="BC12" r:id="rId93" xr:uid="{49C36CF0-7E92-1A4E-BB1F-F69EE3159740}"/>
    <hyperlink ref="BC16" r:id="rId94" xr:uid="{F5F5F7B8-E411-6944-A07B-1CC6F34D5F9D}"/>
    <hyperlink ref="BC18" r:id="rId95" xr:uid="{2A377B83-2E7C-5047-8640-D0DCE1ACC620}"/>
    <hyperlink ref="BC153" r:id="rId96" xr:uid="{D96EA346-BCAE-4B48-ABC7-E122DF0C4507}"/>
    <hyperlink ref="BC90" r:id="rId97" xr:uid="{280B437C-9B68-4E41-9290-C7018AF34E31}"/>
    <hyperlink ref="BC151" r:id="rId98" xr:uid="{1A28E999-EB64-E04C-88BE-A0B7F8ED36A3}"/>
    <hyperlink ref="F151" r:id="rId99" xr:uid="{2A1B159E-7541-C744-AB0D-2FF9E8F2AA97}"/>
    <hyperlink ref="F152" r:id="rId100" xr:uid="{6A8BD9E4-6AB4-0740-99FA-A7FCB4E3B868}"/>
    <hyperlink ref="F14" r:id="rId101" xr:uid="{460E092B-67C7-144E-970E-3CA24766577B}"/>
    <hyperlink ref="F20" r:id="rId102" location="/document/43633176/paragraph/1/doclist/9491/1/0/0/Постановление%20Кабинета%20Министров%20Республики%20Адыгея%20от%2010.10.2018%20№%20212%20%22О%20некоторых%20вопросах%20реализации%20проектов%20развития%20общественной%20инфраструктуры,%20основанных%20на%20местных%20инициативах%22:2" display="https://internet.garant.ru/#/document/43633176/paragraph/1/doclist/9491/1/0/0/Постановление%20Кабинета%20Министров%20Республики%20Адыгея%20от%2010.10.2018%20№%20212%20%22О%20некоторых%20вопросах%20реализации%20проектов%20развития%20общественной%20инфраструктуры,%20основанных%20на%20местных%20инициативах%22:2" xr:uid="{73EAB7AF-DCBD-9544-9CFE-13D7A858D2D8}"/>
    <hyperlink ref="F114" r:id="rId103" xr:uid="{6E608DC3-E5C2-1B44-A2D7-5D6E88FBACA6}"/>
    <hyperlink ref="BG12" r:id="rId104" xr:uid="{AED95D9F-7F56-5C45-90C5-DF4A53C45899}"/>
    <hyperlink ref="BG161" r:id="rId105" xr:uid="{C58DC763-196F-7B49-AFFE-B7D92A1E410F}"/>
    <hyperlink ref="BG151" r:id="rId106" xr:uid="{70ED609E-C5EC-BB45-B772-F87C431F72F7}"/>
    <hyperlink ref="BH161" r:id="rId107" xr:uid="{FEEDC72F-5C7A-764D-B8D5-3CE91F599372}"/>
    <hyperlink ref="BH164" r:id="rId108" xr:uid="{07CF2109-4E92-A240-A7E3-ED0F29EFBAD4}"/>
    <hyperlink ref="BH12" r:id="rId109" xr:uid="{0F2F4502-9629-AA42-8FA1-B210AF510594}"/>
    <hyperlink ref="BH151" r:id="rId110" xr:uid="{AC106540-DCE5-4343-9480-BBC5BC8D6D3E}"/>
    <hyperlink ref="BH20" r:id="rId111" xr:uid="{A683D61B-82E6-8540-9ADD-5E012CC98A49}"/>
    <hyperlink ref="BH90" r:id="rId112" xr:uid="{C5FCEB5C-05AD-B84D-88AB-5C648F334E8C}"/>
    <hyperlink ref="BI12" r:id="rId113" tooltip="Ссылка на КонсультантПлюс" display="consultantplus://offline/ref=55AB044EF2AE989F64BAC01863E5C4A9ADFF11BADF275679A20855BC8E46D11C9C7059606921C791BA63221FB7AD46C4F510AAEFFC56605E2760CEN9c9M" xr:uid="{F230F1FC-A93C-EA4F-88AF-CD3744DD1870}"/>
    <hyperlink ref="BI20" r:id="rId114" tooltip="Ссылка на КонсультантПлюс" display="https://login.consultant.ru/link/?req=doc&amp;base=RLAW265&amp;n=102109&amp;dst=100002" xr:uid="{B4D48D5F-6326-6644-99B9-B1016585B0DB}"/>
    <hyperlink ref="BI151" r:id="rId115" xr:uid="{82A5D634-C71C-DD4A-B49D-FEA11D9465BF}"/>
    <hyperlink ref="BI161" r:id="rId116" xr:uid="{ED510B61-4C47-8D45-B69E-4E4F191BC453}"/>
    <hyperlink ref="BJ161" r:id="rId117" xr:uid="{49085DA0-D950-C842-9396-EA67A242C839}"/>
    <hyperlink ref="BJ12" r:id="rId118" display="Постановление Администрации Костромской области от 28.08.2017 N 316-а (ред. от 22.03.2021) &quot;Об утверждении государственной программы Костромской области &quot;Формирование современной городской среды&quot; {КонсультантПлюс}" xr:uid="{FA0500E6-3E01-A34A-8D3F-87B2BD84159B}"/>
    <hyperlink ref="BJ151" r:id="rId119" xr:uid="{2194A3F8-FD60-3744-9F76-CD19BF1152D0}"/>
    <hyperlink ref="BJ90" r:id="rId120" xr:uid="{96654B8B-1C2A-734A-8395-524E55D7E1EB}"/>
    <hyperlink ref="CB161" r:id="rId121" xr:uid="{0DF4114E-AEBD-7045-971A-C1C3E6B7F2DA}"/>
    <hyperlink ref="CM12" r:id="rId122" xr:uid="{11B810A1-471D-844E-8A69-D6A5AFE2D081}"/>
    <hyperlink ref="CM161" r:id="rId123" xr:uid="{B997690E-DA65-7E4C-808E-62093088200B}"/>
    <hyperlink ref="CM90" r:id="rId124" xr:uid="{DD28EB7D-F7C5-374F-8548-2EE6F189260D}"/>
    <hyperlink ref="CM151" r:id="rId125" xr:uid="{0E301170-E84B-EF46-8C64-45051DCBA924}"/>
    <hyperlink ref="CM152" r:id="rId126" display="https://vk.com/iproject.mfnso, " xr:uid="{3ED54F73-063F-C649-9EC5-55910442FC70}"/>
    <hyperlink ref="CE12" r:id="rId127" display="https://docs.cntd.ru/document/570845985?marker  " xr:uid="{9DAC8DBC-5967-DD42-BCA1-6EDE3053A78F}"/>
    <hyperlink ref="CE18" r:id="rId128" xr:uid="{342BD5FA-CACD-B14E-985B-4DE6220E55E0}"/>
    <hyperlink ref="CE20" r:id="rId129" xr:uid="{A4C01EF7-2BFE-C841-B153-54FD0A67F83B}"/>
    <hyperlink ref="CE90" r:id="rId130" xr:uid="{97D5AFE7-EFA9-DA40-8306-62A058241F30}"/>
    <hyperlink ref="CE151" r:id="rId131" xr:uid="{285D85D2-B8E6-534D-A79E-7AD8EDCB853F}"/>
    <hyperlink ref="CE153" r:id="rId132" xr:uid="{556A7E0A-7E9B-4044-B9A3-066B49C89952}"/>
    <hyperlink ref="CE161" r:id="rId133" xr:uid="{6FFF6393-0264-ED44-B13B-42E2642F5984}"/>
    <hyperlink ref="CE164" r:id="rId134" xr:uid="{0772F531-B752-4942-B6CC-BBCAF0167034}"/>
    <hyperlink ref="CE155" r:id="rId135" xr:uid="{DD44AF16-A705-EF47-99BA-F5D485FE3EA5}"/>
    <hyperlink ref="CE152" r:id="rId136" display="https://vk.com/ppmi53)," xr:uid="{D7EB6B4D-B196-954D-B559-D9D890B85334}"/>
    <hyperlink ref="CE93" r:id="rId137" xr:uid="{F7B662E9-B03B-574F-A7BB-12B1069A74C2}"/>
    <hyperlink ref="CE87" r:id="rId138" xr:uid="{C4C52750-A520-864E-B99E-3C1D1BC4450C}"/>
    <hyperlink ref="CF12" r:id="rId139" xr:uid="{93A2E7B0-F04A-E74E-9E51-9D67A572E6A3}"/>
    <hyperlink ref="CF161" r:id="rId140" xr:uid="{80707DA7-77C9-684E-B231-35664D2FD1E1}"/>
    <hyperlink ref="CF91" r:id="rId141" xr:uid="{913AF1CA-48A6-5E42-B823-D8ADBBFF03CD}"/>
    <hyperlink ref="CF164" r:id="rId142" xr:uid="{2558E07E-46EE-FA4A-BC5B-3E366CEB134B}"/>
    <hyperlink ref="CG12" r:id="rId143" xr:uid="{70773F0B-9AC3-4444-B07C-C6FA2C518F20}"/>
    <hyperlink ref="CG91" r:id="rId144" display="https://novgorodstat.gks.ru/storage/mediabank/Численность населения на 1.01.2022 года.pdf" xr:uid="{518B1D0A-9AE9-C442-A717-3FF5E47DCE82}"/>
    <hyperlink ref="CG161" r:id="rId145" display="mailto:investapk@novreg.ru" xr:uid="{C238DE30-D682-DD47-9725-3F5ED6385AFB}"/>
    <hyperlink ref="CG164" r:id="rId146" display="mailto:bud_komfin@novreg.ru" xr:uid="{E245D77C-DA6C-264D-B7D8-D1CDA07C15E7}"/>
    <hyperlink ref="CH12" r:id="rId147" xr:uid="{72B63D6D-C546-8442-9254-FF7D785F80A2}"/>
    <hyperlink ref="CH18" r:id="rId148" xr:uid="{B283A53A-A303-9746-AAB2-CF1ACA70CA69}"/>
    <hyperlink ref="CH87" r:id="rId149" xr:uid="{9A319E62-54CD-D64C-938F-C7766D825DFD}"/>
    <hyperlink ref="CH135" r:id="rId150" display="https://vk.com/public197984081?w=wall-197984081_224" xr:uid="{CF6EB905-534F-FD4A-9A84-D37A3409D34B}"/>
    <hyperlink ref="CH102" r:id="rId151" xr:uid="{C065E9C0-7F00-014A-966A-BD1289E6AFEC}"/>
    <hyperlink ref="CH151" r:id="rId152" xr:uid="{E7409E34-C14B-4844-A5B2-783DBA4F2FD7}"/>
    <hyperlink ref="CH153" r:id="rId153" xr:uid="{D92F3044-9F48-7948-9F8C-A0347CCB7493}"/>
    <hyperlink ref="CH161" r:id="rId154" xr:uid="{75BCC812-AAED-BF45-A102-155ED51ED3DF}"/>
    <hyperlink ref="CH164" r:id="rId155" xr:uid="{BFF0BB34-563D-2D4E-BC01-B1BA13248EC6}"/>
    <hyperlink ref="CH93" r:id="rId156" xr:uid="{366EF4C7-BA66-1147-A022-13C4C14EB72A}"/>
    <hyperlink ref="CH90" r:id="rId157" xr:uid="{A7610EA6-3682-354A-B1EC-C43C0C133F92}"/>
    <hyperlink ref="CH152" r:id="rId158" display="https://vk.com/ppmi53)," xr:uid="{E0FD2F7E-5080-7949-BE61-F91D9086BAD5}"/>
    <hyperlink ref="CI12" r:id="rId159" xr:uid="{4669C4D7-7BBC-5849-B20D-71752A24A603}"/>
    <hyperlink ref="CI18" r:id="rId160" xr:uid="{0FFFF183-B77E-914A-841F-BD0FD740A403}"/>
    <hyperlink ref="CI20" r:id="rId161" xr:uid="{B3A04628-7390-B64F-A062-CFF8972FB092}"/>
    <hyperlink ref="CI53" r:id="rId162" display="https://docs.cntd.ru/document/553386375 " xr:uid="{EE3F4AFE-D122-E54C-9A4F-631589A21D03}"/>
    <hyperlink ref="CI87" r:id="rId163" xr:uid="{076C61F2-8662-C04D-9F6E-CC7B7D657842}"/>
    <hyperlink ref="CI93" r:id="rId164" xr:uid="{A2E15B6A-8B12-6442-BE67-CC4AF44856DC}"/>
    <hyperlink ref="CI164" r:id="rId165" xr:uid="{3D40D230-151E-A049-BD67-DFB7645D4466}"/>
    <hyperlink ref="CI161" r:id="rId166" xr:uid="{C4D104AB-4F37-9548-A3AC-54D0A1307A04}"/>
    <hyperlink ref="CI151" r:id="rId167" xr:uid="{6940D9AA-CE69-5A4E-B751-7A86DBE2DFE9}"/>
    <hyperlink ref="CI152" r:id="rId168" display="https://vk.com/ppmi53)," xr:uid="{616BD143-C004-B54A-B817-36A5CA610D1F}"/>
    <hyperlink ref="CI153" r:id="rId169" xr:uid="{B4545154-750C-C249-B11D-FBD8986BC921}"/>
    <hyperlink ref="CI114" r:id="rId170" display="https://vk.com/wall-160413159?offset=440&amp;q=%D0%9D%D0%B0%D1%88%20%D0%B2%D1%8B%D0%B1%D0%BE%D1%80&amp;w=wall-160413159_7860" xr:uid="{2F33F438-2E69-0E4C-BB95-34BA97BE7B05}"/>
    <hyperlink ref="CI105" r:id="rId171" display="https://vk.com/club172332438?w=wall-172332438_409%2Fall" xr:uid="{EE3CDEA0-BCE6-3040-97D5-478B525CC98C}"/>
    <hyperlink ref="CI155" r:id="rId172" xr:uid="{722E3D0B-BD07-444C-B7A3-C2A4CF8B6C01}"/>
    <hyperlink ref="CI111" r:id="rId173" display="https://vk.com/wall-160413159?offset=440&amp;q=%D0%9D%D0%B0%D1%88%20%D0%B2%D1%8B%D0%B1%D0%BE%D1%80&amp;w=wall-160413159_7946" xr:uid="{89781331-CA8D-9A43-84D8-1FD4C14394BB}"/>
    <hyperlink ref="CI90" r:id="rId174" display="https://novgorodstat.gks.ru/storage/mediabank/%D0%A7%D0%B8%D1%81%D0%BB%D0%B5%D0%BD%D0%BD%D0%BE%D1%81%D1%82%D1%8C %D0%BD%D0%B0%D1%81%D0%B5%D0%BB%D0%B5%D0%BD%D0%B8%D1%8F %D0%BD%D0%B0 1.01.2022 %D0%B3%D0%BE%D0%B4%D0%B0.pdf" xr:uid="{C173D703-7B30-5D43-B22D-9BF8E65BCDAF}"/>
    <hyperlink ref="CJ12" r:id="rId175" xr:uid="{6CEBB1DA-C6E3-CC4C-BE20-AE2DF904C6B7}"/>
    <hyperlink ref="CJ18" r:id="rId176" xr:uid="{D719394D-154A-C24D-A09D-6BF7DA4F33F3}"/>
    <hyperlink ref="CJ20" r:id="rId177" xr:uid="{0C4793CC-FA5B-9B48-9699-59532161F684}"/>
    <hyperlink ref="CJ53" r:id="rId178" xr:uid="{0897BB3D-7EBD-2B4C-8ECA-BF98D91E11D1}"/>
    <hyperlink ref="CJ87" r:id="rId179" xr:uid="{0FEA44E8-BE32-3C43-811D-D27B795941CF}"/>
    <hyperlink ref="CJ93" r:id="rId180" xr:uid="{3B182D63-CDFD-3346-8005-46B25B9982AD}"/>
    <hyperlink ref="CJ164" r:id="rId181" xr:uid="{1BCFD82B-2A6A-C04F-98DB-15A188888C4B}"/>
    <hyperlink ref="CJ161" r:id="rId182" xr:uid="{A023981C-6C97-6645-A126-B0BB6B66EE5F}"/>
    <hyperlink ref="CJ151" r:id="rId183" xr:uid="{8C6E5B75-759B-0F42-B8A2-1E3013F143FC}"/>
    <hyperlink ref="CJ152" r:id="rId184" display="https://vk.com/ppmi53)," xr:uid="{4E019110-87F2-644B-9506-C4CDA103FBDC}"/>
    <hyperlink ref="CJ90" r:id="rId185" xr:uid="{C9910578-3E03-504E-AB4C-E9AEBD5C9D5B}"/>
    <hyperlink ref="CJ153" r:id="rId186" xr:uid="{A3B0C99F-41A5-C746-B0A3-E167B354D947}"/>
    <hyperlink ref="CJ114" r:id="rId187" display="https://vk.com/club172332438?w=wall-172332438_410%2Fall" xr:uid="{A29A0E77-ABBC-E545-B18D-50503B334A42}"/>
    <hyperlink ref="CJ105" r:id="rId188" display="https://vk.com/club172332438?w=wall-172332438_409%2Fall" xr:uid="{D0BF2B26-4FE6-9243-9188-FC75A3317479}"/>
    <hyperlink ref="CJ155" r:id="rId189" xr:uid="{2E33A926-3349-7B43-907D-A7AE81E60005}"/>
    <hyperlink ref="CK12" r:id="rId190" xr:uid="{4EFBC26C-6FA9-0D4D-8877-85C5B799D0BE}"/>
    <hyperlink ref="CK18" r:id="rId191" xr:uid="{74AD1721-0AC0-C241-9C68-1340C84169CE}"/>
    <hyperlink ref="CK20" r:id="rId192" xr:uid="{B9D8C1BD-1E16-C143-80FC-D9982747D97B}"/>
    <hyperlink ref="CK90" r:id="rId193" xr:uid="{81242A88-E5FC-3942-936D-C4257564D41C}"/>
    <hyperlink ref="CK93" r:id="rId194" xr:uid="{1FC7D7A8-C2C0-074C-AA73-5F1B60FDA393}"/>
    <hyperlink ref="CK151" r:id="rId195" xr:uid="{6382DC1B-9CDD-7A4F-A636-B9D12B10E05B}"/>
    <hyperlink ref="CK153" r:id="rId196" xr:uid="{3E857363-42CC-244E-837F-B5D70677081C}"/>
    <hyperlink ref="CK152" r:id="rId197" display="https://vk.com/ppmi53)," xr:uid="{4AA0E246-0FF8-EF47-9C0D-B44C40BB7B86}"/>
    <hyperlink ref="CK155" r:id="rId198" xr:uid="{A4F8F0B9-4CE1-E64B-B8C2-0CA00CE77268}"/>
    <hyperlink ref="CK161" r:id="rId199" xr:uid="{06803A7F-DB39-F04A-A91D-0110EB131B7F}"/>
    <hyperlink ref="CK164" r:id="rId200" xr:uid="{8BB96103-3916-D549-A780-40B01CC13BD2}"/>
    <hyperlink ref="CK138" r:id="rId201" display="https://www.novreg.ru/tenders/folder/" xr:uid="{0F236D8F-8393-7145-BA9E-0FA7B42B6FE4}"/>
    <hyperlink ref="CK87" r:id="rId202" xr:uid="{A7ED4E11-011C-F842-8365-C0A2776DAAC2}"/>
    <hyperlink ref="CL18" r:id="rId203" xr:uid="{FCE49670-DA9A-DA4C-8100-8F2DDACA7900}"/>
    <hyperlink ref="CL20" r:id="rId204" xr:uid="{D485E443-C5FF-D146-98E9-5A18915D4B42}"/>
    <hyperlink ref="CL90" r:id="rId205" xr:uid="{2B5BEF7F-5632-C648-9A72-6589639D7380}"/>
    <hyperlink ref="CL164" r:id="rId206" xr:uid="{5C95965D-9C9A-CA42-AF3D-9DF1EB0A983D}"/>
    <hyperlink ref="CL12" r:id="rId207" xr:uid="{4480E13C-4A65-4F4F-97BD-7E3D2C95FAF3}"/>
    <hyperlink ref="CL87" r:id="rId208" xr:uid="{41061A5A-C4B7-3240-8FFE-60AA73883827}"/>
    <hyperlink ref="CL149" r:id="rId209" xr:uid="{59528069-F353-2041-94B9-584A2FEF3333}"/>
    <hyperlink ref="CL123" r:id="rId210" xr:uid="{29C6A12D-2B8E-8244-AC2A-93774ED37EB6}"/>
    <hyperlink ref="CL151" r:id="rId211" xr:uid="{48438398-4F77-794B-A1A8-C2276F934574}"/>
    <hyperlink ref="CL161" r:id="rId212" display="mailto:jkh-tek@novreg.ru" xr:uid="{83221D75-24CC-F344-9B01-A820FDDCEE44}"/>
    <hyperlink ref="CL152" r:id="rId213" xr:uid="{B64738AC-B2E6-7B4E-A9DA-31D901EF0480}"/>
    <hyperlink ref="CL153" r:id="rId214" xr:uid="{4FFB3EEB-7E5D-1645-B4A1-7C23DBDBB9DA}"/>
    <hyperlink ref="CC12" r:id="rId215" xr:uid="{86246DF9-3575-C74A-9F98-F72545640A0D}"/>
    <hyperlink ref="CC18" r:id="rId216" xr:uid="{BFB568E5-ECAB-5C48-94E5-A2F44ADA9EBC}"/>
    <hyperlink ref="CC90" r:id="rId217" xr:uid="{3231773D-E383-CC45-A84D-CF2303192118}"/>
    <hyperlink ref="CC151" r:id="rId218" xr:uid="{A800FD1B-E3F5-F144-BB72-82DD4DED0F9A}"/>
    <hyperlink ref="CC155" r:id="rId219" xr:uid="{FDF59268-351C-AB47-A527-EDD85815D5AC}"/>
    <hyperlink ref="CC161" r:id="rId220" xr:uid="{0E344083-8E1F-D147-908F-7BCDCE398063}"/>
    <hyperlink ref="AO12" r:id="rId221" xr:uid="{3BC11340-F299-2243-84E7-A595615012C6}"/>
    <hyperlink ref="AO20" r:id="rId222" xr:uid="{D959218D-CCD1-1B4D-A175-8D624C067E40}"/>
    <hyperlink ref="AO53" r:id="rId223" xr:uid="{088B5268-B89D-E94C-A54C-A023436ED0CB}"/>
    <hyperlink ref="AO87" r:id="rId224" xr:uid="{0AC1637F-74ED-6549-869C-AAEAA33A120F}"/>
    <hyperlink ref="AO90" r:id="rId225" display="https://37.rosstat.gov.ru/storage/mediabank/NAS22.pdf" xr:uid="{272084DF-954B-864F-88FF-75D9161436C3}"/>
    <hyperlink ref="AO161" r:id="rId226" xr:uid="{D5C68E62-CF17-1A44-BD5D-4D33A61D6232}"/>
    <hyperlink ref="AO164" r:id="rId227" display="mailto:budget_mbo@gfu.ivanovo.ru" xr:uid="{D75B5607-EA55-E94E-9ECF-0E49F2ADB3DD}"/>
    <hyperlink ref="CR12" r:id="rId228" xr:uid="{6D751F58-C63E-4942-A0F1-47725BDAB52F}"/>
    <hyperlink ref="CR16" r:id="rId229" xr:uid="{6249BB3A-5342-C345-8803-342007DC682A}"/>
    <hyperlink ref="CR18" r:id="rId230" xr:uid="{061D74A4-F4AF-CC4F-A010-CB8FB173C976}"/>
    <hyperlink ref="CR20" r:id="rId231" xr:uid="{D66E8CC4-8E8B-FF4C-8B68-3284F5089B5F}"/>
    <hyperlink ref="CR151" r:id="rId232" xr:uid="{1494DDFE-B301-4847-A8A6-D7DC38479F1D}"/>
    <hyperlink ref="CR161" r:id="rId233" xr:uid="{1630DFAF-7339-054D-B718-3AAA4C6EF2C0}"/>
    <hyperlink ref="CR164" r:id="rId234" xr:uid="{8DC1912F-46EE-7745-9B9A-2FAE3504C95C}"/>
    <hyperlink ref="EX12" r:id="rId235" display="http://agro.cap.ru/action/activity/" xr:uid="{D2031768-DA3E-2645-BBE4-0BB9F582552A}"/>
    <hyperlink ref="EX16" r:id="rId236" xr:uid="{F6632944-CE6C-D24E-A859-D3DE0E3F0B8C}"/>
    <hyperlink ref="EX90" r:id="rId237" xr:uid="{CB58E214-9964-C240-A1C9-319027198132}"/>
    <hyperlink ref="EX161" r:id="rId238" display="https://chuvash.gks.ru/demog" xr:uid="{720024DB-E9DD-6544-A06C-50150906677F}"/>
    <hyperlink ref="EX14" r:id="rId239" display="https://www.cap.ru/doc/laws/2022/08/24/ruling-406" xr:uid="{07996C59-C381-E14F-9F7A-C82D9D59E265}"/>
    <hyperlink ref="EX152" r:id="rId240" xr:uid="{5CC465FE-408E-3F4A-A03D-3ABA55BB5C32}"/>
    <hyperlink ref="CY12" r:id="rId241" xr:uid="{DB8C11A4-DA38-844B-9B29-7D85B16F9356}"/>
    <hyperlink ref="CY20" r:id="rId242" xr:uid="{0F7A5A28-6C51-F74F-B6AD-6D492B1591CD}"/>
    <hyperlink ref="CY90" r:id="rId243" xr:uid="{BDC33D40-768F-744C-895C-3CFEEFF72FA5}"/>
    <hyperlink ref="CY152" r:id="rId244" xr:uid="{536CC459-EE9A-1E42-A32B-6DEBC60D2BF5}"/>
    <hyperlink ref="CY161" r:id="rId245" xr:uid="{EFA24C50-8E6E-4743-86FA-5C7C4895F80A}"/>
    <hyperlink ref="CY164" r:id="rId246" xr:uid="{CF88DD6F-0D52-3F46-A1C9-A60718F00142}"/>
    <hyperlink ref="CZ12" r:id="rId247" xr:uid="{55F78D3E-81D6-0B46-BB1F-3C81E0EC9F8F}"/>
    <hyperlink ref="CZ20" r:id="rId248" xr:uid="{8913E38A-3E92-E948-B778-51DB7DC2D923}"/>
    <hyperlink ref="CZ90" r:id="rId249" xr:uid="{DE56FF11-852E-0D47-B1B9-5EB68D757D28}"/>
    <hyperlink ref="CZ152" r:id="rId250" xr:uid="{4F0638CB-A9DF-9E49-966E-231368BCDEC9}"/>
    <hyperlink ref="CZ161" r:id="rId251" xr:uid="{0D855DA4-DB37-BA44-8F88-C3267E4526A6}"/>
    <hyperlink ref="CZ164" r:id="rId252" xr:uid="{ADB61B4A-CD6E-6246-BC76-8E47E406147D}"/>
    <hyperlink ref="O18" r:id="rId253" xr:uid="{0821B42E-1CB3-1248-92F0-7EAD331512D7}"/>
    <hyperlink ref="O20" r:id="rId254" xr:uid="{ADF0AA8B-AA52-B346-B052-56B96D45998A}"/>
    <hyperlink ref="O90" r:id="rId255" xr:uid="{22DDCE67-C591-9D4D-855F-2143A4AD6CE6}"/>
    <hyperlink ref="O151" r:id="rId256" xr:uid="{7746E1BA-90F8-624B-A140-C3575DD3D569}"/>
    <hyperlink ref="O161" r:id="rId257" xr:uid="{84842A43-5B43-F546-BE83-6C9FE8997E51}"/>
    <hyperlink ref="O153" r:id="rId258" xr:uid="{191C09BD-45FC-6C45-A894-6E37D0AB860E}"/>
    <hyperlink ref="O164" r:id="rId259" display="armenshin.i@bashkortostan.ru" xr:uid="{F5D47271-116B-214C-AB8A-98AF3EFA1674}"/>
    <hyperlink ref="O152" r:id="rId260" display="https://vk.com/erbashkortostan?w=wall-1663109_25345" xr:uid="{146DA17B-837B-7B43-956B-8999970FCBF6}"/>
    <hyperlink ref="Q18" r:id="rId261" xr:uid="{4F6B7B6D-F650-3544-B6F9-987A557F1AF5}"/>
    <hyperlink ref="Q90" r:id="rId262" xr:uid="{172BD8C8-0B21-9D4D-A2A5-7DA9E3CDF97D}"/>
    <hyperlink ref="Q161" r:id="rId263" xr:uid="{FB656D4B-23E5-C142-BD1F-1E88A24E6573}"/>
    <hyperlink ref="Q164" r:id="rId264" xr:uid="{592FD96E-8C1A-9D49-8F39-A81FFAB5BCC1}"/>
    <hyperlink ref="S90" r:id="rId265" xr:uid="{C8EDB88E-C07C-794F-809B-433E26984470}"/>
    <hyperlink ref="S141" r:id="rId266" location="gallery-12" display="https://ppmi.bashkortostan.ru/document#gallery-12" xr:uid="{3CC7CB3A-3309-0342-9987-3B98D079DE8F}"/>
    <hyperlink ref="S151" r:id="rId267" xr:uid="{2FAC60D0-575A-7F43-B797-B350EC5CF841}"/>
    <hyperlink ref="S152" r:id="rId268" xr:uid="{CD73F26F-04DF-B748-9212-FF7B89DB1851}"/>
    <hyperlink ref="S153" r:id="rId269" location="gallery-11%20" xr:uid="{68BCD64A-858F-1249-9104-8716E9BB0299}"/>
    <hyperlink ref="S161" r:id="rId270" xr:uid="{303809DE-2448-FD40-B84E-E92451CFB7C0}"/>
    <hyperlink ref="S12" r:id="rId271" display="https://npa.bashkortostan.ru/16583/" xr:uid="{8CCCDC8F-7D39-D34D-B8AC-0F79C620E28D}"/>
    <hyperlink ref="S18" r:id="rId272" xr:uid="{089E4D82-F3B3-7648-B6A4-BB56B510CFB6}"/>
    <hyperlink ref="S164" r:id="rId273" xr:uid="{AF577715-02CB-B045-AB8C-BC21C8485143}"/>
    <hyperlink ref="EP12" r:id="rId274" xr:uid="{7218285F-E7B3-5143-A2A7-66B31C826FB0}"/>
    <hyperlink ref="EP90" r:id="rId275" xr:uid="{B8684261-0252-6E4A-94B6-FC9EE6EC0A9D}"/>
    <hyperlink ref="EP151" r:id="rId276" xr:uid="{EE1E2159-06F5-D140-AADB-5B43C41F8661}"/>
    <hyperlink ref="EV14" r:id="rId277" xr:uid="{7F41589C-A865-5242-BEB0-C068CA2D1166}"/>
    <hyperlink ref="EV16" r:id="rId278" xr:uid="{145A651D-1027-E448-B9A3-C61B76FF2689}"/>
    <hyperlink ref="EV20" r:id="rId279" xr:uid="{255CD97F-A88F-684C-8C88-3E27983D25D1}"/>
    <hyperlink ref="EV90" r:id="rId280" xr:uid="{033989C7-4029-6648-81E2-6244641DE48A}"/>
    <hyperlink ref="EV123" r:id="rId281" xr:uid="{7E993332-97F0-6D48-BD8F-DBEA07CDA540}"/>
    <hyperlink ref="EV164" r:id="rId282" xr:uid="{45E62787-F977-7149-AF65-2DEC96D66067}"/>
    <hyperlink ref="FA12" r:id="rId283" xr:uid="{7A497A4A-8F09-B249-BE9B-2A20CB87D61E}"/>
    <hyperlink ref="FA93" r:id="rId284" xr:uid="{B5E0EB1A-5EF1-E947-94CF-DF4058EF3A84}"/>
    <hyperlink ref="FA152" r:id="rId285" xr:uid="{65BE0DFB-5F7D-524D-AC63-2D1C8F98086D}"/>
    <hyperlink ref="FA153" r:id="rId286" xr:uid="{D1F1F8AF-A22C-3341-B11B-2B7923828D94}"/>
    <hyperlink ref="FA161" r:id="rId287" xr:uid="{4757CC46-9621-9E40-9299-47DF67BB0364}"/>
    <hyperlink ref="FA90" r:id="rId288" xr:uid="{866DA00E-B723-2A4C-8B9B-660DBE3B22A6}"/>
    <hyperlink ref="FA20" r:id="rId289" display="https://docs.cntd.ru/document/446168877" xr:uid="{AC72136D-CC2C-CA4F-B5A8-D235EC6CF5B6}"/>
    <hyperlink ref="EQ161" r:id="rId290" xr:uid="{3C9FE217-C28B-0342-9C74-5242DE7444EB}"/>
    <hyperlink ref="BF90" r:id="rId291" xr:uid="{00CB80E9-F7AC-0C48-A775-96002A121CC6}"/>
    <hyperlink ref="BF151" r:id="rId292" xr:uid="{32DA6890-8F3A-8B44-8E20-2CEFC491E363}"/>
    <hyperlink ref="BF153" r:id="rId293" xr:uid="{954826B1-097C-B444-B107-F109D9B93E9F}"/>
    <hyperlink ref="BF155" r:id="rId294" xr:uid="{CE75241A-71D3-DF41-9ADE-434A974A4A21}"/>
    <hyperlink ref="AZ151" r:id="rId295" display="http://old.gov.karelia.ru/Projects/Initiatives/" xr:uid="{81F4A33D-9A8F-0C49-92A2-5318EF2AF240}"/>
    <hyperlink ref="AZ16" r:id="rId296" xr:uid="{708D2C4E-16B8-5843-8E0D-0CF4A03C9C88}"/>
    <hyperlink ref="AZ18" r:id="rId297" xr:uid="{65545F82-774B-1C4E-925C-6A3CE3198E85}"/>
    <hyperlink ref="AZ164" r:id="rId298" xr:uid="{3AFEE0C8-1218-B94E-B3EC-A421C3C59C47}"/>
    <hyperlink ref="AZ161" r:id="rId299" xr:uid="{DE44E140-D9C3-2A49-B2AC-10137198D220}"/>
    <hyperlink ref="BA16" r:id="rId300" xr:uid="{DD9D92EC-0E37-EC47-B620-77C454B84329}"/>
    <hyperlink ref="BA18" r:id="rId301" xr:uid="{AC7E3015-4C77-B44E-9584-2FDA3FD7C2C5}"/>
    <hyperlink ref="BA20" r:id="rId302" xr:uid="{2C680224-5D28-9E4D-AA16-CAE9C3BD28AD}"/>
    <hyperlink ref="BA151" r:id="rId303" display="http://old.gov.karelia.ru/Projects/Initiatives/" xr:uid="{3271609C-896B-B641-B19A-05A29F2C7539}"/>
    <hyperlink ref="BA153" r:id="rId304" xr:uid="{05025FA1-3F06-4C4C-9B9A-73F0DEF6D246}"/>
    <hyperlink ref="BA164" r:id="rId305" xr:uid="{1065D7ED-9B48-B649-A272-7713688F2E62}"/>
    <hyperlink ref="BB16" r:id="rId306" xr:uid="{24446E0F-C865-C343-BBDA-424BEF068849}"/>
    <hyperlink ref="BB18" r:id="rId307" xr:uid="{0ABC7FDA-C2C4-B643-BC82-135446F66B31}"/>
    <hyperlink ref="BB20" r:id="rId308" xr:uid="{D57329C0-60A2-AD4F-BBEF-AB1CFFB73FAC}"/>
    <hyperlink ref="BB153" r:id="rId309" display="https://nac.gov.karelia.ru/about/3841/150390/" xr:uid="{EFA1A595-887A-CE4B-8707-B891A486E300}"/>
    <hyperlink ref="BB151" r:id="rId310" xr:uid="{D8F5F8D1-1E87-2941-ACB5-9967A4787FAA}"/>
    <hyperlink ref="BB164" r:id="rId311" xr:uid="{7259881B-F753-5043-9E47-8E308BEE0E6F}"/>
    <hyperlink ref="BD20" r:id="rId312" display="http://www.kirovreg.ru/publ/AkOUP.nsf/de017b98ac867075c32571440061b25c/a477b32730cd333b43258256004958f1?OpenDocument" xr:uid="{015A0551-61F6-464A-8A98-319A5E20392E}"/>
    <hyperlink ref="BD161" r:id="rId313" xr:uid="{330E5017-8482-B64A-8148-A31CE57F30EF}"/>
    <hyperlink ref="BD153" r:id="rId314" xr:uid="{5D54BCD6-EC73-784A-8A9E-CEBF0C7E6F04}"/>
    <hyperlink ref="BE152" r:id="rId315" xr:uid="{84CEF0B9-2BF1-574F-83B3-66970528D8B3}"/>
    <hyperlink ref="BE151" r:id="rId316" xr:uid="{655CB02B-D27B-8144-9659-96FC2DFE3E64}"/>
    <hyperlink ref="BE161" r:id="rId317" xr:uid="{A773518D-8D16-6144-B414-607170494304}"/>
    <hyperlink ref="BE164" r:id="rId318" xr:uid="{2E50BBE2-0FF0-F140-B7B8-03FD55B8EF2D}"/>
    <hyperlink ref="AB161" r:id="rId319" xr:uid="{35601E8E-0593-204C-A75F-364A535F7AF5}"/>
    <hyperlink ref="AB164" r:id="rId320" xr:uid="{3C403B08-3010-394D-80FF-242564F39938}"/>
    <hyperlink ref="AB20" r:id="rId321" xr:uid="{4F2745CE-4C8A-DA49-B7A3-79EDB996CE38}"/>
    <hyperlink ref="AB151" r:id="rId322" display="https://volgafin.volgograd.ru/current-activity/cooperation/news/424780/" xr:uid="{2BEF5FD0-0FC0-1A47-98BD-E262FF6EF4BE}"/>
    <hyperlink ref="AC161" r:id="rId323" xr:uid="{6EA122A5-5FDE-CB42-A66F-6B17443D8210}"/>
    <hyperlink ref="AC164" r:id="rId324" xr:uid="{E0219734-6650-C74E-92BD-C19D90EFC4D3}"/>
    <hyperlink ref="AC20" r:id="rId325" xr:uid="{7170FA24-9ECE-804F-A6AD-098571B4A9A8}"/>
    <hyperlink ref="AC151" r:id="rId326" xr:uid="{B084561A-949E-074B-91F6-DC8DE438D25C}"/>
    <hyperlink ref="AC154" r:id="rId327" display="https://vlgr-ranepa.ru/konkurs/vlg-local-init/" xr:uid="{74F80D70-FC8E-FE45-BCD6-B648841DE97E}"/>
    <hyperlink ref="AC155" r:id="rId328" xr:uid="{5982A6F7-E4BB-294A-AE01-C707B06F56C8}"/>
    <hyperlink ref="N161" r:id="rId329" xr:uid="{044BACCC-EC42-2C48-BA36-DD1FD1DDCBDF}"/>
    <hyperlink ref="N151" r:id="rId330" xr:uid="{22C4010E-EAFC-5A4E-B008-13D32ADE3B1C}"/>
    <hyperlink ref="N90" r:id="rId331" xr:uid="{F20B6D55-1CA8-374D-8F6B-21900D780EBE}"/>
    <hyperlink ref="N20" r:id="rId332" xr:uid="{0207CA2E-85FF-054A-B153-43A04455BD22}"/>
    <hyperlink ref="N53" r:id="rId333" xr:uid="{F50A9A2D-F7C8-1A45-A952-82CDDE9DECF6}"/>
    <hyperlink ref="N152" r:id="rId334" display="https://ahtuba-adm.ru/index.php?mode=view_spisok&amp;own_menu_id=297226" xr:uid="{09CF7E1E-D355-984E-8C32-7BF029A30759}"/>
    <hyperlink ref="T14" r:id="rId335" xr:uid="{198176CD-7EB6-8B46-BCD8-F33F488ABB64}"/>
    <hyperlink ref="T153" r:id="rId336" xr:uid="{190B1E9F-425A-F041-9E31-3EB9387A524B}"/>
    <hyperlink ref="T90" r:id="rId337" xr:uid="{7AB15494-52B2-4649-B32C-434144AC9E40}"/>
    <hyperlink ref="T164" r:id="rId338" xr:uid="{75A91351-81E7-6D45-9B8D-35EA5DB8441A}"/>
    <hyperlink ref="T87" r:id="rId339" xr:uid="{4D72DA2B-0A1A-B04F-8A41-EB14271BFE02}"/>
    <hyperlink ref="T161" r:id="rId340" xr:uid="{E2EE5977-335B-554B-955E-0DC14095852F}"/>
    <hyperlink ref="U12" r:id="rId341" xr:uid="{830E5A2D-16DA-A648-8E61-82008116B385}"/>
    <hyperlink ref="U18" r:id="rId342" xr:uid="{51880473-797F-F045-BE9E-22CFD1E85DF6}"/>
    <hyperlink ref="U90" r:id="rId343" xr:uid="{8B150F3E-C5D6-9C43-9BD7-CD14D02EB6D6}"/>
    <hyperlink ref="U164" r:id="rId344" xr:uid="{CD5E08D4-D39D-D342-B16A-7E3DE23CF577}"/>
    <hyperlink ref="V90" r:id="rId345" xr:uid="{3389E824-3989-3840-AB16-24B24F235B70}"/>
    <hyperlink ref="V151" r:id="rId346" xr:uid="{07FCB9DE-093F-8446-A487-86F732B4224C}"/>
    <hyperlink ref="V152" r:id="rId347" xr:uid="{481A180E-BBAC-C042-B674-62BBFE9F28AE}"/>
    <hyperlink ref="V161" r:id="rId348" xr:uid="{02F0E2C8-4399-0B4E-98C1-D85B4F76F448}"/>
    <hyperlink ref="V164" r:id="rId349" xr:uid="{63D95768-6EFE-EF43-B6D6-0B5E1E1FF750}"/>
    <hyperlink ref="AS12" r:id="rId350" xr:uid="{896F0478-86AC-954B-BCBF-BB13E9C4C8A0}"/>
    <hyperlink ref="AS16" r:id="rId351" xr:uid="{A8813E0C-ABCB-FF4F-8419-306AA50BC8A9}"/>
    <hyperlink ref="AS161" r:id="rId352" xr:uid="{D877E58E-8562-AE43-97B7-216DBBCBAAB1}"/>
    <hyperlink ref="AS90" r:id="rId353" xr:uid="{55655ECC-FC11-0F46-AD70-36A283AC95AB}"/>
    <hyperlink ref="AS164" r:id="rId354" xr:uid="{98A0D5B4-D1FC-C847-A568-D3CE59A67030}"/>
    <hyperlink ref="AT16" r:id="rId355" xr:uid="{E4858A54-ABFA-B54E-BE8D-F66631E160B3}"/>
    <hyperlink ref="AT90" r:id="rId356" xr:uid="{890E5024-C136-B745-9432-BA7A1FA0EB22}"/>
    <hyperlink ref="AT161" r:id="rId357" xr:uid="{CDDAD74D-BF4E-724A-8A0E-A058FDB4083D}"/>
    <hyperlink ref="AT164" r:id="rId358" xr:uid="{183EB8D6-EF86-5B4E-BD7F-8AFEFC7DC66F}"/>
    <hyperlink ref="AT12" r:id="rId359" xr:uid="{CC8C8825-7044-5543-902E-29BAE28A51FC}"/>
    <hyperlink ref="AU12" r:id="rId360" xr:uid="{52A38CC9-FDB2-C043-8016-E7B5AC3DC2C9}"/>
    <hyperlink ref="AU16" r:id="rId361" xr:uid="{A59FCB4B-E97C-5247-A214-A531381DA0EF}"/>
    <hyperlink ref="AU161" r:id="rId362" xr:uid="{CB74F3D1-122B-1941-B4E4-32F5D4C93CAF}"/>
    <hyperlink ref="AU164" r:id="rId363" xr:uid="{D71A1FDB-4C09-944D-8E6A-EDF8D7870101}"/>
    <hyperlink ref="J12" r:id="rId364" xr:uid="{79483371-1F5B-6A42-915E-2CAAA98ECCAA}"/>
    <hyperlink ref="J161" r:id="rId365" xr:uid="{02E778FD-454E-FD47-A3BD-E387136F5518}"/>
    <hyperlink ref="J155" r:id="rId366" xr:uid="{B2E33845-83E1-9E44-B511-3C1C9A348626}"/>
    <hyperlink ref="J93" r:id="rId367" xr:uid="{A03DF61E-87EF-F642-8733-BF8C1D68ED49}"/>
    <hyperlink ref="J164" r:id="rId368" xr:uid="{D8BC5E03-AC7F-024A-A636-3BDB240DC87B}"/>
    <hyperlink ref="EY151" r:id="rId369" xr:uid="{A7A20737-3BFB-644F-8707-D5309F326B8F}"/>
    <hyperlink ref="EY152" r:id="rId370" xr:uid="{50E628F2-614C-B844-ABF4-36D2ABE23F14}"/>
    <hyperlink ref="EY161" r:id="rId371" xr:uid="{233AC3D6-B9F9-8341-85D8-88EA0E4B9F45}"/>
    <hyperlink ref="AW90" r:id="rId372" xr:uid="{5C10E061-8E39-3D49-91EF-59D39AED0368}"/>
    <hyperlink ref="AW153" r:id="rId373" xr:uid="{EE4A2F2E-EE51-2A48-AD17-80A737EA3F0F}"/>
    <hyperlink ref="AW151" r:id="rId374" xr:uid="{E2E3ABB2-74C0-464B-AB2C-3E16041282CC}"/>
    <hyperlink ref="AW20" r:id="rId375" tooltip="Ссылка на КонсультантПлюс" display="consultantplus://offline/ref=CE41F64B95E700B67DE5A00A9B62613B01AE69E1DB036705D8D0A60453D7CC789CC4567030BDEFDBBBe77EI" xr:uid="{C391C694-0BC0-B840-8ABA-0B8E1F8768C6}"/>
    <hyperlink ref="AW12" r:id="rId376" display="Постановление Правительства Калужской области от 21.01.2020 N 30 (ред. от 30.12.2022) &quot;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quot; {Ко" xr:uid="{977D8DEB-3098-2843-996C-FFD5A4212DF0}"/>
    <hyperlink ref="AW16" r:id="rId377" xr:uid="{7E38420D-1E7C-9344-A3CA-A03FC831A0BD}"/>
    <hyperlink ref="BL12" r:id="rId378" xr:uid="{D5DD96F5-CD42-2B41-BF7F-D05286A5E6E7}"/>
    <hyperlink ref="BL16" r:id="rId379" xr:uid="{489F6AF8-F346-4B4C-9F50-84CAC0A90A4F}"/>
    <hyperlink ref="BL20" r:id="rId380" xr:uid="{89682B94-9EF2-FB44-88C9-31E197AC7AE7}"/>
    <hyperlink ref="BL53" r:id="rId381" xr:uid="{E97364A4-B5FA-274B-BB52-B3C0AA319689}"/>
    <hyperlink ref="BL90" r:id="rId382" xr:uid="{5968B3C4-41E8-0E49-B8C5-4131FD05D508}"/>
    <hyperlink ref="BL149" display="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 xr:uid="{E3985D8A-5FD6-0341-92F9-295ADE1AF7C3}"/>
    <hyperlink ref="BL151" r:id="rId383" xr:uid="{8A6A5C32-43B3-164A-8E9C-BB64AD4E8524}"/>
    <hyperlink ref="BL153" r:id="rId384" display="https://disk.yandex.ru/d/SsbVuUugi9mHGg" xr:uid="{A62811A5-5C00-A94E-8930-8DDD16AB4301}"/>
    <hyperlink ref="BL154" r:id="rId385" display="https://disk.yandex.ru/d/mo3LfhYOR04Vlw" xr:uid="{C84716CF-2751-794B-BC71-A682A72CFD8D}"/>
    <hyperlink ref="BL155" r:id="rId386" display="https://disk.yandex.ru/d/bNtKkI7tYHzdAg" xr:uid="{29891A2F-A81E-7545-8B7D-5A235F780D7E}"/>
    <hyperlink ref="BL161" r:id="rId387" xr:uid="{2BE118A6-4C5F-3944-86C8-DDE8BACE311F}"/>
    <hyperlink ref="BR12" r:id="rId388" xr:uid="{382EB7F8-074B-E44D-B276-007D0F2869A9}"/>
    <hyperlink ref="BR20" r:id="rId389" xr:uid="{FD2E742B-59F7-3D48-A8C5-911A58E178BE}"/>
    <hyperlink ref="BR90" r:id="rId390" xr:uid="{8589929E-8B8B-6C4E-921C-57B49286230F}"/>
    <hyperlink ref="BR93" r:id="rId391" xr:uid="{16355EC0-9415-6749-957C-0009E9576FA2}"/>
    <hyperlink ref="BR155" r:id="rId392" xr:uid="{8C9B9EFA-E05F-8540-B167-DAB3EA5FFA1C}"/>
    <hyperlink ref="BR161" r:id="rId393" xr:uid="{523D0161-12DB-1B4A-964A-3A3413C15FFD}"/>
    <hyperlink ref="BR164" r:id="rId394" xr:uid="{447658FB-34B6-0A4F-B6B3-39E51368E114}"/>
    <hyperlink ref="BS12" r:id="rId395" xr:uid="{E6A1C5CE-866D-1448-A8E7-5502162AE18D}"/>
    <hyperlink ref="BS20" r:id="rId396" display="https://msu.lenobl.ru/programmy-i-plany/celevye-programmy/" xr:uid="{EF915AEE-B687-B941-A41D-E337017B968B}"/>
    <hyperlink ref="BS93" r:id="rId397" xr:uid="{A8BEFE40-7256-9247-BF32-B6E4B0179E9C}"/>
    <hyperlink ref="BS87" r:id="rId398" xr:uid="{59FD60F5-38A7-5B47-8609-D36E331947D9}"/>
    <hyperlink ref="BS90" r:id="rId399" xr:uid="{5E53726D-9A8C-3F47-845E-F6C15B073861}"/>
    <hyperlink ref="BS164" r:id="rId400" xr:uid="{5A5238DB-3DA7-1B47-B762-1F4F2A28A2EA}"/>
    <hyperlink ref="BS161" r:id="rId401" xr:uid="{B07E5FB3-A7CB-4441-82AF-EFB8E2DB110B}"/>
    <hyperlink ref="CD14" r:id="rId402" xr:uid="{D62818BA-1DA1-784A-BBC9-8414E3B04A63}"/>
    <hyperlink ref="CD16" r:id="rId403" xr:uid="{84C1266F-CD82-894E-A93D-D6507F68DAFB}"/>
    <hyperlink ref="CD20" r:id="rId404" display="http://publication.pravo.gov.ru/Document/View/5200201712270003" xr:uid="{D5A082C1-E1C2-F94E-BB5D-03B327DA9913}"/>
    <hyperlink ref="CD90" r:id="rId405" xr:uid="{D91EEBC6-7D99-6045-80BE-DFEF766FAE08}"/>
    <hyperlink ref="CD161" r:id="rId406" xr:uid="{3F646CDB-E5DF-884A-B4CD-9B90EA6E9574}"/>
    <hyperlink ref="CD53" r:id="rId407" xr:uid="{22E0E4C5-3641-824C-810A-FC760B190973}"/>
    <hyperlink ref="CD164" r:id="rId408" xr:uid="{EB5E1E9B-8481-2641-BACC-07F88FAF7999}"/>
    <hyperlink ref="EM93" r:id="rId409" xr:uid="{CE3D80D8-A3CD-FB42-882A-1FA98E40B2BC}"/>
    <hyperlink ref="EN12" r:id="rId410" location="qLLembTsHcIRJe3m" xr:uid="{3BE29915-A664-DE46-9818-F4453BE87BE5}"/>
    <hyperlink ref="EN90" display="https://docs.yandex.ru/docs/view?url=ya-browser%3A%2F%2F4DT1uXEPRrJRXlUFoewruIn9QUAwX4xINrNKvUDGNWv5_q21vz1IJFVzAtcjQ-hOdKcxXrCdT0JRnS46xP6g8f1hQUSswyr5iblUSnSz7dFXjz9lSaUnkCq2CKzfot_pP0vbvH4MZn6TYhWQ0bLqNA%3D%3D%3Fsign%3DT_OMcnDuCtCAfG7n5b45I5JQ_QUY9PgWz" xr:uid="{C7A1AC9C-958D-3049-8DFA-72CBDB71D468}"/>
    <hyperlink ref="EN114" r:id="rId411" xr:uid="{CE0AAA86-C825-F749-9AD4-F8619B3DF692}"/>
    <hyperlink ref="EN123" r:id="rId412" xr:uid="{46858E99-C872-FD45-9894-BD57DAAFDBCE}"/>
    <hyperlink ref="EN161" r:id="rId413" xr:uid="{8CC445ED-21DD-2147-8402-B73280D41B8D}"/>
    <hyperlink ref="EN152" r:id="rId414" display="https://ulgov.ru/news/regional/2020.12.04/58446/" xr:uid="{E92D3D5A-DF1E-034F-9151-E541A1F98C5A}"/>
    <hyperlink ref="EN153" r:id="rId415" xr:uid="{19C2D12C-85CA-164C-A47D-1B77E5075A37}"/>
    <hyperlink ref="EN155" r:id="rId416" xr:uid="{0A9688F5-4388-4F45-993F-3491961893D5}"/>
    <hyperlink ref="EN151" r:id="rId417" xr:uid="{2B90EFB7-DDD4-354A-8DE1-10FE48D5D407}"/>
    <hyperlink ref="EO12" r:id="rId418" xr:uid="{6532468F-4444-D64D-BD45-6EB108983D73}"/>
    <hyperlink ref="EO18" r:id="rId419" location="Q2Wj3cT61oBIzWtl" xr:uid="{1656D5A1-085E-A442-96AB-490C49CF0DBE}"/>
    <hyperlink ref="EO14" r:id="rId420" display="http://10.40.40.2/ppmi/npa " xr:uid="{1472AF7C-F5FE-E842-8282-1F7D2A9C582E}"/>
    <hyperlink ref="EO53" r:id="rId421" location="Q2Wj3cT61oBIzWtl" xr:uid="{78A03074-81BA-7147-9CA9-2D42DB9EDE48}"/>
    <hyperlink ref="EO87" r:id="rId422" display="https://disk.yandex.ru/d/OsdmtFYj0zQBTQ" xr:uid="{16C116AE-B965-4F4B-88AD-648272B0BD32}"/>
    <hyperlink ref="EO90" r:id="rId423" xr:uid="{81E597B9-78A0-E74C-BFB6-085398AA6974}"/>
    <hyperlink ref="EO93" r:id="rId424" xr:uid="{966EAADA-0368-334D-BFBC-AED391EE1D1F}"/>
    <hyperlink ref="EO164" r:id="rId425" location="compose?to=%22%D0%A0%D0%B5%D0%BD%D0%B0%D1%82%D0%B0%20%D0%90%D0%BB%D0%B5%D0%BA%D1%81%D0%B5%D0%B5%D0%B2%D0%B0%22%20%3Calekseeva.rr%40ulminfin.ru%3E" display="https://mail.yandex.ru/?uid=1130000046507752 - compose?to=%22%D0%A0%D0%B5%D0%BD%D0%B0%D1%82%D0%B0%20%D0%90%D0%BB%D0%B5%D0%BA%D1%81%D0%B5%D0%B5%D0%B2%D0%B0%22%20%3Calekseeva.rr%40ulminfin.ru%3E" xr:uid="{06ADD5D6-1008-044B-A40D-B840BD3B1C50}"/>
    <hyperlink ref="EO161" r:id="rId426" xr:uid="{DD83E072-3135-5743-A187-1F64AC9D6182}"/>
    <hyperlink ref="EO152" r:id="rId427" display="https://цфг73.рф/ ; " xr:uid="{E7300243-9A43-154A-B016-14352E5E35B6}"/>
    <hyperlink ref="EO153" r:id="rId428" display="http://10.40.40.2/ppmi/npa  (раздел &quot;НПА&quot;, подраздел &quot;Шаблоны&quot;, ППМИ Логотип)" xr:uid="{E5C81FA3-53CA-BE45-8D87-856EB07F091F}"/>
    <hyperlink ref="EO155" display="http://10.40.40.2/ppmi/npa ; (раздел &quot;НПА&quot;, подраздел &quot;Методические рекоменадции&quot;, документы: &quot;Новации в рамках ППМИ с 2022года (семинар для МР)&quot;, &quot;Новации в рамках ППМИ с 2022года (семинар для ГО)&quot;, &quot;Практическое применение основ федерального законодател" xr:uid="{084BD5B1-DDE3-4743-9EB7-ADB343505881}"/>
    <hyperlink ref="EK12" r:id="rId429" xr:uid="{4C04D2F2-96AD-9247-AE30-6CDA95B04E00}"/>
    <hyperlink ref="EK161" r:id="rId430" xr:uid="{0EF9C676-CF9F-F145-A220-0C9D6EBCE9AA}"/>
    <hyperlink ref="EK90" r:id="rId431" xr:uid="{185551F3-7363-1444-9482-054C13D4DA2D}"/>
    <hyperlink ref="EK53" r:id="rId432" xr:uid="{BF3B52FE-1AFD-5D41-8447-8063FD521363}"/>
    <hyperlink ref="EK151" r:id="rId433" xr:uid="{8684BDAB-B051-4F48-AB40-E4B2CBBD5801}"/>
    <hyperlink ref="EK152" r:id="rId434" xr:uid="{14EA26BB-9D0B-044D-AD9F-4FE0D4675821}"/>
    <hyperlink ref="EK155" r:id="rId435" display="https://disk.yandex.ru/i/aYxSNZdBi9urEQ" xr:uid="{7A60CB69-7208-6947-9E94-2B3A3778240F}"/>
    <hyperlink ref="EK153" r:id="rId436" xr:uid="{66448350-7078-6A4E-9120-C3C2DA8D056B}"/>
    <hyperlink ref="EK93" r:id="rId437" xr:uid="{D66A5EA5-E0E2-074A-A878-0C1E05B098E1}"/>
    <hyperlink ref="EL12" r:id="rId438" display="http://www.udmurt.ru/regulatory/index.php?typeid=All&amp;regnum=79&amp;sdate=06.03.2019&amp;edate=&amp;sdatepub=&amp;edatepub=&amp;q=&amp;doccnt=&amp;page=2&amp;doccnt=" xr:uid="{DCF93A76-D521-3043-B414-194A8B59FDF6}"/>
    <hyperlink ref="EL20" r:id="rId439" display="http://www.udmurt.ru/regulatory/index.php?typeid=31183294&amp;regnum=196&amp;sdate=21.05.2019&amp;edate=&amp;sdatepub=&amp;edatepub=&amp;q=&amp;doccnt=" xr:uid="{974051B8-FA56-C545-860A-E5F65EDBE887}"/>
    <hyperlink ref="EL90" r:id="rId440" xr:uid="{B33D6B39-9F1A-E242-B30B-E6C5EDAC04D7}"/>
    <hyperlink ref="EL151" r:id="rId441" xr:uid="{4C338B6E-0940-FA43-9ABE-CEDAA3980001}"/>
    <hyperlink ref="EL152" r:id="rId442" xr:uid="{74E9388D-30B4-F34E-A98E-1A1B47460791}"/>
    <hyperlink ref="EL153" r:id="rId443" xr:uid="{E525FC47-19FF-2A47-B2C4-D25DA2EC35CE}"/>
    <hyperlink ref="EL93" r:id="rId444" xr:uid="{8573EA3C-2749-1D41-AAA0-EB16CDB726CF}"/>
    <hyperlink ref="EH12" r:id="rId445" xr:uid="{F1E40800-DAE0-E649-8F0C-2DA41AC9D03A}"/>
    <hyperlink ref="EH90" r:id="rId446" display="https://72.rosstat.gov.ru/ofs_demp_ug" xr:uid="{256BECB0-FDC0-B547-B8CD-348E3BD27211}"/>
    <hyperlink ref="EH151" r:id="rId447" xr:uid="{DD3E3401-AAD6-6442-9A50-C5ABD1EFB216}"/>
    <hyperlink ref="EJ12" r:id="rId448" xr:uid="{C272880C-0CB5-4D43-A389-FC570450B343}"/>
    <hyperlink ref="EJ151" r:id="rId449" xr:uid="{A0C4F573-DC59-944C-9A80-1398965986C0}"/>
    <hyperlink ref="EJ152" r:id="rId450" xr:uid="{A097CC98-749F-F049-B8A4-53DC6477193D}"/>
    <hyperlink ref="EJ153" r:id="rId451" xr:uid="{181C55E5-E0CE-D94D-AFF3-3BFAD42EFA15}"/>
    <hyperlink ref="EJ154" r:id="rId452" xr:uid="{9F44C17B-ADD6-D34A-8EFD-4F9FA4424C49}"/>
    <hyperlink ref="EJ161" r:id="rId453" xr:uid="{E8033CAD-345E-AA46-8A1D-27E541C31CE8}"/>
    <hyperlink ref="EJ90" r:id="rId454" display="https://72.rosstat.gov.ru/storage/mediabank/Численность%20населения%20за%202017-2022%20годы_ЮГ_2.xlsx" xr:uid="{9F406C75-43AA-E24C-AE20-27292126BAF8}"/>
    <hyperlink ref="EI90" r:id="rId455" display="https://72.rosstat.gov.ru/storage/mediabank/Численность%20населения%20за%202017-2022%20годы_ЮГ_2.xlsx" xr:uid="{0A1C7046-C7AF-C644-B92F-929660BD27EC}"/>
    <hyperlink ref="EI20" r:id="rId456" xr:uid="{68549D98-E331-2B43-A792-9B4A6CE8D204}"/>
    <hyperlink ref="EI14" r:id="rId457" xr:uid="{1D46021D-6FA4-9941-9632-FE4805C71B10}"/>
    <hyperlink ref="DW12" r:id="rId458" xr:uid="{4E8B07E3-4857-6C4A-BF9A-D57C7DDD6FEE}"/>
    <hyperlink ref="DW151" r:id="rId459" xr:uid="{C2518B3B-8597-C042-B345-7CC4764A3836}"/>
    <hyperlink ref="DW153" r:id="rId460" xr:uid="{FBE14DC2-D6B6-D942-8006-5ADC71AFCE0D}"/>
    <hyperlink ref="DW90" r:id="rId461" xr:uid="{D3501087-02EF-E345-9A71-A85DE7A32531}"/>
    <hyperlink ref="DW16" r:id="rId462" xr:uid="{CF9C3416-697E-C440-A4C0-3874C8D33912}"/>
    <hyperlink ref="DW20" r:id="rId463" xr:uid="{4B0B4853-7201-174D-864F-B93CC02E9A5B}"/>
    <hyperlink ref="EA161" r:id="rId464" xr:uid="{C83B5A5E-666D-4849-A4CC-CE08386A7A69}"/>
    <hyperlink ref="EA20" r:id="rId465" xr:uid="{3E424117-A0A9-BB4D-AF0A-C07A7036D233}"/>
    <hyperlink ref="EA12" r:id="rId466" xr:uid="{83EDACA8-3EF9-5444-85F3-FF3D283F1800}"/>
    <hyperlink ref="EA90" r:id="rId467" xr:uid="{338A93EB-E9A6-B14A-AFDC-54E1A6F351C3}"/>
    <hyperlink ref="EA87" r:id="rId468" xr:uid="{1BDC1C4D-EBC2-3143-A114-56158F2A421B}"/>
    <hyperlink ref="DX90" r:id="rId469" xr:uid="{ECF385E0-AFAE-4D4D-9E97-34D307E5ECA5}"/>
    <hyperlink ref="DX151" r:id="rId470" xr:uid="{F7F7AE8C-B067-1940-8B42-BDD1CCA66ECB}"/>
    <hyperlink ref="DX161" r:id="rId471" xr:uid="{A89B39A1-3D12-8E41-B626-6AD8AB106EBD}"/>
    <hyperlink ref="DX12" r:id="rId472" xr:uid="{C03AC752-8783-7E48-B72E-FAAF1F2F3125}"/>
    <hyperlink ref="DZ90" r:id="rId473" xr:uid="{FC60DDB0-6C21-C74C-AEDB-B88F0ABC8394}"/>
    <hyperlink ref="DZ151" r:id="rId474" xr:uid="{560E5553-A6D3-B341-94C8-8C20052CB74E}"/>
    <hyperlink ref="DZ161" r:id="rId475" xr:uid="{84965E58-5C5F-6441-A54C-EB18FB6C4301}"/>
    <hyperlink ref="DZ12" r:id="rId476" xr:uid="{F92230E2-F2C5-B94B-9475-79077D485F24}"/>
    <hyperlink ref="DY161" r:id="rId477" xr:uid="{65163783-ECA2-6842-A689-0A987E4E748D}"/>
    <hyperlink ref="DY151" r:id="rId478" xr:uid="{B15FC7A0-33FA-D64F-B9C2-81FC4EF13E72}"/>
    <hyperlink ref="DY153" r:id="rId479" xr:uid="{62033424-0EEB-4940-AAC3-724E655A2E48}"/>
    <hyperlink ref="DY12" r:id="rId480" xr:uid="{CF5F0C30-9273-784A-AF8E-6C094F751F5B}"/>
    <hyperlink ref="DY90" r:id="rId481" xr:uid="{37D2C6D9-D692-2540-9533-63C8685F99F7}"/>
    <hyperlink ref="DP12" r:id="rId482" xr:uid="{05E12FE0-0093-EB46-BE9C-BA10C8836DD7}"/>
    <hyperlink ref="DP161" r:id="rId483" xr:uid="{01181576-B62F-424B-805A-3E73A054635B}"/>
    <hyperlink ref="DP151" r:id="rId484" display="http://economy.midural.ru/content/iniciativnoe-byudzhetirovanie" xr:uid="{4EC46200-4C2E-894D-95A4-80C7CE28E3CB}"/>
    <hyperlink ref="DP152" r:id="rId485" display="https://vk.com/economy_so " xr:uid="{A10A694E-C990-0A45-B5BA-6D75FEA337D3}"/>
    <hyperlink ref="DR12" r:id="rId486" xr:uid="{C17A0971-7642-DE4F-8EEE-0A5AFFD3C34F}"/>
    <hyperlink ref="DR20" r:id="rId487" xr:uid="{2EB9D1BA-D09F-2947-8A28-32EBA181D42E}"/>
    <hyperlink ref="DR90" r:id="rId488" xr:uid="{7BC267E4-35C6-524A-9808-59FCA097A001}"/>
    <hyperlink ref="DR151" r:id="rId489" xr:uid="{226A3F5E-4F28-C04C-A275-F01C023CD453}"/>
    <hyperlink ref="DR153" r:id="rId490" xr:uid="{09577734-9D83-284B-A4BB-4CB035223C50}"/>
    <hyperlink ref="DR53" r:id="rId491" xr:uid="{47AEE330-D55D-D843-83F0-1612DA2F0281}"/>
    <hyperlink ref="DR93" r:id="rId492" xr:uid="{7EC2CF85-F923-5847-B704-7FDBFFC7564B}"/>
    <hyperlink ref="DQ12" r:id="rId493" xr:uid="{03ED8D3D-7659-CE4F-933F-1916F3396AEE}"/>
    <hyperlink ref="DQ161" r:id="rId494" xr:uid="{E8D8F70D-85A6-E148-94A4-7FA6EB07E96D}"/>
    <hyperlink ref="DQ151" r:id="rId495" xr:uid="{F8D05EF7-98C9-E84A-9083-DDF13E967B49}"/>
    <hyperlink ref="DE12" r:id="rId496" xr:uid="{BF81FFCB-7344-CD43-81F8-7B1EAC1A3163}"/>
    <hyperlink ref="DE14" r:id="rId497" xr:uid="{7D87AF6F-149D-2A43-82C0-236D73904B50}"/>
    <hyperlink ref="DE16" r:id="rId498" xr:uid="{DC4591BA-8791-B44A-BB7F-AB317F13C4D0}"/>
    <hyperlink ref="DE18" r:id="rId499" xr:uid="{7BA84E85-C842-824B-9CDA-7C6A8DF285E0}"/>
    <hyperlink ref="DE20" r:id="rId500" xr:uid="{7438CF0B-0E7F-9A47-B9E1-C0476DA1A9CE}"/>
    <hyperlink ref="DE53" r:id="rId501" xr:uid="{46EAEF19-3EED-EE45-ADFE-6058547D4102}"/>
    <hyperlink ref="DE151" r:id="rId502" xr:uid="{D1559AE3-9881-0A49-9C8B-13D2EB060413}"/>
    <hyperlink ref="DE152" r:id="rId503" xr:uid="{745C0D15-C4D6-3F40-B37A-7F905CA37555}"/>
    <hyperlink ref="DE153" r:id="rId504" xr:uid="{53F430FA-8D71-794C-9FEE-ADB5BA4538CE}"/>
    <hyperlink ref="DE161" r:id="rId505" display="gpso63@yandex.ru, " xr:uid="{1D413CC3-D30D-E346-BE2D-020F03C2E44D}"/>
    <hyperlink ref="DE87" r:id="rId506" xr:uid="{E409A75C-707F-D54E-95CD-BACDF9923A6E}"/>
    <hyperlink ref="DN12" r:id="rId507" display="https://pib.sakhminfin.ru/show/mb" xr:uid="{6E475474-A2BF-B147-A35C-E55B821B5E0A}"/>
    <hyperlink ref="DN18" r:id="rId508" xr:uid="{565B54B1-663F-5940-B2D9-B79D83ADED00}"/>
    <hyperlink ref="DN90" r:id="rId509" xr:uid="{66460AC8-5720-B64E-8EC6-614603CBA3B2}"/>
    <hyperlink ref="DN151" r:id="rId510" display="https://pib.sakhminfin.ru/_x000a_" xr:uid="{D68C0233-EA97-9B4E-99E3-04F369646247}"/>
    <hyperlink ref="DN150" r:id="rId511" display="https://pib.sakhminfin.ru/projects?MembersCategoryId=1" xr:uid="{B75789E5-C1F6-1542-AA9C-BF2C1D7E1D80}"/>
    <hyperlink ref="DN154" r:id="rId512" display="https://sakhminfin.ru/index.php/oministerstve/meropriyatiya/ofmerop/3931-v-sakhalinskoj-oblasti-startuet-novyj-tsikl-molodezhnogo-byudzheta " xr:uid="{0C00844F-EE3B-4148-B595-D075D8454059}"/>
    <hyperlink ref="DN152" r:id="rId513" display="http://sakhminfin.ru/" xr:uid="{1707A499-6298-1E4D-AD45-94A6E4978F35}"/>
    <hyperlink ref="DN155" r:id="rId514" display="https://disk.yandex.ru/d/HJSWEZqo5gRLhQ" xr:uid="{22A6726A-F5C7-D148-906A-D9075E7E800C}"/>
    <hyperlink ref="DO12" r:id="rId515" display="https://pib.sakhminfin.ru/show/ppi" xr:uid="{88B0095B-31A0-F54F-B052-27F8C5BFA383}"/>
    <hyperlink ref="DO16" r:id="rId516" xr:uid="{5138722C-A5B2-554A-9B75-E8854633D44E}"/>
    <hyperlink ref="DO90" r:id="rId517" xr:uid="{B7FEBBE4-51B3-F14A-BBCA-6E5360E02FEA}"/>
    <hyperlink ref="DO138" r:id="rId518" xr:uid="{770A7CDB-BC83-1F44-B595-4D473F5C8C34}"/>
    <hyperlink ref="DO150" r:id="rId519" xr:uid="{9FF9924B-94E5-1440-9ED1-F0267D30A8B4}"/>
    <hyperlink ref="DO151" r:id="rId520" display="https://pib.sakhminfin.ru/show/ppi" xr:uid="{2A7EF812-E5C8-484E-8E2B-5A683DE28917}"/>
    <hyperlink ref="DO152" r:id="rId521" display="http://sakhminfin.ru/" xr:uid="{FA0AB788-5AF2-054E-B98D-992867A33DF9}"/>
    <hyperlink ref="DO155" r:id="rId522" display="https://disk.yandex.ru/d/ctvkZFCzLGaQ_g" xr:uid="{762312E5-B4C2-244A-B643-BE8C649953C0}"/>
    <hyperlink ref="DI12" r:id="rId523" xr:uid="{DD1D51AD-0A19-F04B-8EF2-EE5CE5539A06}"/>
    <hyperlink ref="DI20" r:id="rId524" xr:uid="{07AA1BA0-5F93-4C45-95CC-C0487EFD1009}"/>
    <hyperlink ref="DI87" r:id="rId525" xr:uid="{B244DEFB-D325-6B46-B2D3-CC8FA186D965}"/>
    <hyperlink ref="DI90" r:id="rId526" xr:uid="{413EDD2F-E1F1-E748-85A9-0D045F6CBE07}"/>
    <hyperlink ref="DI93" r:id="rId527" xr:uid="{8357C564-C6F3-0644-9489-5319568B23D7}"/>
    <hyperlink ref="DI150" r:id="rId528" display="В 2021 году впервые была реализована возможность проведения общешкольных онлайн голосований на официальном сайте проекта &quot;Твой бюджет в школах&quot;  https://school.tvoybudget.spb.ru/ _x000a_В 2022 году процедура проведения онлайн голосования не изменялась. Для учас" xr:uid="{D9198B4A-D4F5-9F47-84BB-AA3FC5108DAB}"/>
    <hyperlink ref="DI151" r:id="rId529" xr:uid="{6B355848-1038-1D43-8215-B97F530A162B}"/>
    <hyperlink ref="DI152" r:id="rId530" xr:uid="{E8B506EF-91E6-D44F-B2B2-E1757F41B11D}"/>
    <hyperlink ref="DI153" r:id="rId531" xr:uid="{6540E5E8-7025-C341-A15D-3192ABCC4197}"/>
    <hyperlink ref="DI161" r:id="rId532" xr:uid="{65ACFEFB-5ED6-AF4D-807F-92A1ED134D2F}"/>
    <hyperlink ref="DI164" r:id="rId533" xr:uid="{539EB635-950D-EA49-8DAF-193BFFDBD2EC}"/>
    <hyperlink ref="DH20" r:id="rId534" display="https://spbddtl.ru/files/polozhenie-o-konkurse-tvoj-shkolnyj-byudzhet.pdf" xr:uid="{CDB1C32B-2AD4-0849-B61B-DCCA5AD0A8A2}"/>
    <hyperlink ref="DH90" r:id="rId535" xr:uid="{C469934E-BEF7-0641-87A2-4C7CA93D8CB4}"/>
    <hyperlink ref="DH120" r:id="rId536" xr:uid="{843DE45F-07E2-7842-A6E8-4DCC6CA9524B}"/>
    <hyperlink ref="DH126" r:id="rId537" xr:uid="{9A2D49F3-485A-014A-BCAF-556427FAE374}"/>
    <hyperlink ref="DH153" r:id="rId538" display="https://drive.google.com/drive/folders/1YvEmAsUXFub9rTIDNsoYmn_z6qsVxIMl" xr:uid="{B6D1C3E6-4656-C846-9CE8-8F38C063B849}"/>
    <hyperlink ref="DH151" r:id="rId539" xr:uid="{E1D5F12B-1BEB-244B-A645-F730D6D75B4F}"/>
    <hyperlink ref="DH152" r:id="rId540" xr:uid="{326C34DD-40E9-3A43-A64D-3F69E490A339}"/>
    <hyperlink ref="DH161" r:id="rId541" xr:uid="{8B6D9FAA-35F2-D04B-AC2E-6289C033D418}"/>
    <hyperlink ref="DJ12" r:id="rId542" xr:uid="{FFCF5B1F-7670-124B-AB7C-4AB8E2363DD1}"/>
    <hyperlink ref="DJ20" r:id="rId543" xr:uid="{5E1F74E6-810E-B247-A3FD-7E77B9141CF7}"/>
    <hyperlink ref="DJ53" r:id="rId544" display="подпункт &quot;г&quot; пункта 7 и приложение 1 к положению о порядке предоставления и распределения субсидии из областного бюджета бюджетам городских округов, городских и сельских поселений области на реализацию инициативных проектов утвержденного постановление Пра" xr:uid="{A0B9D7BA-D65A-BF42-97D2-34B95C78694A}"/>
    <hyperlink ref="DJ90" r:id="rId545" xr:uid="{4C0F3D51-1189-CD47-893F-36F4C74BCEF0}"/>
    <hyperlink ref="DJ151" r:id="rId546" xr:uid="{45F7E234-4AE0-7D48-95E0-D17A542C3E37}"/>
    <hyperlink ref="DJ153" r:id="rId547" xr:uid="{0FB6C3F5-592E-B849-B204-EFC28F421545}"/>
    <hyperlink ref="DJ154" location="'практика субъекта'!B158"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xr:uid="{239A3038-E31D-364C-B1E7-D18CF96CB8E5}"/>
    <hyperlink ref="DJ161" r:id="rId548" xr:uid="{2D07CFB4-9A3D-274B-94D8-EFBBDAC62E2A}"/>
    <hyperlink ref="DL164" r:id="rId549" xr:uid="{DF072D04-F192-FF4C-9152-71D250113B7F}"/>
    <hyperlink ref="DL161" r:id="rId550" xr:uid="{D5D754FD-50EC-BB43-9CD2-4A191604C502}"/>
    <hyperlink ref="DL151" r:id="rId551" xr:uid="{5232E481-4965-324A-9232-0AA9343F2C8F}"/>
    <hyperlink ref="DL123" r:id="rId552" xr:uid="{90FEB489-7C53-364B-9EBD-F713E3413544}"/>
    <hyperlink ref="DL90" r:id="rId553" xr:uid="{FEE26822-9515-AC43-99EB-7E1E0921D965}"/>
    <hyperlink ref="DL87" r:id="rId554" xr:uid="{D029ED77-D58C-014E-8E84-18E09B4EC40D}"/>
    <hyperlink ref="DL12" r:id="rId555" xr:uid="{39D1FCC6-30A2-694F-B2A9-22FB6D7F12F3}"/>
    <hyperlink ref="DK12" r:id="rId556" xr:uid="{3BE1FD94-4BC1-9546-AA9B-BBD493A721DD}"/>
    <hyperlink ref="DK161" r:id="rId557" xr:uid="{AD68323A-9196-5646-87AC-0D12AEEF6FBE}"/>
    <hyperlink ref="DK164" r:id="rId558" xr:uid="{2419FA5A-D439-3D4C-B68F-C986B8C54290}"/>
    <hyperlink ref="DK90" r:id="rId559" xr:uid="{E18EBFAA-B22B-2143-9D99-F8BB27E65B48}"/>
    <hyperlink ref="DB90" r:id="rId560" xr:uid="{8BC7409F-EC06-7840-A799-61C0FCA0FE58}"/>
    <hyperlink ref="DB151" r:id="rId561" xr:uid="{DDC8E660-1D67-CD4F-8896-416F30E2D505}"/>
    <hyperlink ref="DB161" r:id="rId562" xr:uid="{E5B85733-6F46-8A42-BA9F-4C687901C697}"/>
    <hyperlink ref="DB152" r:id="rId563" xr:uid="{8B56158E-4A8D-A845-A8E7-960AAA54CAB6}"/>
    <hyperlink ref="DB155" r:id="rId564" display="https://disk.yandex.ru/i/HThgczPor6hX_g" xr:uid="{C36FAE17-8551-8442-B1EE-4EF930C028F5}"/>
    <hyperlink ref="DB20" r:id="rId565" xr:uid="{99F6C7F2-97C8-4449-B2F7-47BBCEB3BE15}"/>
    <hyperlink ref="DD20" r:id="rId566" tooltip="Ссылка на КонсультантПлюс" display="consultantplus://offline/ref=24A1553E6DE4C29E30FEA25263B15CD09B0908C88962D2E914EE6706EA5FCB82F7A59D602150B3A907n8ECO" xr:uid="{3A3C4F0B-582B-F341-89CE-5475AE2A9EDA}"/>
    <hyperlink ref="DD151" r:id="rId567" xr:uid="{0348F614-04EB-4A46-B6B5-137AD51B8B9B}"/>
    <hyperlink ref="DD161" r:id="rId568" xr:uid="{DB1DAF2E-A2F0-3D46-84F7-0AA7848DA66E}"/>
    <hyperlink ref="DD14" r:id="rId569" tooltip="Ссылка на КонсультантПлюс" display="consultantplus://offline/ref=7A8079BB22A90FC58189C1F3198D70BC59D58978709EA63070E4BAA502BD6E590BDA5032DD61F941DDO045J" xr:uid="{871E796F-18A0-4D42-B692-E26566061FCA}"/>
    <hyperlink ref="DD12" r:id="rId570" tooltip="Ссылка на КонсультантПлюс" display="consultantplus://offline/ref=DE2DE3F8186B0DAD49025B8CDA042F0A3702C1F84D01F84FDB1859A0452F269CB69213BADF9B6F70CDB851237108FCECB1C794F803344305CCF079H" xr:uid="{4847BE6A-9788-1D47-A349-69EB049F3DEE}"/>
    <hyperlink ref="DA16" r:id="rId571" display="https://pravo.donland.ru/doc/view/id/%D0%9E%D0%B1%D0%BB%D0%B0%D1%81%D1%82%D0%BD%D0%BE%D0%B9+%D0%B7%D0%B0%D0%BA%D0%BE%D0%BD_178-%D0%97%D0%A1_01082019_12886/" xr:uid="{EF3A5B08-E669-774E-83FF-BAFE9099A38D}"/>
    <hyperlink ref="DA90" r:id="rId572" xr:uid="{942AE593-7ABB-1244-8CE6-0F39A07BDF4A}"/>
    <hyperlink ref="DA141" r:id="rId573" xr:uid="{8C78A510-907B-C749-93C2-1E0F9A148BBB}"/>
    <hyperlink ref="DA151" r:id="rId574" xr:uid="{9E5EDE00-13AB-5848-976C-E64ABCA64AA1}"/>
    <hyperlink ref="DA152" r:id="rId575" xr:uid="{DEA7318C-4951-384F-A2C2-DCE6C60CC47A}"/>
    <hyperlink ref="DA161" r:id="rId576" xr:uid="{7767AEBE-39C5-3C4B-90AC-B7F448FC09DF}"/>
    <hyperlink ref="DA154" r:id="rId577" display="https://www.donland.ru/news/14625/" xr:uid="{00F99642-0F24-A04A-9253-100062EA0474}"/>
    <hyperlink ref="DA164" r:id="rId578" xr:uid="{0D261C44-E392-7F4D-B5DA-1D073C0D4AA3}"/>
    <hyperlink ref="DT151" r:id="rId579" xr:uid="{92A4AFD7-AEFE-354D-A580-DE675F89707E}"/>
    <hyperlink ref="DT161" r:id="rId580" xr:uid="{224F8D49-FE7B-7D47-BA4D-1DC70E7EB324}"/>
    <hyperlink ref="EB90" r:id="rId581" xr:uid="{228E3954-325A-424C-AEFD-5C32A5D6791C}"/>
    <hyperlink ref="EB12" r:id="rId582" xr:uid="{D73C1CE2-9B0B-EE49-9E79-9272A6FC5109}"/>
    <hyperlink ref="EB14" r:id="rId583" xr:uid="{C3B5EEAC-EFE3-8E47-B89C-DE68CD16CBFF}"/>
    <hyperlink ref="EB161" r:id="rId584" xr:uid="{93335C6C-5BCC-D848-BFDC-0A3F25F01050}"/>
    <hyperlink ref="BV161" r:id="rId585" xr:uid="{19E826A4-A618-BF47-A59E-10E3CC5A77F0}"/>
    <hyperlink ref="BV20" r:id="rId586" xr:uid="{A0AC2F65-F225-1E4E-A027-D409EDAF2695}"/>
    <hyperlink ref="BV90" r:id="rId587" xr:uid="{BB793FC1-18B2-9249-8CC0-A11F871EA925}"/>
    <hyperlink ref="BV87" r:id="rId588" xr:uid="{EE8C2DE0-EEE1-5A4B-A233-010383A45981}"/>
    <hyperlink ref="BV153" r:id="rId589" display="https://disk.yandex.ru/i/04f_ikVeU6_mDg" xr:uid="{72AFF916-1756-1144-9481-FC604DA6A37E}"/>
    <hyperlink ref="BV152" r:id="rId590" xr:uid="{6E203750-1104-4D4A-B2B7-02BA80957D15}"/>
    <hyperlink ref="BV151" r:id="rId591" xr:uid="{91847E7F-8970-1047-8243-FB91C63F2B73}"/>
    <hyperlink ref="BV155" r:id="rId592" display="https://gg12.ru/v-joshkar-ole-nazvany-territorii-lidery-v-golosovanii-po-blagoustrojstvu/" xr:uid="{3AD70357-55EE-AA4F-BCEC-E9E788399C60}"/>
    <hyperlink ref="BV157" r:id="rId593" xr:uid="{EA66A33C-E4C9-9744-9ACB-A4A0E516A0FD}"/>
    <hyperlink ref="BV164" r:id="rId594" xr:uid="{4D520076-5C27-A54B-8ED2-4B2AD8133154}"/>
    <hyperlink ref="BX12" r:id="rId595" xr:uid="{B4414849-8F52-AF4A-9B89-C7C77637647E}"/>
    <hyperlink ref="BX20" r:id="rId596" xr:uid="{08B40D5B-3E63-A046-979A-F94ED3C309B4}"/>
    <hyperlink ref="BX90" r:id="rId597" xr:uid="{861E0D17-B209-B347-A3C2-8FD5A19B7B87}"/>
    <hyperlink ref="BX53" r:id="rId598" xr:uid="{C744C427-9F87-9F4E-9EE5-A5CE7A64FB5F}"/>
    <hyperlink ref="BX14" r:id="rId599" xr:uid="{4D756D1A-ADD6-4D49-9B67-6A5C2C6BA2A9}"/>
    <hyperlink ref="BX164" r:id="rId600" xr:uid="{103E7A67-F581-464B-802F-EEFE242A9E60}"/>
    <hyperlink ref="BW164" r:id="rId601" xr:uid="{93746961-B290-8948-B661-D3012B15E94C}"/>
    <hyperlink ref="BW161" r:id="rId602" xr:uid="{2CBF8395-C8C5-CE4A-8E9A-2FEB4F33B41D}"/>
    <hyperlink ref="BW152" r:id="rId603" xr:uid="{97CAA4D7-6943-7141-85F6-DA9AEA94AA36}"/>
    <hyperlink ref="BW90" r:id="rId604" xr:uid="{98F13A2C-9D45-B441-86C6-D76D1C5A23C9}"/>
    <hyperlink ref="BQ16" r:id="rId605" xr:uid="{23D16DFE-D8DE-9943-B34B-7A4E8DE6EEC1}"/>
    <hyperlink ref="BQ18" r:id="rId606" xr:uid="{75DDCDA6-6B45-C042-BA6A-B45718460CE0}"/>
    <hyperlink ref="BQ20" r:id="rId607" xr:uid="{BF26E32B-D32D-A144-9CF9-305FF98CA8F6}"/>
    <hyperlink ref="BQ14" r:id="rId608" xr:uid="{5710BD38-37B8-DD48-9A15-9612AD736904}"/>
    <hyperlink ref="BQ93" display="https://minfin.rk.gov.ru/uploads/txteditor/minfin/attachments//d4/1d/8c/d98f00b204e9800998ecf8427e/phpborCGo_%D0%9F%D0%BE%D1%81%D1%82%D0%B0%D0%BD%D0%BE%D0%B2%D0%BB%D0%B5%D0%BD%D0%B8%D0%B5%20%D0%A1%D0%9C%20%D0%A0%D0%9A%20%D0%BE%D1%82%2016.11.2020%20%E2%84%" xr:uid="{CBDD1277-CEE9-1947-B789-53B136978B19}"/>
    <hyperlink ref="BQ151" r:id="rId609" xr:uid="{0E2E05BD-8E61-D244-920B-4975959A5E7F}"/>
    <hyperlink ref="BQ153" r:id="rId610" xr:uid="{CD6CD906-252A-0F41-BE9D-4E28888005FD}"/>
    <hyperlink ref="BQ152" r:id="rId611" display="https://vk.com/centr_izuch_grazhdans_initsiativ   " xr:uid="{8ED214A8-46C2-CD4B-96EF-FD048D1FAE04}"/>
    <hyperlink ref="BQ161" r:id="rId612" xr:uid="{0EFE45D3-00AC-BF40-A3B6-527C24AC0D9D}"/>
    <hyperlink ref="BQ164" r:id="rId613" xr:uid="{FAD31B80-082D-1C41-893A-F28916CBEFC0}"/>
    <hyperlink ref="BQ87" r:id="rId614" xr:uid="{A45D81FE-D5FA-BF41-A017-5518481FA2F3}"/>
    <hyperlink ref="CW12" r:id="rId615" xr:uid="{8BEE9B23-B878-EF4D-BCB2-8E988B654E96}"/>
    <hyperlink ref="CW16" r:id="rId616" xr:uid="{6480A731-243B-E842-8BF9-514C41F48A03}"/>
    <hyperlink ref="CW53" r:id="rId617" xr:uid="{EC0AD410-1006-7D49-978B-9E9B469300FC}"/>
    <hyperlink ref="CW90" r:id="rId618" xr:uid="{A4C50EDC-B246-3847-AEAA-62D55CB74E3B}"/>
    <hyperlink ref="CW164" r:id="rId619" xr:uid="{55B92A56-2D55-054F-9FD6-D402C1671FBA}"/>
    <hyperlink ref="CW161" r:id="rId620" xr:uid="{02BAA0F9-6BB7-1845-9461-A1BF8FD8C975}"/>
    <hyperlink ref="CW152" r:id="rId621" display="https://vmeste.permkrai.ru/program/category/6/" xr:uid="{7EEC5D5A-75CC-084A-A98E-68DACCAEFEB6}"/>
    <hyperlink ref="CW154" r:id="rId622" location="sel=1:9,1:11" display="https://veved.ru/perm/perm-news/152842-v-prikame-na-kraevoj-konkurs-postupilo-pochti-300-proektov-iniciativnogo-bjudzhetirovanija.html#sel=1:9,1:11" xr:uid="{9935676C-48E8-D94C-AB2C-339F4813E28C}"/>
    <hyperlink ref="CW153" r:id="rId623" xr:uid="{E622118A-F02B-7E47-A67B-8FE526D375E0}"/>
    <hyperlink ref="CW151" r:id="rId624" xr:uid="{31AB8DD2-DE75-474C-AEC5-C6CAE44D4C5D}"/>
    <hyperlink ref="CS12" r:id="rId625" xr:uid="{54D86F96-2ADD-8F4A-A063-3592DC4B8F72}"/>
    <hyperlink ref="CS90" r:id="rId626" xr:uid="{FFDEC092-5AC2-6D40-8E9F-48FECCD3C5C7}"/>
    <hyperlink ref="CS164" r:id="rId627" xr:uid="{88EBC648-EC7E-7742-9615-614FA6B6D5C4}"/>
    <hyperlink ref="CS161" r:id="rId628" xr:uid="{C018CB32-2483-9E46-B48E-5C0E1B90BA18}"/>
    <hyperlink ref="CU20" r:id="rId629" xr:uid="{EEB237C6-80FA-5C48-A358-20A3F4300A85}"/>
    <hyperlink ref="CU90" r:id="rId630" xr:uid="{E1D86D10-8B68-3E45-B3AF-792B9D87B55E}"/>
    <hyperlink ref="CU151" r:id="rId631" xr:uid="{F0B486E1-358D-1649-BBF4-BF3B752E539E}"/>
    <hyperlink ref="CU152" r:id="rId632" xr:uid="{B0ECD979-F8A8-B24C-AFF5-CEA517D9E307}"/>
    <hyperlink ref="CU153" r:id="rId633" xr:uid="{E72C6A73-FEC4-974F-A786-7ADDFFC9A463}"/>
    <hyperlink ref="CU164" r:id="rId634" xr:uid="{67DEFFBC-668B-074B-879F-1DE126B8407A}"/>
    <hyperlink ref="CT12" r:id="rId635" xr:uid="{2904415F-922F-5243-B9ED-83B1F160E1E1}"/>
    <hyperlink ref="CT53" r:id="rId636" xr:uid="{4218037E-7324-BF45-B371-F0C2F0645BF9}"/>
    <hyperlink ref="CT119" r:id="rId637" xr:uid="{079F905A-D4D8-6341-BAE6-C093AF05549E}"/>
    <hyperlink ref="CT147" r:id="rId638" display="https://orel-region.ru/            _x000a_57.gorodsreda.ru" xr:uid="{481BFF2B-D32D-F145-994C-B45C948DEA90}"/>
    <hyperlink ref="CT148" r:id="rId639" display="https://invest-orel.ru/" xr:uid="{88B6D0B2-56E4-2C4D-BA7F-E23AD5E1ED47}"/>
    <hyperlink ref="CT149" r:id="rId640" xr:uid="{A96248E4-DD4D-1944-9B7A-B30A07DB1138}"/>
    <hyperlink ref="CT160" r:id="rId641" xr:uid="{EF8567A1-E113-E342-82F1-73A861D6E778}"/>
    <hyperlink ref="CT157" r:id="rId642" xr:uid="{DDCC5B5A-E5BB-C044-A03D-E51E0F20D6C6}"/>
    <hyperlink ref="CT87" r:id="rId643" xr:uid="{40BAC3B0-DDD3-FF4F-906E-CE05434EA74D}"/>
    <hyperlink ref="CN161" r:id="rId644" xr:uid="{1F8B72ED-BAAE-474A-901A-F972D0CB116E}"/>
    <hyperlink ref="CN93" r:id="rId645" location="RDH4fbTSondncJ3r" xr:uid="{33B33A21-7BF0-6C40-81AC-3899C723736C}"/>
    <hyperlink ref="CN153" r:id="rId646" xr:uid="{27429EE7-7785-754F-A725-40C4192BD5EE}"/>
    <hyperlink ref="CN151" r:id="rId647" display="https://budget.omsk.ifinmon.ru/initsiativnoe-byudzhetirovanie/obshchaya-informatsiya" xr:uid="{9065FB03-639C-CA45-8890-38CCBA76001B}"/>
    <hyperlink ref="CN152" r:id="rId648" display="https://t.me/minfin55_x000a__x000a__x000a_" xr:uid="{F1622EFC-6083-2B44-A9F5-CA65F677B9EF}"/>
    <hyperlink ref="CN90" r:id="rId649" xr:uid="{40E02F72-23EF-E74C-8083-AB072C1A79CC}"/>
    <hyperlink ref="CQ90" r:id="rId650" xr:uid="{6BD1EEFC-F5C3-1E45-A129-16DA23E5E8A8}"/>
    <hyperlink ref="CQ161" r:id="rId651" xr:uid="{90C899D5-00F2-7348-B0D1-6A3354EC4D4A}"/>
    <hyperlink ref="CQ164" r:id="rId652" xr:uid="{5D8A2EF7-F2AF-C34F-B447-CF8DA1E262B4}"/>
    <hyperlink ref="CQ12" r:id="rId653" location="O6fHwbTBvJ6GFgPF" xr:uid="{D172A3FB-A200-7842-8636-0ED7E00885AA}"/>
    <hyperlink ref="CX12" r:id="rId654" xr:uid="{62D161B4-6C81-AD43-B36A-2E1919CBD033}"/>
    <hyperlink ref="CX20" r:id="rId655" xr:uid="{0FAB30F5-864B-A54B-9806-4D2C68C82C90}"/>
    <hyperlink ref="CX87" r:id="rId656" xr:uid="{C5168546-9C98-684E-9B33-3FFE423CD35F}"/>
    <hyperlink ref="CX153" r:id="rId657" xr:uid="{6AFFE0FB-67E0-1445-A1E5-69A78DFBAA9A}"/>
    <hyperlink ref="CX155" r:id="rId658" display="https://pib.primorsky.ru/Menu/Presentation/14?ItemId=14" xr:uid="{B9F0DD7D-5C2F-8043-9324-031AA37A9D1E}"/>
    <hyperlink ref="CX161" r:id="rId659" xr:uid="{31647010-D5CC-6746-BCEB-DFC54376E55F}"/>
    <hyperlink ref="CX164" r:id="rId660" xr:uid="{52A471E0-B7A0-1C47-A43D-99FD37C1450F}"/>
    <hyperlink ref="CA12" r:id="rId661" location="25og239zvnb" xr:uid="{1FFD2992-1CD0-7C49-96F3-97B67758ABF0}"/>
    <hyperlink ref="CA16" r:id="rId662" location="2i5rxv5zruk" xr:uid="{767CAC43-F063-5540-8FE1-5A202944DB81}"/>
    <hyperlink ref="CA123" r:id="rId663" xr:uid="{658682E3-4A3E-2A4B-99FE-DE7D1DC30562}"/>
    <hyperlink ref="CA151" r:id="rId664" xr:uid="{2224A4B4-D4B6-2846-BBE1-2F21FFFD9E60}"/>
    <hyperlink ref="CA161" r:id="rId665" xr:uid="{44C88AB4-47A9-3348-AF77-979D964AC9D4}"/>
    <hyperlink ref="CA164" r:id="rId666" xr:uid="{8D9BCB9F-298A-AE4F-A8F9-BD0C54F0073A}"/>
    <hyperlink ref="M12" r:id="rId667" xr:uid="{1CBBA495-2615-5240-AD28-53B1D6337439}"/>
    <hyperlink ref="M20" r:id="rId668" xr:uid="{8C943306-E85B-DD49-BBB1-C652EAD034DD}"/>
    <hyperlink ref="M161" r:id="rId669" xr:uid="{F7D3B9DC-C43B-7A47-A0D3-088592DD6ACB}"/>
    <hyperlink ref="M152" r:id="rId670" xr:uid="{AB60D106-0310-2249-88B3-3F6888CC3D71}"/>
    <hyperlink ref="M164" r:id="rId671" xr:uid="{18BF094E-4C6D-E343-ABDE-EC7E86F82251}"/>
    <hyperlink ref="ET12" r:id="rId672" xr:uid="{BD786689-A1FF-0945-982D-FDE7FEFA704C}"/>
    <hyperlink ref="ET151" r:id="rId673" xr:uid="{29FD3CDD-6ECD-7242-9428-057E59227A94}"/>
    <hyperlink ref="ET153" r:id="rId674" xr:uid="{78583B4B-E8FB-1F4A-A9FB-66DC0414A54B}"/>
    <hyperlink ref="EU20" r:id="rId675" xr:uid="{2426A0DF-3F2C-204C-BA89-E8ED21FF7AAC}"/>
    <hyperlink ref="EU142" r:id="rId676" display="https://isib.myopenugra.ru/" xr:uid="{E4DB7558-833E-0E43-85C8-8E9933E3F897}"/>
    <hyperlink ref="EU11" r:id="rId677" xr:uid="{0F43E44D-3507-9F49-A7E2-C03E764582E6}"/>
    <hyperlink ref="EU141" r:id="rId678" xr:uid="{F5967034-B258-184A-8EBC-671602DBA9E6}"/>
    <hyperlink ref="CO12" r:id="rId679" location="Rb4Y5bTMfyehqpMJ1" xr:uid="{2F4B0E61-A3DC-6A4B-9CB9-973745807EFF}"/>
    <hyperlink ref="CO90" r:id="rId680" xr:uid="{8962FE17-0F31-F54B-BF7E-BA520EBC0D5E}"/>
    <hyperlink ref="CO164" r:id="rId681" xr:uid="{F5A8A227-420E-0B49-9BBD-4A668B560D7F}"/>
    <hyperlink ref="CO161" r:id="rId682" xr:uid="{BF5B2FA5-FF50-CC4E-865F-CB7D71B3B003}"/>
    <hyperlink ref="CP12" r:id="rId683" location="Rb4Y5bTMfyehqpMJ1" xr:uid="{A4CE2127-C85E-2F47-9824-BF4ADBD538CF}"/>
    <hyperlink ref="CP90" r:id="rId684" xr:uid="{20C27E0C-9D5C-E84D-A6FC-48FFB6598E95}"/>
    <hyperlink ref="CP164" r:id="rId685" xr:uid="{9A02CB9E-20D4-DB41-A49A-B23CF9D0D883}"/>
    <hyperlink ref="CP161" r:id="rId686" xr:uid="{73F4BF75-881F-E342-92D1-9766ECCA2659}"/>
    <hyperlink ref="DV93" r:id="rId687" xr:uid="{AFFC1EFD-48E6-A346-842A-C073BAF7F6FD}"/>
    <hyperlink ref="ED12" r:id="rId688" display="http://publication.pravo.gov.ru/Document/View/6900202103170004" xr:uid="{1283C65D-C601-F34D-8D44-A49D7A6C9243}"/>
    <hyperlink ref="ED18" r:id="rId689" xr:uid="{BE823C11-45F5-8A45-980D-F00B172D8EE5}"/>
    <hyperlink ref="ED20" r:id="rId690" xr:uid="{EDFE580C-9EAF-5941-91C1-3558162551E1}"/>
    <hyperlink ref="ED161" r:id="rId691" xr:uid="{74B116DA-04C4-2846-B381-2824651A96B8}"/>
    <hyperlink ref="ED164" r:id="rId692" xr:uid="{A50C0B01-C2DB-9245-A3EC-AAC71D5A4BCB}"/>
    <hyperlink ref="DG90" r:id="rId693" xr:uid="{E9F52288-1479-E543-A8C6-E98B9F719CC3}"/>
    <hyperlink ref="DG152" r:id="rId694" xr:uid="{3BE346C6-DCCA-F74C-A0BE-2D948A208BE1}"/>
    <hyperlink ref="DG153" r:id="rId695" xr:uid="{4EF78E46-C9CD-0E43-8711-32F91AA5FDB7}"/>
    <hyperlink ref="DG161" r:id="rId696" xr:uid="{79CF11BF-4862-C84E-BE96-91FF6C813565}"/>
    <hyperlink ref="DG151" r:id="rId697" xr:uid="{D11FA72B-318C-F347-9C7D-2DDAA5E04941}"/>
    <hyperlink ref="K151" r:id="rId698" xr:uid="{C0E74572-F95C-1C4A-A68D-B285713AFDF9}"/>
    <hyperlink ref="K12" r:id="rId699" xr:uid="{A036CD96-8025-8243-A752-1CEF0F307705}"/>
    <hyperlink ref="K153" r:id="rId700" xr:uid="{F5ACA3A7-052D-474D-AAD0-04876759F4C1}"/>
    <hyperlink ref="K154" r:id="rId701" display="https://xn--80ap0afx9bb.xn--p1ai/news/?/2022/12/30/17_vebinar_po_teme_kak_oformit_zayavku_na_konkurs_ya_schitayu." xr:uid="{F1F08D6B-C3AF-E44E-A8FB-3B6C4B0F218E}"/>
    <hyperlink ref="K14" r:id="rId702" xr:uid="{88C42E5B-01CF-A44D-A914-DCD81E5245E4}"/>
    <hyperlink ref="K164" r:id="rId703" xr:uid="{4A403D23-B868-A247-ADA2-DE7ADDBF8FDE}"/>
    <hyperlink ref="AL12" r:id="rId704" xr:uid="{86C20B27-D8D3-8840-AA48-54CAEADBD922}"/>
    <hyperlink ref="AL90" r:id="rId705" xr:uid="{DAC4B0CC-F136-2D43-9F4D-762E65190EDB}"/>
    <hyperlink ref="AL114" r:id="rId706" xr:uid="{CA3EE802-23E9-7541-96FB-8C67F70A61A7}"/>
    <hyperlink ref="AL105" r:id="rId707" xr:uid="{3DEE8923-DB4C-504F-B2FE-20F4FB71CAB3}"/>
    <hyperlink ref="AL151" r:id="rId708" xr:uid="{B56B4F4F-6973-0B4B-9829-C1101BA001C3}"/>
    <hyperlink ref="AL152" r:id="rId709" xr:uid="{C6D2CA87-158F-E348-8441-FD7F90444B3A}"/>
    <hyperlink ref="AL161" r:id="rId710" xr:uid="{A6B318C2-E5DB-EF4B-81AF-D0C7F09E0B2A}"/>
    <hyperlink ref="AL20" r:id="rId711" xr:uid="{6CAF4071-77D2-E645-978F-EDAB99B43667}"/>
    <hyperlink ref="AL164" r:id="rId712" xr:uid="{A836D069-B80B-2A43-90C9-186FD19939B2}"/>
    <hyperlink ref="AM12" r:id="rId713" xr:uid="{BCC1EE25-0D58-F149-B513-A036A063CA27}"/>
    <hyperlink ref="AM20" r:id="rId714" display="http://publication.pravo.gov.ru/Document/View/7500202005280001" xr:uid="{C18E3A19-C219-CD44-88B0-2152F982EFD8}"/>
    <hyperlink ref="AM123" r:id="rId715" xr:uid="{1B16E2BB-AC9F-AE45-A507-4014EEA88882}"/>
    <hyperlink ref="AM161" r:id="rId716" xr:uid="{CD2D5ECA-EFA6-4144-AA25-F7BA2826F74B}"/>
    <hyperlink ref="AM151" r:id="rId717" xr:uid="{3E4D4620-D69A-FB43-BA74-C6B23E4C3494}"/>
    <hyperlink ref="AM153" r:id="rId718" xr:uid="{5B300754-87A1-6E48-84CA-AABF9FE01779}"/>
    <hyperlink ref="AM164" r:id="rId719" xr:uid="{45733F32-3538-FC4D-A1E3-3860F9033C3E}"/>
    <hyperlink ref="AN151" r:id="rId720" xr:uid="{C7BEB735-1D00-8B44-B150-4BF80212AE39}"/>
    <hyperlink ref="AN164" r:id="rId721" xr:uid="{FB6E226F-C743-F947-9C1F-17C8FB21DCBC}"/>
    <hyperlink ref="BM161" r:id="rId722" xr:uid="{3DFC7D61-F37A-7447-8BC0-5FAC0724D178}"/>
    <hyperlink ref="BM20" r:id="rId723" xr:uid="{D30AFB63-DFB6-DE4D-AF53-80DF1692CD5D}"/>
    <hyperlink ref="BO161" r:id="rId724" xr:uid="{D30FF51C-9B9F-3D4C-BB6F-89109C7C3A13}"/>
    <hyperlink ref="BN161" r:id="rId725" xr:uid="{D2980C99-B066-394B-9DD1-20909BB920F0}"/>
    <hyperlink ref="BN164" r:id="rId726" display="mailto:vahtomin_vv@kurganobl.ru" xr:uid="{41F06704-3853-E44A-A8FF-8147BF337120}"/>
    <hyperlink ref="BT12" r:id="rId727" xr:uid="{676D9913-FFBE-6840-8566-4914223D5C82}"/>
    <hyperlink ref="BT85" r:id="rId728" xr:uid="{88CF2828-78B9-AE41-A0E2-A100ED1B2EAF}"/>
    <hyperlink ref="BT164" r:id="rId729" xr:uid="{AA708081-F3BE-5F49-A16C-9521F0C413B9}"/>
    <hyperlink ref="P18" r:id="rId730" xr:uid="{E64A24EC-1869-6546-8E69-3B126D92BC54}"/>
    <hyperlink ref="P90" r:id="rId731" xr:uid="{1D3A633B-F77A-DA4D-8A75-8694614987A0}"/>
    <hyperlink ref="P161" r:id="rId732" xr:uid="{EE7781CC-E32B-9D46-AC50-000D83571560}"/>
    <hyperlink ref="P93" r:id="rId733" xr:uid="{EB11CD81-8861-BE41-915B-01228E00435D}"/>
    <hyperlink ref="P12" r:id="rId734" xr:uid="{19B289E7-647E-474D-B51D-B4C982D842BC}"/>
    <hyperlink ref="P164" r:id="rId735" display="armenshin.i@bashkortostan.ru" xr:uid="{17BEF0DE-C4A0-6D46-BF49-0763474B6AF8}"/>
    <hyperlink ref="R18" r:id="rId736" xr:uid="{217B04E8-6C45-A144-B1D9-213A3712AC41}"/>
    <hyperlink ref="R90" r:id="rId737" xr:uid="{FFF0C525-E942-A647-8F13-2B3450D81A2C}"/>
    <hyperlink ref="R161" r:id="rId738" xr:uid="{E2F29EBB-F9BB-054D-8B55-639EA235C216}"/>
    <hyperlink ref="R164" r:id="rId739" xr:uid="{507383C9-B65C-824D-A9B6-09100129996F}"/>
    <hyperlink ref="X161" r:id="rId740" xr:uid="{FE0293AA-68EA-124C-A907-73CB0E7D9BFB}"/>
    <hyperlink ref="DC161" r:id="rId741" xr:uid="{3DE3BECF-951C-E848-AC00-F022AA8139F5}"/>
    <hyperlink ref="EF16" r:id="rId742" xr:uid="{2D9D9E28-AF46-F44A-8C9D-F40C142B7CF2}"/>
    <hyperlink ref="EF20" r:id="rId743" display="https://docs.cntd.ru/document/574631687" xr:uid="{1A27AEA8-495F-4048-99FC-89EF791B63B2}"/>
    <hyperlink ref="EF114" r:id="rId744" xr:uid="{99CB207C-FF71-A948-B134-E1FF9CCAD3BA}"/>
    <hyperlink ref="EF151" r:id="rId745" xr:uid="{993E6774-8D51-1E47-A223-7A82B84BD219}"/>
    <hyperlink ref="EF152" r:id="rId746" xr:uid="{657AB7AB-C3B8-BC46-B67A-42FE11D70594}"/>
    <hyperlink ref="EF161" r:id="rId747" xr:uid="{7A96B594-E0AC-F840-93C1-6B07E6E8A996}"/>
    <hyperlink ref="EF153" r:id="rId748" xr:uid="{F1438451-D2A1-774D-8F25-6DAE25E612FB}"/>
    <hyperlink ref="EF164" r:id="rId749" xr:uid="{5C3103C4-31B6-0C48-A30D-08474E7EABDC}"/>
    <hyperlink ref="ER156" r:id="rId750" xr:uid="{B270DF47-8A44-D447-918F-A5C734CA4A73}"/>
    <hyperlink ref="ER12" r:id="rId751" xr:uid="{E8349981-A21B-F540-B3F8-4D4E9007194E}"/>
    <hyperlink ref="ER85" r:id="rId752" xr:uid="{334D9262-A8EE-B844-8109-1077DB245376}"/>
    <hyperlink ref="ER147" r:id="rId753" xr:uid="{F8B876DC-05F0-7347-8EAE-ACD3DD19C2D4}"/>
  </hyperlinks>
  <pageMargins left="0.7" right="0.7" top="0.75" bottom="0.75" header="0.3" footer="0.3"/>
  <drawing r:id="rId754"/>
  <legacyDrawing r:id="rId755"/>
  <oleObjects>
    <mc:AlternateContent xmlns:mc="http://schemas.openxmlformats.org/markup-compatibility/2006">
      <mc:Choice Requires="x14">
        <oleObject progId="Объект упаковщика для оболочки" shapeId="1181" r:id="rId756">
          <objectPr defaultSize="0" autoPict="0" r:id="rId757">
            <anchor moveWithCells="1">
              <from>
                <xdr:col>90</xdr:col>
                <xdr:colOff>0</xdr:colOff>
                <xdr:row>152</xdr:row>
                <xdr:rowOff>0</xdr:rowOff>
              </from>
              <to>
                <xdr:col>90</xdr:col>
                <xdr:colOff>927100</xdr:colOff>
                <xdr:row>152</xdr:row>
                <xdr:rowOff>520700</xdr:rowOff>
              </to>
            </anchor>
          </objectPr>
        </oleObject>
      </mc:Choice>
      <mc:Fallback>
        <oleObject progId="Объект упаковщика для оболочки" shapeId="1181" r:id="rId75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7EEB3-6B43-074D-A9FF-B6F2FCB7ADD4}">
  <dimension ref="A1:NA186"/>
  <sheetViews>
    <sheetView zoomScale="70" zoomScaleNormal="70" workbookViewId="0">
      <pane xSplit="4" ySplit="3" topLeftCell="E4" activePane="bottomRight" state="frozen"/>
      <selection pane="topRight" activeCell="E1" sqref="E1"/>
      <selection pane="bottomLeft" activeCell="A4" sqref="A4"/>
      <selection pane="bottomRight" activeCell="D7" sqref="D7"/>
    </sheetView>
  </sheetViews>
  <sheetFormatPr baseColWidth="10" defaultColWidth="11" defaultRowHeight="16" x14ac:dyDescent="0.2"/>
  <cols>
    <col min="1" max="1" width="22.33203125" style="222" customWidth="1"/>
    <col min="2" max="2" width="12.33203125" style="222" customWidth="1"/>
    <col min="3" max="3" width="26.33203125" style="222" customWidth="1"/>
    <col min="4" max="4" width="17.1640625" style="222" customWidth="1"/>
    <col min="5" max="147" width="20.83203125" style="792" customWidth="1"/>
    <col min="148" max="148" width="30.33203125" style="792" customWidth="1"/>
    <col min="149" max="149" width="29" style="792" customWidth="1"/>
    <col min="150" max="365" width="20.83203125" style="792" customWidth="1"/>
    <col min="366" max="16384" width="11" style="792"/>
  </cols>
  <sheetData>
    <row r="1" spans="1:365" ht="51" x14ac:dyDescent="0.2">
      <c r="A1" s="790" t="s">
        <v>8880</v>
      </c>
      <c r="B1" s="791" t="s">
        <v>2</v>
      </c>
      <c r="C1" s="790" t="s">
        <v>8879</v>
      </c>
      <c r="D1" s="790" t="s">
        <v>4</v>
      </c>
      <c r="E1" s="223" t="s">
        <v>296</v>
      </c>
      <c r="F1" s="223" t="s">
        <v>296</v>
      </c>
      <c r="G1" s="223" t="s">
        <v>296</v>
      </c>
      <c r="H1" s="223" t="s">
        <v>296</v>
      </c>
      <c r="I1" s="223" t="s">
        <v>296</v>
      </c>
      <c r="J1" s="223" t="s">
        <v>296</v>
      </c>
      <c r="K1" s="223" t="s">
        <v>296</v>
      </c>
      <c r="L1" s="223" t="s">
        <v>296</v>
      </c>
      <c r="M1" s="223" t="s">
        <v>296</v>
      </c>
      <c r="N1" s="223" t="s">
        <v>296</v>
      </c>
      <c r="O1" s="223" t="s">
        <v>296</v>
      </c>
      <c r="P1" s="223" t="s">
        <v>296</v>
      </c>
      <c r="Q1" s="223" t="s">
        <v>296</v>
      </c>
      <c r="R1" s="223" t="s">
        <v>296</v>
      </c>
      <c r="S1" s="223" t="s">
        <v>296</v>
      </c>
      <c r="T1" s="223" t="s">
        <v>296</v>
      </c>
      <c r="U1" s="223" t="s">
        <v>296</v>
      </c>
      <c r="V1" s="223" t="s">
        <v>296</v>
      </c>
      <c r="W1" s="223" t="s">
        <v>296</v>
      </c>
      <c r="X1" s="223" t="s">
        <v>296</v>
      </c>
      <c r="Y1" s="223" t="s">
        <v>296</v>
      </c>
      <c r="Z1" s="223" t="s">
        <v>296</v>
      </c>
      <c r="AA1" s="223" t="s">
        <v>296</v>
      </c>
      <c r="AB1" s="223" t="s">
        <v>296</v>
      </c>
      <c r="AC1" s="223" t="s">
        <v>296</v>
      </c>
      <c r="AD1" s="223" t="s">
        <v>296</v>
      </c>
      <c r="AE1" s="223" t="s">
        <v>296</v>
      </c>
      <c r="AF1" s="223" t="s">
        <v>296</v>
      </c>
      <c r="AG1" s="223" t="s">
        <v>296</v>
      </c>
      <c r="AH1" s="223" t="s">
        <v>296</v>
      </c>
      <c r="AI1" s="223" t="s">
        <v>297</v>
      </c>
      <c r="AJ1" s="223" t="s">
        <v>297</v>
      </c>
      <c r="AK1" s="223" t="s">
        <v>297</v>
      </c>
      <c r="AL1" s="223" t="s">
        <v>297</v>
      </c>
      <c r="AM1" s="223" t="s">
        <v>296</v>
      </c>
      <c r="AN1" s="223" t="s">
        <v>296</v>
      </c>
      <c r="AO1" s="223" t="s">
        <v>296</v>
      </c>
      <c r="AP1" s="223" t="s">
        <v>296</v>
      </c>
      <c r="AQ1" s="223" t="s">
        <v>296</v>
      </c>
      <c r="AR1" s="223" t="s">
        <v>296</v>
      </c>
      <c r="AS1" s="223" t="s">
        <v>296</v>
      </c>
      <c r="AT1" s="223" t="s">
        <v>296</v>
      </c>
      <c r="AU1" s="223" t="s">
        <v>296</v>
      </c>
      <c r="AV1" s="223" t="s">
        <v>296</v>
      </c>
      <c r="AW1" s="223" t="s">
        <v>296</v>
      </c>
      <c r="AX1" s="223" t="s">
        <v>296</v>
      </c>
      <c r="AY1" s="223" t="s">
        <v>296</v>
      </c>
      <c r="AZ1" s="223" t="s">
        <v>296</v>
      </c>
      <c r="BA1" s="223" t="s">
        <v>296</v>
      </c>
      <c r="BB1" s="223" t="s">
        <v>296</v>
      </c>
      <c r="BC1" s="223" t="s">
        <v>296</v>
      </c>
      <c r="BD1" s="223" t="s">
        <v>296</v>
      </c>
      <c r="BE1" s="223" t="s">
        <v>296</v>
      </c>
      <c r="BF1" s="223" t="s">
        <v>296</v>
      </c>
      <c r="BG1" s="223" t="s">
        <v>296</v>
      </c>
      <c r="BH1" s="223" t="s">
        <v>296</v>
      </c>
      <c r="BI1" s="223" t="s">
        <v>296</v>
      </c>
      <c r="BJ1" s="223" t="s">
        <v>296</v>
      </c>
      <c r="BK1" s="223" t="s">
        <v>296</v>
      </c>
      <c r="BL1" s="223" t="s">
        <v>296</v>
      </c>
      <c r="BM1" s="223" t="s">
        <v>296</v>
      </c>
      <c r="BN1" s="223" t="s">
        <v>296</v>
      </c>
      <c r="BO1" s="223" t="s">
        <v>296</v>
      </c>
      <c r="BP1" s="223" t="s">
        <v>296</v>
      </c>
      <c r="BQ1" s="223" t="s">
        <v>296</v>
      </c>
      <c r="BR1" s="223" t="s">
        <v>296</v>
      </c>
      <c r="BS1" s="223" t="s">
        <v>296</v>
      </c>
      <c r="BT1" s="223" t="s">
        <v>296</v>
      </c>
      <c r="BU1" s="223" t="s">
        <v>296</v>
      </c>
      <c r="BV1" s="223" t="s">
        <v>296</v>
      </c>
      <c r="BW1" s="223" t="s">
        <v>296</v>
      </c>
      <c r="BX1" s="223" t="s">
        <v>296</v>
      </c>
      <c r="BY1" s="223" t="s">
        <v>296</v>
      </c>
      <c r="BZ1" s="223" t="s">
        <v>296</v>
      </c>
      <c r="CA1" s="223" t="s">
        <v>296</v>
      </c>
      <c r="CB1" s="223" t="s">
        <v>296</v>
      </c>
      <c r="CC1" s="223" t="s">
        <v>296</v>
      </c>
      <c r="CD1" s="223" t="s">
        <v>296</v>
      </c>
      <c r="CE1" s="223" t="s">
        <v>296</v>
      </c>
      <c r="CF1" s="223" t="s">
        <v>296</v>
      </c>
      <c r="CG1" s="223" t="s">
        <v>296</v>
      </c>
      <c r="CH1" s="223" t="s">
        <v>296</v>
      </c>
      <c r="CI1" s="223" t="s">
        <v>296</v>
      </c>
      <c r="CJ1" s="223" t="s">
        <v>296</v>
      </c>
      <c r="CK1" s="223" t="s">
        <v>296</v>
      </c>
      <c r="CL1" s="223" t="s">
        <v>296</v>
      </c>
      <c r="CM1" s="223" t="s">
        <v>296</v>
      </c>
      <c r="CN1" s="223" t="s">
        <v>296</v>
      </c>
      <c r="CO1" s="223" t="s">
        <v>296</v>
      </c>
      <c r="CP1" s="223" t="s">
        <v>296</v>
      </c>
      <c r="CQ1" s="223" t="s">
        <v>296</v>
      </c>
      <c r="CR1" s="223" t="s">
        <v>296</v>
      </c>
      <c r="CS1" s="223" t="s">
        <v>296</v>
      </c>
      <c r="CT1" s="223" t="s">
        <v>296</v>
      </c>
      <c r="CU1" s="223" t="s">
        <v>296</v>
      </c>
      <c r="CV1" s="223" t="s">
        <v>296</v>
      </c>
      <c r="CW1" s="223" t="s">
        <v>296</v>
      </c>
      <c r="CX1" s="223" t="s">
        <v>296</v>
      </c>
      <c r="CY1" s="223" t="s">
        <v>296</v>
      </c>
      <c r="CZ1" s="223" t="s">
        <v>296</v>
      </c>
      <c r="DA1" s="223" t="s">
        <v>296</v>
      </c>
      <c r="DB1" s="223" t="s">
        <v>296</v>
      </c>
      <c r="DC1" s="223" t="s">
        <v>296</v>
      </c>
      <c r="DD1" s="223" t="s">
        <v>296</v>
      </c>
      <c r="DE1" s="223" t="s">
        <v>296</v>
      </c>
      <c r="DF1" s="223" t="s">
        <v>296</v>
      </c>
      <c r="DG1" s="223" t="s">
        <v>296</v>
      </c>
      <c r="DH1" s="223" t="s">
        <v>296</v>
      </c>
      <c r="DI1" s="223" t="s">
        <v>296</v>
      </c>
      <c r="DJ1" s="223" t="s">
        <v>296</v>
      </c>
      <c r="DK1" s="223" t="s">
        <v>296</v>
      </c>
      <c r="DL1" s="223" t="s">
        <v>296</v>
      </c>
      <c r="DM1" s="223" t="s">
        <v>296</v>
      </c>
      <c r="DN1" s="223" t="s">
        <v>296</v>
      </c>
      <c r="DO1" s="223" t="s">
        <v>296</v>
      </c>
      <c r="DP1" s="223" t="s">
        <v>296</v>
      </c>
      <c r="DQ1" s="223" t="s">
        <v>296</v>
      </c>
      <c r="DR1" s="223" t="s">
        <v>296</v>
      </c>
      <c r="DS1" s="223" t="s">
        <v>296</v>
      </c>
      <c r="DT1" s="223" t="s">
        <v>296</v>
      </c>
      <c r="DU1" s="223" t="s">
        <v>296</v>
      </c>
      <c r="DV1" s="223" t="s">
        <v>297</v>
      </c>
      <c r="DW1" s="223" t="s">
        <v>297</v>
      </c>
      <c r="DX1" s="223" t="s">
        <v>297</v>
      </c>
      <c r="DY1" s="223" t="s">
        <v>297</v>
      </c>
      <c r="DZ1" s="223" t="s">
        <v>297</v>
      </c>
      <c r="EA1" s="223" t="s">
        <v>297</v>
      </c>
      <c r="EB1" s="223" t="s">
        <v>297</v>
      </c>
      <c r="EC1" s="223" t="s">
        <v>296</v>
      </c>
      <c r="ED1" s="223" t="s">
        <v>296</v>
      </c>
      <c r="EE1" s="223" t="s">
        <v>296</v>
      </c>
      <c r="EF1" s="223" t="s">
        <v>296</v>
      </c>
      <c r="EG1" s="223" t="s">
        <v>296</v>
      </c>
      <c r="EH1" s="223" t="s">
        <v>296</v>
      </c>
      <c r="EI1" s="223" t="s">
        <v>296</v>
      </c>
      <c r="EJ1" s="223" t="s">
        <v>296</v>
      </c>
      <c r="EK1" s="223" t="s">
        <v>296</v>
      </c>
      <c r="EL1" s="223" t="s">
        <v>296</v>
      </c>
      <c r="EM1" s="223" t="s">
        <v>296</v>
      </c>
      <c r="EN1" s="223" t="s">
        <v>296</v>
      </c>
      <c r="EO1" s="223" t="s">
        <v>296</v>
      </c>
      <c r="EP1" s="223" t="s">
        <v>296</v>
      </c>
      <c r="EQ1" s="223" t="s">
        <v>296</v>
      </c>
      <c r="ER1" s="223" t="s">
        <v>296</v>
      </c>
      <c r="ES1" s="223" t="s">
        <v>296</v>
      </c>
      <c r="ET1" s="223" t="s">
        <v>296</v>
      </c>
      <c r="EU1" s="223" t="s">
        <v>296</v>
      </c>
      <c r="EV1" s="223" t="s">
        <v>296</v>
      </c>
      <c r="EW1" s="223" t="s">
        <v>296</v>
      </c>
      <c r="EX1" s="223" t="s">
        <v>296</v>
      </c>
      <c r="EY1" s="223" t="s">
        <v>296</v>
      </c>
      <c r="EZ1" s="223" t="s">
        <v>296</v>
      </c>
      <c r="FA1" s="223" t="s">
        <v>296</v>
      </c>
      <c r="FB1" s="223" t="s">
        <v>296</v>
      </c>
      <c r="FC1" s="223" t="s">
        <v>296</v>
      </c>
      <c r="FD1" s="223" t="s">
        <v>296</v>
      </c>
      <c r="FE1" s="223" t="s">
        <v>296</v>
      </c>
      <c r="FF1" s="223" t="s">
        <v>296</v>
      </c>
      <c r="FG1" s="223" t="s">
        <v>296</v>
      </c>
      <c r="FH1" s="223" t="s">
        <v>296</v>
      </c>
      <c r="FI1" s="223" t="s">
        <v>296</v>
      </c>
      <c r="FJ1" s="223" t="s">
        <v>296</v>
      </c>
      <c r="FK1" s="223" t="s">
        <v>8878</v>
      </c>
      <c r="FL1" s="223" t="s">
        <v>296</v>
      </c>
      <c r="FM1" s="223" t="s">
        <v>296</v>
      </c>
      <c r="FN1" s="223" t="s">
        <v>8878</v>
      </c>
      <c r="FO1" s="223" t="s">
        <v>296</v>
      </c>
      <c r="FP1" s="223" t="s">
        <v>8878</v>
      </c>
      <c r="FQ1" s="223" t="s">
        <v>296</v>
      </c>
      <c r="FR1" s="223" t="s">
        <v>296</v>
      </c>
      <c r="FS1" s="223" t="s">
        <v>8878</v>
      </c>
      <c r="FT1" s="223" t="s">
        <v>296</v>
      </c>
      <c r="FU1" s="223" t="s">
        <v>461</v>
      </c>
      <c r="FV1" s="223" t="s">
        <v>296</v>
      </c>
      <c r="FW1" s="223" t="s">
        <v>296</v>
      </c>
      <c r="FX1" s="223" t="s">
        <v>296</v>
      </c>
      <c r="FY1" s="223" t="s">
        <v>461</v>
      </c>
      <c r="FZ1" s="223" t="s">
        <v>296</v>
      </c>
      <c r="GA1" s="223" t="s">
        <v>296</v>
      </c>
      <c r="GB1" s="223" t="s">
        <v>296</v>
      </c>
      <c r="GC1" s="223" t="s">
        <v>461</v>
      </c>
      <c r="GD1" s="223" t="s">
        <v>296</v>
      </c>
      <c r="GE1" s="223" t="s">
        <v>296</v>
      </c>
      <c r="GF1" s="223" t="s">
        <v>296</v>
      </c>
      <c r="GG1" s="223" t="s">
        <v>296</v>
      </c>
      <c r="GH1" s="223" t="s">
        <v>296</v>
      </c>
      <c r="GI1" s="223" t="s">
        <v>461</v>
      </c>
      <c r="GJ1" s="223" t="s">
        <v>296</v>
      </c>
      <c r="GK1" s="223" t="s">
        <v>296</v>
      </c>
      <c r="GL1" s="223" t="s">
        <v>296</v>
      </c>
      <c r="GM1" s="223" t="s">
        <v>296</v>
      </c>
      <c r="GN1" s="223" t="s">
        <v>296</v>
      </c>
      <c r="GO1" s="223" t="s">
        <v>461</v>
      </c>
      <c r="GP1" s="223" t="s">
        <v>296</v>
      </c>
      <c r="GQ1" s="223" t="s">
        <v>461</v>
      </c>
      <c r="GR1" s="223" t="s">
        <v>296</v>
      </c>
      <c r="GS1" s="223" t="s">
        <v>296</v>
      </c>
      <c r="GT1" s="223" t="s">
        <v>8878</v>
      </c>
      <c r="GU1" s="223" t="s">
        <v>296</v>
      </c>
      <c r="GV1" s="223" t="s">
        <v>296</v>
      </c>
      <c r="GW1" s="223" t="s">
        <v>461</v>
      </c>
      <c r="GX1" s="223" t="s">
        <v>296</v>
      </c>
      <c r="GY1" s="223" t="s">
        <v>296</v>
      </c>
      <c r="GZ1" s="223" t="s">
        <v>296</v>
      </c>
      <c r="HA1" s="223" t="s">
        <v>296</v>
      </c>
      <c r="HB1" s="223" t="s">
        <v>296</v>
      </c>
      <c r="HC1" s="223" t="s">
        <v>296</v>
      </c>
      <c r="HD1" s="223" t="s">
        <v>296</v>
      </c>
      <c r="HE1" s="223" t="s">
        <v>296</v>
      </c>
      <c r="HF1" s="223" t="s">
        <v>296</v>
      </c>
      <c r="HG1" s="223" t="s">
        <v>296</v>
      </c>
      <c r="HH1" s="223" t="s">
        <v>296</v>
      </c>
      <c r="HI1" s="223" t="s">
        <v>296</v>
      </c>
      <c r="HJ1" s="223" t="s">
        <v>296</v>
      </c>
      <c r="HK1" s="223" t="s">
        <v>296</v>
      </c>
      <c r="HL1" s="223" t="s">
        <v>296</v>
      </c>
      <c r="HM1" s="223" t="s">
        <v>296</v>
      </c>
      <c r="HN1" s="223" t="s">
        <v>296</v>
      </c>
      <c r="HO1" s="223" t="s">
        <v>296</v>
      </c>
      <c r="HP1" s="223" t="s">
        <v>296</v>
      </c>
      <c r="HQ1" s="223" t="s">
        <v>296</v>
      </c>
      <c r="HR1" s="223" t="s">
        <v>296</v>
      </c>
      <c r="HS1" s="223" t="s">
        <v>296</v>
      </c>
      <c r="HT1" s="223" t="s">
        <v>296</v>
      </c>
      <c r="HU1" s="223" t="s">
        <v>296</v>
      </c>
      <c r="HV1" s="223" t="s">
        <v>296</v>
      </c>
      <c r="HW1" s="223" t="s">
        <v>296</v>
      </c>
      <c r="HX1" s="223" t="s">
        <v>296</v>
      </c>
      <c r="HY1" s="223" t="s">
        <v>296</v>
      </c>
      <c r="HZ1" s="223" t="s">
        <v>296</v>
      </c>
      <c r="IA1" s="223" t="s">
        <v>296</v>
      </c>
      <c r="IB1" s="223" t="s">
        <v>296</v>
      </c>
      <c r="IC1" s="223" t="s">
        <v>296</v>
      </c>
      <c r="ID1" s="223" t="s">
        <v>296</v>
      </c>
      <c r="IE1" s="223" t="s">
        <v>296</v>
      </c>
      <c r="IF1" s="223" t="s">
        <v>296</v>
      </c>
      <c r="IG1" s="223" t="s">
        <v>296</v>
      </c>
      <c r="IH1" s="223" t="s">
        <v>296</v>
      </c>
      <c r="II1" s="223" t="s">
        <v>296</v>
      </c>
      <c r="IJ1" s="223" t="s">
        <v>296</v>
      </c>
      <c r="IK1" s="223" t="s">
        <v>296</v>
      </c>
      <c r="IL1" s="223" t="s">
        <v>296</v>
      </c>
      <c r="IM1" s="223" t="s">
        <v>296</v>
      </c>
      <c r="IN1" s="223" t="s">
        <v>296</v>
      </c>
      <c r="IO1" s="223" t="s">
        <v>296</v>
      </c>
      <c r="IP1" s="223" t="s">
        <v>296</v>
      </c>
      <c r="IQ1" s="223" t="s">
        <v>296</v>
      </c>
      <c r="IR1" s="223" t="s">
        <v>296</v>
      </c>
      <c r="IS1" s="223" t="s">
        <v>296</v>
      </c>
      <c r="IT1" s="223" t="s">
        <v>296</v>
      </c>
      <c r="IU1" s="223" t="s">
        <v>296</v>
      </c>
      <c r="IV1" s="223" t="s">
        <v>296</v>
      </c>
      <c r="IW1" s="223" t="s">
        <v>296</v>
      </c>
      <c r="IX1" s="223" t="s">
        <v>296</v>
      </c>
      <c r="IY1" s="223" t="s">
        <v>296</v>
      </c>
      <c r="IZ1" s="223" t="s">
        <v>296</v>
      </c>
      <c r="JA1" s="223" t="s">
        <v>296</v>
      </c>
      <c r="JB1" s="223" t="s">
        <v>296</v>
      </c>
      <c r="JC1" s="223" t="s">
        <v>296</v>
      </c>
      <c r="JD1" s="223" t="s">
        <v>296</v>
      </c>
      <c r="JE1" s="223" t="s">
        <v>296</v>
      </c>
      <c r="JF1" s="223" t="s">
        <v>296</v>
      </c>
      <c r="JG1" s="223" t="s">
        <v>296</v>
      </c>
      <c r="JH1" s="223" t="s">
        <v>296</v>
      </c>
      <c r="JI1" s="223" t="s">
        <v>296</v>
      </c>
      <c r="JJ1" s="223" t="s">
        <v>296</v>
      </c>
      <c r="JK1" s="223" t="s">
        <v>296</v>
      </c>
      <c r="JL1" s="223" t="s">
        <v>296</v>
      </c>
      <c r="JM1" s="223" t="s">
        <v>296</v>
      </c>
      <c r="JN1" s="223" t="s">
        <v>296</v>
      </c>
      <c r="JO1" s="223" t="s">
        <v>296</v>
      </c>
      <c r="JP1" s="223" t="s">
        <v>296</v>
      </c>
      <c r="JQ1" s="223" t="s">
        <v>296</v>
      </c>
      <c r="JR1" s="223" t="s">
        <v>296</v>
      </c>
      <c r="JS1" s="223" t="s">
        <v>296</v>
      </c>
      <c r="JT1" s="223" t="s">
        <v>296</v>
      </c>
      <c r="JU1" s="223" t="s">
        <v>296</v>
      </c>
      <c r="JV1" s="223" t="s">
        <v>296</v>
      </c>
      <c r="JW1" s="223" t="s">
        <v>296</v>
      </c>
      <c r="JX1" s="223" t="s">
        <v>296</v>
      </c>
      <c r="JY1" s="223" t="s">
        <v>296</v>
      </c>
      <c r="JZ1" s="223" t="s">
        <v>296</v>
      </c>
      <c r="KA1" s="223" t="s">
        <v>296</v>
      </c>
      <c r="KB1" s="223" t="s">
        <v>296</v>
      </c>
      <c r="KC1" s="223" t="s">
        <v>296</v>
      </c>
      <c r="KD1" s="223" t="s">
        <v>296</v>
      </c>
      <c r="KE1" s="223" t="s">
        <v>296</v>
      </c>
      <c r="KF1" s="223" t="s">
        <v>296</v>
      </c>
      <c r="KG1" s="223" t="s">
        <v>296</v>
      </c>
      <c r="KH1" s="223" t="s">
        <v>296</v>
      </c>
      <c r="KI1" s="223" t="s">
        <v>296</v>
      </c>
      <c r="KJ1" s="223" t="s">
        <v>296</v>
      </c>
      <c r="KK1" s="223" t="s">
        <v>296</v>
      </c>
      <c r="KL1" s="223" t="s">
        <v>296</v>
      </c>
      <c r="KM1" s="223" t="s">
        <v>296</v>
      </c>
      <c r="KN1" s="223" t="s">
        <v>296</v>
      </c>
      <c r="KO1" s="223" t="s">
        <v>296</v>
      </c>
      <c r="KP1" s="223" t="s">
        <v>296</v>
      </c>
      <c r="KQ1" s="223" t="s">
        <v>296</v>
      </c>
      <c r="KR1" s="223" t="s">
        <v>296</v>
      </c>
      <c r="KS1" s="223" t="s">
        <v>296</v>
      </c>
      <c r="KT1" s="223" t="s">
        <v>296</v>
      </c>
      <c r="KU1" s="223" t="s">
        <v>296</v>
      </c>
      <c r="KV1" s="223" t="s">
        <v>296</v>
      </c>
      <c r="KW1" s="223" t="s">
        <v>296</v>
      </c>
      <c r="KX1" s="223" t="s">
        <v>296</v>
      </c>
      <c r="KY1" s="223" t="s">
        <v>296</v>
      </c>
      <c r="KZ1" s="223" t="s">
        <v>296</v>
      </c>
      <c r="LA1" s="223" t="s">
        <v>296</v>
      </c>
      <c r="LB1" s="223" t="s">
        <v>296</v>
      </c>
      <c r="LC1" s="223" t="s">
        <v>296</v>
      </c>
      <c r="LD1" s="223" t="s">
        <v>296</v>
      </c>
      <c r="LE1" s="223" t="s">
        <v>296</v>
      </c>
      <c r="LF1" s="223" t="s">
        <v>296</v>
      </c>
      <c r="LG1" s="223" t="s">
        <v>296</v>
      </c>
      <c r="LH1" s="223" t="s">
        <v>296</v>
      </c>
      <c r="LI1" s="223" t="s">
        <v>296</v>
      </c>
      <c r="LJ1" s="223" t="s">
        <v>296</v>
      </c>
      <c r="LK1" s="223" t="s">
        <v>296</v>
      </c>
      <c r="LL1" s="223" t="s">
        <v>296</v>
      </c>
      <c r="LM1" s="223" t="s">
        <v>296</v>
      </c>
      <c r="LN1" s="223" t="s">
        <v>296</v>
      </c>
      <c r="LO1" s="223" t="s">
        <v>296</v>
      </c>
      <c r="LP1" s="223" t="s">
        <v>296</v>
      </c>
      <c r="LQ1" s="223" t="s">
        <v>296</v>
      </c>
      <c r="LR1" s="223" t="s">
        <v>296</v>
      </c>
      <c r="LS1" s="223" t="s">
        <v>296</v>
      </c>
      <c r="LT1" s="223" t="s">
        <v>296</v>
      </c>
      <c r="LU1" s="223" t="s">
        <v>296</v>
      </c>
      <c r="LV1" s="223" t="s">
        <v>296</v>
      </c>
      <c r="LW1" s="223" t="s">
        <v>296</v>
      </c>
      <c r="LX1" s="223" t="s">
        <v>296</v>
      </c>
      <c r="LY1" s="223" t="s">
        <v>296</v>
      </c>
      <c r="LZ1" s="223" t="s">
        <v>296</v>
      </c>
      <c r="MA1" s="223" t="s">
        <v>296</v>
      </c>
      <c r="MB1" s="223" t="s">
        <v>296</v>
      </c>
      <c r="MC1" s="223" t="s">
        <v>296</v>
      </c>
      <c r="MD1" s="223" t="s">
        <v>296</v>
      </c>
      <c r="ME1" s="223" t="s">
        <v>296</v>
      </c>
      <c r="MF1" s="223" t="s">
        <v>296</v>
      </c>
      <c r="MG1" s="223" t="s">
        <v>296</v>
      </c>
      <c r="MH1" s="223" t="s">
        <v>296</v>
      </c>
      <c r="MI1" s="223" t="s">
        <v>296</v>
      </c>
      <c r="MJ1" s="223" t="s">
        <v>296</v>
      </c>
      <c r="MK1" s="223" t="s">
        <v>8878</v>
      </c>
      <c r="ML1" s="223" t="s">
        <v>296</v>
      </c>
      <c r="MM1" s="223" t="s">
        <v>296</v>
      </c>
      <c r="MN1" s="223" t="s">
        <v>296</v>
      </c>
      <c r="MO1" s="223" t="s">
        <v>296</v>
      </c>
      <c r="MP1" s="223" t="s">
        <v>296</v>
      </c>
      <c r="MQ1" s="223" t="s">
        <v>296</v>
      </c>
      <c r="MR1" s="223" t="s">
        <v>296</v>
      </c>
      <c r="MS1" s="223" t="s">
        <v>296</v>
      </c>
      <c r="MT1" s="223" t="s">
        <v>296</v>
      </c>
      <c r="MU1" s="223" t="s">
        <v>296</v>
      </c>
      <c r="MV1" s="223" t="s">
        <v>296</v>
      </c>
      <c r="MW1" s="223" t="s">
        <v>296</v>
      </c>
      <c r="MX1" s="223" t="s">
        <v>296</v>
      </c>
      <c r="MY1" s="223" t="s">
        <v>296</v>
      </c>
      <c r="MZ1" s="223" t="s">
        <v>296</v>
      </c>
      <c r="NA1" s="223" t="s">
        <v>296</v>
      </c>
    </row>
    <row r="2" spans="1:365" ht="17" x14ac:dyDescent="0.2">
      <c r="A2" s="200" t="s">
        <v>6</v>
      </c>
      <c r="B2" s="201" t="s">
        <v>7</v>
      </c>
      <c r="C2" s="202" t="s">
        <v>8</v>
      </c>
      <c r="D2" s="200" t="s">
        <v>9</v>
      </c>
      <c r="E2" s="224" t="s">
        <v>302</v>
      </c>
      <c r="F2" s="224" t="s">
        <v>302</v>
      </c>
      <c r="G2" s="224" t="s">
        <v>304</v>
      </c>
      <c r="H2" s="224" t="s">
        <v>304</v>
      </c>
      <c r="I2" s="224" t="s">
        <v>304</v>
      </c>
      <c r="J2" s="224" t="s">
        <v>304</v>
      </c>
      <c r="K2" s="224" t="s">
        <v>305</v>
      </c>
      <c r="L2" s="224" t="s">
        <v>305</v>
      </c>
      <c r="M2" s="224" t="s">
        <v>305</v>
      </c>
      <c r="N2" s="224" t="s">
        <v>305</v>
      </c>
      <c r="O2" s="224" t="s">
        <v>305</v>
      </c>
      <c r="P2" s="224" t="s">
        <v>305</v>
      </c>
      <c r="Q2" s="224" t="s">
        <v>305</v>
      </c>
      <c r="R2" s="224" t="s">
        <v>306</v>
      </c>
      <c r="S2" s="224" t="s">
        <v>308</v>
      </c>
      <c r="T2" s="224" t="s">
        <v>308</v>
      </c>
      <c r="U2" s="224" t="s">
        <v>308</v>
      </c>
      <c r="V2" s="224" t="s">
        <v>310</v>
      </c>
      <c r="W2" s="224" t="s">
        <v>310</v>
      </c>
      <c r="X2" s="224" t="s">
        <v>311</v>
      </c>
      <c r="Y2" s="224" t="s">
        <v>312</v>
      </c>
      <c r="Z2" s="224" t="s">
        <v>462</v>
      </c>
      <c r="AA2" s="224" t="s">
        <v>313</v>
      </c>
      <c r="AB2" s="224" t="s">
        <v>314</v>
      </c>
      <c r="AC2" s="224" t="s">
        <v>315</v>
      </c>
      <c r="AD2" s="224" t="s">
        <v>316</v>
      </c>
      <c r="AE2" s="224" t="s">
        <v>463</v>
      </c>
      <c r="AF2" s="224" t="s">
        <v>317</v>
      </c>
      <c r="AG2" s="224" t="s">
        <v>317</v>
      </c>
      <c r="AH2" s="224" t="s">
        <v>318</v>
      </c>
      <c r="AI2" s="224" t="s">
        <v>319</v>
      </c>
      <c r="AJ2" s="224" t="s">
        <v>319</v>
      </c>
      <c r="AK2" s="224" t="s">
        <v>319</v>
      </c>
      <c r="AL2" s="224" t="s">
        <v>319</v>
      </c>
      <c r="AM2" s="224" t="s">
        <v>320</v>
      </c>
      <c r="AN2" s="224" t="s">
        <v>464</v>
      </c>
      <c r="AO2" s="224" t="s">
        <v>321</v>
      </c>
      <c r="AP2" s="224" t="s">
        <v>322</v>
      </c>
      <c r="AQ2" s="224" t="s">
        <v>323</v>
      </c>
      <c r="AR2" s="224" t="s">
        <v>323</v>
      </c>
      <c r="AS2" s="224" t="s">
        <v>323</v>
      </c>
      <c r="AT2" s="224" t="s">
        <v>324</v>
      </c>
      <c r="AU2" s="224" t="s">
        <v>324</v>
      </c>
      <c r="AV2" s="224" t="s">
        <v>324</v>
      </c>
      <c r="AW2" s="224" t="s">
        <v>324</v>
      </c>
      <c r="AX2" s="224" t="s">
        <v>324</v>
      </c>
      <c r="AY2" s="224" t="s">
        <v>324</v>
      </c>
      <c r="AZ2" s="224" t="s">
        <v>324</v>
      </c>
      <c r="BA2" s="224" t="s">
        <v>324</v>
      </c>
      <c r="BB2" s="224" t="s">
        <v>324</v>
      </c>
      <c r="BC2" s="224" t="s">
        <v>324</v>
      </c>
      <c r="BD2" s="224" t="s">
        <v>324</v>
      </c>
      <c r="BE2" s="224" t="s">
        <v>324</v>
      </c>
      <c r="BF2" s="224" t="s">
        <v>324</v>
      </c>
      <c r="BG2" s="224" t="s">
        <v>324</v>
      </c>
      <c r="BH2" s="224" t="s">
        <v>324</v>
      </c>
      <c r="BI2" s="224" t="s">
        <v>324</v>
      </c>
      <c r="BJ2" s="224" t="s">
        <v>324</v>
      </c>
      <c r="BK2" s="224" t="s">
        <v>324</v>
      </c>
      <c r="BL2" s="224" t="s">
        <v>324</v>
      </c>
      <c r="BM2" s="224" t="s">
        <v>324</v>
      </c>
      <c r="BN2" s="224" t="s">
        <v>325</v>
      </c>
      <c r="BO2" s="224" t="s">
        <v>326</v>
      </c>
      <c r="BP2" s="224" t="s">
        <v>326</v>
      </c>
      <c r="BQ2" s="224" t="s">
        <v>326</v>
      </c>
      <c r="BR2" s="224" t="s">
        <v>326</v>
      </c>
      <c r="BS2" s="224" t="s">
        <v>326</v>
      </c>
      <c r="BT2" s="224" t="s">
        <v>326</v>
      </c>
      <c r="BU2" s="224" t="s">
        <v>326</v>
      </c>
      <c r="BV2" s="224" t="s">
        <v>326</v>
      </c>
      <c r="BW2" s="224" t="s">
        <v>326</v>
      </c>
      <c r="BX2" s="224" t="s">
        <v>326</v>
      </c>
      <c r="BY2" s="224" t="s">
        <v>326</v>
      </c>
      <c r="BZ2" s="224" t="s">
        <v>326</v>
      </c>
      <c r="CA2" s="224" t="s">
        <v>326</v>
      </c>
      <c r="CB2" s="224" t="s">
        <v>326</v>
      </c>
      <c r="CC2" s="224" t="s">
        <v>326</v>
      </c>
      <c r="CD2" s="224" t="s">
        <v>326</v>
      </c>
      <c r="CE2" s="224" t="s">
        <v>326</v>
      </c>
      <c r="CF2" s="224" t="s">
        <v>326</v>
      </c>
      <c r="CG2" s="224" t="s">
        <v>326</v>
      </c>
      <c r="CH2" s="224" t="s">
        <v>326</v>
      </c>
      <c r="CI2" s="224" t="s">
        <v>326</v>
      </c>
      <c r="CJ2" s="224" t="s">
        <v>326</v>
      </c>
      <c r="CK2" s="224" t="s">
        <v>326</v>
      </c>
      <c r="CL2" s="224" t="s">
        <v>326</v>
      </c>
      <c r="CM2" s="224" t="s">
        <v>326</v>
      </c>
      <c r="CN2" s="224" t="s">
        <v>326</v>
      </c>
      <c r="CO2" s="224" t="s">
        <v>326</v>
      </c>
      <c r="CP2" s="224" t="s">
        <v>326</v>
      </c>
      <c r="CQ2" s="224" t="s">
        <v>326</v>
      </c>
      <c r="CR2" s="224" t="s">
        <v>326</v>
      </c>
      <c r="CS2" s="224" t="s">
        <v>326</v>
      </c>
      <c r="CT2" s="224" t="s">
        <v>326</v>
      </c>
      <c r="CU2" s="224" t="s">
        <v>326</v>
      </c>
      <c r="CV2" s="224" t="s">
        <v>326</v>
      </c>
      <c r="CW2" s="224" t="s">
        <v>326</v>
      </c>
      <c r="CX2" s="224" t="s">
        <v>326</v>
      </c>
      <c r="CY2" s="224" t="s">
        <v>326</v>
      </c>
      <c r="CZ2" s="224" t="s">
        <v>326</v>
      </c>
      <c r="DA2" s="224" t="s">
        <v>326</v>
      </c>
      <c r="DB2" s="224" t="s">
        <v>326</v>
      </c>
      <c r="DC2" s="224" t="s">
        <v>326</v>
      </c>
      <c r="DD2" s="224" t="s">
        <v>326</v>
      </c>
      <c r="DE2" s="224" t="s">
        <v>326</v>
      </c>
      <c r="DF2" s="224" t="s">
        <v>326</v>
      </c>
      <c r="DG2" s="224" t="s">
        <v>326</v>
      </c>
      <c r="DH2" s="224" t="s">
        <v>326</v>
      </c>
      <c r="DI2" s="224" t="s">
        <v>326</v>
      </c>
      <c r="DJ2" s="224" t="s">
        <v>326</v>
      </c>
      <c r="DK2" s="224" t="s">
        <v>326</v>
      </c>
      <c r="DL2" s="224" t="s">
        <v>326</v>
      </c>
      <c r="DM2" s="224" t="s">
        <v>326</v>
      </c>
      <c r="DN2" s="224" t="s">
        <v>326</v>
      </c>
      <c r="DO2" s="224" t="s">
        <v>326</v>
      </c>
      <c r="DP2" s="224" t="s">
        <v>326</v>
      </c>
      <c r="DQ2" s="224" t="s">
        <v>326</v>
      </c>
      <c r="DR2" s="224" t="s">
        <v>326</v>
      </c>
      <c r="DS2" s="224" t="s">
        <v>326</v>
      </c>
      <c r="DT2" s="224" t="s">
        <v>326</v>
      </c>
      <c r="DU2" s="224" t="s">
        <v>326</v>
      </c>
      <c r="DV2" s="224" t="s">
        <v>327</v>
      </c>
      <c r="DW2" s="224" t="s">
        <v>327</v>
      </c>
      <c r="DX2" s="224" t="s">
        <v>327</v>
      </c>
      <c r="DY2" s="224" t="s">
        <v>327</v>
      </c>
      <c r="DZ2" s="224" t="s">
        <v>327</v>
      </c>
      <c r="EA2" s="224" t="s">
        <v>327</v>
      </c>
      <c r="EB2" s="224" t="s">
        <v>465</v>
      </c>
      <c r="EC2" s="224" t="s">
        <v>328</v>
      </c>
      <c r="ED2" s="224" t="s">
        <v>329</v>
      </c>
      <c r="EE2" s="224" t="s">
        <v>329</v>
      </c>
      <c r="EF2" s="224" t="s">
        <v>329</v>
      </c>
      <c r="EG2" s="224" t="s">
        <v>330</v>
      </c>
      <c r="EH2" s="224" t="s">
        <v>330</v>
      </c>
      <c r="EI2" s="224" t="s">
        <v>331</v>
      </c>
      <c r="EJ2" s="224" t="s">
        <v>332</v>
      </c>
      <c r="EK2" s="224" t="s">
        <v>332</v>
      </c>
      <c r="EL2" s="224" t="s">
        <v>333</v>
      </c>
      <c r="EM2" s="224" t="s">
        <v>466</v>
      </c>
      <c r="EN2" s="224" t="s">
        <v>467</v>
      </c>
      <c r="EO2" s="224" t="s">
        <v>334</v>
      </c>
      <c r="EP2" s="224" t="s">
        <v>468</v>
      </c>
      <c r="EQ2" s="224" t="s">
        <v>335</v>
      </c>
      <c r="ER2" s="224" t="s">
        <v>336</v>
      </c>
      <c r="ES2" s="224" t="s">
        <v>336</v>
      </c>
      <c r="ET2" s="224" t="s">
        <v>336</v>
      </c>
      <c r="EU2" s="224" t="s">
        <v>336</v>
      </c>
      <c r="EV2" s="224" t="s">
        <v>336</v>
      </c>
      <c r="EW2" s="224" t="s">
        <v>336</v>
      </c>
      <c r="EX2" s="224" t="s">
        <v>336</v>
      </c>
      <c r="EY2" s="224" t="s">
        <v>337</v>
      </c>
      <c r="EZ2" s="224" t="s">
        <v>337</v>
      </c>
      <c r="FA2" s="224" t="s">
        <v>337</v>
      </c>
      <c r="FB2" s="224" t="s">
        <v>337</v>
      </c>
      <c r="FC2" s="224" t="s">
        <v>337</v>
      </c>
      <c r="FD2" s="224" t="s">
        <v>338</v>
      </c>
      <c r="FE2" s="224" t="s">
        <v>338</v>
      </c>
      <c r="FF2" s="224" t="s">
        <v>339</v>
      </c>
      <c r="FG2" s="224" t="s">
        <v>339</v>
      </c>
      <c r="FH2" s="224" t="s">
        <v>339</v>
      </c>
      <c r="FI2" s="224" t="s">
        <v>340</v>
      </c>
      <c r="FJ2" s="224" t="s">
        <v>340</v>
      </c>
      <c r="FK2" s="224" t="s">
        <v>340</v>
      </c>
      <c r="FL2" s="224" t="s">
        <v>340</v>
      </c>
      <c r="FM2" s="224" t="s">
        <v>340</v>
      </c>
      <c r="FN2" s="224" t="s">
        <v>340</v>
      </c>
      <c r="FO2" s="224" t="s">
        <v>340</v>
      </c>
      <c r="FP2" s="224" t="s">
        <v>340</v>
      </c>
      <c r="FQ2" s="224" t="s">
        <v>340</v>
      </c>
      <c r="FR2" s="224" t="s">
        <v>340</v>
      </c>
      <c r="FS2" s="224" t="s">
        <v>340</v>
      </c>
      <c r="FT2" s="224" t="s">
        <v>340</v>
      </c>
      <c r="FU2" s="224" t="s">
        <v>340</v>
      </c>
      <c r="FV2" s="224" t="s">
        <v>340</v>
      </c>
      <c r="FW2" s="224" t="s">
        <v>340</v>
      </c>
      <c r="FX2" s="224" t="s">
        <v>340</v>
      </c>
      <c r="FY2" s="224" t="s">
        <v>340</v>
      </c>
      <c r="FZ2" s="224" t="s">
        <v>340</v>
      </c>
      <c r="GA2" s="224" t="s">
        <v>340</v>
      </c>
      <c r="GB2" s="224" t="s">
        <v>340</v>
      </c>
      <c r="GC2" s="224" t="s">
        <v>340</v>
      </c>
      <c r="GD2" s="224" t="s">
        <v>340</v>
      </c>
      <c r="GE2" s="224" t="s">
        <v>340</v>
      </c>
      <c r="GF2" s="224" t="s">
        <v>340</v>
      </c>
      <c r="GG2" s="224" t="s">
        <v>340</v>
      </c>
      <c r="GH2" s="224" t="s">
        <v>340</v>
      </c>
      <c r="GI2" s="224" t="s">
        <v>340</v>
      </c>
      <c r="GJ2" s="224" t="s">
        <v>340</v>
      </c>
      <c r="GK2" s="224" t="s">
        <v>340</v>
      </c>
      <c r="GL2" s="224" t="s">
        <v>340</v>
      </c>
      <c r="GM2" s="224" t="s">
        <v>340</v>
      </c>
      <c r="GN2" s="224" t="s">
        <v>340</v>
      </c>
      <c r="GO2" s="224" t="s">
        <v>340</v>
      </c>
      <c r="GP2" s="224" t="s">
        <v>340</v>
      </c>
      <c r="GQ2" s="224" t="s">
        <v>340</v>
      </c>
      <c r="GR2" s="224" t="s">
        <v>340</v>
      </c>
      <c r="GS2" s="224" t="s">
        <v>340</v>
      </c>
      <c r="GT2" s="224" t="s">
        <v>340</v>
      </c>
      <c r="GU2" s="224" t="s">
        <v>340</v>
      </c>
      <c r="GV2" s="224" t="s">
        <v>340</v>
      </c>
      <c r="GW2" s="224" t="s">
        <v>340</v>
      </c>
      <c r="GX2" s="224" t="s">
        <v>340</v>
      </c>
      <c r="GY2" s="224" t="s">
        <v>340</v>
      </c>
      <c r="GZ2" s="224" t="s">
        <v>341</v>
      </c>
      <c r="HA2" s="224" t="s">
        <v>342</v>
      </c>
      <c r="HB2" s="224" t="s">
        <v>343</v>
      </c>
      <c r="HC2" s="224" t="s">
        <v>343</v>
      </c>
      <c r="HD2" s="224" t="s">
        <v>343</v>
      </c>
      <c r="HE2" s="224" t="s">
        <v>343</v>
      </c>
      <c r="HF2" s="224" t="s">
        <v>343</v>
      </c>
      <c r="HG2" s="224" t="s">
        <v>343</v>
      </c>
      <c r="HH2" s="224" t="s">
        <v>343</v>
      </c>
      <c r="HI2" s="224" t="s">
        <v>343</v>
      </c>
      <c r="HJ2" s="224" t="s">
        <v>343</v>
      </c>
      <c r="HK2" s="224" t="s">
        <v>343</v>
      </c>
      <c r="HL2" s="224" t="s">
        <v>345</v>
      </c>
      <c r="HM2" s="224" t="s">
        <v>346</v>
      </c>
      <c r="HN2" s="224" t="s">
        <v>347</v>
      </c>
      <c r="HO2" s="224" t="s">
        <v>348</v>
      </c>
      <c r="HP2" s="224" t="s">
        <v>348</v>
      </c>
      <c r="HQ2" s="224" t="s">
        <v>348</v>
      </c>
      <c r="HR2" s="224" t="s">
        <v>348</v>
      </c>
      <c r="HS2" s="224" t="s">
        <v>348</v>
      </c>
      <c r="HT2" s="224" t="s">
        <v>348</v>
      </c>
      <c r="HU2" s="224" t="s">
        <v>348</v>
      </c>
      <c r="HV2" s="224" t="s">
        <v>348</v>
      </c>
      <c r="HW2" s="224" t="s">
        <v>348</v>
      </c>
      <c r="HX2" s="224" t="s">
        <v>348</v>
      </c>
      <c r="HY2" s="224" t="s">
        <v>348</v>
      </c>
      <c r="HZ2" s="224" t="s">
        <v>348</v>
      </c>
      <c r="IA2" s="224" t="s">
        <v>348</v>
      </c>
      <c r="IB2" s="224" t="s">
        <v>348</v>
      </c>
      <c r="IC2" s="224" t="s">
        <v>348</v>
      </c>
      <c r="ID2" s="224" t="s">
        <v>348</v>
      </c>
      <c r="IE2" s="224" t="s">
        <v>348</v>
      </c>
      <c r="IF2" s="224" t="s">
        <v>348</v>
      </c>
      <c r="IG2" s="224" t="s">
        <v>348</v>
      </c>
      <c r="IH2" s="224" t="s">
        <v>348</v>
      </c>
      <c r="II2" s="224" t="s">
        <v>348</v>
      </c>
      <c r="IJ2" s="224" t="s">
        <v>348</v>
      </c>
      <c r="IK2" s="224" t="s">
        <v>348</v>
      </c>
      <c r="IL2" s="224" t="s">
        <v>348</v>
      </c>
      <c r="IM2" s="224" t="s">
        <v>348</v>
      </c>
      <c r="IN2" s="224" t="s">
        <v>348</v>
      </c>
      <c r="IO2" s="224" t="s">
        <v>348</v>
      </c>
      <c r="IP2" s="224" t="s">
        <v>348</v>
      </c>
      <c r="IQ2" s="224" t="s">
        <v>348</v>
      </c>
      <c r="IR2" s="224" t="s">
        <v>348</v>
      </c>
      <c r="IS2" s="224" t="s">
        <v>348</v>
      </c>
      <c r="IT2" s="224" t="s">
        <v>348</v>
      </c>
      <c r="IU2" s="224" t="s">
        <v>348</v>
      </c>
      <c r="IV2" s="224" t="s">
        <v>348</v>
      </c>
      <c r="IW2" s="224" t="s">
        <v>348</v>
      </c>
      <c r="IX2" s="224" t="s">
        <v>348</v>
      </c>
      <c r="IY2" s="224" t="s">
        <v>348</v>
      </c>
      <c r="IZ2" s="224" t="s">
        <v>348</v>
      </c>
      <c r="JA2" s="224" t="s">
        <v>348</v>
      </c>
      <c r="JB2" s="224" t="s">
        <v>348</v>
      </c>
      <c r="JC2" s="224" t="s">
        <v>348</v>
      </c>
      <c r="JD2" s="224" t="s">
        <v>349</v>
      </c>
      <c r="JE2" s="224" t="s">
        <v>350</v>
      </c>
      <c r="JF2" s="224" t="s">
        <v>351</v>
      </c>
      <c r="JG2" s="224" t="s">
        <v>352</v>
      </c>
      <c r="JH2" s="224" t="s">
        <v>353</v>
      </c>
      <c r="JI2" s="224" t="s">
        <v>353</v>
      </c>
      <c r="JJ2" s="224" t="s">
        <v>353</v>
      </c>
      <c r="JK2" s="224" t="s">
        <v>353</v>
      </c>
      <c r="JL2" s="224" t="s">
        <v>353</v>
      </c>
      <c r="JM2" s="224" t="s">
        <v>353</v>
      </c>
      <c r="JN2" s="224" t="s">
        <v>354</v>
      </c>
      <c r="JO2" s="224" t="s">
        <v>355</v>
      </c>
      <c r="JP2" s="224" t="s">
        <v>356</v>
      </c>
      <c r="JQ2" s="224" t="s">
        <v>357</v>
      </c>
      <c r="JR2" s="224" t="s">
        <v>357</v>
      </c>
      <c r="JS2" s="224" t="s">
        <v>357</v>
      </c>
      <c r="JT2" s="224" t="s">
        <v>357</v>
      </c>
      <c r="JU2" s="224" t="s">
        <v>357</v>
      </c>
      <c r="JV2" s="224" t="s">
        <v>357</v>
      </c>
      <c r="JW2" s="224" t="s">
        <v>357</v>
      </c>
      <c r="JX2" s="224" t="s">
        <v>357</v>
      </c>
      <c r="JY2" s="224" t="s">
        <v>357</v>
      </c>
      <c r="JZ2" s="224" t="s">
        <v>357</v>
      </c>
      <c r="KA2" s="224" t="s">
        <v>357</v>
      </c>
      <c r="KB2" s="224" t="s">
        <v>357</v>
      </c>
      <c r="KC2" s="224" t="s">
        <v>357</v>
      </c>
      <c r="KD2" s="224" t="s">
        <v>357</v>
      </c>
      <c r="KE2" s="224" t="s">
        <v>357</v>
      </c>
      <c r="KF2" s="224" t="s">
        <v>357</v>
      </c>
      <c r="KG2" s="224" t="s">
        <v>357</v>
      </c>
      <c r="KH2" s="224" t="s">
        <v>357</v>
      </c>
      <c r="KI2" s="224" t="s">
        <v>357</v>
      </c>
      <c r="KJ2" s="224" t="s">
        <v>357</v>
      </c>
      <c r="KK2" s="224" t="s">
        <v>357</v>
      </c>
      <c r="KL2" s="224" t="s">
        <v>357</v>
      </c>
      <c r="KM2" s="224" t="s">
        <v>357</v>
      </c>
      <c r="KN2" s="224" t="s">
        <v>357</v>
      </c>
      <c r="KO2" s="224" t="s">
        <v>357</v>
      </c>
      <c r="KP2" s="224" t="s">
        <v>358</v>
      </c>
      <c r="KQ2" s="224" t="s">
        <v>359</v>
      </c>
      <c r="KR2" s="224" t="s">
        <v>360</v>
      </c>
      <c r="KS2" s="224" t="s">
        <v>361</v>
      </c>
      <c r="KT2" s="224" t="s">
        <v>362</v>
      </c>
      <c r="KU2" s="224" t="s">
        <v>363</v>
      </c>
      <c r="KV2" s="224" t="s">
        <v>364</v>
      </c>
      <c r="KW2" s="224" t="s">
        <v>365</v>
      </c>
      <c r="KX2" s="224" t="s">
        <v>366</v>
      </c>
      <c r="KY2" s="224" t="s">
        <v>366</v>
      </c>
      <c r="KZ2" s="224" t="s">
        <v>366</v>
      </c>
      <c r="LA2" s="224" t="s">
        <v>366</v>
      </c>
      <c r="LB2" s="224" t="s">
        <v>366</v>
      </c>
      <c r="LC2" s="224" t="s">
        <v>366</v>
      </c>
      <c r="LD2" s="224" t="s">
        <v>366</v>
      </c>
      <c r="LE2" s="224" t="s">
        <v>366</v>
      </c>
      <c r="LF2" s="224" t="s">
        <v>366</v>
      </c>
      <c r="LG2" s="224" t="s">
        <v>366</v>
      </c>
      <c r="LH2" s="224" t="s">
        <v>366</v>
      </c>
      <c r="LI2" s="224" t="s">
        <v>366</v>
      </c>
      <c r="LJ2" s="224" t="s">
        <v>366</v>
      </c>
      <c r="LK2" s="224" t="s">
        <v>367</v>
      </c>
      <c r="LL2" s="224" t="s">
        <v>367</v>
      </c>
      <c r="LM2" s="224" t="s">
        <v>368</v>
      </c>
      <c r="LN2" s="224" t="s">
        <v>369</v>
      </c>
      <c r="LO2" s="224" t="s">
        <v>369</v>
      </c>
      <c r="LP2" s="224" t="s">
        <v>369</v>
      </c>
      <c r="LQ2" s="224" t="s">
        <v>369</v>
      </c>
      <c r="LR2" s="224" t="s">
        <v>369</v>
      </c>
      <c r="LS2" s="224" t="s">
        <v>369</v>
      </c>
      <c r="LT2" s="224" t="s">
        <v>369</v>
      </c>
      <c r="LU2" s="224" t="s">
        <v>369</v>
      </c>
      <c r="LV2" s="224" t="s">
        <v>369</v>
      </c>
      <c r="LW2" s="224" t="s">
        <v>369</v>
      </c>
      <c r="LX2" s="224" t="s">
        <v>369</v>
      </c>
      <c r="LY2" s="224" t="s">
        <v>369</v>
      </c>
      <c r="LZ2" s="224" t="s">
        <v>369</v>
      </c>
      <c r="MA2" s="224" t="s">
        <v>369</v>
      </c>
      <c r="MB2" s="224" t="s">
        <v>369</v>
      </c>
      <c r="MC2" s="224" t="s">
        <v>369</v>
      </c>
      <c r="MD2" s="224" t="s">
        <v>369</v>
      </c>
      <c r="ME2" s="224" t="s">
        <v>369</v>
      </c>
      <c r="MF2" s="224" t="s">
        <v>369</v>
      </c>
      <c r="MG2" s="224" t="s">
        <v>370</v>
      </c>
      <c r="MH2" s="224" t="s">
        <v>371</v>
      </c>
      <c r="MI2" s="224" t="s">
        <v>372</v>
      </c>
      <c r="MJ2" s="224" t="s">
        <v>372</v>
      </c>
      <c r="MK2" s="224" t="s">
        <v>372</v>
      </c>
      <c r="ML2" s="224" t="s">
        <v>373</v>
      </c>
      <c r="MM2" s="224" t="s">
        <v>373</v>
      </c>
      <c r="MN2" s="224" t="s">
        <v>374</v>
      </c>
      <c r="MO2" s="224" t="s">
        <v>374</v>
      </c>
      <c r="MP2" s="224" t="s">
        <v>374</v>
      </c>
      <c r="MQ2" s="224" t="s">
        <v>374</v>
      </c>
      <c r="MR2" s="224" t="s">
        <v>374</v>
      </c>
      <c r="MS2" s="224" t="s">
        <v>374</v>
      </c>
      <c r="MT2" s="224" t="s">
        <v>374</v>
      </c>
      <c r="MU2" s="224" t="s">
        <v>374</v>
      </c>
      <c r="MV2" s="224" t="s">
        <v>374</v>
      </c>
      <c r="MW2" s="224" t="s">
        <v>374</v>
      </c>
      <c r="MX2" s="224" t="s">
        <v>374</v>
      </c>
      <c r="MY2" s="224" t="s">
        <v>374</v>
      </c>
      <c r="MZ2" s="224" t="s">
        <v>374</v>
      </c>
      <c r="NA2" s="224" t="s">
        <v>375</v>
      </c>
    </row>
    <row r="3" spans="1:365" ht="34" x14ac:dyDescent="0.2">
      <c r="A3" s="1216" t="s">
        <v>8877</v>
      </c>
      <c r="B3" s="201" t="s">
        <v>13</v>
      </c>
      <c r="C3" s="202" t="s">
        <v>14</v>
      </c>
      <c r="D3" s="215" t="s">
        <v>15</v>
      </c>
      <c r="E3" s="224" t="s">
        <v>380</v>
      </c>
      <c r="F3" s="224" t="s">
        <v>380</v>
      </c>
      <c r="G3" s="224" t="s">
        <v>382</v>
      </c>
      <c r="H3" s="224" t="s">
        <v>382</v>
      </c>
      <c r="I3" s="224" t="s">
        <v>382</v>
      </c>
      <c r="J3" s="224" t="s">
        <v>382</v>
      </c>
      <c r="K3" s="225" t="s">
        <v>383</v>
      </c>
      <c r="L3" s="225" t="s">
        <v>383</v>
      </c>
      <c r="M3" s="225" t="s">
        <v>383</v>
      </c>
      <c r="N3" s="225" t="s">
        <v>383</v>
      </c>
      <c r="O3" s="225" t="s">
        <v>383</v>
      </c>
      <c r="P3" s="225" t="s">
        <v>383</v>
      </c>
      <c r="Q3" s="225" t="s">
        <v>383</v>
      </c>
      <c r="R3" s="224" t="s">
        <v>384</v>
      </c>
      <c r="S3" s="224" t="s">
        <v>386</v>
      </c>
      <c r="T3" s="224" t="s">
        <v>386</v>
      </c>
      <c r="U3" s="224" t="s">
        <v>386</v>
      </c>
      <c r="V3" s="224" t="s">
        <v>388</v>
      </c>
      <c r="W3" s="224" t="s">
        <v>388</v>
      </c>
      <c r="X3" s="224" t="s">
        <v>389</v>
      </c>
      <c r="Y3" s="224" t="s">
        <v>390</v>
      </c>
      <c r="Z3" s="224" t="s">
        <v>391</v>
      </c>
      <c r="AA3" s="224" t="s">
        <v>392</v>
      </c>
      <c r="AB3" s="224" t="s">
        <v>393</v>
      </c>
      <c r="AC3" s="224" t="s">
        <v>394</v>
      </c>
      <c r="AD3" s="224" t="s">
        <v>395</v>
      </c>
      <c r="AE3" s="224" t="s">
        <v>396</v>
      </c>
      <c r="AF3" s="224" t="s">
        <v>397</v>
      </c>
      <c r="AG3" s="224" t="s">
        <v>397</v>
      </c>
      <c r="AH3" s="224" t="s">
        <v>398</v>
      </c>
      <c r="AI3" s="224" t="s">
        <v>399</v>
      </c>
      <c r="AJ3" s="224" t="s">
        <v>399</v>
      </c>
      <c r="AK3" s="224" t="s">
        <v>399</v>
      </c>
      <c r="AL3" s="224" t="s">
        <v>399</v>
      </c>
      <c r="AM3" s="224" t="s">
        <v>400</v>
      </c>
      <c r="AN3" s="224" t="s">
        <v>401</v>
      </c>
      <c r="AO3" s="224" t="s">
        <v>402</v>
      </c>
      <c r="AP3" s="224" t="s">
        <v>403</v>
      </c>
      <c r="AQ3" s="224" t="s">
        <v>404</v>
      </c>
      <c r="AR3" s="224" t="s">
        <v>404</v>
      </c>
      <c r="AS3" s="224" t="s">
        <v>404</v>
      </c>
      <c r="AT3" s="224" t="s">
        <v>405</v>
      </c>
      <c r="AU3" s="224" t="s">
        <v>405</v>
      </c>
      <c r="AV3" s="224" t="s">
        <v>405</v>
      </c>
      <c r="AW3" s="224" t="s">
        <v>405</v>
      </c>
      <c r="AX3" s="224" t="s">
        <v>405</v>
      </c>
      <c r="AY3" s="224" t="s">
        <v>405</v>
      </c>
      <c r="AZ3" s="224" t="s">
        <v>405</v>
      </c>
      <c r="BA3" s="224" t="s">
        <v>405</v>
      </c>
      <c r="BB3" s="224" t="s">
        <v>405</v>
      </c>
      <c r="BC3" s="224" t="s">
        <v>405</v>
      </c>
      <c r="BD3" s="224" t="s">
        <v>405</v>
      </c>
      <c r="BE3" s="224" t="s">
        <v>405</v>
      </c>
      <c r="BF3" s="224" t="s">
        <v>405</v>
      </c>
      <c r="BG3" s="224" t="s">
        <v>405</v>
      </c>
      <c r="BH3" s="224" t="s">
        <v>405</v>
      </c>
      <c r="BI3" s="224" t="s">
        <v>405</v>
      </c>
      <c r="BJ3" s="224" t="s">
        <v>405</v>
      </c>
      <c r="BK3" s="224" t="s">
        <v>405</v>
      </c>
      <c r="BL3" s="224" t="s">
        <v>405</v>
      </c>
      <c r="BM3" s="224" t="s">
        <v>405</v>
      </c>
      <c r="BN3" s="225" t="s">
        <v>406</v>
      </c>
      <c r="BO3" s="224" t="s">
        <v>407</v>
      </c>
      <c r="BP3" s="224" t="s">
        <v>407</v>
      </c>
      <c r="BQ3" s="224" t="s">
        <v>407</v>
      </c>
      <c r="BR3" s="224" t="s">
        <v>407</v>
      </c>
      <c r="BS3" s="224" t="s">
        <v>407</v>
      </c>
      <c r="BT3" s="224" t="s">
        <v>407</v>
      </c>
      <c r="BU3" s="224" t="s">
        <v>407</v>
      </c>
      <c r="BV3" s="224" t="s">
        <v>407</v>
      </c>
      <c r="BW3" s="224" t="s">
        <v>407</v>
      </c>
      <c r="BX3" s="224" t="s">
        <v>407</v>
      </c>
      <c r="BY3" s="224" t="s">
        <v>407</v>
      </c>
      <c r="BZ3" s="224" t="s">
        <v>407</v>
      </c>
      <c r="CA3" s="224" t="s">
        <v>407</v>
      </c>
      <c r="CB3" s="224" t="s">
        <v>407</v>
      </c>
      <c r="CC3" s="224" t="s">
        <v>407</v>
      </c>
      <c r="CD3" s="224" t="s">
        <v>407</v>
      </c>
      <c r="CE3" s="224" t="s">
        <v>407</v>
      </c>
      <c r="CF3" s="224" t="s">
        <v>407</v>
      </c>
      <c r="CG3" s="224" t="s">
        <v>407</v>
      </c>
      <c r="CH3" s="224" t="s">
        <v>407</v>
      </c>
      <c r="CI3" s="224" t="s">
        <v>407</v>
      </c>
      <c r="CJ3" s="224" t="s">
        <v>407</v>
      </c>
      <c r="CK3" s="224" t="s">
        <v>407</v>
      </c>
      <c r="CL3" s="224" t="s">
        <v>407</v>
      </c>
      <c r="CM3" s="224" t="s">
        <v>407</v>
      </c>
      <c r="CN3" s="224" t="s">
        <v>407</v>
      </c>
      <c r="CO3" s="224" t="s">
        <v>407</v>
      </c>
      <c r="CP3" s="224" t="s">
        <v>407</v>
      </c>
      <c r="CQ3" s="224" t="s">
        <v>407</v>
      </c>
      <c r="CR3" s="224" t="s">
        <v>407</v>
      </c>
      <c r="CS3" s="224" t="s">
        <v>407</v>
      </c>
      <c r="CT3" s="224" t="s">
        <v>407</v>
      </c>
      <c r="CU3" s="224" t="s">
        <v>407</v>
      </c>
      <c r="CV3" s="224" t="s">
        <v>407</v>
      </c>
      <c r="CW3" s="224" t="s">
        <v>407</v>
      </c>
      <c r="CX3" s="224" t="s">
        <v>407</v>
      </c>
      <c r="CY3" s="224" t="s">
        <v>407</v>
      </c>
      <c r="CZ3" s="224" t="s">
        <v>407</v>
      </c>
      <c r="DA3" s="224" t="s">
        <v>407</v>
      </c>
      <c r="DB3" s="224" t="s">
        <v>407</v>
      </c>
      <c r="DC3" s="224" t="s">
        <v>407</v>
      </c>
      <c r="DD3" s="224" t="s">
        <v>407</v>
      </c>
      <c r="DE3" s="224" t="s">
        <v>407</v>
      </c>
      <c r="DF3" s="224" t="s">
        <v>407</v>
      </c>
      <c r="DG3" s="224" t="s">
        <v>407</v>
      </c>
      <c r="DH3" s="224" t="s">
        <v>407</v>
      </c>
      <c r="DI3" s="224" t="s">
        <v>407</v>
      </c>
      <c r="DJ3" s="224" t="s">
        <v>407</v>
      </c>
      <c r="DK3" s="224" t="s">
        <v>407</v>
      </c>
      <c r="DL3" s="224" t="s">
        <v>407</v>
      </c>
      <c r="DM3" s="224" t="s">
        <v>407</v>
      </c>
      <c r="DN3" s="224" t="s">
        <v>407</v>
      </c>
      <c r="DO3" s="224" t="s">
        <v>407</v>
      </c>
      <c r="DP3" s="224" t="s">
        <v>407</v>
      </c>
      <c r="DQ3" s="224" t="s">
        <v>407</v>
      </c>
      <c r="DR3" s="224" t="s">
        <v>407</v>
      </c>
      <c r="DS3" s="224" t="s">
        <v>407</v>
      </c>
      <c r="DT3" s="224" t="s">
        <v>407</v>
      </c>
      <c r="DU3" s="224" t="s">
        <v>407</v>
      </c>
      <c r="DV3" s="224" t="s">
        <v>407</v>
      </c>
      <c r="DW3" s="224" t="s">
        <v>407</v>
      </c>
      <c r="DX3" s="224" t="s">
        <v>408</v>
      </c>
      <c r="DY3" s="224" t="s">
        <v>408</v>
      </c>
      <c r="DZ3" s="224" t="s">
        <v>408</v>
      </c>
      <c r="EA3" s="224" t="s">
        <v>408</v>
      </c>
      <c r="EB3" s="224" t="s">
        <v>409</v>
      </c>
      <c r="EC3" s="224" t="s">
        <v>410</v>
      </c>
      <c r="ED3" s="224" t="s">
        <v>411</v>
      </c>
      <c r="EE3" s="224" t="s">
        <v>411</v>
      </c>
      <c r="EF3" s="224" t="s">
        <v>411</v>
      </c>
      <c r="EG3" s="225" t="s">
        <v>412</v>
      </c>
      <c r="EH3" s="224" t="s">
        <v>412</v>
      </c>
      <c r="EI3" s="224" t="s">
        <v>413</v>
      </c>
      <c r="EJ3" s="224" t="s">
        <v>414</v>
      </c>
      <c r="EK3" s="224" t="s">
        <v>414</v>
      </c>
      <c r="EL3" s="224" t="s">
        <v>415</v>
      </c>
      <c r="EM3" s="224" t="s">
        <v>416</v>
      </c>
      <c r="EN3" s="224" t="s">
        <v>417</v>
      </c>
      <c r="EO3" s="224" t="s">
        <v>418</v>
      </c>
      <c r="EP3" s="224" t="s">
        <v>419</v>
      </c>
      <c r="EQ3" s="224" t="s">
        <v>420</v>
      </c>
      <c r="ER3" s="224" t="s">
        <v>421</v>
      </c>
      <c r="ES3" s="224" t="s">
        <v>421</v>
      </c>
      <c r="ET3" s="224" t="s">
        <v>421</v>
      </c>
      <c r="EU3" s="224" t="s">
        <v>421</v>
      </c>
      <c r="EV3" s="224" t="s">
        <v>421</v>
      </c>
      <c r="EW3" s="224" t="s">
        <v>421</v>
      </c>
      <c r="EX3" s="224" t="s">
        <v>421</v>
      </c>
      <c r="EY3" s="224" t="s">
        <v>422</v>
      </c>
      <c r="EZ3" s="224" t="s">
        <v>422</v>
      </c>
      <c r="FA3" s="224" t="s">
        <v>422</v>
      </c>
      <c r="FB3" s="224" t="s">
        <v>422</v>
      </c>
      <c r="FC3" s="224" t="s">
        <v>422</v>
      </c>
      <c r="FD3" s="224" t="s">
        <v>423</v>
      </c>
      <c r="FE3" s="224" t="s">
        <v>423</v>
      </c>
      <c r="FF3" s="224" t="s">
        <v>424</v>
      </c>
      <c r="FG3" s="224" t="s">
        <v>424</v>
      </c>
      <c r="FH3" s="224" t="s">
        <v>424</v>
      </c>
      <c r="FI3" s="224" t="s">
        <v>425</v>
      </c>
      <c r="FJ3" s="224" t="s">
        <v>425</v>
      </c>
      <c r="FK3" s="224" t="s">
        <v>425</v>
      </c>
      <c r="FL3" s="224" t="s">
        <v>425</v>
      </c>
      <c r="FM3" s="224" t="s">
        <v>425</v>
      </c>
      <c r="FN3" s="224" t="s">
        <v>425</v>
      </c>
      <c r="FO3" s="224" t="s">
        <v>425</v>
      </c>
      <c r="FP3" s="224" t="s">
        <v>425</v>
      </c>
      <c r="FQ3" s="224" t="s">
        <v>425</v>
      </c>
      <c r="FR3" s="224" t="s">
        <v>425</v>
      </c>
      <c r="FS3" s="224" t="s">
        <v>425</v>
      </c>
      <c r="FT3" s="224" t="s">
        <v>425</v>
      </c>
      <c r="FU3" s="224" t="s">
        <v>425</v>
      </c>
      <c r="FV3" s="224" t="s">
        <v>425</v>
      </c>
      <c r="FW3" s="224" t="s">
        <v>425</v>
      </c>
      <c r="FX3" s="224" t="s">
        <v>425</v>
      </c>
      <c r="FY3" s="224" t="s">
        <v>425</v>
      </c>
      <c r="FZ3" s="224" t="s">
        <v>425</v>
      </c>
      <c r="GA3" s="224" t="s">
        <v>425</v>
      </c>
      <c r="GB3" s="399" t="s">
        <v>425</v>
      </c>
      <c r="GC3" s="399" t="s">
        <v>425</v>
      </c>
      <c r="GD3" s="399" t="s">
        <v>425</v>
      </c>
      <c r="GE3" s="399" t="s">
        <v>425</v>
      </c>
      <c r="GF3" s="399" t="s">
        <v>425</v>
      </c>
      <c r="GG3" s="399" t="s">
        <v>425</v>
      </c>
      <c r="GH3" s="399" t="s">
        <v>425</v>
      </c>
      <c r="GI3" s="224" t="s">
        <v>425</v>
      </c>
      <c r="GJ3" s="224" t="s">
        <v>425</v>
      </c>
      <c r="GK3" s="224" t="s">
        <v>425</v>
      </c>
      <c r="GL3" s="224" t="s">
        <v>425</v>
      </c>
      <c r="GM3" s="224" t="s">
        <v>425</v>
      </c>
      <c r="GN3" s="224" t="s">
        <v>425</v>
      </c>
      <c r="GO3" s="224" t="s">
        <v>425</v>
      </c>
      <c r="GP3" s="224" t="s">
        <v>425</v>
      </c>
      <c r="GQ3" s="224" t="s">
        <v>425</v>
      </c>
      <c r="GR3" s="224" t="s">
        <v>425</v>
      </c>
      <c r="GS3" s="224" t="s">
        <v>425</v>
      </c>
      <c r="GT3" s="224" t="s">
        <v>425</v>
      </c>
      <c r="GU3" s="224" t="s">
        <v>425</v>
      </c>
      <c r="GV3" s="224" t="s">
        <v>425</v>
      </c>
      <c r="GW3" s="224" t="s">
        <v>425</v>
      </c>
      <c r="GX3" s="224" t="s">
        <v>425</v>
      </c>
      <c r="GY3" s="224" t="s">
        <v>425</v>
      </c>
      <c r="GZ3" s="224" t="s">
        <v>426</v>
      </c>
      <c r="HA3" s="224" t="s">
        <v>427</v>
      </c>
      <c r="HB3" s="224" t="s">
        <v>428</v>
      </c>
      <c r="HC3" s="224" t="s">
        <v>428</v>
      </c>
      <c r="HD3" s="224" t="s">
        <v>428</v>
      </c>
      <c r="HE3" s="224" t="s">
        <v>428</v>
      </c>
      <c r="HF3" s="224" t="s">
        <v>428</v>
      </c>
      <c r="HG3" s="224" t="s">
        <v>429</v>
      </c>
      <c r="HH3" s="224" t="s">
        <v>429</v>
      </c>
      <c r="HI3" s="224" t="s">
        <v>429</v>
      </c>
      <c r="HJ3" s="224" t="s">
        <v>429</v>
      </c>
      <c r="HK3" s="224" t="s">
        <v>429</v>
      </c>
      <c r="HL3" s="224" t="s">
        <v>430</v>
      </c>
      <c r="HM3" s="224" t="s">
        <v>431</v>
      </c>
      <c r="HN3" s="224" t="s">
        <v>432</v>
      </c>
      <c r="HO3" s="224" t="s">
        <v>433</v>
      </c>
      <c r="HP3" s="224" t="s">
        <v>433</v>
      </c>
      <c r="HQ3" s="224" t="s">
        <v>433</v>
      </c>
      <c r="HR3" s="224" t="s">
        <v>433</v>
      </c>
      <c r="HS3" s="224" t="s">
        <v>433</v>
      </c>
      <c r="HT3" s="224" t="s">
        <v>433</v>
      </c>
      <c r="HU3" s="224" t="s">
        <v>433</v>
      </c>
      <c r="HV3" s="224" t="s">
        <v>433</v>
      </c>
      <c r="HW3" s="224" t="s">
        <v>433</v>
      </c>
      <c r="HX3" s="224" t="s">
        <v>433</v>
      </c>
      <c r="HY3" s="224" t="s">
        <v>433</v>
      </c>
      <c r="HZ3" s="224" t="s">
        <v>433</v>
      </c>
      <c r="IA3" s="224" t="s">
        <v>433</v>
      </c>
      <c r="IB3" s="224" t="s">
        <v>433</v>
      </c>
      <c r="IC3" s="224" t="s">
        <v>433</v>
      </c>
      <c r="ID3" s="224" t="s">
        <v>433</v>
      </c>
      <c r="IE3" s="224" t="s">
        <v>433</v>
      </c>
      <c r="IF3" s="224" t="s">
        <v>433</v>
      </c>
      <c r="IG3" s="224" t="s">
        <v>433</v>
      </c>
      <c r="IH3" s="224" t="s">
        <v>433</v>
      </c>
      <c r="II3" s="224" t="s">
        <v>433</v>
      </c>
      <c r="IJ3" s="224" t="s">
        <v>433</v>
      </c>
      <c r="IK3" s="224" t="s">
        <v>433</v>
      </c>
      <c r="IL3" s="224" t="s">
        <v>433</v>
      </c>
      <c r="IM3" s="224" t="s">
        <v>433</v>
      </c>
      <c r="IN3" s="224" t="s">
        <v>433</v>
      </c>
      <c r="IO3" s="224" t="s">
        <v>433</v>
      </c>
      <c r="IP3" s="224" t="s">
        <v>433</v>
      </c>
      <c r="IQ3" s="224" t="s">
        <v>433</v>
      </c>
      <c r="IR3" s="224" t="s">
        <v>433</v>
      </c>
      <c r="IS3" s="224" t="s">
        <v>433</v>
      </c>
      <c r="IT3" s="224" t="s">
        <v>433</v>
      </c>
      <c r="IU3" s="224" t="s">
        <v>433</v>
      </c>
      <c r="IV3" s="224" t="s">
        <v>433</v>
      </c>
      <c r="IW3" s="224" t="s">
        <v>433</v>
      </c>
      <c r="IX3" s="224" t="s">
        <v>433</v>
      </c>
      <c r="IY3" s="224" t="s">
        <v>433</v>
      </c>
      <c r="IZ3" s="224" t="s">
        <v>433</v>
      </c>
      <c r="JA3" s="224" t="s">
        <v>433</v>
      </c>
      <c r="JB3" s="224" t="s">
        <v>433</v>
      </c>
      <c r="JC3" s="224" t="s">
        <v>433</v>
      </c>
      <c r="JD3" s="224" t="s">
        <v>434</v>
      </c>
      <c r="JE3" s="224" t="s">
        <v>435</v>
      </c>
      <c r="JF3" s="224" t="s">
        <v>436</v>
      </c>
      <c r="JG3" s="224" t="s">
        <v>437</v>
      </c>
      <c r="JH3" s="224" t="s">
        <v>438</v>
      </c>
      <c r="JI3" s="224" t="s">
        <v>438</v>
      </c>
      <c r="JJ3" s="224" t="s">
        <v>438</v>
      </c>
      <c r="JK3" s="224" t="s">
        <v>438</v>
      </c>
      <c r="JL3" s="224" t="s">
        <v>438</v>
      </c>
      <c r="JM3" s="224" t="s">
        <v>438</v>
      </c>
      <c r="JN3" s="224" t="s">
        <v>439</v>
      </c>
      <c r="JO3" s="224" t="s">
        <v>440</v>
      </c>
      <c r="JP3" s="224" t="s">
        <v>441</v>
      </c>
      <c r="JQ3" s="224" t="s">
        <v>442</v>
      </c>
      <c r="JR3" s="224" t="s">
        <v>442</v>
      </c>
      <c r="JS3" s="224" t="s">
        <v>442</v>
      </c>
      <c r="JT3" s="224" t="s">
        <v>442</v>
      </c>
      <c r="JU3" s="224" t="s">
        <v>442</v>
      </c>
      <c r="JV3" s="224" t="s">
        <v>442</v>
      </c>
      <c r="JW3" s="224" t="s">
        <v>442</v>
      </c>
      <c r="JX3" s="224" t="s">
        <v>442</v>
      </c>
      <c r="JY3" s="224" t="s">
        <v>442</v>
      </c>
      <c r="JZ3" s="224" t="s">
        <v>442</v>
      </c>
      <c r="KA3" s="224" t="s">
        <v>442</v>
      </c>
      <c r="KB3" s="224" t="s">
        <v>442</v>
      </c>
      <c r="KC3" s="224" t="s">
        <v>442</v>
      </c>
      <c r="KD3" s="224" t="s">
        <v>442</v>
      </c>
      <c r="KE3" s="224" t="s">
        <v>442</v>
      </c>
      <c r="KF3" s="224" t="s">
        <v>442</v>
      </c>
      <c r="KG3" s="224" t="s">
        <v>442</v>
      </c>
      <c r="KH3" s="224" t="s">
        <v>442</v>
      </c>
      <c r="KI3" s="224" t="s">
        <v>442</v>
      </c>
      <c r="KJ3" s="224" t="s">
        <v>442</v>
      </c>
      <c r="KK3" s="224" t="s">
        <v>442</v>
      </c>
      <c r="KL3" s="224" t="s">
        <v>442</v>
      </c>
      <c r="KM3" s="224" t="s">
        <v>442</v>
      </c>
      <c r="KN3" s="224" t="s">
        <v>442</v>
      </c>
      <c r="KO3" s="224" t="s">
        <v>442</v>
      </c>
      <c r="KP3" s="224" t="s">
        <v>443</v>
      </c>
      <c r="KQ3" s="224" t="s">
        <v>444</v>
      </c>
      <c r="KR3" s="224" t="s">
        <v>445</v>
      </c>
      <c r="KS3" s="224" t="s">
        <v>446</v>
      </c>
      <c r="KT3" s="224" t="s">
        <v>447</v>
      </c>
      <c r="KU3" s="224" t="s">
        <v>448</v>
      </c>
      <c r="KV3" s="224" t="s">
        <v>449</v>
      </c>
      <c r="KW3" s="224" t="s">
        <v>450</v>
      </c>
      <c r="KX3" s="224" t="s">
        <v>451</v>
      </c>
      <c r="KY3" s="224" t="s">
        <v>451</v>
      </c>
      <c r="KZ3" s="224" t="s">
        <v>451</v>
      </c>
      <c r="LA3" s="224" t="s">
        <v>451</v>
      </c>
      <c r="LB3" s="224" t="s">
        <v>451</v>
      </c>
      <c r="LC3" s="224" t="s">
        <v>451</v>
      </c>
      <c r="LD3" s="224" t="s">
        <v>451</v>
      </c>
      <c r="LE3" s="224" t="s">
        <v>451</v>
      </c>
      <c r="LF3" s="224" t="s">
        <v>451</v>
      </c>
      <c r="LG3" s="224" t="s">
        <v>451</v>
      </c>
      <c r="LH3" s="224" t="s">
        <v>451</v>
      </c>
      <c r="LI3" s="224" t="s">
        <v>451</v>
      </c>
      <c r="LJ3" s="224" t="s">
        <v>451</v>
      </c>
      <c r="LK3" s="224" t="s">
        <v>452</v>
      </c>
      <c r="LL3" s="224" t="s">
        <v>452</v>
      </c>
      <c r="LM3" s="224" t="s">
        <v>453</v>
      </c>
      <c r="LN3" s="224" t="s">
        <v>454</v>
      </c>
      <c r="LO3" s="224" t="s">
        <v>454</v>
      </c>
      <c r="LP3" s="224" t="s">
        <v>454</v>
      </c>
      <c r="LQ3" s="224" t="s">
        <v>454</v>
      </c>
      <c r="LR3" s="224" t="s">
        <v>454</v>
      </c>
      <c r="LS3" s="224" t="s">
        <v>454</v>
      </c>
      <c r="LT3" s="224" t="s">
        <v>454</v>
      </c>
      <c r="LU3" s="224" t="s">
        <v>454</v>
      </c>
      <c r="LV3" s="224" t="s">
        <v>454</v>
      </c>
      <c r="LW3" s="224" t="s">
        <v>454</v>
      </c>
      <c r="LX3" s="224" t="s">
        <v>454</v>
      </c>
      <c r="LY3" s="224" t="s">
        <v>454</v>
      </c>
      <c r="LZ3" s="224" t="s">
        <v>454</v>
      </c>
      <c r="MA3" s="224" t="s">
        <v>454</v>
      </c>
      <c r="MB3" s="224" t="s">
        <v>454</v>
      </c>
      <c r="MC3" s="224" t="s">
        <v>454</v>
      </c>
      <c r="MD3" s="224" t="s">
        <v>454</v>
      </c>
      <c r="ME3" s="224" t="s">
        <v>454</v>
      </c>
      <c r="MF3" s="224" t="s">
        <v>454</v>
      </c>
      <c r="MG3" s="224" t="s">
        <v>455</v>
      </c>
      <c r="MH3" s="224" t="s">
        <v>456</v>
      </c>
      <c r="MI3" s="224" t="s">
        <v>457</v>
      </c>
      <c r="MJ3" s="224" t="s">
        <v>457</v>
      </c>
      <c r="MK3" s="224" t="s">
        <v>457</v>
      </c>
      <c r="ML3" s="224" t="s">
        <v>458</v>
      </c>
      <c r="MM3" s="224" t="s">
        <v>458</v>
      </c>
      <c r="MN3" s="224" t="s">
        <v>459</v>
      </c>
      <c r="MO3" s="224" t="s">
        <v>459</v>
      </c>
      <c r="MP3" s="224" t="s">
        <v>459</v>
      </c>
      <c r="MQ3" s="224" t="s">
        <v>459</v>
      </c>
      <c r="MR3" s="224" t="s">
        <v>459</v>
      </c>
      <c r="MS3" s="224" t="s">
        <v>459</v>
      </c>
      <c r="MT3" s="224" t="s">
        <v>459</v>
      </c>
      <c r="MU3" s="224" t="s">
        <v>459</v>
      </c>
      <c r="MV3" s="224" t="s">
        <v>459</v>
      </c>
      <c r="MW3" s="224" t="s">
        <v>459</v>
      </c>
      <c r="MX3" s="224" t="s">
        <v>459</v>
      </c>
      <c r="MY3" s="224" t="s">
        <v>459</v>
      </c>
      <c r="MZ3" s="224" t="s">
        <v>459</v>
      </c>
      <c r="NA3" s="224" t="s">
        <v>460</v>
      </c>
    </row>
    <row r="4" spans="1:365" ht="89" customHeight="1" x14ac:dyDescent="0.2">
      <c r="A4" s="1216"/>
      <c r="B4" s="201" t="s">
        <v>8876</v>
      </c>
      <c r="C4" s="202" t="s">
        <v>8875</v>
      </c>
      <c r="D4" s="215" t="s">
        <v>15</v>
      </c>
      <c r="E4" s="224" t="s">
        <v>8874</v>
      </c>
      <c r="F4" s="224" t="s">
        <v>8874</v>
      </c>
      <c r="G4" s="225" t="s">
        <v>8873</v>
      </c>
      <c r="H4" s="225" t="s">
        <v>8872</v>
      </c>
      <c r="I4" s="225" t="s">
        <v>8871</v>
      </c>
      <c r="J4" s="225" t="s">
        <v>8870</v>
      </c>
      <c r="K4" s="225" t="s">
        <v>8869</v>
      </c>
      <c r="L4" s="225" t="s">
        <v>8868</v>
      </c>
      <c r="M4" s="225" t="s">
        <v>8868</v>
      </c>
      <c r="N4" s="225" t="s">
        <v>8868</v>
      </c>
      <c r="O4" s="225" t="s">
        <v>8867</v>
      </c>
      <c r="P4" s="400" t="s">
        <v>8866</v>
      </c>
      <c r="Q4" s="225" t="s">
        <v>8865</v>
      </c>
      <c r="R4" s="225" t="s">
        <v>8864</v>
      </c>
      <c r="S4" s="226" t="s">
        <v>8863</v>
      </c>
      <c r="T4" s="225" t="s">
        <v>8862</v>
      </c>
      <c r="U4" s="225" t="s">
        <v>8861</v>
      </c>
      <c r="V4" s="225" t="s">
        <v>8860</v>
      </c>
      <c r="W4" s="226"/>
      <c r="X4" s="226"/>
      <c r="Y4" s="226"/>
      <c r="Z4" s="226"/>
      <c r="AA4" s="226"/>
      <c r="AB4" s="226"/>
      <c r="AC4" s="226"/>
      <c r="AD4" s="226"/>
      <c r="AE4" s="226"/>
      <c r="AF4" s="225" t="s">
        <v>8859</v>
      </c>
      <c r="AG4" s="225" t="s">
        <v>8858</v>
      </c>
      <c r="AH4" s="226"/>
      <c r="AI4" s="225" t="s">
        <v>8857</v>
      </c>
      <c r="AJ4" s="225" t="s">
        <v>8856</v>
      </c>
      <c r="AK4" s="229" t="s">
        <v>8855</v>
      </c>
      <c r="AL4" s="225" t="s">
        <v>8854</v>
      </c>
      <c r="AM4" s="226"/>
      <c r="AN4" s="226"/>
      <c r="AO4" s="226"/>
      <c r="AP4" s="226"/>
      <c r="AQ4" s="225" t="s">
        <v>8853</v>
      </c>
      <c r="AR4" s="225" t="s">
        <v>8852</v>
      </c>
      <c r="AS4" s="225" t="s">
        <v>8852</v>
      </c>
      <c r="AT4" s="225" t="s">
        <v>8851</v>
      </c>
      <c r="AU4" s="225" t="s">
        <v>8850</v>
      </c>
      <c r="AV4" s="225" t="s">
        <v>8849</v>
      </c>
      <c r="AW4" s="225" t="s">
        <v>8848</v>
      </c>
      <c r="AX4" s="232" t="s">
        <v>8847</v>
      </c>
      <c r="AY4" s="229" t="s">
        <v>6892</v>
      </c>
      <c r="AZ4" s="225" t="s">
        <v>8846</v>
      </c>
      <c r="BA4" s="225" t="s">
        <v>8845</v>
      </c>
      <c r="BB4" s="225" t="s">
        <v>8844</v>
      </c>
      <c r="BC4" s="225" t="s">
        <v>8843</v>
      </c>
      <c r="BD4" s="225" t="s">
        <v>8842</v>
      </c>
      <c r="BE4" s="229" t="s">
        <v>8841</v>
      </c>
      <c r="BF4" s="225" t="s">
        <v>8840</v>
      </c>
      <c r="BG4" s="225" t="s">
        <v>8839</v>
      </c>
      <c r="BH4" s="225" t="s">
        <v>8838</v>
      </c>
      <c r="BI4" s="225" t="s">
        <v>8837</v>
      </c>
      <c r="BJ4" s="225" t="s">
        <v>8836</v>
      </c>
      <c r="BK4" s="225" t="s">
        <v>8835</v>
      </c>
      <c r="BL4" s="225" t="s">
        <v>8834</v>
      </c>
      <c r="BM4" s="225" t="s">
        <v>6574</v>
      </c>
      <c r="BN4" s="226"/>
      <c r="BO4" s="225" t="s">
        <v>8833</v>
      </c>
      <c r="BP4" s="225" t="s">
        <v>8832</v>
      </c>
      <c r="BQ4" s="225" t="s">
        <v>8831</v>
      </c>
      <c r="BR4" s="233" t="s">
        <v>8830</v>
      </c>
      <c r="BS4" s="225" t="s">
        <v>8829</v>
      </c>
      <c r="BT4" s="225" t="s">
        <v>8828</v>
      </c>
      <c r="BU4" s="225" t="s">
        <v>8827</v>
      </c>
      <c r="BV4" s="225" t="s">
        <v>8826</v>
      </c>
      <c r="BW4" s="225" t="s">
        <v>8825</v>
      </c>
      <c r="BX4" s="225" t="s">
        <v>8824</v>
      </c>
      <c r="BY4" s="225" t="s">
        <v>8823</v>
      </c>
      <c r="BZ4" s="225" t="s">
        <v>8822</v>
      </c>
      <c r="CA4" s="225" t="s">
        <v>8821</v>
      </c>
      <c r="CB4" s="225" t="s">
        <v>8821</v>
      </c>
      <c r="CC4" s="225" t="s">
        <v>8820</v>
      </c>
      <c r="CD4" s="229" t="s">
        <v>8819</v>
      </c>
      <c r="CE4" s="229" t="s">
        <v>8818</v>
      </c>
      <c r="CF4" s="229" t="s">
        <v>8817</v>
      </c>
      <c r="CG4" s="229" t="s">
        <v>8816</v>
      </c>
      <c r="CH4" s="229" t="s">
        <v>8815</v>
      </c>
      <c r="CI4" s="229" t="s">
        <v>8814</v>
      </c>
      <c r="CJ4" s="229" t="s">
        <v>8813</v>
      </c>
      <c r="CK4" s="229" t="s">
        <v>8812</v>
      </c>
      <c r="CL4" s="229" t="s">
        <v>8811</v>
      </c>
      <c r="CM4" s="229" t="s">
        <v>8810</v>
      </c>
      <c r="CN4" s="225" t="s">
        <v>8809</v>
      </c>
      <c r="CO4" s="225" t="s">
        <v>8808</v>
      </c>
      <c r="CP4" s="225" t="s">
        <v>8807</v>
      </c>
      <c r="CQ4" s="401" t="s">
        <v>8806</v>
      </c>
      <c r="CR4" s="394" t="s">
        <v>8805</v>
      </c>
      <c r="CS4" s="225" t="s">
        <v>8804</v>
      </c>
      <c r="CT4" s="225" t="s">
        <v>8803</v>
      </c>
      <c r="CU4" s="402" t="s">
        <v>8802</v>
      </c>
      <c r="CV4" s="225" t="s">
        <v>8801</v>
      </c>
      <c r="CW4" s="225" t="s">
        <v>8800</v>
      </c>
      <c r="CX4" s="225" t="s">
        <v>6547</v>
      </c>
      <c r="CY4" s="403" t="s">
        <v>6546</v>
      </c>
      <c r="CZ4" s="225" t="s">
        <v>8799</v>
      </c>
      <c r="DA4" s="225" t="s">
        <v>8798</v>
      </c>
      <c r="DB4" s="225" t="s">
        <v>8797</v>
      </c>
      <c r="DC4" s="225" t="s">
        <v>8796</v>
      </c>
      <c r="DD4" s="225" t="s">
        <v>8795</v>
      </c>
      <c r="DE4" s="225" t="s">
        <v>8794</v>
      </c>
      <c r="DF4" s="225" t="s">
        <v>8793</v>
      </c>
      <c r="DG4" s="225" t="s">
        <v>8792</v>
      </c>
      <c r="DH4" s="225" t="s">
        <v>8791</v>
      </c>
      <c r="DI4" s="225" t="s">
        <v>8790</v>
      </c>
      <c r="DJ4" s="225" t="s">
        <v>8789</v>
      </c>
      <c r="DK4" s="225" t="s">
        <v>8788</v>
      </c>
      <c r="DL4" s="225" t="s">
        <v>8787</v>
      </c>
      <c r="DM4" s="225" t="s">
        <v>8786</v>
      </c>
      <c r="DN4" s="225" t="s">
        <v>8785</v>
      </c>
      <c r="DO4" s="225" t="s">
        <v>8784</v>
      </c>
      <c r="DP4" s="225" t="s">
        <v>8783</v>
      </c>
      <c r="DQ4" s="225" t="s">
        <v>8782</v>
      </c>
      <c r="DR4" s="225" t="s">
        <v>8781</v>
      </c>
      <c r="DS4" s="225" t="s">
        <v>8780</v>
      </c>
      <c r="DT4" s="225" t="s">
        <v>8779</v>
      </c>
      <c r="DU4" s="225" t="s">
        <v>8778</v>
      </c>
      <c r="DV4" s="225" t="s">
        <v>8777</v>
      </c>
      <c r="DW4" s="226" t="s">
        <v>8776</v>
      </c>
      <c r="DX4" s="225" t="s">
        <v>8775</v>
      </c>
      <c r="DY4" s="225" t="s">
        <v>8774</v>
      </c>
      <c r="DZ4" s="233" t="s">
        <v>8773</v>
      </c>
      <c r="EA4" s="225" t="s">
        <v>8772</v>
      </c>
      <c r="EB4" s="225" t="s">
        <v>8771</v>
      </c>
      <c r="EC4" s="226"/>
      <c r="ED4" s="225" t="s">
        <v>8769</v>
      </c>
      <c r="EE4" s="225" t="s">
        <v>8770</v>
      </c>
      <c r="EF4" s="225" t="s">
        <v>8769</v>
      </c>
      <c r="EG4" s="226"/>
      <c r="EH4" s="225" t="s">
        <v>8768</v>
      </c>
      <c r="EI4" s="225" t="s">
        <v>8767</v>
      </c>
      <c r="EJ4" s="226"/>
      <c r="EK4" s="226"/>
      <c r="EL4" s="226"/>
      <c r="EM4" s="226"/>
      <c r="EN4" s="226"/>
      <c r="EO4" s="226"/>
      <c r="EP4" s="226"/>
      <c r="EQ4" s="226"/>
      <c r="ER4" s="225" t="s">
        <v>8766</v>
      </c>
      <c r="ES4" s="225" t="s">
        <v>8765</v>
      </c>
      <c r="ET4" s="225" t="s">
        <v>8764</v>
      </c>
      <c r="EU4" s="225" t="s">
        <v>8764</v>
      </c>
      <c r="EV4" s="225" t="s">
        <v>8764</v>
      </c>
      <c r="EW4" s="225" t="s">
        <v>8763</v>
      </c>
      <c r="EX4" s="225" t="s">
        <v>8762</v>
      </c>
      <c r="EY4" s="225" t="s">
        <v>8761</v>
      </c>
      <c r="EZ4" s="229" t="s">
        <v>8760</v>
      </c>
      <c r="FA4" s="225" t="s">
        <v>8759</v>
      </c>
      <c r="FB4" s="225" t="s">
        <v>8758</v>
      </c>
      <c r="FC4" s="225" t="s">
        <v>8757</v>
      </c>
      <c r="FD4" s="226"/>
      <c r="FE4" s="404" t="s">
        <v>8756</v>
      </c>
      <c r="FF4" s="225" t="s">
        <v>8755</v>
      </c>
      <c r="FG4" s="225" t="s">
        <v>8754</v>
      </c>
      <c r="FH4" s="224" t="s">
        <v>8753</v>
      </c>
      <c r="FI4" s="394" t="s">
        <v>8752</v>
      </c>
      <c r="FJ4" s="394" t="s">
        <v>8752</v>
      </c>
      <c r="FK4" s="225"/>
      <c r="FL4" s="394" t="s">
        <v>8752</v>
      </c>
      <c r="FM4" s="225" t="s">
        <v>8751</v>
      </c>
      <c r="FN4" s="225"/>
      <c r="FO4" s="394" t="s">
        <v>8750</v>
      </c>
      <c r="FP4" s="225"/>
      <c r="FQ4" s="394" t="s">
        <v>8749</v>
      </c>
      <c r="FR4" s="394" t="s">
        <v>8748</v>
      </c>
      <c r="FS4" s="225"/>
      <c r="FT4" s="394" t="s">
        <v>8747</v>
      </c>
      <c r="FU4" s="226"/>
      <c r="FV4" s="394" t="s">
        <v>8747</v>
      </c>
      <c r="FW4" s="394" t="s">
        <v>8746</v>
      </c>
      <c r="FX4" s="394" t="s">
        <v>8745</v>
      </c>
      <c r="FY4" s="226"/>
      <c r="FZ4" s="394" t="s">
        <v>8744</v>
      </c>
      <c r="GA4" s="394" t="s">
        <v>8743</v>
      </c>
      <c r="GB4" s="394" t="s">
        <v>8743</v>
      </c>
      <c r="GC4" s="226"/>
      <c r="GD4" s="394" t="s">
        <v>8742</v>
      </c>
      <c r="GE4" s="394" t="s">
        <v>8741</v>
      </c>
      <c r="GF4" s="394" t="s">
        <v>8741</v>
      </c>
      <c r="GG4" s="394" t="s">
        <v>8740</v>
      </c>
      <c r="GH4" s="394" t="s">
        <v>8740</v>
      </c>
      <c r="GI4" s="226"/>
      <c r="GJ4" s="394" t="s">
        <v>8739</v>
      </c>
      <c r="GK4" s="394" t="s">
        <v>8738</v>
      </c>
      <c r="GL4" s="394" t="s">
        <v>8737</v>
      </c>
      <c r="GM4" s="394" t="s">
        <v>8736</v>
      </c>
      <c r="GN4" s="394" t="s">
        <v>8736</v>
      </c>
      <c r="GO4" s="226"/>
      <c r="GP4" s="394" t="s">
        <v>8735</v>
      </c>
      <c r="GQ4" s="226"/>
      <c r="GR4" s="394" t="s">
        <v>8734</v>
      </c>
      <c r="GS4" s="394" t="s">
        <v>8733</v>
      </c>
      <c r="GT4" s="225"/>
      <c r="GU4" s="394" t="s">
        <v>8732</v>
      </c>
      <c r="GV4" s="394" t="s">
        <v>8731</v>
      </c>
      <c r="GW4" s="226"/>
      <c r="GX4" s="225" t="s">
        <v>8730</v>
      </c>
      <c r="GY4" s="225" t="s">
        <v>8729</v>
      </c>
      <c r="GZ4" s="394" t="s">
        <v>8728</v>
      </c>
      <c r="HA4" s="225" t="s">
        <v>8727</v>
      </c>
      <c r="HB4" s="225" t="s">
        <v>8726</v>
      </c>
      <c r="HC4" s="225" t="s">
        <v>8725</v>
      </c>
      <c r="HD4" s="225" t="s">
        <v>8724</v>
      </c>
      <c r="HE4" s="225" t="s">
        <v>8723</v>
      </c>
      <c r="HF4" s="226"/>
      <c r="HG4" s="227" t="s">
        <v>8722</v>
      </c>
      <c r="HH4" s="227" t="s">
        <v>8721</v>
      </c>
      <c r="HI4" s="227" t="s">
        <v>8720</v>
      </c>
      <c r="HJ4" s="225" t="s">
        <v>8719</v>
      </c>
      <c r="HK4" s="227" t="s">
        <v>8718</v>
      </c>
      <c r="HL4" s="226"/>
      <c r="HM4" s="225" t="s">
        <v>8717</v>
      </c>
      <c r="HN4" s="226"/>
      <c r="HO4" s="225" t="s">
        <v>8716</v>
      </c>
      <c r="HP4" s="225" t="s">
        <v>8715</v>
      </c>
      <c r="HQ4" s="225" t="s">
        <v>8714</v>
      </c>
      <c r="HR4" s="225" t="s">
        <v>8714</v>
      </c>
      <c r="HS4" s="225" t="s">
        <v>8713</v>
      </c>
      <c r="HT4" s="225" t="s">
        <v>8712</v>
      </c>
      <c r="HU4" s="225" t="s">
        <v>8711</v>
      </c>
      <c r="HV4" s="225" t="s">
        <v>8710</v>
      </c>
      <c r="HW4" s="225" t="s">
        <v>8709</v>
      </c>
      <c r="HX4" s="225" t="s">
        <v>8708</v>
      </c>
      <c r="HY4" s="225" t="s">
        <v>8707</v>
      </c>
      <c r="HZ4" s="228" t="s">
        <v>8706</v>
      </c>
      <c r="IA4" s="225" t="s">
        <v>8705</v>
      </c>
      <c r="IB4" s="225" t="s">
        <v>8704</v>
      </c>
      <c r="IC4" s="225" t="s">
        <v>8704</v>
      </c>
      <c r="ID4" s="225" t="s">
        <v>8703</v>
      </c>
      <c r="IE4" s="225" t="s">
        <v>8703</v>
      </c>
      <c r="IF4" s="225" t="s">
        <v>8703</v>
      </c>
      <c r="IG4" s="225" t="s">
        <v>8702</v>
      </c>
      <c r="IH4" s="229" t="s">
        <v>8701</v>
      </c>
      <c r="II4" s="225" t="s">
        <v>8700</v>
      </c>
      <c r="IJ4" s="225" t="s">
        <v>8699</v>
      </c>
      <c r="IK4" s="225" t="s">
        <v>8699</v>
      </c>
      <c r="IL4" s="225" t="s">
        <v>8698</v>
      </c>
      <c r="IM4" s="225" t="s">
        <v>8697</v>
      </c>
      <c r="IN4" s="225" t="s">
        <v>8696</v>
      </c>
      <c r="IO4" s="225" t="s">
        <v>8695</v>
      </c>
      <c r="IP4" s="225" t="s">
        <v>8695</v>
      </c>
      <c r="IQ4" s="225" t="s">
        <v>8695</v>
      </c>
      <c r="IR4" s="225" t="s">
        <v>8694</v>
      </c>
      <c r="IS4" s="225" t="s">
        <v>8693</v>
      </c>
      <c r="IT4" s="225" t="s">
        <v>8692</v>
      </c>
      <c r="IU4" s="225" t="s">
        <v>8691</v>
      </c>
      <c r="IV4" s="225" t="s">
        <v>8690</v>
      </c>
      <c r="IW4" s="225" t="s">
        <v>8689</v>
      </c>
      <c r="IX4" s="225" t="s">
        <v>8688</v>
      </c>
      <c r="IY4" s="225" t="s">
        <v>8687</v>
      </c>
      <c r="IZ4" s="225" t="s">
        <v>8686</v>
      </c>
      <c r="JA4" s="225" t="s">
        <v>8685</v>
      </c>
      <c r="JB4" s="225" t="s">
        <v>8684</v>
      </c>
      <c r="JC4" s="225" t="s">
        <v>8683</v>
      </c>
      <c r="JD4" s="225" t="s">
        <v>8682</v>
      </c>
      <c r="JE4" s="226"/>
      <c r="JF4" s="226"/>
      <c r="JG4" s="226"/>
      <c r="JH4" s="230" t="s">
        <v>8681</v>
      </c>
      <c r="JI4" s="230" t="s">
        <v>8680</v>
      </c>
      <c r="JJ4" s="230" t="s">
        <v>8679</v>
      </c>
      <c r="JK4" s="231" t="s">
        <v>8678</v>
      </c>
      <c r="JL4" s="230" t="s">
        <v>8677</v>
      </c>
      <c r="JM4" s="230" t="s">
        <v>8676</v>
      </c>
      <c r="JN4" s="226"/>
      <c r="JO4" s="226"/>
      <c r="JP4" s="226"/>
      <c r="JQ4" s="225" t="s">
        <v>8675</v>
      </c>
      <c r="JR4" s="225" t="s">
        <v>8674</v>
      </c>
      <c r="JS4" s="225" t="s">
        <v>8673</v>
      </c>
      <c r="JT4" s="225" t="s">
        <v>8672</v>
      </c>
      <c r="JU4" s="225" t="s">
        <v>8671</v>
      </c>
      <c r="JV4" s="225" t="s">
        <v>8671</v>
      </c>
      <c r="JW4" s="225" t="s">
        <v>8670</v>
      </c>
      <c r="JX4" s="225" t="s">
        <v>8669</v>
      </c>
      <c r="JY4" s="225" t="s">
        <v>8668</v>
      </c>
      <c r="JZ4" s="225" t="s">
        <v>8667</v>
      </c>
      <c r="KA4" s="225" t="s">
        <v>8666</v>
      </c>
      <c r="KB4" s="225" t="s">
        <v>8665</v>
      </c>
      <c r="KC4" s="225" t="s">
        <v>8664</v>
      </c>
      <c r="KD4" s="225" t="s">
        <v>8663</v>
      </c>
      <c r="KE4" s="232" t="s">
        <v>8662</v>
      </c>
      <c r="KF4" s="225" t="s">
        <v>8661</v>
      </c>
      <c r="KG4" s="225" t="s">
        <v>8660</v>
      </c>
      <c r="KH4" s="225" t="s">
        <v>8659</v>
      </c>
      <c r="KI4" s="225" t="s">
        <v>8658</v>
      </c>
      <c r="KJ4" s="225" t="s">
        <v>8657</v>
      </c>
      <c r="KK4" s="232" t="s">
        <v>8657</v>
      </c>
      <c r="KL4" s="225" t="s">
        <v>8656</v>
      </c>
      <c r="KM4" s="225" t="s">
        <v>8655</v>
      </c>
      <c r="KN4" s="225" t="s">
        <v>8654</v>
      </c>
      <c r="KO4" s="225" t="s">
        <v>8653</v>
      </c>
      <c r="KP4" s="225" t="s">
        <v>8652</v>
      </c>
      <c r="KQ4" s="226"/>
      <c r="KR4" s="226"/>
      <c r="KS4" s="226"/>
      <c r="KT4" s="226"/>
      <c r="KU4" s="226"/>
      <c r="KV4" s="225" t="s">
        <v>8651</v>
      </c>
      <c r="KW4" s="225" t="s">
        <v>8650</v>
      </c>
      <c r="KX4" s="228" t="s">
        <v>9294</v>
      </c>
      <c r="KY4" s="793" t="s">
        <v>9273</v>
      </c>
      <c r="KZ4" s="225" t="s">
        <v>9266</v>
      </c>
      <c r="LA4" s="225" t="s">
        <v>9248</v>
      </c>
      <c r="LB4" s="225" t="s">
        <v>9233</v>
      </c>
      <c r="LC4" s="225" t="s">
        <v>9215</v>
      </c>
      <c r="LD4" s="225" t="s">
        <v>9208</v>
      </c>
      <c r="LE4" s="225" t="s">
        <v>9193</v>
      </c>
      <c r="LF4" s="225" t="s">
        <v>9186</v>
      </c>
      <c r="LG4" s="225" t="s">
        <v>9175</v>
      </c>
      <c r="LH4" s="225" t="s">
        <v>9158</v>
      </c>
      <c r="LI4" s="225" t="s">
        <v>9144</v>
      </c>
      <c r="LJ4" s="225" t="s">
        <v>9122</v>
      </c>
      <c r="LK4" s="233" t="s">
        <v>8649</v>
      </c>
      <c r="LL4" s="225" t="s">
        <v>8648</v>
      </c>
      <c r="LM4" s="226"/>
      <c r="LN4" s="225" t="s">
        <v>8647</v>
      </c>
      <c r="LO4" s="225" t="s">
        <v>8646</v>
      </c>
      <c r="LP4" s="225" t="s">
        <v>8645</v>
      </c>
      <c r="LQ4" s="225" t="s">
        <v>8644</v>
      </c>
      <c r="LR4" s="225" t="s">
        <v>8643</v>
      </c>
      <c r="LS4" s="225" t="s">
        <v>8642</v>
      </c>
      <c r="LT4" s="234" t="s">
        <v>8641</v>
      </c>
      <c r="LU4" s="225" t="s">
        <v>8640</v>
      </c>
      <c r="LV4" s="225" t="s">
        <v>8639</v>
      </c>
      <c r="LW4" s="225" t="s">
        <v>8638</v>
      </c>
      <c r="LX4" s="225" t="s">
        <v>8637</v>
      </c>
      <c r="LY4" s="225" t="s">
        <v>8636</v>
      </c>
      <c r="LZ4" s="225" t="s">
        <v>8635</v>
      </c>
      <c r="MA4" s="225" t="s">
        <v>8634</v>
      </c>
      <c r="MB4" s="225" t="s">
        <v>8633</v>
      </c>
      <c r="MC4" s="225" t="s">
        <v>8632</v>
      </c>
      <c r="MD4" s="225" t="s">
        <v>8631</v>
      </c>
      <c r="ME4" s="225" t="s">
        <v>8630</v>
      </c>
      <c r="MF4" s="225" t="s">
        <v>8629</v>
      </c>
      <c r="MG4" s="226"/>
      <c r="MH4" s="226"/>
      <c r="MI4" s="226"/>
      <c r="MJ4" s="235" t="s">
        <v>8628</v>
      </c>
      <c r="MK4" s="225"/>
      <c r="ML4" s="235" t="s">
        <v>8627</v>
      </c>
      <c r="MM4" s="235" t="s">
        <v>8626</v>
      </c>
      <c r="MN4" s="236" t="s">
        <v>8625</v>
      </c>
      <c r="MO4" s="236" t="s">
        <v>8624</v>
      </c>
      <c r="MP4" s="236" t="s">
        <v>8623</v>
      </c>
      <c r="MQ4" s="236" t="s">
        <v>8622</v>
      </c>
      <c r="MR4" s="236" t="s">
        <v>8621</v>
      </c>
      <c r="MS4" s="236" t="s">
        <v>8620</v>
      </c>
      <c r="MT4" s="235" t="s">
        <v>8619</v>
      </c>
      <c r="MU4" s="236" t="s">
        <v>8618</v>
      </c>
      <c r="MV4" s="235" t="s">
        <v>8617</v>
      </c>
      <c r="MW4" s="235" t="s">
        <v>8616</v>
      </c>
      <c r="MX4" s="226"/>
      <c r="MY4" s="226"/>
      <c r="MZ4" s="226"/>
      <c r="NA4" s="226"/>
    </row>
    <row r="5" spans="1:365" ht="96" customHeight="1" x14ac:dyDescent="0.2">
      <c r="A5" s="1216" t="s">
        <v>9558</v>
      </c>
      <c r="B5" s="201" t="s">
        <v>16</v>
      </c>
      <c r="C5" s="202" t="s">
        <v>8615</v>
      </c>
      <c r="D5" s="215" t="s">
        <v>15</v>
      </c>
      <c r="E5" s="224" t="s">
        <v>8614</v>
      </c>
      <c r="F5" s="224" t="s">
        <v>8613</v>
      </c>
      <c r="G5" s="225" t="s">
        <v>8611</v>
      </c>
      <c r="H5" s="225" t="s">
        <v>8611</v>
      </c>
      <c r="I5" s="225" t="s">
        <v>8612</v>
      </c>
      <c r="J5" s="225" t="s">
        <v>8611</v>
      </c>
      <c r="K5" s="225" t="s">
        <v>8610</v>
      </c>
      <c r="L5" s="225" t="s">
        <v>8444</v>
      </c>
      <c r="M5" s="225" t="s">
        <v>8609</v>
      </c>
      <c r="N5" s="225" t="s">
        <v>8608</v>
      </c>
      <c r="O5" s="225" t="s">
        <v>8607</v>
      </c>
      <c r="P5" s="400" t="s">
        <v>8606</v>
      </c>
      <c r="Q5" s="225" t="s">
        <v>8439</v>
      </c>
      <c r="R5" s="225" t="s">
        <v>8605</v>
      </c>
      <c r="S5" s="226" t="s">
        <v>8604</v>
      </c>
      <c r="T5" s="225" t="s">
        <v>8603</v>
      </c>
      <c r="U5" s="225" t="s">
        <v>8602</v>
      </c>
      <c r="V5" s="225" t="s">
        <v>8601</v>
      </c>
      <c r="W5" s="226"/>
      <c r="X5" s="226"/>
      <c r="Y5" s="226"/>
      <c r="Z5" s="226"/>
      <c r="AA5" s="226"/>
      <c r="AB5" s="226"/>
      <c r="AC5" s="226"/>
      <c r="AD5" s="226"/>
      <c r="AE5" s="226"/>
      <c r="AF5" s="225" t="s">
        <v>8600</v>
      </c>
      <c r="AG5" s="225" t="s">
        <v>8599</v>
      </c>
      <c r="AH5" s="226"/>
      <c r="AI5" s="225" t="s">
        <v>1413</v>
      </c>
      <c r="AJ5" s="225" t="s">
        <v>8539</v>
      </c>
      <c r="AK5" s="229" t="s">
        <v>1413</v>
      </c>
      <c r="AL5" s="225" t="s">
        <v>1414</v>
      </c>
      <c r="AM5" s="226"/>
      <c r="AN5" s="226"/>
      <c r="AO5" s="226"/>
      <c r="AP5" s="226"/>
      <c r="AQ5" s="225" t="s">
        <v>8365</v>
      </c>
      <c r="AR5" s="225" t="s">
        <v>8598</v>
      </c>
      <c r="AS5" s="225" t="s">
        <v>8597</v>
      </c>
      <c r="AT5" s="225" t="s">
        <v>8435</v>
      </c>
      <c r="AU5" s="225" t="s">
        <v>8596</v>
      </c>
      <c r="AV5" s="225" t="s">
        <v>8431</v>
      </c>
      <c r="AW5" s="225" t="s">
        <v>8431</v>
      </c>
      <c r="AX5" s="232" t="s">
        <v>8595</v>
      </c>
      <c r="AY5" s="229" t="s">
        <v>8431</v>
      </c>
      <c r="AZ5" s="225" t="s">
        <v>8594</v>
      </c>
      <c r="BA5" s="225" t="s">
        <v>8593</v>
      </c>
      <c r="BB5" s="225" t="s">
        <v>8592</v>
      </c>
      <c r="BC5" s="225"/>
      <c r="BD5" s="225" t="s">
        <v>8591</v>
      </c>
      <c r="BE5" s="229" t="s">
        <v>8432</v>
      </c>
      <c r="BF5" s="225" t="s">
        <v>8590</v>
      </c>
      <c r="BG5" s="225" t="s">
        <v>8431</v>
      </c>
      <c r="BH5" s="225" t="s">
        <v>7873</v>
      </c>
      <c r="BI5" s="225" t="s">
        <v>8431</v>
      </c>
      <c r="BJ5" s="225" t="s">
        <v>8431</v>
      </c>
      <c r="BK5" s="225" t="s">
        <v>1414</v>
      </c>
      <c r="BL5" s="225" t="s">
        <v>8431</v>
      </c>
      <c r="BM5" s="225" t="s">
        <v>8431</v>
      </c>
      <c r="BN5" s="226"/>
      <c r="BO5" s="225" t="s">
        <v>8589</v>
      </c>
      <c r="BP5" s="225"/>
      <c r="BQ5" s="225" t="s">
        <v>8588</v>
      </c>
      <c r="BR5" s="233" t="s">
        <v>8587</v>
      </c>
      <c r="BS5" s="225" t="s">
        <v>8586</v>
      </c>
      <c r="BT5" s="225" t="s">
        <v>1414</v>
      </c>
      <c r="BU5" s="225" t="s">
        <v>8585</v>
      </c>
      <c r="BV5" s="225" t="s">
        <v>8584</v>
      </c>
      <c r="BW5" s="225" t="s">
        <v>910</v>
      </c>
      <c r="BX5" s="225"/>
      <c r="BY5" s="225" t="s">
        <v>8583</v>
      </c>
      <c r="BZ5" s="224" t="s">
        <v>8582</v>
      </c>
      <c r="CA5" s="225" t="s">
        <v>8581</v>
      </c>
      <c r="CB5" s="225" t="s">
        <v>8580</v>
      </c>
      <c r="CC5" s="225" t="s">
        <v>8579</v>
      </c>
      <c r="CD5" s="229" t="s">
        <v>1413</v>
      </c>
      <c r="CE5" s="229" t="s">
        <v>8578</v>
      </c>
      <c r="CF5" s="229" t="s">
        <v>8577</v>
      </c>
      <c r="CG5" s="229" t="s">
        <v>8423</v>
      </c>
      <c r="CH5" s="229" t="s">
        <v>8576</v>
      </c>
      <c r="CI5" s="229" t="s">
        <v>8422</v>
      </c>
      <c r="CJ5" s="229" t="s">
        <v>1413</v>
      </c>
      <c r="CK5" s="229" t="s">
        <v>7528</v>
      </c>
      <c r="CL5" s="405" t="s">
        <v>8575</v>
      </c>
      <c r="CM5" s="229" t="s">
        <v>8574</v>
      </c>
      <c r="CN5" s="225" t="s">
        <v>8573</v>
      </c>
      <c r="CO5" s="225" t="s">
        <v>1413</v>
      </c>
      <c r="CP5" s="225" t="s">
        <v>8420</v>
      </c>
      <c r="CQ5" s="406" t="s">
        <v>8572</v>
      </c>
      <c r="CR5" s="394" t="s">
        <v>8571</v>
      </c>
      <c r="CS5" s="225" t="s">
        <v>7522</v>
      </c>
      <c r="CT5" s="225" t="s">
        <v>8570</v>
      </c>
      <c r="CU5" s="402" t="s">
        <v>8569</v>
      </c>
      <c r="CV5" s="225" t="s">
        <v>8419</v>
      </c>
      <c r="CW5" s="225" t="s">
        <v>8418</v>
      </c>
      <c r="CX5" s="225" t="s">
        <v>8568</v>
      </c>
      <c r="CY5" s="403" t="s">
        <v>8567</v>
      </c>
      <c r="CZ5" s="225" t="s">
        <v>8566</v>
      </c>
      <c r="DA5" s="225" t="s">
        <v>7844</v>
      </c>
      <c r="DB5" s="225" t="s">
        <v>8565</v>
      </c>
      <c r="DC5" s="225" t="s">
        <v>8564</v>
      </c>
      <c r="DD5" s="225" t="s">
        <v>8365</v>
      </c>
      <c r="DE5" s="225" t="s">
        <v>6870</v>
      </c>
      <c r="DF5" s="225" t="s">
        <v>8416</v>
      </c>
      <c r="DG5" s="225" t="s">
        <v>8563</v>
      </c>
      <c r="DH5" s="225" t="s">
        <v>8562</v>
      </c>
      <c r="DI5" s="225" t="s">
        <v>8561</v>
      </c>
      <c r="DJ5" s="225" t="s">
        <v>8560</v>
      </c>
      <c r="DK5" s="225" t="s">
        <v>8559</v>
      </c>
      <c r="DL5" s="225" t="s">
        <v>8558</v>
      </c>
      <c r="DM5" s="225" t="s">
        <v>8557</v>
      </c>
      <c r="DN5" s="225" t="s">
        <v>8556</v>
      </c>
      <c r="DO5" s="225"/>
      <c r="DP5" s="226" t="s">
        <v>8555</v>
      </c>
      <c r="DQ5" s="225" t="s">
        <v>8554</v>
      </c>
      <c r="DR5" s="226" t="s">
        <v>8553</v>
      </c>
      <c r="DS5" s="225" t="s">
        <v>8552</v>
      </c>
      <c r="DT5" s="229" t="s">
        <v>9504</v>
      </c>
      <c r="DU5" s="225" t="s">
        <v>8551</v>
      </c>
      <c r="DV5" s="225" t="s">
        <v>8550</v>
      </c>
      <c r="DW5" s="225" t="s">
        <v>8410</v>
      </c>
      <c r="DX5" s="225" t="s">
        <v>8549</v>
      </c>
      <c r="DY5" s="225" t="s">
        <v>1413</v>
      </c>
      <c r="DZ5" s="233" t="s">
        <v>8365</v>
      </c>
      <c r="EA5" s="225" t="s">
        <v>8548</v>
      </c>
      <c r="EB5" s="225" t="s">
        <v>8407</v>
      </c>
      <c r="EC5" s="226"/>
      <c r="ED5" s="225" t="s">
        <v>8547</v>
      </c>
      <c r="EE5" s="225" t="s">
        <v>8546</v>
      </c>
      <c r="EF5" s="225" t="s">
        <v>8545</v>
      </c>
      <c r="EG5" s="226"/>
      <c r="EH5" s="225" t="s">
        <v>8544</v>
      </c>
      <c r="EI5" s="225" t="s">
        <v>8404</v>
      </c>
      <c r="EJ5" s="226"/>
      <c r="EK5" s="226"/>
      <c r="EL5" s="226"/>
      <c r="EM5" s="226"/>
      <c r="EN5" s="226"/>
      <c r="EO5" s="226"/>
      <c r="EP5" s="226"/>
      <c r="EQ5" s="226"/>
      <c r="ER5" s="225" t="s">
        <v>1414</v>
      </c>
      <c r="ES5" s="225" t="s">
        <v>8365</v>
      </c>
      <c r="ET5" s="225" t="s">
        <v>8543</v>
      </c>
      <c r="EU5" s="225" t="s">
        <v>8542</v>
      </c>
      <c r="EV5" s="225" t="s">
        <v>8541</v>
      </c>
      <c r="EW5" s="225" t="s">
        <v>8540</v>
      </c>
      <c r="EX5" s="225" t="s">
        <v>8539</v>
      </c>
      <c r="EY5" s="225" t="s">
        <v>8402</v>
      </c>
      <c r="EZ5" s="229" t="s">
        <v>8538</v>
      </c>
      <c r="FA5" s="225" t="s">
        <v>8537</v>
      </c>
      <c r="FB5" s="225" t="s">
        <v>8536</v>
      </c>
      <c r="FC5" s="225" t="s">
        <v>8535</v>
      </c>
      <c r="FD5" s="226"/>
      <c r="FE5" s="404" t="s">
        <v>1772</v>
      </c>
      <c r="FF5" s="225" t="s">
        <v>8534</v>
      </c>
      <c r="FG5" s="232" t="s">
        <v>8398</v>
      </c>
      <c r="FH5" s="224" t="s">
        <v>8365</v>
      </c>
      <c r="FI5" s="394" t="s">
        <v>1256</v>
      </c>
      <c r="FJ5" s="394" t="s">
        <v>8388</v>
      </c>
      <c r="FK5" s="225" t="s">
        <v>8449</v>
      </c>
      <c r="FL5" s="394" t="s">
        <v>8397</v>
      </c>
      <c r="FM5" s="225" t="s">
        <v>8533</v>
      </c>
      <c r="FN5" s="225" t="s">
        <v>8449</v>
      </c>
      <c r="FO5" s="394" t="s">
        <v>8532</v>
      </c>
      <c r="FP5" s="225" t="s">
        <v>8449</v>
      </c>
      <c r="FQ5" s="394" t="s">
        <v>8395</v>
      </c>
      <c r="FR5" s="394" t="s">
        <v>8394</v>
      </c>
      <c r="FS5" s="225" t="s">
        <v>8449</v>
      </c>
      <c r="FT5" s="394" t="s">
        <v>3438</v>
      </c>
      <c r="FU5" s="394" t="s">
        <v>3236</v>
      </c>
      <c r="FV5" s="394" t="s">
        <v>3260</v>
      </c>
      <c r="FW5" s="394" t="s">
        <v>3260</v>
      </c>
      <c r="FX5" s="394" t="s">
        <v>8531</v>
      </c>
      <c r="FY5" s="394" t="s">
        <v>3236</v>
      </c>
      <c r="FZ5" s="394" t="s">
        <v>8530</v>
      </c>
      <c r="GA5" s="394" t="s">
        <v>3260</v>
      </c>
      <c r="GB5" s="394" t="s">
        <v>3438</v>
      </c>
      <c r="GC5" s="394" t="s">
        <v>3236</v>
      </c>
      <c r="GD5" s="394" t="s">
        <v>3260</v>
      </c>
      <c r="GE5" s="394" t="s">
        <v>8365</v>
      </c>
      <c r="GF5" s="394" t="s">
        <v>8392</v>
      </c>
      <c r="GG5" s="394" t="s">
        <v>3260</v>
      </c>
      <c r="GH5" s="394" t="s">
        <v>3438</v>
      </c>
      <c r="GI5" s="394" t="s">
        <v>3236</v>
      </c>
      <c r="GJ5" s="394" t="s">
        <v>650</v>
      </c>
      <c r="GK5" s="394" t="s">
        <v>3260</v>
      </c>
      <c r="GL5" s="394" t="s">
        <v>8529</v>
      </c>
      <c r="GM5" s="394" t="s">
        <v>8528</v>
      </c>
      <c r="GN5" s="394" t="s">
        <v>8527</v>
      </c>
      <c r="GO5" s="394" t="s">
        <v>3236</v>
      </c>
      <c r="GP5" s="394" t="s">
        <v>8388</v>
      </c>
      <c r="GQ5" s="394" t="s">
        <v>3236</v>
      </c>
      <c r="GR5" s="394" t="s">
        <v>1256</v>
      </c>
      <c r="GS5" s="394" t="s">
        <v>3438</v>
      </c>
      <c r="GT5" s="225" t="s">
        <v>8449</v>
      </c>
      <c r="GU5" s="394" t="s">
        <v>8526</v>
      </c>
      <c r="GV5" s="394" t="s">
        <v>8525</v>
      </c>
      <c r="GW5" s="394" t="s">
        <v>3236</v>
      </c>
      <c r="GX5" s="225" t="s">
        <v>8524</v>
      </c>
      <c r="GY5" s="225" t="s">
        <v>8524</v>
      </c>
      <c r="GZ5" s="394" t="s">
        <v>1772</v>
      </c>
      <c r="HA5" s="225" t="s">
        <v>8523</v>
      </c>
      <c r="HB5" s="225" t="s">
        <v>470</v>
      </c>
      <c r="HC5" s="225" t="s">
        <v>8386</v>
      </c>
      <c r="HD5" s="225" t="s">
        <v>1414</v>
      </c>
      <c r="HE5" s="225" t="s">
        <v>8353</v>
      </c>
      <c r="HF5" s="226"/>
      <c r="HG5" s="227" t="s">
        <v>8385</v>
      </c>
      <c r="HH5" s="227" t="s">
        <v>8522</v>
      </c>
      <c r="HI5" s="227" t="s">
        <v>8521</v>
      </c>
      <c r="HJ5" s="225" t="s">
        <v>8520</v>
      </c>
      <c r="HK5" s="227" t="s">
        <v>8519</v>
      </c>
      <c r="HL5" s="226"/>
      <c r="HM5" s="225" t="s">
        <v>8518</v>
      </c>
      <c r="HN5" s="226"/>
      <c r="HO5" s="225" t="s">
        <v>8380</v>
      </c>
      <c r="HP5" s="225" t="s">
        <v>8517</v>
      </c>
      <c r="HQ5" s="225" t="s">
        <v>8516</v>
      </c>
      <c r="HR5" s="225" t="s">
        <v>8515</v>
      </c>
      <c r="HS5" s="225" t="s">
        <v>8514</v>
      </c>
      <c r="HT5" s="225" t="s">
        <v>8513</v>
      </c>
      <c r="HU5" s="225" t="s">
        <v>8512</v>
      </c>
      <c r="HV5" s="225" t="s">
        <v>7784</v>
      </c>
      <c r="HW5" s="225" t="s">
        <v>8511</v>
      </c>
      <c r="HX5" s="225" t="s">
        <v>8510</v>
      </c>
      <c r="HY5" s="225" t="s">
        <v>7782</v>
      </c>
      <c r="HZ5" s="228" t="s">
        <v>8509</v>
      </c>
      <c r="IA5" s="225" t="s">
        <v>8374</v>
      </c>
      <c r="IB5" s="225" t="s">
        <v>8508</v>
      </c>
      <c r="IC5" s="225" t="s">
        <v>8507</v>
      </c>
      <c r="ID5" s="225" t="s">
        <v>8506</v>
      </c>
      <c r="IE5" s="225" t="s">
        <v>8505</v>
      </c>
      <c r="IF5" s="225" t="s">
        <v>8504</v>
      </c>
      <c r="IG5" s="225" t="s">
        <v>8503</v>
      </c>
      <c r="IH5" s="229" t="s">
        <v>8502</v>
      </c>
      <c r="II5" s="225" t="s">
        <v>8501</v>
      </c>
      <c r="IJ5" s="225" t="s">
        <v>8500</v>
      </c>
      <c r="IK5" s="225" t="s">
        <v>8499</v>
      </c>
      <c r="IL5" s="226" t="s">
        <v>8498</v>
      </c>
      <c r="IM5" s="226" t="s">
        <v>8497</v>
      </c>
      <c r="IN5" s="225" t="s">
        <v>8496</v>
      </c>
      <c r="IO5" s="225" t="s">
        <v>8495</v>
      </c>
      <c r="IP5" s="225" t="s">
        <v>8494</v>
      </c>
      <c r="IQ5" s="225" t="s">
        <v>8493</v>
      </c>
      <c r="IR5" s="225" t="s">
        <v>8492</v>
      </c>
      <c r="IS5" s="225" t="s">
        <v>8491</v>
      </c>
      <c r="IT5" s="225" t="s">
        <v>8490</v>
      </c>
      <c r="IU5" s="225" t="s">
        <v>8489</v>
      </c>
      <c r="IV5" s="225" t="s">
        <v>8488</v>
      </c>
      <c r="IW5" s="225" t="s">
        <v>8487</v>
      </c>
      <c r="IX5" s="225" t="s">
        <v>8486</v>
      </c>
      <c r="IY5" s="225" t="s">
        <v>8485</v>
      </c>
      <c r="IZ5" s="225" t="s">
        <v>8484</v>
      </c>
      <c r="JA5" s="225" t="s">
        <v>8483</v>
      </c>
      <c r="JB5" s="225" t="s">
        <v>8482</v>
      </c>
      <c r="JC5" s="225" t="s">
        <v>8481</v>
      </c>
      <c r="JD5" s="225" t="s">
        <v>8480</v>
      </c>
      <c r="JE5" s="226"/>
      <c r="JF5" s="226"/>
      <c r="JG5" s="226"/>
      <c r="JH5" s="225" t="s">
        <v>8371</v>
      </c>
      <c r="JI5" s="225" t="s">
        <v>8479</v>
      </c>
      <c r="JJ5" s="225" t="s">
        <v>8478</v>
      </c>
      <c r="JK5" s="237" t="s">
        <v>8365</v>
      </c>
      <c r="JL5" s="225" t="s">
        <v>8477</v>
      </c>
      <c r="JM5" s="225" t="s">
        <v>8476</v>
      </c>
      <c r="JN5" s="226"/>
      <c r="JO5" s="226"/>
      <c r="JP5" s="226"/>
      <c r="JQ5" s="225" t="s">
        <v>8475</v>
      </c>
      <c r="JR5" s="225" t="s">
        <v>8474</v>
      </c>
      <c r="JS5" s="226" t="s">
        <v>8473</v>
      </c>
      <c r="JT5" s="225" t="s">
        <v>8472</v>
      </c>
      <c r="JU5" s="225" t="s">
        <v>8471</v>
      </c>
      <c r="JV5" s="225" t="s">
        <v>8470</v>
      </c>
      <c r="JW5" s="225" t="s">
        <v>1414</v>
      </c>
      <c r="JX5" s="225" t="s">
        <v>8469</v>
      </c>
      <c r="JY5" s="225" t="s">
        <v>8468</v>
      </c>
      <c r="JZ5" s="225" t="s">
        <v>1414</v>
      </c>
      <c r="KA5" s="225" t="s">
        <v>8365</v>
      </c>
      <c r="KB5" s="225" t="s">
        <v>8467</v>
      </c>
      <c r="KC5" s="226" t="s">
        <v>8363</v>
      </c>
      <c r="KD5" s="225" t="s">
        <v>8466</v>
      </c>
      <c r="KE5" s="232" t="s">
        <v>8465</v>
      </c>
      <c r="KF5" s="225" t="s">
        <v>8464</v>
      </c>
      <c r="KG5" s="225" t="s">
        <v>8463</v>
      </c>
      <c r="KH5" s="225" t="s">
        <v>1414</v>
      </c>
      <c r="KI5" s="225" t="s">
        <v>8361</v>
      </c>
      <c r="KJ5" s="225" t="s">
        <v>8462</v>
      </c>
      <c r="KK5" s="232" t="s">
        <v>8461</v>
      </c>
      <c r="KL5" s="225" t="s">
        <v>8358</v>
      </c>
      <c r="KM5" s="225" t="s">
        <v>8357</v>
      </c>
      <c r="KN5" s="225" t="s">
        <v>8460</v>
      </c>
      <c r="KO5" s="238" t="s">
        <v>8459</v>
      </c>
      <c r="KP5" s="225"/>
      <c r="KQ5" s="226"/>
      <c r="KR5" s="226"/>
      <c r="KS5" s="226"/>
      <c r="KT5" s="226"/>
      <c r="KU5" s="226"/>
      <c r="KV5" s="225" t="s">
        <v>656</v>
      </c>
      <c r="KW5" s="225" t="s">
        <v>8355</v>
      </c>
      <c r="KX5" s="228" t="s">
        <v>9159</v>
      </c>
      <c r="KY5" s="793" t="s">
        <v>9274</v>
      </c>
      <c r="KZ5" s="225" t="s">
        <v>9159</v>
      </c>
      <c r="LA5" s="225" t="s">
        <v>9249</v>
      </c>
      <c r="LB5" s="225" t="s">
        <v>650</v>
      </c>
      <c r="LC5" s="225" t="s">
        <v>650</v>
      </c>
      <c r="LD5" s="225" t="s">
        <v>9159</v>
      </c>
      <c r="LE5" s="225" t="s">
        <v>1772</v>
      </c>
      <c r="LF5" s="225" t="s">
        <v>9159</v>
      </c>
      <c r="LG5" s="225" t="s">
        <v>9159</v>
      </c>
      <c r="LH5" s="225" t="s">
        <v>9159</v>
      </c>
      <c r="LI5" s="225" t="s">
        <v>650</v>
      </c>
      <c r="LJ5" s="225" t="s">
        <v>1772</v>
      </c>
      <c r="LK5" s="233" t="s">
        <v>8458</v>
      </c>
      <c r="LL5" s="225" t="s">
        <v>8457</v>
      </c>
      <c r="LM5" s="226"/>
      <c r="LN5" s="225" t="s">
        <v>8361</v>
      </c>
      <c r="LO5" s="225" t="s">
        <v>8353</v>
      </c>
      <c r="LP5" s="225" t="s">
        <v>8365</v>
      </c>
      <c r="LQ5" s="225" t="s">
        <v>8351</v>
      </c>
      <c r="LR5" s="225" t="s">
        <v>8456</v>
      </c>
      <c r="LS5" s="225" t="s">
        <v>8455</v>
      </c>
      <c r="LT5" s="234" t="s">
        <v>7721</v>
      </c>
      <c r="LU5" s="225" t="s">
        <v>3260</v>
      </c>
      <c r="LV5" s="225" t="s">
        <v>8365</v>
      </c>
      <c r="LW5" s="225" t="s">
        <v>8365</v>
      </c>
      <c r="LX5" s="225" t="s">
        <v>8365</v>
      </c>
      <c r="LY5" s="225" t="s">
        <v>8454</v>
      </c>
      <c r="LZ5" s="225"/>
      <c r="MA5" s="225" t="s">
        <v>5242</v>
      </c>
      <c r="MB5" s="225" t="s">
        <v>3260</v>
      </c>
      <c r="MC5" s="224" t="s">
        <v>1414</v>
      </c>
      <c r="MD5" s="225" t="s">
        <v>8453</v>
      </c>
      <c r="ME5" s="225" t="s">
        <v>2402</v>
      </c>
      <c r="MF5" s="225" t="s">
        <v>8452</v>
      </c>
      <c r="MG5" s="226"/>
      <c r="MH5" s="226"/>
      <c r="MI5" s="226"/>
      <c r="MJ5" s="235" t="s">
        <v>8343</v>
      </c>
      <c r="MK5" s="225" t="s">
        <v>8449</v>
      </c>
      <c r="ML5" s="235" t="s">
        <v>8343</v>
      </c>
      <c r="MM5" s="235" t="s">
        <v>8343</v>
      </c>
      <c r="MN5" s="239" t="s">
        <v>8343</v>
      </c>
      <c r="MO5" s="236" t="s">
        <v>8451</v>
      </c>
      <c r="MP5" s="236" t="s">
        <v>8450</v>
      </c>
      <c r="MQ5" s="236" t="s">
        <v>8343</v>
      </c>
      <c r="MR5" s="236" t="s">
        <v>8343</v>
      </c>
      <c r="MS5" s="236" t="s">
        <v>8343</v>
      </c>
      <c r="MT5" s="240" t="s">
        <v>8343</v>
      </c>
      <c r="MU5" s="236" t="s">
        <v>8343</v>
      </c>
      <c r="MV5" s="240" t="s">
        <v>8343</v>
      </c>
      <c r="MW5" s="235" t="s">
        <v>1414</v>
      </c>
      <c r="MX5" s="226"/>
      <c r="MY5" s="226"/>
      <c r="MZ5" s="226"/>
      <c r="NA5" s="226"/>
    </row>
    <row r="6" spans="1:365" ht="77" customHeight="1" x14ac:dyDescent="0.2">
      <c r="A6" s="1216"/>
      <c r="B6" s="201" t="s">
        <v>18</v>
      </c>
      <c r="C6" s="202" t="s">
        <v>19</v>
      </c>
      <c r="D6" s="215" t="s">
        <v>15</v>
      </c>
      <c r="E6" s="224" t="s">
        <v>8448</v>
      </c>
      <c r="F6" s="224" t="s">
        <v>8447</v>
      </c>
      <c r="G6" s="225" t="s">
        <v>8445</v>
      </c>
      <c r="H6" s="225" t="s">
        <v>8445</v>
      </c>
      <c r="I6" s="225" t="s">
        <v>8446</v>
      </c>
      <c r="J6" s="225" t="s">
        <v>8445</v>
      </c>
      <c r="K6" s="225" t="s">
        <v>1924</v>
      </c>
      <c r="L6" s="225" t="s">
        <v>8444</v>
      </c>
      <c r="M6" s="225" t="s">
        <v>8443</v>
      </c>
      <c r="N6" s="225" t="s">
        <v>8442</v>
      </c>
      <c r="O6" s="225" t="s">
        <v>8441</v>
      </c>
      <c r="P6" s="400" t="s">
        <v>8440</v>
      </c>
      <c r="Q6" s="225" t="s">
        <v>8439</v>
      </c>
      <c r="R6" s="225" t="s">
        <v>656</v>
      </c>
      <c r="S6" s="225" t="s">
        <v>656</v>
      </c>
      <c r="T6" s="225" t="s">
        <v>5242</v>
      </c>
      <c r="U6" s="225" t="s">
        <v>8438</v>
      </c>
      <c r="V6" s="225" t="s">
        <v>8437</v>
      </c>
      <c r="W6" s="226"/>
      <c r="X6" s="226"/>
      <c r="Y6" s="226"/>
      <c r="Z6" s="226"/>
      <c r="AA6" s="226"/>
      <c r="AB6" s="226"/>
      <c r="AC6" s="226"/>
      <c r="AD6" s="226"/>
      <c r="AE6" s="226"/>
      <c r="AF6" s="225" t="s">
        <v>8436</v>
      </c>
      <c r="AG6" s="225" t="s">
        <v>5242</v>
      </c>
      <c r="AH6" s="226"/>
      <c r="AI6" s="225"/>
      <c r="AJ6" s="225"/>
      <c r="AK6" s="229" t="s">
        <v>1413</v>
      </c>
      <c r="AL6" s="225"/>
      <c r="AM6" s="226"/>
      <c r="AN6" s="226"/>
      <c r="AO6" s="226"/>
      <c r="AP6" s="226"/>
      <c r="AQ6" s="225" t="s">
        <v>8365</v>
      </c>
      <c r="AR6" s="225" t="s">
        <v>5242</v>
      </c>
      <c r="AS6" s="225" t="s">
        <v>5242</v>
      </c>
      <c r="AT6" s="225" t="s">
        <v>8435</v>
      </c>
      <c r="AU6" s="225" t="s">
        <v>8434</v>
      </c>
      <c r="AV6" s="225" t="s">
        <v>8431</v>
      </c>
      <c r="AW6" s="225" t="s">
        <v>8431</v>
      </c>
      <c r="AX6" s="232" t="s">
        <v>8433</v>
      </c>
      <c r="AY6" s="229" t="s">
        <v>8431</v>
      </c>
      <c r="AZ6" s="225" t="s">
        <v>656</v>
      </c>
      <c r="BA6" s="225" t="s">
        <v>5242</v>
      </c>
      <c r="BB6" s="225" t="s">
        <v>5242</v>
      </c>
      <c r="BC6" s="225" t="s">
        <v>8431</v>
      </c>
      <c r="BD6" s="225" t="s">
        <v>5242</v>
      </c>
      <c r="BE6" s="229" t="s">
        <v>8432</v>
      </c>
      <c r="BF6" s="225" t="s">
        <v>5242</v>
      </c>
      <c r="BG6" s="225" t="s">
        <v>8431</v>
      </c>
      <c r="BH6" s="225" t="s">
        <v>8431</v>
      </c>
      <c r="BI6" s="225" t="s">
        <v>8431</v>
      </c>
      <c r="BJ6" s="225" t="s">
        <v>8431</v>
      </c>
      <c r="BK6" s="225" t="s">
        <v>470</v>
      </c>
      <c r="BL6" s="225" t="s">
        <v>8430</v>
      </c>
      <c r="BM6" s="225" t="s">
        <v>5242</v>
      </c>
      <c r="BN6" s="226"/>
      <c r="BO6" s="225" t="s">
        <v>8429</v>
      </c>
      <c r="BP6" s="225" t="s">
        <v>5242</v>
      </c>
      <c r="BQ6" s="225" t="s">
        <v>8428</v>
      </c>
      <c r="BR6" s="233" t="s">
        <v>1414</v>
      </c>
      <c r="BS6" s="225" t="s">
        <v>5242</v>
      </c>
      <c r="BT6" s="225" t="s">
        <v>1414</v>
      </c>
      <c r="BU6" s="225" t="s">
        <v>5242</v>
      </c>
      <c r="BV6" s="225" t="s">
        <v>8427</v>
      </c>
      <c r="BW6" s="225" t="s">
        <v>910</v>
      </c>
      <c r="BX6" s="225" t="s">
        <v>5242</v>
      </c>
      <c r="BY6" s="254" t="s">
        <v>8426</v>
      </c>
      <c r="BZ6" s="225" t="s">
        <v>5242</v>
      </c>
      <c r="CA6" s="225" t="s">
        <v>8425</v>
      </c>
      <c r="CB6" s="225" t="s">
        <v>8425</v>
      </c>
      <c r="CC6" s="225" t="s">
        <v>8424</v>
      </c>
      <c r="CD6" s="229" t="s">
        <v>5242</v>
      </c>
      <c r="CE6" s="229" t="s">
        <v>5242</v>
      </c>
      <c r="CF6" s="229" t="s">
        <v>5242</v>
      </c>
      <c r="CG6" s="229" t="s">
        <v>8423</v>
      </c>
      <c r="CH6" s="229" t="s">
        <v>5242</v>
      </c>
      <c r="CI6" s="229" t="s">
        <v>8422</v>
      </c>
      <c r="CJ6" s="229" t="s">
        <v>5242</v>
      </c>
      <c r="CK6" s="229" t="s">
        <v>5242</v>
      </c>
      <c r="CL6" s="229" t="s">
        <v>470</v>
      </c>
      <c r="CM6" s="229" t="s">
        <v>5242</v>
      </c>
      <c r="CN6" s="225" t="s">
        <v>8421</v>
      </c>
      <c r="CO6" s="225" t="s">
        <v>656</v>
      </c>
      <c r="CP6" s="225" t="s">
        <v>8420</v>
      </c>
      <c r="CQ6" s="406" t="s">
        <v>5242</v>
      </c>
      <c r="CR6" s="394" t="s">
        <v>8365</v>
      </c>
      <c r="CS6" s="225" t="s">
        <v>5242</v>
      </c>
      <c r="CT6" s="225" t="s">
        <v>5242</v>
      </c>
      <c r="CU6" s="402" t="s">
        <v>656</v>
      </c>
      <c r="CV6" s="225" t="s">
        <v>8419</v>
      </c>
      <c r="CW6" s="225" t="s">
        <v>8418</v>
      </c>
      <c r="CX6" s="225" t="s">
        <v>470</v>
      </c>
      <c r="CY6" s="225" t="s">
        <v>5242</v>
      </c>
      <c r="CZ6" s="225" t="s">
        <v>656</v>
      </c>
      <c r="DA6" s="225" t="s">
        <v>8417</v>
      </c>
      <c r="DB6" s="225" t="s">
        <v>5242</v>
      </c>
      <c r="DC6" s="225" t="s">
        <v>5242</v>
      </c>
      <c r="DD6" s="225" t="s">
        <v>8365</v>
      </c>
      <c r="DE6" s="225" t="s">
        <v>6870</v>
      </c>
      <c r="DF6" s="225" t="s">
        <v>8416</v>
      </c>
      <c r="DG6" s="225" t="s">
        <v>470</v>
      </c>
      <c r="DH6" s="225" t="s">
        <v>470</v>
      </c>
      <c r="DI6" s="225"/>
      <c r="DJ6" s="225" t="s">
        <v>656</v>
      </c>
      <c r="DK6" s="225"/>
      <c r="DL6" s="225" t="s">
        <v>8415</v>
      </c>
      <c r="DM6" s="225" t="s">
        <v>8414</v>
      </c>
      <c r="DN6" s="225" t="s">
        <v>656</v>
      </c>
      <c r="DO6" s="225" t="s">
        <v>8413</v>
      </c>
      <c r="DP6" s="225" t="s">
        <v>1414</v>
      </c>
      <c r="DQ6" s="225" t="s">
        <v>1414</v>
      </c>
      <c r="DR6" s="225" t="s">
        <v>1414</v>
      </c>
      <c r="DS6" s="225" t="s">
        <v>1414</v>
      </c>
      <c r="DT6" s="225" t="s">
        <v>1414</v>
      </c>
      <c r="DU6" s="225" t="s">
        <v>8412</v>
      </c>
      <c r="DV6" s="225" t="s">
        <v>8411</v>
      </c>
      <c r="DW6" s="225" t="s">
        <v>8410</v>
      </c>
      <c r="DX6" s="225" t="s">
        <v>8409</v>
      </c>
      <c r="DY6" s="225"/>
      <c r="DZ6" s="233" t="s">
        <v>8365</v>
      </c>
      <c r="EA6" s="225" t="s">
        <v>8408</v>
      </c>
      <c r="EB6" s="225" t="s">
        <v>8407</v>
      </c>
      <c r="EC6" s="226"/>
      <c r="ED6" s="225" t="s">
        <v>5242</v>
      </c>
      <c r="EE6" s="225" t="s">
        <v>656</v>
      </c>
      <c r="EF6" s="263" t="s">
        <v>8406</v>
      </c>
      <c r="EG6" s="226"/>
      <c r="EH6" s="225" t="s">
        <v>8405</v>
      </c>
      <c r="EI6" s="225" t="s">
        <v>8404</v>
      </c>
      <c r="EJ6" s="226"/>
      <c r="EK6" s="226"/>
      <c r="EL6" s="226"/>
      <c r="EM6" s="226"/>
      <c r="EN6" s="226"/>
      <c r="EO6" s="226"/>
      <c r="EP6" s="226"/>
      <c r="EQ6" s="226"/>
      <c r="ER6" s="225"/>
      <c r="ES6" s="225" t="s">
        <v>8403</v>
      </c>
      <c r="ET6" s="225" t="s">
        <v>5242</v>
      </c>
      <c r="EU6" s="225" t="s">
        <v>5242</v>
      </c>
      <c r="EV6" s="225" t="s">
        <v>5242</v>
      </c>
      <c r="EW6" s="225"/>
      <c r="EX6" s="225"/>
      <c r="EY6" s="225" t="s">
        <v>8402</v>
      </c>
      <c r="EZ6" s="229" t="s">
        <v>8401</v>
      </c>
      <c r="FA6" s="225" t="s">
        <v>5242</v>
      </c>
      <c r="FB6" s="225" t="s">
        <v>5242</v>
      </c>
      <c r="FC6" s="225" t="s">
        <v>8400</v>
      </c>
      <c r="FD6" s="226"/>
      <c r="FE6" s="404" t="s">
        <v>1772</v>
      </c>
      <c r="FF6" s="225" t="s">
        <v>8399</v>
      </c>
      <c r="FG6" s="232" t="s">
        <v>8398</v>
      </c>
      <c r="FH6" s="224" t="s">
        <v>656</v>
      </c>
      <c r="FI6" s="394" t="s">
        <v>1256</v>
      </c>
      <c r="FJ6" s="394" t="s">
        <v>8388</v>
      </c>
      <c r="FK6" s="394"/>
      <c r="FL6" s="394" t="s">
        <v>8397</v>
      </c>
      <c r="FM6" s="225" t="s">
        <v>8396</v>
      </c>
      <c r="FN6" s="225"/>
      <c r="FO6" s="394" t="s">
        <v>8388</v>
      </c>
      <c r="FP6" s="394"/>
      <c r="FQ6" s="394" t="s">
        <v>8395</v>
      </c>
      <c r="FR6" s="394" t="s">
        <v>8394</v>
      </c>
      <c r="FS6" s="394"/>
      <c r="FT6" s="394" t="s">
        <v>3438</v>
      </c>
      <c r="FU6" s="226"/>
      <c r="FV6" s="394" t="s">
        <v>3260</v>
      </c>
      <c r="FW6" s="394" t="s">
        <v>3260</v>
      </c>
      <c r="FX6" s="394" t="s">
        <v>8393</v>
      </c>
      <c r="FY6" s="226"/>
      <c r="FZ6" s="394" t="s">
        <v>1256</v>
      </c>
      <c r="GA6" s="394" t="s">
        <v>3260</v>
      </c>
      <c r="GB6" s="394" t="s">
        <v>3438</v>
      </c>
      <c r="GC6" s="394"/>
      <c r="GD6" s="394" t="s">
        <v>3260</v>
      </c>
      <c r="GE6" s="394" t="s">
        <v>8365</v>
      </c>
      <c r="GF6" s="394" t="s">
        <v>8392</v>
      </c>
      <c r="GG6" s="394" t="s">
        <v>3260</v>
      </c>
      <c r="GH6" s="394" t="s">
        <v>3438</v>
      </c>
      <c r="GI6" s="226"/>
      <c r="GJ6" s="394" t="s">
        <v>3260</v>
      </c>
      <c r="GK6" s="394" t="s">
        <v>3260</v>
      </c>
      <c r="GL6" s="394" t="s">
        <v>8391</v>
      </c>
      <c r="GM6" s="394" t="s">
        <v>8390</v>
      </c>
      <c r="GN6" s="394" t="s">
        <v>8389</v>
      </c>
      <c r="GO6" s="226"/>
      <c r="GP6" s="394" t="s">
        <v>8388</v>
      </c>
      <c r="GQ6" s="226"/>
      <c r="GR6" s="394" t="s">
        <v>1256</v>
      </c>
      <c r="GS6" s="394" t="s">
        <v>3438</v>
      </c>
      <c r="GT6" s="394"/>
      <c r="GU6" s="394" t="s">
        <v>1256</v>
      </c>
      <c r="GV6" s="394" t="s">
        <v>3438</v>
      </c>
      <c r="GW6" s="226"/>
      <c r="GX6" s="225" t="s">
        <v>5242</v>
      </c>
      <c r="GY6" s="225" t="s">
        <v>5242</v>
      </c>
      <c r="GZ6" s="394" t="s">
        <v>1772</v>
      </c>
      <c r="HA6" s="225" t="s">
        <v>8387</v>
      </c>
      <c r="HB6" s="225" t="s">
        <v>470</v>
      </c>
      <c r="HC6" s="225" t="s">
        <v>8386</v>
      </c>
      <c r="HD6" s="225" t="s">
        <v>5242</v>
      </c>
      <c r="HE6" s="225" t="s">
        <v>8353</v>
      </c>
      <c r="HF6" s="226"/>
      <c r="HG6" s="227" t="s">
        <v>8385</v>
      </c>
      <c r="HH6" s="227" t="s">
        <v>8384</v>
      </c>
      <c r="HI6" s="227" t="s">
        <v>8383</v>
      </c>
      <c r="HJ6" s="225" t="s">
        <v>8382</v>
      </c>
      <c r="HK6" s="227" t="s">
        <v>8381</v>
      </c>
      <c r="HL6" s="226"/>
      <c r="HM6" s="225" t="s">
        <v>5242</v>
      </c>
      <c r="HN6" s="226"/>
      <c r="HO6" s="225" t="s">
        <v>8380</v>
      </c>
      <c r="HP6" s="225" t="s">
        <v>8379</v>
      </c>
      <c r="HQ6" s="225" t="s">
        <v>8375</v>
      </c>
      <c r="HR6" s="225" t="s">
        <v>8378</v>
      </c>
      <c r="HS6" s="225" t="s">
        <v>8377</v>
      </c>
      <c r="HT6" s="225" t="s">
        <v>8376</v>
      </c>
      <c r="HU6" s="225" t="s">
        <v>1414</v>
      </c>
      <c r="HV6" s="225" t="s">
        <v>1414</v>
      </c>
      <c r="HW6" s="225" t="s">
        <v>470</v>
      </c>
      <c r="HX6" s="225" t="s">
        <v>8375</v>
      </c>
      <c r="HY6" s="225" t="s">
        <v>5242</v>
      </c>
      <c r="HZ6" s="228" t="s">
        <v>2094</v>
      </c>
      <c r="IA6" s="225" t="s">
        <v>8374</v>
      </c>
      <c r="IB6" s="225"/>
      <c r="IC6" s="225"/>
      <c r="ID6" s="225"/>
      <c r="IE6" s="225"/>
      <c r="IF6" s="225" t="s">
        <v>5242</v>
      </c>
      <c r="IG6" s="225" t="s">
        <v>5242</v>
      </c>
      <c r="IH6" s="229"/>
      <c r="II6" s="225"/>
      <c r="IJ6" s="225"/>
      <c r="IK6" s="225"/>
      <c r="IL6" s="226"/>
      <c r="IM6" s="226"/>
      <c r="IN6" s="225" t="s">
        <v>5242</v>
      </c>
      <c r="IO6" s="225" t="s">
        <v>5242</v>
      </c>
      <c r="IP6" s="225" t="s">
        <v>5242</v>
      </c>
      <c r="IQ6" s="225" t="s">
        <v>5242</v>
      </c>
      <c r="IR6" s="225"/>
      <c r="IS6" s="225" t="s">
        <v>5242</v>
      </c>
      <c r="IT6" s="225"/>
      <c r="IU6" s="225"/>
      <c r="IV6" s="225"/>
      <c r="IW6" s="225"/>
      <c r="IX6" s="225"/>
      <c r="IY6" s="225" t="s">
        <v>8373</v>
      </c>
      <c r="IZ6" s="225" t="s">
        <v>5242</v>
      </c>
      <c r="JA6" s="225" t="s">
        <v>5242</v>
      </c>
      <c r="JB6" s="225" t="s">
        <v>5242</v>
      </c>
      <c r="JC6" s="225" t="s">
        <v>891</v>
      </c>
      <c r="JD6" s="225" t="s">
        <v>8372</v>
      </c>
      <c r="JE6" s="226"/>
      <c r="JF6" s="226"/>
      <c r="JG6" s="226"/>
      <c r="JH6" s="225" t="s">
        <v>8371</v>
      </c>
      <c r="JI6" s="225" t="s">
        <v>5242</v>
      </c>
      <c r="JJ6" s="225" t="s">
        <v>8370</v>
      </c>
      <c r="JK6" s="237" t="s">
        <v>5242</v>
      </c>
      <c r="JL6" s="225" t="s">
        <v>656</v>
      </c>
      <c r="JM6" s="225" t="s">
        <v>5242</v>
      </c>
      <c r="JN6" s="226"/>
      <c r="JO6" s="226"/>
      <c r="JP6" s="226"/>
      <c r="JQ6" s="225" t="s">
        <v>470</v>
      </c>
      <c r="JR6" s="225" t="s">
        <v>8369</v>
      </c>
      <c r="JS6" s="225" t="s">
        <v>5242</v>
      </c>
      <c r="JT6" s="225" t="s">
        <v>5242</v>
      </c>
      <c r="JU6" s="225" t="s">
        <v>656</v>
      </c>
      <c r="JV6" s="225" t="s">
        <v>8368</v>
      </c>
      <c r="JW6" s="225" t="s">
        <v>1414</v>
      </c>
      <c r="JX6" s="225" t="s">
        <v>656</v>
      </c>
      <c r="JY6" s="225" t="s">
        <v>8367</v>
      </c>
      <c r="JZ6" s="225" t="s">
        <v>8366</v>
      </c>
      <c r="KA6" s="225" t="s">
        <v>8365</v>
      </c>
      <c r="KB6" s="225" t="s">
        <v>8364</v>
      </c>
      <c r="KC6" s="226" t="s">
        <v>8363</v>
      </c>
      <c r="KD6" s="225" t="s">
        <v>470</v>
      </c>
      <c r="KE6" s="232" t="s">
        <v>8362</v>
      </c>
      <c r="KF6" s="225" t="s">
        <v>656</v>
      </c>
      <c r="KG6" s="225" t="s">
        <v>656</v>
      </c>
      <c r="KH6" s="225" t="s">
        <v>1414</v>
      </c>
      <c r="KI6" s="225" t="s">
        <v>8361</v>
      </c>
      <c r="KJ6" s="225" t="s">
        <v>8360</v>
      </c>
      <c r="KK6" s="232" t="s">
        <v>8359</v>
      </c>
      <c r="KL6" s="225" t="s">
        <v>8358</v>
      </c>
      <c r="KM6" s="225" t="s">
        <v>8357</v>
      </c>
      <c r="KN6" s="225" t="s">
        <v>656</v>
      </c>
      <c r="KO6" s="225" t="s">
        <v>656</v>
      </c>
      <c r="KP6" s="225" t="s">
        <v>8356</v>
      </c>
      <c r="KQ6" s="226"/>
      <c r="KR6" s="226"/>
      <c r="KS6" s="226"/>
      <c r="KT6" s="226"/>
      <c r="KU6" s="226"/>
      <c r="KV6" s="225" t="s">
        <v>2685</v>
      </c>
      <c r="KW6" s="225" t="s">
        <v>8355</v>
      </c>
      <c r="KX6" s="228" t="s">
        <v>9160</v>
      </c>
      <c r="KY6" s="793" t="s">
        <v>9274</v>
      </c>
      <c r="KZ6" s="225" t="s">
        <v>9160</v>
      </c>
      <c r="LA6" s="225" t="s">
        <v>9194</v>
      </c>
      <c r="LB6" s="225" t="s">
        <v>3260</v>
      </c>
      <c r="LC6" s="225" t="s">
        <v>3260</v>
      </c>
      <c r="LD6" s="225" t="s">
        <v>9160</v>
      </c>
      <c r="LE6" s="225" t="s">
        <v>9194</v>
      </c>
      <c r="LF6" s="225" t="s">
        <v>9160</v>
      </c>
      <c r="LG6" s="225" t="s">
        <v>9160</v>
      </c>
      <c r="LH6" s="225" t="s">
        <v>9160</v>
      </c>
      <c r="LI6" s="225" t="s">
        <v>3260</v>
      </c>
      <c r="LJ6" s="225" t="s">
        <v>1772</v>
      </c>
      <c r="LK6" s="233" t="s">
        <v>8354</v>
      </c>
      <c r="LL6" s="225" t="s">
        <v>5242</v>
      </c>
      <c r="LM6" s="226"/>
      <c r="LN6" s="225"/>
      <c r="LO6" s="225" t="s">
        <v>8353</v>
      </c>
      <c r="LP6" s="225" t="s">
        <v>8352</v>
      </c>
      <c r="LQ6" s="225" t="s">
        <v>8351</v>
      </c>
      <c r="LR6" s="225" t="s">
        <v>8350</v>
      </c>
      <c r="LS6" s="225" t="s">
        <v>8349</v>
      </c>
      <c r="LT6" s="234" t="s">
        <v>8348</v>
      </c>
      <c r="LU6" s="225" t="s">
        <v>3260</v>
      </c>
      <c r="LV6" s="225"/>
      <c r="LW6" s="225"/>
      <c r="LX6" s="225"/>
      <c r="LY6" s="225"/>
      <c r="LZ6" s="225"/>
      <c r="MA6" s="232"/>
      <c r="MB6" s="225" t="s">
        <v>3260</v>
      </c>
      <c r="MC6" s="224" t="s">
        <v>1414</v>
      </c>
      <c r="MD6" s="225" t="s">
        <v>8347</v>
      </c>
      <c r="ME6" s="225" t="s">
        <v>2402</v>
      </c>
      <c r="MF6" s="225" t="s">
        <v>1414</v>
      </c>
      <c r="MG6" s="226"/>
      <c r="MH6" s="226"/>
      <c r="MI6" s="226"/>
      <c r="MJ6" s="235" t="s">
        <v>8345</v>
      </c>
      <c r="MK6" s="235"/>
      <c r="ML6" s="235" t="s">
        <v>8345</v>
      </c>
      <c r="MM6" s="235" t="s">
        <v>8345</v>
      </c>
      <c r="MN6" s="239" t="s">
        <v>8345</v>
      </c>
      <c r="MO6" s="236" t="s">
        <v>8346</v>
      </c>
      <c r="MP6" s="236" t="s">
        <v>8345</v>
      </c>
      <c r="MQ6" s="236" t="s">
        <v>8345</v>
      </c>
      <c r="MR6" s="236" t="s">
        <v>8344</v>
      </c>
      <c r="MS6" s="236" t="s">
        <v>8344</v>
      </c>
      <c r="MT6" s="240" t="s">
        <v>8344</v>
      </c>
      <c r="MU6" s="236" t="s">
        <v>8344</v>
      </c>
      <c r="MV6" s="240" t="s">
        <v>8344</v>
      </c>
      <c r="MW6" s="235" t="s">
        <v>8343</v>
      </c>
      <c r="MX6" s="226"/>
      <c r="MY6" s="226"/>
      <c r="MZ6" s="226"/>
      <c r="NA6" s="226"/>
    </row>
    <row r="7" spans="1:365" ht="91" customHeight="1" x14ac:dyDescent="0.2">
      <c r="A7" s="200" t="s">
        <v>20</v>
      </c>
      <c r="B7" s="201" t="s">
        <v>21</v>
      </c>
      <c r="C7" s="202" t="s">
        <v>8342</v>
      </c>
      <c r="D7" s="215" t="s">
        <v>23</v>
      </c>
      <c r="E7" s="242">
        <v>2019</v>
      </c>
      <c r="F7" s="242">
        <v>2022</v>
      </c>
      <c r="G7" s="232">
        <v>2020</v>
      </c>
      <c r="H7" s="232">
        <v>2020</v>
      </c>
      <c r="I7" s="232">
        <v>2022</v>
      </c>
      <c r="J7" s="232">
        <v>2021</v>
      </c>
      <c r="K7" s="232">
        <v>2021</v>
      </c>
      <c r="L7" s="232" t="s">
        <v>8337</v>
      </c>
      <c r="M7" s="232" t="s">
        <v>8337</v>
      </c>
      <c r="N7" s="232" t="s">
        <v>8337</v>
      </c>
      <c r="O7" s="232">
        <v>2022</v>
      </c>
      <c r="P7" s="407" t="s">
        <v>8337</v>
      </c>
      <c r="Q7" s="232">
        <v>2022</v>
      </c>
      <c r="R7" s="232">
        <v>2017</v>
      </c>
      <c r="S7" s="232">
        <v>2019</v>
      </c>
      <c r="T7" s="232">
        <v>2022</v>
      </c>
      <c r="U7" s="232">
        <v>2022</v>
      </c>
      <c r="V7" s="232" t="s">
        <v>8341</v>
      </c>
      <c r="W7" s="226"/>
      <c r="X7" s="226"/>
      <c r="Y7" s="226"/>
      <c r="Z7" s="226"/>
      <c r="AA7" s="226"/>
      <c r="AB7" s="226"/>
      <c r="AC7" s="226"/>
      <c r="AD7" s="226"/>
      <c r="AE7" s="226"/>
      <c r="AF7" s="232">
        <v>2018</v>
      </c>
      <c r="AG7" s="225">
        <v>2018</v>
      </c>
      <c r="AH7" s="226"/>
      <c r="AI7" s="232">
        <v>2022</v>
      </c>
      <c r="AJ7" s="232">
        <v>2020</v>
      </c>
      <c r="AK7" s="243">
        <v>2019</v>
      </c>
      <c r="AL7" s="232">
        <v>2019</v>
      </c>
      <c r="AM7" s="226"/>
      <c r="AN7" s="226"/>
      <c r="AO7" s="226"/>
      <c r="AP7" s="226"/>
      <c r="AQ7" s="232">
        <v>2022</v>
      </c>
      <c r="AR7" s="232">
        <v>2022</v>
      </c>
      <c r="AS7" s="232">
        <v>2022</v>
      </c>
      <c r="AT7" s="232">
        <v>2022</v>
      </c>
      <c r="AU7" s="232">
        <v>2022</v>
      </c>
      <c r="AV7" s="232">
        <v>2021</v>
      </c>
      <c r="AW7" s="232">
        <v>2021</v>
      </c>
      <c r="AX7" s="232">
        <v>2021</v>
      </c>
      <c r="AY7" s="243">
        <v>2022</v>
      </c>
      <c r="AZ7" s="232">
        <v>2022</v>
      </c>
      <c r="BA7" s="232">
        <v>2021</v>
      </c>
      <c r="BB7" s="232">
        <v>2021</v>
      </c>
      <c r="BC7" s="232">
        <v>2021</v>
      </c>
      <c r="BD7" s="232">
        <v>2020</v>
      </c>
      <c r="BE7" s="243">
        <v>2022</v>
      </c>
      <c r="BF7" s="232">
        <v>2022</v>
      </c>
      <c r="BG7" s="232">
        <v>2021</v>
      </c>
      <c r="BH7" s="232">
        <v>2022</v>
      </c>
      <c r="BI7" s="232">
        <v>2021</v>
      </c>
      <c r="BJ7" s="232">
        <v>2022</v>
      </c>
      <c r="BK7" s="232">
        <v>2017</v>
      </c>
      <c r="BL7" s="232">
        <v>2022</v>
      </c>
      <c r="BM7" s="232">
        <v>2022</v>
      </c>
      <c r="BN7" s="226"/>
      <c r="BO7" s="232">
        <v>2020</v>
      </c>
      <c r="BP7" s="232">
        <v>2022</v>
      </c>
      <c r="BQ7" s="232">
        <v>2021</v>
      </c>
      <c r="BR7" s="233" t="s">
        <v>1887</v>
      </c>
      <c r="BS7" s="232">
        <v>2021</v>
      </c>
      <c r="BT7" s="232">
        <v>2020</v>
      </c>
      <c r="BU7" s="232">
        <v>2022</v>
      </c>
      <c r="BV7" s="232">
        <v>2022</v>
      </c>
      <c r="BW7" s="232">
        <v>2021</v>
      </c>
      <c r="BX7" s="232">
        <v>2021</v>
      </c>
      <c r="BY7" s="232">
        <v>2022</v>
      </c>
      <c r="BZ7" s="232">
        <v>2019</v>
      </c>
      <c r="CA7" s="232">
        <v>2022</v>
      </c>
      <c r="CB7" s="232">
        <v>2022</v>
      </c>
      <c r="CC7" s="232">
        <v>2019</v>
      </c>
      <c r="CD7" s="243">
        <v>2021</v>
      </c>
      <c r="CE7" s="243" t="s">
        <v>8337</v>
      </c>
      <c r="CF7" s="243">
        <v>2021</v>
      </c>
      <c r="CG7" s="243">
        <v>2022</v>
      </c>
      <c r="CH7" s="243">
        <v>2021</v>
      </c>
      <c r="CI7" s="243">
        <v>2022</v>
      </c>
      <c r="CJ7" s="243">
        <v>2022</v>
      </c>
      <c r="CK7" s="243">
        <v>2021</v>
      </c>
      <c r="CL7" s="243">
        <v>2021</v>
      </c>
      <c r="CM7" s="243">
        <v>2021</v>
      </c>
      <c r="CN7" s="232">
        <v>2022</v>
      </c>
      <c r="CO7" s="232">
        <v>2021</v>
      </c>
      <c r="CP7" s="232">
        <v>2021</v>
      </c>
      <c r="CQ7" s="401">
        <v>2022</v>
      </c>
      <c r="CR7" s="408">
        <v>2021</v>
      </c>
      <c r="CS7" s="232">
        <v>2022</v>
      </c>
      <c r="CT7" s="232">
        <v>2020</v>
      </c>
      <c r="CU7" s="409">
        <v>2022</v>
      </c>
      <c r="CV7" s="232">
        <v>2022</v>
      </c>
      <c r="CW7" s="232">
        <v>2022</v>
      </c>
      <c r="CX7" s="232">
        <v>2021</v>
      </c>
      <c r="CY7" s="410">
        <v>2021</v>
      </c>
      <c r="CZ7" s="232">
        <v>2022</v>
      </c>
      <c r="DA7" s="232">
        <v>2010</v>
      </c>
      <c r="DB7" s="232">
        <v>2022</v>
      </c>
      <c r="DC7" s="232">
        <v>2022</v>
      </c>
      <c r="DD7" s="232">
        <v>2022</v>
      </c>
      <c r="DE7" s="232">
        <v>2022</v>
      </c>
      <c r="DF7" s="232">
        <v>2021</v>
      </c>
      <c r="DG7" s="232">
        <v>2022</v>
      </c>
      <c r="DH7" s="232">
        <v>2022</v>
      </c>
      <c r="DI7" s="232">
        <v>2022</v>
      </c>
      <c r="DJ7" s="232">
        <v>2022</v>
      </c>
      <c r="DK7" s="232">
        <v>2022</v>
      </c>
      <c r="DL7" s="232" t="s">
        <v>8340</v>
      </c>
      <c r="DM7" s="232">
        <v>2022</v>
      </c>
      <c r="DN7" s="232" t="s">
        <v>8337</v>
      </c>
      <c r="DO7" s="232">
        <v>2022</v>
      </c>
      <c r="DP7" s="232">
        <v>2022</v>
      </c>
      <c r="DQ7" s="232">
        <v>2022</v>
      </c>
      <c r="DR7" s="232">
        <v>2022</v>
      </c>
      <c r="DS7" s="232">
        <v>2022</v>
      </c>
      <c r="DT7" s="232">
        <v>2022</v>
      </c>
      <c r="DU7" s="232">
        <v>2021</v>
      </c>
      <c r="DV7" s="232">
        <v>2021</v>
      </c>
      <c r="DW7" s="232">
        <v>2020</v>
      </c>
      <c r="DX7" s="232">
        <v>2021</v>
      </c>
      <c r="DY7" s="232">
        <v>2018</v>
      </c>
      <c r="DZ7" s="233">
        <v>2021</v>
      </c>
      <c r="EA7" s="232">
        <v>2015</v>
      </c>
      <c r="EB7" s="232" t="s">
        <v>8339</v>
      </c>
      <c r="EC7" s="226"/>
      <c r="ED7" s="232">
        <v>2022</v>
      </c>
      <c r="EE7" s="232">
        <v>2022</v>
      </c>
      <c r="EF7" s="232">
        <v>2022</v>
      </c>
      <c r="EG7" s="226"/>
      <c r="EH7" s="232" t="s">
        <v>8338</v>
      </c>
      <c r="EI7" s="232">
        <v>2022</v>
      </c>
      <c r="EJ7" s="226"/>
      <c r="EK7" s="226"/>
      <c r="EL7" s="226"/>
      <c r="EM7" s="226"/>
      <c r="EN7" s="226"/>
      <c r="EO7" s="226"/>
      <c r="EP7" s="226"/>
      <c r="EQ7" s="226"/>
      <c r="ER7" s="232" t="s">
        <v>1887</v>
      </c>
      <c r="ES7" s="232">
        <v>2022</v>
      </c>
      <c r="ET7" s="232">
        <v>2016</v>
      </c>
      <c r="EU7" s="232">
        <v>2015</v>
      </c>
      <c r="EV7" s="232">
        <v>2021</v>
      </c>
      <c r="EW7" s="232">
        <v>2022</v>
      </c>
      <c r="EX7" s="232">
        <v>2022</v>
      </c>
      <c r="EY7" s="232">
        <v>2019</v>
      </c>
      <c r="EZ7" s="243">
        <v>2021</v>
      </c>
      <c r="FA7" s="232">
        <v>2022</v>
      </c>
      <c r="FB7" s="232">
        <v>2020</v>
      </c>
      <c r="FC7" s="232" t="s">
        <v>2968</v>
      </c>
      <c r="FD7" s="226"/>
      <c r="FE7" s="411">
        <v>2020</v>
      </c>
      <c r="FF7" s="232">
        <v>2022</v>
      </c>
      <c r="FG7" s="232">
        <v>2022</v>
      </c>
      <c r="FH7" s="242" t="s">
        <v>8337</v>
      </c>
      <c r="FI7" s="408">
        <v>2017</v>
      </c>
      <c r="FJ7" s="408">
        <v>2020</v>
      </c>
      <c r="FK7" s="408"/>
      <c r="FL7" s="408">
        <v>2022</v>
      </c>
      <c r="FM7" s="232" t="s">
        <v>8337</v>
      </c>
      <c r="FN7" s="232"/>
      <c r="FO7" s="408">
        <v>2020</v>
      </c>
      <c r="FP7" s="408"/>
      <c r="FQ7" s="408">
        <v>2021</v>
      </c>
      <c r="FR7" s="408">
        <v>2020</v>
      </c>
      <c r="FS7" s="408"/>
      <c r="FT7" s="408">
        <v>2022</v>
      </c>
      <c r="FU7" s="226"/>
      <c r="FV7" s="408">
        <v>2019</v>
      </c>
      <c r="FW7" s="408">
        <v>2021</v>
      </c>
      <c r="FX7" s="408">
        <v>2022</v>
      </c>
      <c r="FY7" s="226"/>
      <c r="FZ7" s="408">
        <v>2017</v>
      </c>
      <c r="GA7" s="408">
        <v>2020</v>
      </c>
      <c r="GB7" s="408">
        <v>2020</v>
      </c>
      <c r="GC7" s="408"/>
      <c r="GD7" s="408">
        <v>2022</v>
      </c>
      <c r="GE7" s="408">
        <v>2021</v>
      </c>
      <c r="GF7" s="408">
        <v>2022</v>
      </c>
      <c r="GG7" s="408">
        <v>2017</v>
      </c>
      <c r="GH7" s="408">
        <v>2022</v>
      </c>
      <c r="GI7" s="226"/>
      <c r="GJ7" s="408">
        <v>2016</v>
      </c>
      <c r="GK7" s="408">
        <v>2017</v>
      </c>
      <c r="GL7" s="408">
        <v>2019</v>
      </c>
      <c r="GM7" s="408">
        <v>2022</v>
      </c>
      <c r="GN7" s="408">
        <v>2022</v>
      </c>
      <c r="GO7" s="226"/>
      <c r="GP7" s="408">
        <v>2022</v>
      </c>
      <c r="GQ7" s="226"/>
      <c r="GR7" s="408">
        <v>2020</v>
      </c>
      <c r="GS7" s="408">
        <v>2021</v>
      </c>
      <c r="GT7" s="408"/>
      <c r="GU7" s="408">
        <v>2018</v>
      </c>
      <c r="GV7" s="408">
        <v>2022</v>
      </c>
      <c r="GW7" s="226"/>
      <c r="GX7" s="232">
        <v>2019</v>
      </c>
      <c r="GY7" s="232">
        <v>2022</v>
      </c>
      <c r="GZ7" s="408">
        <v>2021</v>
      </c>
      <c r="HA7" s="232">
        <v>2015</v>
      </c>
      <c r="HB7" s="232">
        <v>2022</v>
      </c>
      <c r="HC7" s="232"/>
      <c r="HD7" s="232">
        <v>2021</v>
      </c>
      <c r="HE7" s="232">
        <v>2021</v>
      </c>
      <c r="HF7" s="226"/>
      <c r="HG7" s="241">
        <v>2019</v>
      </c>
      <c r="HH7" s="241">
        <v>2021</v>
      </c>
      <c r="HI7" s="241" t="s">
        <v>8337</v>
      </c>
      <c r="HJ7" s="232">
        <v>2019</v>
      </c>
      <c r="HK7" s="241">
        <v>2022</v>
      </c>
      <c r="HL7" s="226"/>
      <c r="HM7" s="232" t="s">
        <v>8337</v>
      </c>
      <c r="HN7" s="226"/>
      <c r="HO7" s="232">
        <v>2013</v>
      </c>
      <c r="HP7" s="242">
        <v>2021</v>
      </c>
      <c r="HQ7" s="232">
        <v>2021</v>
      </c>
      <c r="HR7" s="232">
        <v>2022</v>
      </c>
      <c r="HS7" s="232">
        <v>2022</v>
      </c>
      <c r="HT7" s="232">
        <v>2022</v>
      </c>
      <c r="HU7" s="232">
        <v>2021</v>
      </c>
      <c r="HV7" s="232">
        <v>2022</v>
      </c>
      <c r="HW7" s="232">
        <v>2019</v>
      </c>
      <c r="HX7" s="232">
        <v>2019</v>
      </c>
      <c r="HY7" s="232">
        <v>2021</v>
      </c>
      <c r="HZ7" s="232" t="s">
        <v>1887</v>
      </c>
      <c r="IA7" s="232">
        <v>2022</v>
      </c>
      <c r="IB7" s="232">
        <v>2022</v>
      </c>
      <c r="IC7" s="232">
        <v>2022</v>
      </c>
      <c r="ID7" s="232">
        <v>2022</v>
      </c>
      <c r="IE7" s="232">
        <v>2022</v>
      </c>
      <c r="IF7" s="232">
        <v>2022</v>
      </c>
      <c r="IG7" s="232">
        <v>2022</v>
      </c>
      <c r="IH7" s="243">
        <v>2022</v>
      </c>
      <c r="II7" s="232">
        <v>2022</v>
      </c>
      <c r="IJ7" s="232">
        <v>2022</v>
      </c>
      <c r="IK7" s="232">
        <v>2022</v>
      </c>
      <c r="IL7" s="232">
        <v>2022</v>
      </c>
      <c r="IM7" s="232">
        <v>2022</v>
      </c>
      <c r="IN7" s="232">
        <v>2022</v>
      </c>
      <c r="IO7" s="232">
        <v>2022</v>
      </c>
      <c r="IP7" s="232">
        <v>2022</v>
      </c>
      <c r="IQ7" s="232">
        <v>2022</v>
      </c>
      <c r="IR7" s="232">
        <v>2022</v>
      </c>
      <c r="IS7" s="232">
        <v>2022</v>
      </c>
      <c r="IT7" s="232">
        <v>2022</v>
      </c>
      <c r="IU7" s="232">
        <v>2022</v>
      </c>
      <c r="IV7" s="232">
        <v>2022</v>
      </c>
      <c r="IW7" s="232">
        <v>2022</v>
      </c>
      <c r="IX7" s="232">
        <v>2022</v>
      </c>
      <c r="IY7" s="232">
        <v>2022</v>
      </c>
      <c r="IZ7" s="232">
        <v>2022</v>
      </c>
      <c r="JA7" s="232">
        <v>2022</v>
      </c>
      <c r="JB7" s="232">
        <v>2022</v>
      </c>
      <c r="JC7" s="232">
        <v>2022</v>
      </c>
      <c r="JD7" s="232">
        <v>2013</v>
      </c>
      <c r="JE7" s="226"/>
      <c r="JF7" s="226"/>
      <c r="JG7" s="226"/>
      <c r="JH7" s="232">
        <v>2018</v>
      </c>
      <c r="JI7" s="232">
        <v>2022</v>
      </c>
      <c r="JJ7" s="232">
        <v>2019</v>
      </c>
      <c r="JK7" s="244">
        <v>2022</v>
      </c>
      <c r="JL7" s="232">
        <v>2022</v>
      </c>
      <c r="JM7" s="232">
        <v>2022</v>
      </c>
      <c r="JN7" s="226"/>
      <c r="JO7" s="226"/>
      <c r="JP7" s="226"/>
      <c r="JQ7" s="232">
        <v>2022</v>
      </c>
      <c r="JR7" s="232">
        <v>2021</v>
      </c>
      <c r="JS7" s="232" t="s">
        <v>1887</v>
      </c>
      <c r="JT7" s="232">
        <v>2021</v>
      </c>
      <c r="JU7" s="232">
        <v>2020</v>
      </c>
      <c r="JV7" s="232">
        <v>2021</v>
      </c>
      <c r="JW7" s="232">
        <v>2021</v>
      </c>
      <c r="JX7" s="232">
        <v>2021</v>
      </c>
      <c r="JY7" s="232" t="s">
        <v>2968</v>
      </c>
      <c r="JZ7" s="232">
        <v>2022</v>
      </c>
      <c r="KA7" s="232">
        <v>2022</v>
      </c>
      <c r="KB7" s="225" t="s">
        <v>8336</v>
      </c>
      <c r="KC7" s="232">
        <v>2022</v>
      </c>
      <c r="KD7" s="232">
        <v>2022</v>
      </c>
      <c r="KE7" s="232">
        <v>2022</v>
      </c>
      <c r="KF7" s="232">
        <v>2022</v>
      </c>
      <c r="KG7" s="232">
        <v>2022</v>
      </c>
      <c r="KH7" s="232">
        <v>2022</v>
      </c>
      <c r="KI7" s="232">
        <v>2022</v>
      </c>
      <c r="KJ7" s="232">
        <v>2021</v>
      </c>
      <c r="KK7" s="232">
        <v>2018</v>
      </c>
      <c r="KL7" s="232">
        <v>2021</v>
      </c>
      <c r="KM7" s="232">
        <v>2022</v>
      </c>
      <c r="KN7" s="232" t="s">
        <v>8335</v>
      </c>
      <c r="KO7" s="232">
        <v>2022</v>
      </c>
      <c r="KP7" s="232">
        <v>2017</v>
      </c>
      <c r="KQ7" s="226"/>
      <c r="KR7" s="226"/>
      <c r="KS7" s="226"/>
      <c r="KT7" s="226"/>
      <c r="KU7" s="226"/>
      <c r="KV7" s="232">
        <v>2020</v>
      </c>
      <c r="KW7" s="232">
        <v>2019</v>
      </c>
      <c r="KX7" s="794" t="s">
        <v>9161</v>
      </c>
      <c r="KY7" s="795">
        <v>2016</v>
      </c>
      <c r="KZ7" s="232" t="s">
        <v>9161</v>
      </c>
      <c r="LA7" s="232">
        <v>2019</v>
      </c>
      <c r="LB7" s="232" t="s">
        <v>9161</v>
      </c>
      <c r="LC7" s="232">
        <v>2016</v>
      </c>
      <c r="LD7" s="232" t="s">
        <v>9161</v>
      </c>
      <c r="LE7" s="232">
        <v>2017</v>
      </c>
      <c r="LF7" s="232" t="s">
        <v>9161</v>
      </c>
      <c r="LG7" s="232" t="s">
        <v>9161</v>
      </c>
      <c r="LH7" s="232" t="s">
        <v>9161</v>
      </c>
      <c r="LI7" s="232">
        <v>2016</v>
      </c>
      <c r="LJ7" s="232">
        <v>2016</v>
      </c>
      <c r="LK7" s="232">
        <v>2022</v>
      </c>
      <c r="LL7" s="225">
        <v>2021</v>
      </c>
      <c r="LM7" s="226"/>
      <c r="LN7" s="232">
        <v>2011</v>
      </c>
      <c r="LO7" s="232">
        <v>2018</v>
      </c>
      <c r="LP7" s="232">
        <v>2019</v>
      </c>
      <c r="LQ7" s="232">
        <v>2017</v>
      </c>
      <c r="LR7" s="232">
        <v>2018</v>
      </c>
      <c r="LS7" s="232">
        <v>2021</v>
      </c>
      <c r="LT7" s="245">
        <v>2021</v>
      </c>
      <c r="LU7" s="232">
        <v>2018</v>
      </c>
      <c r="LV7" s="232">
        <v>2018</v>
      </c>
      <c r="LW7" s="232">
        <v>2021</v>
      </c>
      <c r="LX7" s="232">
        <v>2021</v>
      </c>
      <c r="LY7" s="232">
        <v>2022</v>
      </c>
      <c r="LZ7" s="232">
        <v>2018</v>
      </c>
      <c r="MA7" s="232">
        <v>2019</v>
      </c>
      <c r="MB7" s="232">
        <v>2018</v>
      </c>
      <c r="MC7" s="242">
        <v>2018</v>
      </c>
      <c r="MD7" s="232">
        <v>2019</v>
      </c>
      <c r="ME7" s="232">
        <v>2017</v>
      </c>
      <c r="MF7" s="232">
        <v>2018</v>
      </c>
      <c r="MG7" s="226"/>
      <c r="MH7" s="226"/>
      <c r="MI7" s="226"/>
      <c r="MJ7" s="240">
        <v>2018</v>
      </c>
      <c r="MK7" s="240"/>
      <c r="ML7" s="240">
        <v>2018</v>
      </c>
      <c r="MM7" s="240">
        <v>2020</v>
      </c>
      <c r="MN7" s="239">
        <v>2019</v>
      </c>
      <c r="MO7" s="239">
        <v>2018</v>
      </c>
      <c r="MP7" s="239">
        <v>2018</v>
      </c>
      <c r="MQ7" s="239">
        <v>2018</v>
      </c>
      <c r="MR7" s="239" t="s">
        <v>2363</v>
      </c>
      <c r="MS7" s="239">
        <v>2019</v>
      </c>
      <c r="MT7" s="240">
        <v>2019</v>
      </c>
      <c r="MU7" s="239">
        <v>2019</v>
      </c>
      <c r="MV7" s="240">
        <v>2018</v>
      </c>
      <c r="MW7" s="240">
        <v>2019</v>
      </c>
      <c r="MX7" s="226"/>
      <c r="MY7" s="226"/>
      <c r="MZ7" s="226"/>
      <c r="NA7" s="226"/>
    </row>
    <row r="8" spans="1:365" ht="81" customHeight="1" x14ac:dyDescent="0.2">
      <c r="A8" s="1216" t="s">
        <v>24</v>
      </c>
      <c r="B8" s="1217" t="s">
        <v>25</v>
      </c>
      <c r="C8" s="1218" t="s">
        <v>8334</v>
      </c>
      <c r="D8" s="215" t="s">
        <v>27</v>
      </c>
      <c r="E8" s="246" t="s">
        <v>8333</v>
      </c>
      <c r="F8" s="246" t="s">
        <v>8333</v>
      </c>
      <c r="G8" s="246">
        <v>44652</v>
      </c>
      <c r="H8" s="246">
        <v>44652</v>
      </c>
      <c r="I8" s="246">
        <v>44732</v>
      </c>
      <c r="J8" s="246">
        <v>44652</v>
      </c>
      <c r="K8" s="246">
        <v>44562</v>
      </c>
      <c r="L8" s="246">
        <v>44593</v>
      </c>
      <c r="M8" s="246">
        <v>44593</v>
      </c>
      <c r="N8" s="246" t="s">
        <v>8332</v>
      </c>
      <c r="O8" s="246" t="s">
        <v>8331</v>
      </c>
      <c r="P8" s="412">
        <v>44562</v>
      </c>
      <c r="Q8" s="246">
        <v>44706</v>
      </c>
      <c r="R8" s="246" t="s">
        <v>8330</v>
      </c>
      <c r="S8" s="246" t="s">
        <v>8329</v>
      </c>
      <c r="T8" s="246" t="s">
        <v>8328</v>
      </c>
      <c r="U8" s="246">
        <v>44601</v>
      </c>
      <c r="V8" s="225" t="s">
        <v>8327</v>
      </c>
      <c r="W8" s="226"/>
      <c r="X8" s="226"/>
      <c r="Y8" s="226"/>
      <c r="Z8" s="226"/>
      <c r="AA8" s="226"/>
      <c r="AB8" s="226"/>
      <c r="AC8" s="226"/>
      <c r="AD8" s="226"/>
      <c r="AE8" s="226"/>
      <c r="AF8" s="246">
        <v>44562</v>
      </c>
      <c r="AG8" s="238">
        <v>44501</v>
      </c>
      <c r="AH8" s="226"/>
      <c r="AI8" s="246">
        <v>44725</v>
      </c>
      <c r="AJ8" s="246">
        <v>44783</v>
      </c>
      <c r="AK8" s="250">
        <v>44519</v>
      </c>
      <c r="AL8" s="246">
        <v>44323</v>
      </c>
      <c r="AM8" s="226"/>
      <c r="AN8" s="226"/>
      <c r="AO8" s="226"/>
      <c r="AP8" s="226"/>
      <c r="AQ8" s="246">
        <v>44562</v>
      </c>
      <c r="AR8" s="246">
        <v>44636</v>
      </c>
      <c r="AS8" s="246">
        <v>44746</v>
      </c>
      <c r="AT8" s="246">
        <v>44572</v>
      </c>
      <c r="AU8" s="246">
        <v>44666</v>
      </c>
      <c r="AV8" s="246">
        <v>44637</v>
      </c>
      <c r="AW8" s="246">
        <v>44662</v>
      </c>
      <c r="AX8" s="246" t="s">
        <v>8326</v>
      </c>
      <c r="AY8" s="413">
        <v>44669</v>
      </c>
      <c r="AZ8" s="246">
        <v>44652</v>
      </c>
      <c r="BA8" s="246">
        <v>44743</v>
      </c>
      <c r="BB8" s="246">
        <v>44681</v>
      </c>
      <c r="BC8" s="246">
        <v>44659</v>
      </c>
      <c r="BD8" s="246">
        <v>44651</v>
      </c>
      <c r="BE8" s="413">
        <v>44743</v>
      </c>
      <c r="BF8" s="246">
        <v>44774</v>
      </c>
      <c r="BG8" s="252">
        <v>44637</v>
      </c>
      <c r="BH8" s="246">
        <v>44670</v>
      </c>
      <c r="BI8" s="246" t="s">
        <v>8325</v>
      </c>
      <c r="BJ8" s="246">
        <v>44650</v>
      </c>
      <c r="BK8" s="246">
        <v>44228</v>
      </c>
      <c r="BL8" s="246" t="s">
        <v>8324</v>
      </c>
      <c r="BM8" s="246" t="s">
        <v>8323</v>
      </c>
      <c r="BN8" s="226"/>
      <c r="BO8" s="246">
        <v>44578</v>
      </c>
      <c r="BP8" s="246">
        <v>44904</v>
      </c>
      <c r="BQ8" s="246" t="s">
        <v>8322</v>
      </c>
      <c r="BR8" s="233" t="s">
        <v>8321</v>
      </c>
      <c r="BS8" s="246">
        <v>44405</v>
      </c>
      <c r="BT8" s="246" t="s">
        <v>2160</v>
      </c>
      <c r="BU8" s="246">
        <v>44845</v>
      </c>
      <c r="BV8" s="246">
        <v>44774</v>
      </c>
      <c r="BW8" s="246">
        <v>44594</v>
      </c>
      <c r="BX8" s="246">
        <v>44596</v>
      </c>
      <c r="BY8" s="246">
        <v>44774</v>
      </c>
      <c r="BZ8" s="246" t="s">
        <v>8320</v>
      </c>
      <c r="CA8" s="246">
        <v>44811</v>
      </c>
      <c r="CB8" s="246">
        <v>44811</v>
      </c>
      <c r="CC8" s="246">
        <v>44550</v>
      </c>
      <c r="CD8" s="250">
        <v>44631</v>
      </c>
      <c r="CE8" s="413">
        <v>44562</v>
      </c>
      <c r="CF8" s="250">
        <v>44562</v>
      </c>
      <c r="CG8" s="250">
        <v>44617</v>
      </c>
      <c r="CH8" s="250">
        <v>44562</v>
      </c>
      <c r="CI8" s="250">
        <v>44713</v>
      </c>
      <c r="CJ8" s="250">
        <v>44593</v>
      </c>
      <c r="CK8" s="250">
        <v>44562</v>
      </c>
      <c r="CL8" s="250">
        <v>44540</v>
      </c>
      <c r="CM8" s="250" t="s">
        <v>8319</v>
      </c>
      <c r="CN8" s="246" t="s">
        <v>8318</v>
      </c>
      <c r="CO8" s="246">
        <v>44586</v>
      </c>
      <c r="CP8" s="246">
        <v>44602</v>
      </c>
      <c r="CQ8" s="406" t="s">
        <v>8317</v>
      </c>
      <c r="CR8" s="414">
        <v>44581</v>
      </c>
      <c r="CS8" s="246">
        <v>44783</v>
      </c>
      <c r="CT8" s="246">
        <v>44888</v>
      </c>
      <c r="CU8" s="415">
        <v>44489</v>
      </c>
      <c r="CV8" s="246" t="s">
        <v>8316</v>
      </c>
      <c r="CW8" s="246" t="s">
        <v>8315</v>
      </c>
      <c r="CX8" s="246">
        <v>44480</v>
      </c>
      <c r="CY8" s="246">
        <v>44518</v>
      </c>
      <c r="CZ8" s="246">
        <v>44669</v>
      </c>
      <c r="DA8" s="246">
        <v>44562</v>
      </c>
      <c r="DB8" s="246" t="s">
        <v>8314</v>
      </c>
      <c r="DC8" s="246">
        <v>44733</v>
      </c>
      <c r="DD8" s="246">
        <v>44607</v>
      </c>
      <c r="DE8" s="246">
        <v>44621</v>
      </c>
      <c r="DF8" s="246" t="s">
        <v>8313</v>
      </c>
      <c r="DG8" s="246">
        <v>44844</v>
      </c>
      <c r="DH8" s="246">
        <v>44718</v>
      </c>
      <c r="DI8" s="246">
        <v>44637</v>
      </c>
      <c r="DJ8" s="246">
        <v>44590</v>
      </c>
      <c r="DK8" s="246">
        <v>44609</v>
      </c>
      <c r="DL8" s="246">
        <v>44835</v>
      </c>
      <c r="DM8" s="246">
        <v>44651</v>
      </c>
      <c r="DN8" s="246" t="s">
        <v>1577</v>
      </c>
      <c r="DO8" s="225">
        <v>2022</v>
      </c>
      <c r="DP8" s="246">
        <v>44540</v>
      </c>
      <c r="DQ8" s="246">
        <v>44571</v>
      </c>
      <c r="DR8" s="246">
        <v>44576</v>
      </c>
      <c r="DS8" s="246">
        <v>44704</v>
      </c>
      <c r="DT8" s="246">
        <v>44573</v>
      </c>
      <c r="DU8" s="246">
        <v>44571</v>
      </c>
      <c r="DV8" s="246" t="s">
        <v>8232</v>
      </c>
      <c r="DW8" s="246">
        <v>44447</v>
      </c>
      <c r="DX8" s="246" t="s">
        <v>8312</v>
      </c>
      <c r="DY8" s="246" t="s">
        <v>8311</v>
      </c>
      <c r="DZ8" s="233" t="s">
        <v>8310</v>
      </c>
      <c r="EA8" s="246">
        <v>44609</v>
      </c>
      <c r="EB8" s="246" t="s">
        <v>8309</v>
      </c>
      <c r="EC8" s="226"/>
      <c r="ED8" s="246">
        <v>44440</v>
      </c>
      <c r="EE8" s="246">
        <v>44645</v>
      </c>
      <c r="EF8" s="246" t="s">
        <v>8308</v>
      </c>
      <c r="EG8" s="226"/>
      <c r="EH8" s="246" t="s">
        <v>8307</v>
      </c>
      <c r="EI8" s="246" t="s">
        <v>8306</v>
      </c>
      <c r="EJ8" s="226"/>
      <c r="EK8" s="226"/>
      <c r="EL8" s="226"/>
      <c r="EM8" s="226"/>
      <c r="EN8" s="226"/>
      <c r="EO8" s="226"/>
      <c r="EP8" s="226"/>
      <c r="EQ8" s="226"/>
      <c r="ER8" s="246" t="s">
        <v>8305</v>
      </c>
      <c r="ES8" s="246">
        <v>44761</v>
      </c>
      <c r="ET8" s="246">
        <v>44562</v>
      </c>
      <c r="EU8" s="246">
        <v>44652</v>
      </c>
      <c r="EV8" s="246">
        <v>44652</v>
      </c>
      <c r="EW8" s="246">
        <v>44562</v>
      </c>
      <c r="EX8" s="246">
        <v>44676</v>
      </c>
      <c r="EY8" s="246">
        <v>44652</v>
      </c>
      <c r="EZ8" s="250">
        <v>44606</v>
      </c>
      <c r="FA8" s="246">
        <v>44235</v>
      </c>
      <c r="FB8" s="246">
        <v>44562</v>
      </c>
      <c r="FC8" s="246" t="s">
        <v>8304</v>
      </c>
      <c r="FD8" s="226"/>
      <c r="FE8" s="416" t="s">
        <v>8303</v>
      </c>
      <c r="FF8" s="246">
        <v>44669</v>
      </c>
      <c r="FG8" s="246">
        <v>44641</v>
      </c>
      <c r="FH8" s="246" t="s">
        <v>8302</v>
      </c>
      <c r="FI8" s="414">
        <v>44396</v>
      </c>
      <c r="FJ8" s="414">
        <v>44621</v>
      </c>
      <c r="FK8" s="414"/>
      <c r="FL8" s="414">
        <v>44774</v>
      </c>
      <c r="FM8" s="246" t="s">
        <v>2229</v>
      </c>
      <c r="FN8" s="246"/>
      <c r="FO8" s="414">
        <v>44622</v>
      </c>
      <c r="FP8" s="414"/>
      <c r="FQ8" s="414" t="s">
        <v>8301</v>
      </c>
      <c r="FR8" s="414">
        <v>44728</v>
      </c>
      <c r="FS8" s="414"/>
      <c r="FT8" s="414" t="s">
        <v>8300</v>
      </c>
      <c r="FU8" s="226"/>
      <c r="FV8" s="414" t="s">
        <v>8299</v>
      </c>
      <c r="FW8" s="414">
        <v>44652</v>
      </c>
      <c r="FX8" s="414">
        <v>44866</v>
      </c>
      <c r="FY8" s="226"/>
      <c r="FZ8" s="414">
        <v>44407</v>
      </c>
      <c r="GA8" s="414">
        <v>44461</v>
      </c>
      <c r="GB8" s="414">
        <v>44621</v>
      </c>
      <c r="GC8" s="414"/>
      <c r="GD8" s="414">
        <v>44774</v>
      </c>
      <c r="GE8" s="414" t="s">
        <v>8298</v>
      </c>
      <c r="GF8" s="414" t="s">
        <v>8297</v>
      </c>
      <c r="GG8" s="414" t="s">
        <v>8296</v>
      </c>
      <c r="GH8" s="414">
        <v>44729</v>
      </c>
      <c r="GI8" s="226"/>
      <c r="GJ8" s="414">
        <v>44649</v>
      </c>
      <c r="GK8" s="414">
        <v>44641</v>
      </c>
      <c r="GL8" s="414">
        <v>44641</v>
      </c>
      <c r="GM8" s="414">
        <v>44676</v>
      </c>
      <c r="GN8" s="414">
        <v>44743</v>
      </c>
      <c r="GO8" s="226"/>
      <c r="GP8" s="414">
        <v>44783</v>
      </c>
      <c r="GQ8" s="226"/>
      <c r="GR8" s="414" t="s">
        <v>8295</v>
      </c>
      <c r="GS8" s="414">
        <v>44807</v>
      </c>
      <c r="GT8" s="414"/>
      <c r="GU8" s="414">
        <v>44562</v>
      </c>
      <c r="GV8" s="414" t="s">
        <v>8293</v>
      </c>
      <c r="GW8" s="226"/>
      <c r="GX8" s="246">
        <v>44697</v>
      </c>
      <c r="GY8" s="246">
        <v>44837</v>
      </c>
      <c r="GZ8" s="414" t="s">
        <v>8294</v>
      </c>
      <c r="HA8" s="246">
        <v>44686</v>
      </c>
      <c r="HB8" s="246">
        <v>44701</v>
      </c>
      <c r="HC8" s="246"/>
      <c r="HD8" s="246">
        <v>44424</v>
      </c>
      <c r="HE8" s="246">
        <v>44600</v>
      </c>
      <c r="HF8" s="226"/>
      <c r="HG8" s="247">
        <v>43819</v>
      </c>
      <c r="HH8" s="247">
        <v>44671</v>
      </c>
      <c r="HI8" s="247" t="s">
        <v>8293</v>
      </c>
      <c r="HJ8" s="246">
        <v>44228</v>
      </c>
      <c r="HK8" s="247" t="s">
        <v>8292</v>
      </c>
      <c r="HL8" s="226"/>
      <c r="HM8" s="246" t="s">
        <v>8291</v>
      </c>
      <c r="HN8" s="226"/>
      <c r="HO8" s="246">
        <v>44734</v>
      </c>
      <c r="HP8" s="248">
        <v>44732</v>
      </c>
      <c r="HQ8" s="246">
        <v>44525</v>
      </c>
      <c r="HR8" s="246">
        <v>44739</v>
      </c>
      <c r="HS8" s="238" t="s">
        <v>8290</v>
      </c>
      <c r="HT8" s="238" t="s">
        <v>8289</v>
      </c>
      <c r="HU8" s="246">
        <v>44694</v>
      </c>
      <c r="HV8" s="246" t="s">
        <v>8288</v>
      </c>
      <c r="HW8" s="246">
        <v>44333</v>
      </c>
      <c r="HX8" s="246" t="s">
        <v>8287</v>
      </c>
      <c r="HY8" s="246" t="s">
        <v>8286</v>
      </c>
      <c r="HZ8" s="246"/>
      <c r="IA8" s="246" t="s">
        <v>8285</v>
      </c>
      <c r="IB8" s="246" t="s">
        <v>8284</v>
      </c>
      <c r="IC8" s="246">
        <v>44562</v>
      </c>
      <c r="ID8" s="246">
        <v>44711</v>
      </c>
      <c r="IE8" s="246">
        <v>44713</v>
      </c>
      <c r="IF8" s="246">
        <v>44743</v>
      </c>
      <c r="IG8" s="249">
        <v>44774</v>
      </c>
      <c r="IH8" s="250">
        <v>44774</v>
      </c>
      <c r="II8" s="238">
        <v>44743</v>
      </c>
      <c r="IJ8" s="249">
        <v>44774</v>
      </c>
      <c r="IK8" s="249">
        <v>44805</v>
      </c>
      <c r="IL8" s="238">
        <v>44743</v>
      </c>
      <c r="IM8" s="249">
        <v>44743</v>
      </c>
      <c r="IN8" s="246" t="s">
        <v>8283</v>
      </c>
      <c r="IO8" s="246">
        <v>44733</v>
      </c>
      <c r="IP8" s="246">
        <v>44775</v>
      </c>
      <c r="IQ8" s="246">
        <v>44714</v>
      </c>
      <c r="IR8" s="249">
        <v>44743</v>
      </c>
      <c r="IS8" s="238">
        <v>44711</v>
      </c>
      <c r="IT8" s="238">
        <v>44756</v>
      </c>
      <c r="IU8" s="249">
        <v>44743</v>
      </c>
      <c r="IV8" s="246">
        <v>44743</v>
      </c>
      <c r="IW8" s="249">
        <v>44743</v>
      </c>
      <c r="IX8" s="246">
        <v>44666</v>
      </c>
      <c r="IY8" s="246">
        <v>44774</v>
      </c>
      <c r="IZ8" s="246">
        <v>44729</v>
      </c>
      <c r="JA8" s="246"/>
      <c r="JB8" s="246">
        <v>44617</v>
      </c>
      <c r="JC8" s="246" t="s">
        <v>8282</v>
      </c>
      <c r="JD8" s="246">
        <v>44666</v>
      </c>
      <c r="JE8" s="226"/>
      <c r="JF8" s="226"/>
      <c r="JG8" s="226"/>
      <c r="JH8" s="246" t="s">
        <v>8281</v>
      </c>
      <c r="JI8" s="246">
        <v>44428</v>
      </c>
      <c r="JJ8" s="246">
        <v>44575</v>
      </c>
      <c r="JK8" s="251">
        <v>44652</v>
      </c>
      <c r="JL8" s="246">
        <v>44678</v>
      </c>
      <c r="JM8" s="246">
        <v>44781</v>
      </c>
      <c r="JN8" s="226"/>
      <c r="JO8" s="226"/>
      <c r="JP8" s="226"/>
      <c r="JQ8" s="246">
        <v>44697</v>
      </c>
      <c r="JR8" s="246" t="s">
        <v>8280</v>
      </c>
      <c r="JS8" s="246" t="s">
        <v>8279</v>
      </c>
      <c r="JT8" s="246">
        <v>44407</v>
      </c>
      <c r="JU8" s="246">
        <v>44571</v>
      </c>
      <c r="JV8" s="246">
        <v>44680</v>
      </c>
      <c r="JW8" s="252">
        <v>44711</v>
      </c>
      <c r="JX8" s="246">
        <v>44593</v>
      </c>
      <c r="JY8" s="246" t="s">
        <v>8278</v>
      </c>
      <c r="JZ8" s="246" t="s">
        <v>8277</v>
      </c>
      <c r="KA8" s="246">
        <v>44676</v>
      </c>
      <c r="KB8" s="225" t="s">
        <v>8276</v>
      </c>
      <c r="KC8" s="246" t="s">
        <v>8275</v>
      </c>
      <c r="KD8" s="246">
        <v>44562</v>
      </c>
      <c r="KE8" s="232" t="s">
        <v>8274</v>
      </c>
      <c r="KF8" s="246">
        <v>44609</v>
      </c>
      <c r="KG8" s="246">
        <v>44652</v>
      </c>
      <c r="KH8" s="246">
        <v>44312</v>
      </c>
      <c r="KI8" s="246">
        <v>44867</v>
      </c>
      <c r="KJ8" s="246" t="s">
        <v>8273</v>
      </c>
      <c r="KK8" s="246">
        <v>44229</v>
      </c>
      <c r="KL8" s="246">
        <v>44641</v>
      </c>
      <c r="KM8" s="246">
        <v>44835</v>
      </c>
      <c r="KN8" s="246" t="s">
        <v>8272</v>
      </c>
      <c r="KO8" s="246">
        <v>44384</v>
      </c>
      <c r="KP8" s="246" t="s">
        <v>8271</v>
      </c>
      <c r="KQ8" s="226"/>
      <c r="KR8" s="226"/>
      <c r="KS8" s="226"/>
      <c r="KT8" s="226"/>
      <c r="KU8" s="226"/>
      <c r="KV8" s="246">
        <v>44586</v>
      </c>
      <c r="KW8" s="246">
        <v>44671</v>
      </c>
      <c r="KX8" s="257" t="s">
        <v>8288</v>
      </c>
      <c r="KY8" s="258" t="s">
        <v>9275</v>
      </c>
      <c r="KZ8" s="246" t="s">
        <v>9267</v>
      </c>
      <c r="LA8" s="246" t="s">
        <v>9234</v>
      </c>
      <c r="LB8" s="246" t="s">
        <v>9234</v>
      </c>
      <c r="LC8" s="246">
        <v>44387</v>
      </c>
      <c r="LD8" s="246" t="s">
        <v>9209</v>
      </c>
      <c r="LE8" s="246" t="s">
        <v>9195</v>
      </c>
      <c r="LF8" s="246" t="s">
        <v>9187</v>
      </c>
      <c r="LG8" s="246" t="s">
        <v>9176</v>
      </c>
      <c r="LH8" s="246" t="s">
        <v>9162</v>
      </c>
      <c r="LI8" s="246">
        <v>44666</v>
      </c>
      <c r="LJ8" s="246" t="s">
        <v>9123</v>
      </c>
      <c r="LK8" s="246">
        <v>44634</v>
      </c>
      <c r="LL8" s="225" t="s">
        <v>8270</v>
      </c>
      <c r="LM8" s="226"/>
      <c r="LN8" s="246" t="s">
        <v>8269</v>
      </c>
      <c r="LO8" s="246">
        <v>44708</v>
      </c>
      <c r="LP8" s="246" t="s">
        <v>8268</v>
      </c>
      <c r="LQ8" s="246" t="s">
        <v>864</v>
      </c>
      <c r="LR8" s="246">
        <v>44510</v>
      </c>
      <c r="LS8" s="246">
        <v>44315</v>
      </c>
      <c r="LT8" s="253">
        <v>44676</v>
      </c>
      <c r="LU8" s="246">
        <v>44562</v>
      </c>
      <c r="LV8" s="246">
        <v>44501</v>
      </c>
      <c r="LW8" s="246">
        <v>44562</v>
      </c>
      <c r="LX8" s="246">
        <v>44562</v>
      </c>
      <c r="LY8" s="246">
        <v>44596</v>
      </c>
      <c r="LZ8" s="246">
        <v>44571</v>
      </c>
      <c r="MA8" s="246" t="s">
        <v>8267</v>
      </c>
      <c r="MB8" s="246">
        <v>44197</v>
      </c>
      <c r="MC8" s="246">
        <v>44531</v>
      </c>
      <c r="MD8" s="246" t="s">
        <v>8266</v>
      </c>
      <c r="ME8" s="246">
        <v>44832</v>
      </c>
      <c r="MF8" s="254" t="s">
        <v>8265</v>
      </c>
      <c r="MG8" s="226"/>
      <c r="MH8" s="226"/>
      <c r="MI8" s="226"/>
      <c r="MJ8" s="255">
        <v>44317</v>
      </c>
      <c r="MK8" s="255"/>
      <c r="ML8" s="255">
        <v>44317</v>
      </c>
      <c r="MM8" s="255" t="s">
        <v>578</v>
      </c>
      <c r="MN8" s="256">
        <v>44595</v>
      </c>
      <c r="MO8" s="256">
        <v>44470</v>
      </c>
      <c r="MP8" s="256">
        <v>44317</v>
      </c>
      <c r="MQ8" s="256" t="s">
        <v>528</v>
      </c>
      <c r="MR8" s="256">
        <v>44428</v>
      </c>
      <c r="MS8" s="256">
        <v>44682</v>
      </c>
      <c r="MT8" s="255" t="s">
        <v>8264</v>
      </c>
      <c r="MU8" s="256">
        <v>43586</v>
      </c>
      <c r="MV8" s="255">
        <v>44317</v>
      </c>
      <c r="MW8" s="255">
        <v>44317</v>
      </c>
      <c r="MX8" s="226"/>
      <c r="MY8" s="226"/>
      <c r="MZ8" s="226"/>
      <c r="NA8" s="226"/>
    </row>
    <row r="9" spans="1:365" ht="78" customHeight="1" x14ac:dyDescent="0.2">
      <c r="A9" s="1216"/>
      <c r="B9" s="1217"/>
      <c r="C9" s="1218"/>
      <c r="D9" s="215" t="s">
        <v>28</v>
      </c>
      <c r="E9" s="246" t="s">
        <v>8263</v>
      </c>
      <c r="F9" s="246" t="s">
        <v>8262</v>
      </c>
      <c r="G9" s="246">
        <v>44896</v>
      </c>
      <c r="H9" s="246">
        <v>44896</v>
      </c>
      <c r="I9" s="246" t="s">
        <v>8261</v>
      </c>
      <c r="J9" s="246">
        <v>44896</v>
      </c>
      <c r="K9" s="246">
        <v>44926</v>
      </c>
      <c r="L9" s="246">
        <v>44896</v>
      </c>
      <c r="M9" s="246" t="s">
        <v>8240</v>
      </c>
      <c r="N9" s="246">
        <v>44866</v>
      </c>
      <c r="O9" s="246" t="s">
        <v>554</v>
      </c>
      <c r="P9" s="412">
        <v>46022</v>
      </c>
      <c r="Q9" s="246">
        <v>44814</v>
      </c>
      <c r="R9" s="246" t="s">
        <v>8260</v>
      </c>
      <c r="S9" s="246" t="s">
        <v>8259</v>
      </c>
      <c r="T9" s="246" t="s">
        <v>8258</v>
      </c>
      <c r="U9" s="246">
        <v>44909</v>
      </c>
      <c r="V9" s="225" t="s">
        <v>8257</v>
      </c>
      <c r="W9" s="226"/>
      <c r="X9" s="226"/>
      <c r="Y9" s="226"/>
      <c r="Z9" s="226"/>
      <c r="AA9" s="226"/>
      <c r="AB9" s="226"/>
      <c r="AC9" s="226"/>
      <c r="AD9" s="226"/>
      <c r="AE9" s="226"/>
      <c r="AF9" s="246">
        <v>44926</v>
      </c>
      <c r="AG9" s="238">
        <v>44926</v>
      </c>
      <c r="AH9" s="226"/>
      <c r="AI9" s="246">
        <v>44748</v>
      </c>
      <c r="AJ9" s="246">
        <v>44842</v>
      </c>
      <c r="AK9" s="250">
        <v>44926</v>
      </c>
      <c r="AL9" s="246">
        <v>44799</v>
      </c>
      <c r="AM9" s="226"/>
      <c r="AN9" s="226"/>
      <c r="AO9" s="226"/>
      <c r="AP9" s="226"/>
      <c r="AQ9" s="246">
        <v>44904</v>
      </c>
      <c r="AR9" s="246">
        <v>44838</v>
      </c>
      <c r="AS9" s="246">
        <v>44926</v>
      </c>
      <c r="AT9" s="246" t="s">
        <v>8256</v>
      </c>
      <c r="AU9" s="246">
        <v>44867</v>
      </c>
      <c r="AV9" s="246" t="s">
        <v>8255</v>
      </c>
      <c r="AW9" s="246">
        <v>44925</v>
      </c>
      <c r="AX9" s="246" t="s">
        <v>8254</v>
      </c>
      <c r="AY9" s="413">
        <v>44681</v>
      </c>
      <c r="AZ9" s="246">
        <v>44671</v>
      </c>
      <c r="BA9" s="246">
        <v>44925</v>
      </c>
      <c r="BB9" s="246">
        <v>44896</v>
      </c>
      <c r="BC9" s="246" t="s">
        <v>8253</v>
      </c>
      <c r="BD9" s="246">
        <v>44910</v>
      </c>
      <c r="BE9" s="413">
        <v>44925</v>
      </c>
      <c r="BF9" s="246">
        <v>44896</v>
      </c>
      <c r="BG9" s="252">
        <v>44921</v>
      </c>
      <c r="BH9" s="246">
        <v>44706</v>
      </c>
      <c r="BI9" s="246">
        <v>44648</v>
      </c>
      <c r="BJ9" s="246">
        <v>44805</v>
      </c>
      <c r="BK9" s="246">
        <v>44685</v>
      </c>
      <c r="BL9" s="246" t="s">
        <v>554</v>
      </c>
      <c r="BM9" s="246" t="s">
        <v>8252</v>
      </c>
      <c r="BN9" s="226"/>
      <c r="BO9" s="246" t="s">
        <v>8251</v>
      </c>
      <c r="BP9" s="246"/>
      <c r="BQ9" s="246">
        <v>44838</v>
      </c>
      <c r="BR9" s="233" t="s">
        <v>8250</v>
      </c>
      <c r="BS9" s="246" t="s">
        <v>8249</v>
      </c>
      <c r="BT9" s="246" t="s">
        <v>8248</v>
      </c>
      <c r="BU9" s="246">
        <v>44890</v>
      </c>
      <c r="BV9" s="246">
        <v>45261</v>
      </c>
      <c r="BW9" s="246"/>
      <c r="BX9" s="246"/>
      <c r="BY9" s="246">
        <v>44896</v>
      </c>
      <c r="BZ9" s="246" t="s">
        <v>1863</v>
      </c>
      <c r="CA9" s="246">
        <v>44923</v>
      </c>
      <c r="CB9" s="246">
        <v>44923</v>
      </c>
      <c r="CC9" s="246">
        <v>44926</v>
      </c>
      <c r="CD9" s="250">
        <v>44641</v>
      </c>
      <c r="CE9" s="413">
        <v>44926</v>
      </c>
      <c r="CF9" s="250">
        <v>44926</v>
      </c>
      <c r="CG9" s="250">
        <v>44872</v>
      </c>
      <c r="CH9" s="250">
        <v>44926</v>
      </c>
      <c r="CI9" s="250">
        <v>44728</v>
      </c>
      <c r="CJ9" s="250">
        <v>44908</v>
      </c>
      <c r="CK9" s="250">
        <v>44926</v>
      </c>
      <c r="CL9" s="250">
        <v>44854</v>
      </c>
      <c r="CM9" s="250" t="s">
        <v>8247</v>
      </c>
      <c r="CN9" s="246" t="s">
        <v>8246</v>
      </c>
      <c r="CO9" s="246"/>
      <c r="CP9" s="246">
        <v>44908</v>
      </c>
      <c r="CQ9" s="406" t="s">
        <v>8245</v>
      </c>
      <c r="CR9" s="414">
        <v>44917</v>
      </c>
      <c r="CS9" s="246">
        <v>44844</v>
      </c>
      <c r="CT9" s="246">
        <v>44924</v>
      </c>
      <c r="CU9" s="415">
        <v>44912</v>
      </c>
      <c r="CV9" s="246">
        <v>44926</v>
      </c>
      <c r="CW9" s="246" t="s">
        <v>8244</v>
      </c>
      <c r="CX9" s="246" t="s">
        <v>472</v>
      </c>
      <c r="CY9" s="246">
        <v>44601</v>
      </c>
      <c r="CZ9" s="246">
        <v>44713</v>
      </c>
      <c r="DA9" s="246">
        <v>44926</v>
      </c>
      <c r="DB9" s="246" t="s">
        <v>8243</v>
      </c>
      <c r="DC9" s="246">
        <v>44746</v>
      </c>
      <c r="DD9" s="246">
        <v>44726</v>
      </c>
      <c r="DE9" s="246">
        <v>44650</v>
      </c>
      <c r="DF9" s="246" t="s">
        <v>8242</v>
      </c>
      <c r="DG9" s="246">
        <v>44921</v>
      </c>
      <c r="DH9" s="246">
        <v>44767</v>
      </c>
      <c r="DI9" s="246">
        <v>44656</v>
      </c>
      <c r="DJ9" s="246">
        <v>44921</v>
      </c>
      <c r="DK9" s="246">
        <v>44921</v>
      </c>
      <c r="DL9" s="246">
        <v>44914</v>
      </c>
      <c r="DM9" s="246">
        <v>44909</v>
      </c>
      <c r="DN9" s="246" t="s">
        <v>1578</v>
      </c>
      <c r="DO9" s="225">
        <v>2022</v>
      </c>
      <c r="DP9" s="246">
        <v>44876</v>
      </c>
      <c r="DQ9" s="246">
        <v>44920</v>
      </c>
      <c r="DR9" s="246">
        <v>44926</v>
      </c>
      <c r="DS9" s="246">
        <v>44847</v>
      </c>
      <c r="DT9" s="246">
        <v>44599</v>
      </c>
      <c r="DU9" s="246" t="s">
        <v>8241</v>
      </c>
      <c r="DV9" s="246" t="s">
        <v>8240</v>
      </c>
      <c r="DW9" s="246">
        <v>44917</v>
      </c>
      <c r="DX9" s="246" t="s">
        <v>472</v>
      </c>
      <c r="DY9" s="246" t="s">
        <v>8239</v>
      </c>
      <c r="DZ9" s="233" t="s">
        <v>8205</v>
      </c>
      <c r="EA9" s="246">
        <v>44901</v>
      </c>
      <c r="EB9" s="246" t="s">
        <v>8238</v>
      </c>
      <c r="EC9" s="226"/>
      <c r="ED9" s="246">
        <v>44925</v>
      </c>
      <c r="EE9" s="246">
        <v>44886</v>
      </c>
      <c r="EF9" s="246">
        <v>44925</v>
      </c>
      <c r="EG9" s="226"/>
      <c r="EH9" s="246" t="s">
        <v>8237</v>
      </c>
      <c r="EI9" s="246" t="s">
        <v>8236</v>
      </c>
      <c r="EJ9" s="226"/>
      <c r="EK9" s="226"/>
      <c r="EL9" s="226"/>
      <c r="EM9" s="226"/>
      <c r="EN9" s="226"/>
      <c r="EO9" s="226"/>
      <c r="EP9" s="226"/>
      <c r="EQ9" s="226"/>
      <c r="ER9" s="246" t="s">
        <v>8235</v>
      </c>
      <c r="ES9" s="246">
        <v>44907</v>
      </c>
      <c r="ET9" s="246">
        <v>44860</v>
      </c>
      <c r="EU9" s="246" t="s">
        <v>8234</v>
      </c>
      <c r="EV9" s="246" t="s">
        <v>8234</v>
      </c>
      <c r="EW9" s="246" t="s">
        <v>8233</v>
      </c>
      <c r="EX9" s="246">
        <v>44896</v>
      </c>
      <c r="EY9" s="246">
        <v>44926</v>
      </c>
      <c r="EZ9" s="250">
        <v>44680</v>
      </c>
      <c r="FA9" s="246" t="s">
        <v>8232</v>
      </c>
      <c r="FB9" s="246">
        <v>44925</v>
      </c>
      <c r="FC9" s="246" t="s">
        <v>8231</v>
      </c>
      <c r="FD9" s="226"/>
      <c r="FE9" s="416" t="s">
        <v>8230</v>
      </c>
      <c r="FF9" s="246" t="s">
        <v>554</v>
      </c>
      <c r="FG9" s="246" t="s">
        <v>554</v>
      </c>
      <c r="FH9" s="246" t="s">
        <v>8229</v>
      </c>
      <c r="FI9" s="414">
        <v>44779</v>
      </c>
      <c r="FJ9" s="414">
        <v>44926</v>
      </c>
      <c r="FK9" s="414"/>
      <c r="FL9" s="414">
        <v>44839</v>
      </c>
      <c r="FM9" s="246" t="s">
        <v>2230</v>
      </c>
      <c r="FN9" s="246"/>
      <c r="FO9" s="414" t="s">
        <v>8228</v>
      </c>
      <c r="FP9" s="414"/>
      <c r="FQ9" s="414">
        <v>44924</v>
      </c>
      <c r="FR9" s="414">
        <v>44776</v>
      </c>
      <c r="FS9" s="414"/>
      <c r="FT9" s="414">
        <v>44851</v>
      </c>
      <c r="FU9" s="226"/>
      <c r="FV9" s="414">
        <v>44844</v>
      </c>
      <c r="FW9" s="414">
        <v>44805</v>
      </c>
      <c r="FX9" s="414">
        <v>44880</v>
      </c>
      <c r="FY9" s="226"/>
      <c r="FZ9" s="414" t="s">
        <v>554</v>
      </c>
      <c r="GA9" s="414">
        <v>44885</v>
      </c>
      <c r="GB9" s="414">
        <v>44926</v>
      </c>
      <c r="GC9" s="414"/>
      <c r="GD9" s="414">
        <v>44926</v>
      </c>
      <c r="GE9" s="414">
        <v>44926</v>
      </c>
      <c r="GF9" s="414">
        <v>44926</v>
      </c>
      <c r="GG9" s="414" t="s">
        <v>8227</v>
      </c>
      <c r="GH9" s="414">
        <v>44925</v>
      </c>
      <c r="GI9" s="226"/>
      <c r="GJ9" s="414">
        <v>44873</v>
      </c>
      <c r="GK9" s="414">
        <v>44925</v>
      </c>
      <c r="GL9" s="414">
        <v>44925</v>
      </c>
      <c r="GM9" s="414">
        <v>44750</v>
      </c>
      <c r="GN9" s="414">
        <v>44915</v>
      </c>
      <c r="GO9" s="226"/>
      <c r="GP9" s="414">
        <v>44925</v>
      </c>
      <c r="GQ9" s="226"/>
      <c r="GR9" s="414" t="s">
        <v>8226</v>
      </c>
      <c r="GS9" s="414">
        <v>44889</v>
      </c>
      <c r="GT9" s="414"/>
      <c r="GU9" s="414">
        <v>44926</v>
      </c>
      <c r="GV9" s="414" t="s">
        <v>472</v>
      </c>
      <c r="GW9" s="226"/>
      <c r="GX9" s="246">
        <v>44865</v>
      </c>
      <c r="GY9" s="246">
        <v>44865</v>
      </c>
      <c r="GZ9" s="414" t="s">
        <v>8225</v>
      </c>
      <c r="HA9" s="246">
        <v>44926</v>
      </c>
      <c r="HB9" s="246">
        <v>44713</v>
      </c>
      <c r="HC9" s="246"/>
      <c r="HD9" s="246">
        <v>44880</v>
      </c>
      <c r="HE9" s="246">
        <v>44910</v>
      </c>
      <c r="HF9" s="226"/>
      <c r="HG9" s="247">
        <v>46752</v>
      </c>
      <c r="HH9" s="247" t="s">
        <v>8224</v>
      </c>
      <c r="HI9" s="247" t="s">
        <v>8223</v>
      </c>
      <c r="HJ9" s="246">
        <v>44926</v>
      </c>
      <c r="HK9" s="247" t="s">
        <v>8222</v>
      </c>
      <c r="HL9" s="226"/>
      <c r="HM9" s="246" t="s">
        <v>8221</v>
      </c>
      <c r="HN9" s="226"/>
      <c r="HO9" s="246">
        <v>44926</v>
      </c>
      <c r="HP9" s="248">
        <v>44920</v>
      </c>
      <c r="HQ9" s="246">
        <v>44526</v>
      </c>
      <c r="HR9" s="246">
        <v>44792</v>
      </c>
      <c r="HS9" s="246" t="s">
        <v>8220</v>
      </c>
      <c r="HT9" s="246" t="s">
        <v>8219</v>
      </c>
      <c r="HU9" s="246">
        <v>44880</v>
      </c>
      <c r="HV9" s="246" t="s">
        <v>8218</v>
      </c>
      <c r="HW9" s="246">
        <v>44846</v>
      </c>
      <c r="HX9" s="246" t="s">
        <v>8217</v>
      </c>
      <c r="HY9" s="246" t="s">
        <v>8216</v>
      </c>
      <c r="HZ9" s="246"/>
      <c r="IA9" s="246" t="s">
        <v>8215</v>
      </c>
      <c r="IB9" s="246" t="s">
        <v>472</v>
      </c>
      <c r="IC9" s="246">
        <v>44926</v>
      </c>
      <c r="ID9" s="246">
        <v>44925</v>
      </c>
      <c r="IE9" s="246">
        <v>44849</v>
      </c>
      <c r="IF9" s="246">
        <v>44866</v>
      </c>
      <c r="IG9" s="249">
        <v>44895</v>
      </c>
      <c r="IH9" s="250">
        <v>44804</v>
      </c>
      <c r="II9" s="238">
        <v>44804</v>
      </c>
      <c r="IJ9" s="249">
        <v>44804</v>
      </c>
      <c r="IK9" s="249">
        <v>44834</v>
      </c>
      <c r="IL9" s="238">
        <v>44926</v>
      </c>
      <c r="IM9" s="249">
        <v>44926</v>
      </c>
      <c r="IN9" s="246">
        <v>44711</v>
      </c>
      <c r="IO9" s="246">
        <v>44798</v>
      </c>
      <c r="IP9" s="246">
        <v>44798</v>
      </c>
      <c r="IQ9" s="246">
        <v>44816</v>
      </c>
      <c r="IR9" s="249">
        <v>44772</v>
      </c>
      <c r="IS9" s="238">
        <v>44835</v>
      </c>
      <c r="IT9" s="238">
        <v>44757</v>
      </c>
      <c r="IU9" s="249">
        <v>44804</v>
      </c>
      <c r="IV9" s="246">
        <v>44772</v>
      </c>
      <c r="IW9" s="249">
        <v>44772</v>
      </c>
      <c r="IX9" s="246">
        <v>44849</v>
      </c>
      <c r="IY9" s="246">
        <v>44834</v>
      </c>
      <c r="IZ9" s="246">
        <v>44776</v>
      </c>
      <c r="JA9" s="246"/>
      <c r="JB9" s="246">
        <v>44799</v>
      </c>
      <c r="JC9" s="246">
        <v>44926</v>
      </c>
      <c r="JD9" s="246">
        <v>44777</v>
      </c>
      <c r="JE9" s="226"/>
      <c r="JF9" s="226"/>
      <c r="JG9" s="226"/>
      <c r="JH9" s="246" t="s">
        <v>472</v>
      </c>
      <c r="JI9" s="246">
        <v>44809</v>
      </c>
      <c r="JJ9" s="246">
        <v>44926</v>
      </c>
      <c r="JK9" s="251">
        <v>44926</v>
      </c>
      <c r="JL9" s="246">
        <v>44923</v>
      </c>
      <c r="JM9" s="246">
        <v>44873</v>
      </c>
      <c r="JN9" s="226"/>
      <c r="JO9" s="226"/>
      <c r="JP9" s="226"/>
      <c r="JQ9" s="246">
        <v>44926</v>
      </c>
      <c r="JR9" s="246" t="s">
        <v>8214</v>
      </c>
      <c r="JS9" s="246" t="s">
        <v>8213</v>
      </c>
      <c r="JT9" s="246" t="s">
        <v>8212</v>
      </c>
      <c r="JU9" s="246">
        <v>44925</v>
      </c>
      <c r="JV9" s="246">
        <v>44926</v>
      </c>
      <c r="JW9" s="252">
        <v>44825</v>
      </c>
      <c r="JX9" s="246">
        <v>44926</v>
      </c>
      <c r="JY9" s="246" t="s">
        <v>1949</v>
      </c>
      <c r="JZ9" s="246" t="s">
        <v>865</v>
      </c>
      <c r="KA9" s="246">
        <v>44902</v>
      </c>
      <c r="KB9" s="225" t="s">
        <v>8211</v>
      </c>
      <c r="KC9" s="246" t="s">
        <v>8210</v>
      </c>
      <c r="KD9" s="246">
        <v>44926</v>
      </c>
      <c r="KE9" s="232" t="s">
        <v>8209</v>
      </c>
      <c r="KF9" s="246" t="s">
        <v>8208</v>
      </c>
      <c r="KG9" s="246">
        <v>44908</v>
      </c>
      <c r="KH9" s="246">
        <v>44926</v>
      </c>
      <c r="KI9" s="246">
        <v>44926</v>
      </c>
      <c r="KJ9" s="246">
        <v>44923</v>
      </c>
      <c r="KK9" s="246">
        <v>44659</v>
      </c>
      <c r="KL9" s="246">
        <v>44844</v>
      </c>
      <c r="KM9" s="246">
        <v>44926</v>
      </c>
      <c r="KN9" s="246" t="s">
        <v>8207</v>
      </c>
      <c r="KO9" s="246">
        <v>44918</v>
      </c>
      <c r="KP9" s="246" t="s">
        <v>8206</v>
      </c>
      <c r="KQ9" s="226"/>
      <c r="KR9" s="226"/>
      <c r="KS9" s="226"/>
      <c r="KT9" s="226"/>
      <c r="KU9" s="226"/>
      <c r="KV9" s="246">
        <v>44926</v>
      </c>
      <c r="KW9" s="246">
        <v>44701</v>
      </c>
      <c r="KX9" s="257" t="s">
        <v>9295</v>
      </c>
      <c r="KY9" s="258" t="s">
        <v>9276</v>
      </c>
      <c r="KZ9" s="246" t="s">
        <v>9268</v>
      </c>
      <c r="LA9" s="246">
        <v>44880</v>
      </c>
      <c r="LB9" s="246" t="s">
        <v>8232</v>
      </c>
      <c r="LC9" s="246" t="s">
        <v>9216</v>
      </c>
      <c r="LD9" s="246" t="s">
        <v>9210</v>
      </c>
      <c r="LE9" s="246" t="s">
        <v>9196</v>
      </c>
      <c r="LF9" s="246" t="s">
        <v>9188</v>
      </c>
      <c r="LG9" s="246" t="s">
        <v>9177</v>
      </c>
      <c r="LH9" s="246" t="s">
        <v>9163</v>
      </c>
      <c r="LI9" s="246">
        <v>44864</v>
      </c>
      <c r="LJ9" s="246" t="s">
        <v>9124</v>
      </c>
      <c r="LK9" s="246">
        <v>44896</v>
      </c>
      <c r="LL9" s="225" t="s">
        <v>8205</v>
      </c>
      <c r="LM9" s="226"/>
      <c r="LN9" s="225" t="s">
        <v>865</v>
      </c>
      <c r="LO9" s="246">
        <v>44926</v>
      </c>
      <c r="LP9" s="246" t="s">
        <v>1314</v>
      </c>
      <c r="LQ9" s="246" t="s">
        <v>865</v>
      </c>
      <c r="LR9" s="246">
        <v>44926</v>
      </c>
      <c r="LS9" s="246">
        <v>44926</v>
      </c>
      <c r="LT9" s="253">
        <v>44926</v>
      </c>
      <c r="LU9" s="246">
        <v>44926</v>
      </c>
      <c r="LV9" s="246" t="s">
        <v>8204</v>
      </c>
      <c r="LW9" s="246" t="s">
        <v>8203</v>
      </c>
      <c r="LX9" s="246" t="s">
        <v>8203</v>
      </c>
      <c r="LY9" s="246" t="s">
        <v>8202</v>
      </c>
      <c r="LZ9" s="246">
        <v>44910</v>
      </c>
      <c r="MA9" s="246" t="s">
        <v>8201</v>
      </c>
      <c r="MB9" s="246">
        <v>44926</v>
      </c>
      <c r="MC9" s="246">
        <v>44849</v>
      </c>
      <c r="MD9" s="246" t="s">
        <v>8200</v>
      </c>
      <c r="ME9" s="246" t="s">
        <v>865</v>
      </c>
      <c r="MF9" s="254" t="s">
        <v>8199</v>
      </c>
      <c r="MG9" s="226"/>
      <c r="MH9" s="226"/>
      <c r="MI9" s="226"/>
      <c r="MJ9" s="255">
        <v>44922</v>
      </c>
      <c r="MK9" s="255"/>
      <c r="ML9" s="255">
        <v>44868</v>
      </c>
      <c r="MM9" s="255" t="s">
        <v>554</v>
      </c>
      <c r="MN9" s="256">
        <v>44922</v>
      </c>
      <c r="MO9" s="256" t="s">
        <v>8198</v>
      </c>
      <c r="MP9" s="256">
        <v>44925</v>
      </c>
      <c r="MQ9" s="256" t="s">
        <v>8197</v>
      </c>
      <c r="MR9" s="256">
        <v>44926</v>
      </c>
      <c r="MS9" s="256">
        <v>44866</v>
      </c>
      <c r="MT9" s="255">
        <v>44922</v>
      </c>
      <c r="MU9" s="256">
        <v>44915</v>
      </c>
      <c r="MV9" s="255">
        <v>44926</v>
      </c>
      <c r="MW9" s="255">
        <v>44470</v>
      </c>
      <c r="MX9" s="226"/>
      <c r="MY9" s="226"/>
      <c r="MZ9" s="226"/>
      <c r="NA9" s="226"/>
    </row>
    <row r="10" spans="1:365" s="796" customFormat="1" ht="24" customHeight="1" x14ac:dyDescent="0.2">
      <c r="A10" s="208"/>
      <c r="B10" s="205"/>
      <c r="C10" s="206"/>
      <c r="D10" s="207"/>
      <c r="E10" s="246"/>
      <c r="F10" s="246"/>
      <c r="G10" s="246"/>
      <c r="H10" s="246"/>
      <c r="I10" s="246"/>
      <c r="J10" s="246"/>
      <c r="K10" s="246"/>
      <c r="L10" s="246"/>
      <c r="M10" s="246"/>
      <c r="N10" s="246"/>
      <c r="O10" s="246"/>
      <c r="P10" s="412"/>
      <c r="Q10" s="246"/>
      <c r="R10" s="246"/>
      <c r="S10" s="246"/>
      <c r="T10" s="246"/>
      <c r="U10" s="246"/>
      <c r="V10" s="225"/>
      <c r="W10" s="226"/>
      <c r="X10" s="226"/>
      <c r="Y10" s="226"/>
      <c r="Z10" s="226"/>
      <c r="AA10" s="226"/>
      <c r="AB10" s="226"/>
      <c r="AC10" s="226"/>
      <c r="AD10" s="226"/>
      <c r="AE10" s="226"/>
      <c r="AF10" s="246"/>
      <c r="AG10" s="238"/>
      <c r="AH10" s="226"/>
      <c r="AI10" s="246"/>
      <c r="AJ10" s="246"/>
      <c r="AK10" s="250"/>
      <c r="AL10" s="246"/>
      <c r="AM10" s="226"/>
      <c r="AN10" s="226"/>
      <c r="AO10" s="226"/>
      <c r="AP10" s="226"/>
      <c r="AQ10" s="246"/>
      <c r="AR10" s="246"/>
      <c r="AS10" s="246"/>
      <c r="AT10" s="246"/>
      <c r="AU10" s="246"/>
      <c r="AV10" s="246"/>
      <c r="AW10" s="246"/>
      <c r="AX10" s="246"/>
      <c r="AY10" s="413"/>
      <c r="AZ10" s="246"/>
      <c r="BA10" s="246"/>
      <c r="BB10" s="246"/>
      <c r="BC10" s="246"/>
      <c r="BD10" s="246"/>
      <c r="BE10" s="413"/>
      <c r="BF10" s="246"/>
      <c r="BG10" s="252"/>
      <c r="BH10" s="246"/>
      <c r="BI10" s="246"/>
      <c r="BJ10" s="246"/>
      <c r="BK10" s="246"/>
      <c r="BL10" s="246"/>
      <c r="BM10" s="246"/>
      <c r="BN10" s="226"/>
      <c r="BO10" s="246"/>
      <c r="BP10" s="246"/>
      <c r="BQ10" s="246"/>
      <c r="BR10" s="233"/>
      <c r="BS10" s="246"/>
      <c r="BT10" s="246"/>
      <c r="BU10" s="246"/>
      <c r="BV10" s="246"/>
      <c r="BW10" s="246"/>
      <c r="BX10" s="246"/>
      <c r="BY10" s="246"/>
      <c r="BZ10" s="246"/>
      <c r="CA10" s="246"/>
      <c r="CB10" s="246"/>
      <c r="CC10" s="246"/>
      <c r="CD10" s="250"/>
      <c r="CE10" s="413"/>
      <c r="CF10" s="250"/>
      <c r="CG10" s="250"/>
      <c r="CH10" s="250"/>
      <c r="CI10" s="250"/>
      <c r="CJ10" s="250"/>
      <c r="CK10" s="250"/>
      <c r="CL10" s="250"/>
      <c r="CM10" s="250"/>
      <c r="CN10" s="246"/>
      <c r="CO10" s="246"/>
      <c r="CP10" s="246"/>
      <c r="CQ10" s="406"/>
      <c r="CR10" s="414"/>
      <c r="CS10" s="246"/>
      <c r="CT10" s="246"/>
      <c r="CU10" s="415"/>
      <c r="CV10" s="246"/>
      <c r="CW10" s="246"/>
      <c r="CX10" s="246"/>
      <c r="CY10" s="246"/>
      <c r="CZ10" s="246"/>
      <c r="DA10" s="246"/>
      <c r="DB10" s="246"/>
      <c r="DC10" s="246"/>
      <c r="DD10" s="246"/>
      <c r="DE10" s="246"/>
      <c r="DF10" s="246"/>
      <c r="DG10" s="246"/>
      <c r="DH10" s="246"/>
      <c r="DI10" s="246"/>
      <c r="DJ10" s="246"/>
      <c r="DK10" s="246"/>
      <c r="DL10" s="246"/>
      <c r="DM10" s="246"/>
      <c r="DN10" s="246"/>
      <c r="DO10" s="225"/>
      <c r="DP10" s="246"/>
      <c r="DQ10" s="246"/>
      <c r="DR10" s="246"/>
      <c r="DS10" s="246"/>
      <c r="DT10" s="246"/>
      <c r="DU10" s="246"/>
      <c r="DV10" s="246"/>
      <c r="DW10" s="246"/>
      <c r="DX10" s="246"/>
      <c r="DY10" s="246"/>
      <c r="DZ10" s="233"/>
      <c r="EA10" s="246"/>
      <c r="EB10" s="246"/>
      <c r="EC10" s="226"/>
      <c r="ED10" s="246"/>
      <c r="EE10" s="246"/>
      <c r="EF10" s="246"/>
      <c r="EG10" s="226"/>
      <c r="EH10" s="246"/>
      <c r="EI10" s="246"/>
      <c r="EJ10" s="226"/>
      <c r="EK10" s="226"/>
      <c r="EL10" s="226"/>
      <c r="EM10" s="226"/>
      <c r="EN10" s="226"/>
      <c r="EO10" s="226"/>
      <c r="EP10" s="226"/>
      <c r="EQ10" s="226"/>
      <c r="ER10" s="246"/>
      <c r="ES10" s="246"/>
      <c r="ET10" s="246"/>
      <c r="EU10" s="246"/>
      <c r="EV10" s="246"/>
      <c r="EW10" s="246"/>
      <c r="EX10" s="246"/>
      <c r="EY10" s="246"/>
      <c r="EZ10" s="250"/>
      <c r="FA10" s="246"/>
      <c r="FB10" s="246"/>
      <c r="FC10" s="246"/>
      <c r="FD10" s="226"/>
      <c r="FE10" s="416"/>
      <c r="FF10" s="246"/>
      <c r="FG10" s="246"/>
      <c r="FH10" s="246"/>
      <c r="FI10" s="414"/>
      <c r="FJ10" s="414"/>
      <c r="FK10" s="414"/>
      <c r="FL10" s="414"/>
      <c r="FM10" s="246"/>
      <c r="FN10" s="246"/>
      <c r="FO10" s="414"/>
      <c r="FP10" s="414"/>
      <c r="FQ10" s="414"/>
      <c r="FR10" s="414"/>
      <c r="FS10" s="414"/>
      <c r="FT10" s="414"/>
      <c r="FU10" s="226"/>
      <c r="FV10" s="414"/>
      <c r="FW10" s="414"/>
      <c r="FX10" s="414"/>
      <c r="FY10" s="226"/>
      <c r="FZ10" s="414"/>
      <c r="GA10" s="414"/>
      <c r="GB10" s="414"/>
      <c r="GC10" s="414"/>
      <c r="GD10" s="414"/>
      <c r="GE10" s="414"/>
      <c r="GF10" s="414"/>
      <c r="GG10" s="414"/>
      <c r="GH10" s="414"/>
      <c r="GI10" s="226"/>
      <c r="GJ10" s="414"/>
      <c r="GK10" s="414"/>
      <c r="GL10" s="414"/>
      <c r="GM10" s="414"/>
      <c r="GN10" s="414"/>
      <c r="GO10" s="226"/>
      <c r="GP10" s="414"/>
      <c r="GQ10" s="226"/>
      <c r="GR10" s="414"/>
      <c r="GS10" s="414"/>
      <c r="GT10" s="414"/>
      <c r="GU10" s="414"/>
      <c r="GV10" s="414"/>
      <c r="GW10" s="226"/>
      <c r="GX10" s="246"/>
      <c r="GY10" s="246"/>
      <c r="GZ10" s="414"/>
      <c r="HA10" s="246"/>
      <c r="HB10" s="246"/>
      <c r="HC10" s="246"/>
      <c r="HD10" s="246"/>
      <c r="HE10" s="246"/>
      <c r="HF10" s="226"/>
      <c r="HG10" s="247"/>
      <c r="HH10" s="247"/>
      <c r="HI10" s="247"/>
      <c r="HJ10" s="246"/>
      <c r="HK10" s="247"/>
      <c r="HL10" s="226"/>
      <c r="HM10" s="246"/>
      <c r="HN10" s="226"/>
      <c r="HO10" s="246"/>
      <c r="HP10" s="248"/>
      <c r="HQ10" s="246"/>
      <c r="HR10" s="246"/>
      <c r="HS10" s="246"/>
      <c r="HT10" s="246"/>
      <c r="HU10" s="246"/>
      <c r="HV10" s="246"/>
      <c r="HW10" s="246"/>
      <c r="HX10" s="246"/>
      <c r="HY10" s="246"/>
      <c r="HZ10" s="246"/>
      <c r="IA10" s="246"/>
      <c r="IB10" s="246"/>
      <c r="IC10" s="246"/>
      <c r="ID10" s="246"/>
      <c r="IE10" s="246"/>
      <c r="IF10" s="246"/>
      <c r="IG10" s="249"/>
      <c r="IH10" s="250"/>
      <c r="II10" s="238"/>
      <c r="IJ10" s="249"/>
      <c r="IK10" s="249"/>
      <c r="IL10" s="238"/>
      <c r="IM10" s="249"/>
      <c r="IN10" s="246"/>
      <c r="IO10" s="246"/>
      <c r="IP10" s="246"/>
      <c r="IQ10" s="246"/>
      <c r="IR10" s="249"/>
      <c r="IS10" s="238"/>
      <c r="IT10" s="238"/>
      <c r="IU10" s="249"/>
      <c r="IV10" s="246"/>
      <c r="IW10" s="249"/>
      <c r="IX10" s="246"/>
      <c r="IY10" s="246"/>
      <c r="IZ10" s="246"/>
      <c r="JA10" s="246"/>
      <c r="JB10" s="246"/>
      <c r="JC10" s="246"/>
      <c r="JD10" s="246"/>
      <c r="JE10" s="226"/>
      <c r="JF10" s="226"/>
      <c r="JG10" s="226"/>
      <c r="JH10" s="246"/>
      <c r="JI10" s="246"/>
      <c r="JJ10" s="246"/>
      <c r="JK10" s="251"/>
      <c r="JL10" s="246"/>
      <c r="JM10" s="246"/>
      <c r="JN10" s="226"/>
      <c r="JO10" s="226"/>
      <c r="JP10" s="226"/>
      <c r="JQ10" s="246"/>
      <c r="JR10" s="246"/>
      <c r="JS10" s="246"/>
      <c r="JT10" s="246"/>
      <c r="JU10" s="246"/>
      <c r="JV10" s="246"/>
      <c r="JW10" s="252"/>
      <c r="JX10" s="246"/>
      <c r="JY10" s="246"/>
      <c r="JZ10" s="246"/>
      <c r="KA10" s="246"/>
      <c r="KB10" s="225"/>
      <c r="KC10" s="246"/>
      <c r="KD10" s="246"/>
      <c r="KE10" s="232"/>
      <c r="KF10" s="246"/>
      <c r="KG10" s="246"/>
      <c r="KH10" s="246"/>
      <c r="KI10" s="246"/>
      <c r="KJ10" s="246"/>
      <c r="KK10" s="246"/>
      <c r="KL10" s="246"/>
      <c r="KM10" s="246"/>
      <c r="KN10" s="246"/>
      <c r="KO10" s="246"/>
      <c r="KP10" s="246"/>
      <c r="KQ10" s="226"/>
      <c r="KR10" s="226"/>
      <c r="KS10" s="226"/>
      <c r="KT10" s="226"/>
      <c r="KU10" s="226"/>
      <c r="KV10" s="246"/>
      <c r="KW10" s="246"/>
      <c r="KX10" s="257"/>
      <c r="KY10" s="258"/>
      <c r="KZ10" s="246"/>
      <c r="LA10" s="246"/>
      <c r="LB10" s="246"/>
      <c r="LC10" s="246"/>
      <c r="LD10" s="246"/>
      <c r="LE10" s="246"/>
      <c r="LF10" s="246"/>
      <c r="LG10" s="246"/>
      <c r="LH10" s="246"/>
      <c r="LI10" s="246"/>
      <c r="LJ10" s="246"/>
      <c r="LK10" s="246"/>
      <c r="LL10" s="225"/>
      <c r="LM10" s="226"/>
      <c r="LN10" s="225"/>
      <c r="LO10" s="246"/>
      <c r="LP10" s="246"/>
      <c r="LQ10" s="246"/>
      <c r="LR10" s="246"/>
      <c r="LS10" s="246"/>
      <c r="LT10" s="253"/>
      <c r="LU10" s="246"/>
      <c r="LV10" s="246"/>
      <c r="LW10" s="246"/>
      <c r="LX10" s="246"/>
      <c r="LY10" s="246"/>
      <c r="LZ10" s="246"/>
      <c r="MA10" s="246"/>
      <c r="MB10" s="246"/>
      <c r="MC10" s="246"/>
      <c r="MD10" s="246"/>
      <c r="ME10" s="246"/>
      <c r="MF10" s="254"/>
      <c r="MG10" s="226"/>
      <c r="MH10" s="226"/>
      <c r="MI10" s="226"/>
      <c r="MJ10" s="255"/>
      <c r="MK10" s="255"/>
      <c r="ML10" s="255"/>
      <c r="MM10" s="255"/>
      <c r="MN10" s="256"/>
      <c r="MO10" s="256"/>
      <c r="MP10" s="256"/>
      <c r="MQ10" s="256"/>
      <c r="MR10" s="256"/>
      <c r="MS10" s="256"/>
      <c r="MT10" s="255"/>
      <c r="MU10" s="256"/>
      <c r="MV10" s="255"/>
      <c r="MW10" s="255"/>
      <c r="MX10" s="226"/>
      <c r="MY10" s="226"/>
      <c r="MZ10" s="226"/>
      <c r="NA10" s="226"/>
    </row>
    <row r="11" spans="1:365" s="796" customFormat="1" ht="24" customHeight="1" x14ac:dyDescent="0.2">
      <c r="A11" s="208"/>
      <c r="B11" s="205"/>
      <c r="C11" s="206"/>
      <c r="D11" s="207"/>
      <c r="E11" s="246"/>
      <c r="F11" s="246"/>
      <c r="G11" s="246"/>
      <c r="H11" s="246"/>
      <c r="I11" s="246"/>
      <c r="J11" s="246"/>
      <c r="K11" s="246"/>
      <c r="L11" s="246"/>
      <c r="M11" s="246"/>
      <c r="N11" s="246"/>
      <c r="O11" s="246"/>
      <c r="P11" s="412"/>
      <c r="Q11" s="246"/>
      <c r="R11" s="246"/>
      <c r="S11" s="246"/>
      <c r="T11" s="246"/>
      <c r="U11" s="246"/>
      <c r="V11" s="225"/>
      <c r="W11" s="226"/>
      <c r="X11" s="226"/>
      <c r="Y11" s="226"/>
      <c r="Z11" s="226"/>
      <c r="AA11" s="226"/>
      <c r="AB11" s="226"/>
      <c r="AC11" s="226"/>
      <c r="AD11" s="226"/>
      <c r="AE11" s="226"/>
      <c r="AF11" s="246"/>
      <c r="AG11" s="238"/>
      <c r="AH11" s="226"/>
      <c r="AI11" s="246"/>
      <c r="AJ11" s="246"/>
      <c r="AK11" s="250"/>
      <c r="AL11" s="246"/>
      <c r="AM11" s="226"/>
      <c r="AN11" s="226"/>
      <c r="AO11" s="226"/>
      <c r="AP11" s="226"/>
      <c r="AQ11" s="246"/>
      <c r="AR11" s="246"/>
      <c r="AS11" s="246"/>
      <c r="AT11" s="246"/>
      <c r="AU11" s="246"/>
      <c r="AV11" s="246"/>
      <c r="AW11" s="246"/>
      <c r="AX11" s="246"/>
      <c r="AY11" s="413"/>
      <c r="AZ11" s="246"/>
      <c r="BA11" s="246"/>
      <c r="BB11" s="246"/>
      <c r="BC11" s="246"/>
      <c r="BD11" s="246"/>
      <c r="BE11" s="413"/>
      <c r="BF11" s="246"/>
      <c r="BG11" s="252"/>
      <c r="BH11" s="246"/>
      <c r="BI11" s="246"/>
      <c r="BJ11" s="246"/>
      <c r="BK11" s="246"/>
      <c r="BL11" s="246"/>
      <c r="BM11" s="246"/>
      <c r="BN11" s="226"/>
      <c r="BO11" s="246"/>
      <c r="BP11" s="246"/>
      <c r="BQ11" s="246"/>
      <c r="BR11" s="233"/>
      <c r="BS11" s="246"/>
      <c r="BT11" s="246"/>
      <c r="BU11" s="246"/>
      <c r="BV11" s="246"/>
      <c r="BW11" s="246"/>
      <c r="BX11" s="246"/>
      <c r="BY11" s="246"/>
      <c r="BZ11" s="246"/>
      <c r="CA11" s="246"/>
      <c r="CB11" s="246"/>
      <c r="CC11" s="246"/>
      <c r="CD11" s="250"/>
      <c r="CE11" s="413"/>
      <c r="CF11" s="250"/>
      <c r="CG11" s="250"/>
      <c r="CH11" s="250"/>
      <c r="CI11" s="250"/>
      <c r="CJ11" s="250"/>
      <c r="CK11" s="250"/>
      <c r="CL11" s="250"/>
      <c r="CM11" s="250"/>
      <c r="CN11" s="246"/>
      <c r="CO11" s="246"/>
      <c r="CP11" s="246"/>
      <c r="CQ11" s="406"/>
      <c r="CR11" s="414"/>
      <c r="CS11" s="246"/>
      <c r="CT11" s="246"/>
      <c r="CU11" s="415"/>
      <c r="CV11" s="246"/>
      <c r="CW11" s="246"/>
      <c r="CX11" s="246"/>
      <c r="CY11" s="246"/>
      <c r="CZ11" s="246"/>
      <c r="DA11" s="246"/>
      <c r="DB11" s="246"/>
      <c r="DC11" s="246"/>
      <c r="DD11" s="246"/>
      <c r="DE11" s="246"/>
      <c r="DF11" s="246"/>
      <c r="DG11" s="246"/>
      <c r="DH11" s="246"/>
      <c r="DI11" s="246"/>
      <c r="DJ11" s="246"/>
      <c r="DK11" s="246"/>
      <c r="DL11" s="246"/>
      <c r="DM11" s="246"/>
      <c r="DN11" s="246"/>
      <c r="DO11" s="225"/>
      <c r="DP11" s="246"/>
      <c r="DQ11" s="246"/>
      <c r="DR11" s="246"/>
      <c r="DS11" s="246"/>
      <c r="DT11" s="246"/>
      <c r="DU11" s="246"/>
      <c r="DV11" s="246"/>
      <c r="DW11" s="246"/>
      <c r="DX11" s="246"/>
      <c r="DY11" s="246"/>
      <c r="DZ11" s="233"/>
      <c r="EA11" s="246"/>
      <c r="EB11" s="246"/>
      <c r="EC11" s="226"/>
      <c r="ED11" s="246"/>
      <c r="EE11" s="246"/>
      <c r="EF11" s="246"/>
      <c r="EG11" s="226"/>
      <c r="EH11" s="246"/>
      <c r="EI11" s="246"/>
      <c r="EJ11" s="226"/>
      <c r="EK11" s="226"/>
      <c r="EL11" s="226"/>
      <c r="EM11" s="226"/>
      <c r="EN11" s="226"/>
      <c r="EO11" s="226"/>
      <c r="EP11" s="226"/>
      <c r="EQ11" s="226"/>
      <c r="ER11" s="246"/>
      <c r="ES11" s="246"/>
      <c r="ET11" s="246"/>
      <c r="EU11" s="246"/>
      <c r="EV11" s="246"/>
      <c r="EW11" s="246"/>
      <c r="EX11" s="246"/>
      <c r="EY11" s="246"/>
      <c r="EZ11" s="250"/>
      <c r="FA11" s="246"/>
      <c r="FB11" s="246"/>
      <c r="FC11" s="246"/>
      <c r="FD11" s="226"/>
      <c r="FE11" s="416"/>
      <c r="FF11" s="246"/>
      <c r="FG11" s="246"/>
      <c r="FH11" s="246"/>
      <c r="FI11" s="414"/>
      <c r="FJ11" s="414"/>
      <c r="FK11" s="414"/>
      <c r="FL11" s="414"/>
      <c r="FM11" s="246"/>
      <c r="FN11" s="246"/>
      <c r="FO11" s="414"/>
      <c r="FP11" s="414"/>
      <c r="FQ11" s="414"/>
      <c r="FR11" s="414"/>
      <c r="FS11" s="414"/>
      <c r="FT11" s="414"/>
      <c r="FU11" s="226"/>
      <c r="FV11" s="414"/>
      <c r="FW11" s="414"/>
      <c r="FX11" s="414"/>
      <c r="FY11" s="226"/>
      <c r="FZ11" s="414"/>
      <c r="GA11" s="414"/>
      <c r="GB11" s="414"/>
      <c r="GC11" s="414"/>
      <c r="GD11" s="414"/>
      <c r="GE11" s="414"/>
      <c r="GF11" s="414"/>
      <c r="GG11" s="414"/>
      <c r="GH11" s="414"/>
      <c r="GI11" s="226"/>
      <c r="GJ11" s="414"/>
      <c r="GK11" s="414"/>
      <c r="GL11" s="414"/>
      <c r="GM11" s="414"/>
      <c r="GN11" s="414"/>
      <c r="GO11" s="226"/>
      <c r="GP11" s="414"/>
      <c r="GQ11" s="226"/>
      <c r="GR11" s="414"/>
      <c r="GS11" s="414"/>
      <c r="GT11" s="414"/>
      <c r="GU11" s="414"/>
      <c r="GV11" s="414"/>
      <c r="GW11" s="226"/>
      <c r="GX11" s="246"/>
      <c r="GY11" s="246"/>
      <c r="GZ11" s="414"/>
      <c r="HA11" s="246"/>
      <c r="HB11" s="246"/>
      <c r="HC11" s="246"/>
      <c r="HD11" s="246"/>
      <c r="HE11" s="246"/>
      <c r="HF11" s="226"/>
      <c r="HG11" s="247"/>
      <c r="HH11" s="247"/>
      <c r="HI11" s="247"/>
      <c r="HJ11" s="246"/>
      <c r="HK11" s="247"/>
      <c r="HL11" s="226"/>
      <c r="HM11" s="246"/>
      <c r="HN11" s="226"/>
      <c r="HO11" s="246"/>
      <c r="HP11" s="248"/>
      <c r="HQ11" s="246"/>
      <c r="HR11" s="246"/>
      <c r="HS11" s="246"/>
      <c r="HT11" s="246"/>
      <c r="HU11" s="246"/>
      <c r="HV11" s="246"/>
      <c r="HW11" s="246"/>
      <c r="HX11" s="246"/>
      <c r="HY11" s="246"/>
      <c r="HZ11" s="246"/>
      <c r="IA11" s="246"/>
      <c r="IB11" s="246"/>
      <c r="IC11" s="246"/>
      <c r="ID11" s="246"/>
      <c r="IE11" s="246"/>
      <c r="IF11" s="246"/>
      <c r="IG11" s="249"/>
      <c r="IH11" s="250"/>
      <c r="II11" s="238"/>
      <c r="IJ11" s="249"/>
      <c r="IK11" s="249"/>
      <c r="IL11" s="238"/>
      <c r="IM11" s="249"/>
      <c r="IN11" s="246"/>
      <c r="IO11" s="246"/>
      <c r="IP11" s="246"/>
      <c r="IQ11" s="246"/>
      <c r="IR11" s="249"/>
      <c r="IS11" s="238"/>
      <c r="IT11" s="238"/>
      <c r="IU11" s="249"/>
      <c r="IV11" s="246"/>
      <c r="IW11" s="249"/>
      <c r="IX11" s="246"/>
      <c r="IY11" s="246"/>
      <c r="IZ11" s="246"/>
      <c r="JA11" s="246"/>
      <c r="JB11" s="246"/>
      <c r="JC11" s="246"/>
      <c r="JD11" s="246"/>
      <c r="JE11" s="226"/>
      <c r="JF11" s="226"/>
      <c r="JG11" s="226"/>
      <c r="JH11" s="246"/>
      <c r="JI11" s="246"/>
      <c r="JJ11" s="246"/>
      <c r="JK11" s="251"/>
      <c r="JL11" s="246"/>
      <c r="JM11" s="246"/>
      <c r="JN11" s="226"/>
      <c r="JO11" s="226"/>
      <c r="JP11" s="226"/>
      <c r="JQ11" s="246"/>
      <c r="JR11" s="246"/>
      <c r="JS11" s="246"/>
      <c r="JT11" s="246"/>
      <c r="JU11" s="246"/>
      <c r="JV11" s="246"/>
      <c r="JW11" s="252"/>
      <c r="JX11" s="246"/>
      <c r="JY11" s="246"/>
      <c r="JZ11" s="246"/>
      <c r="KA11" s="246"/>
      <c r="KB11" s="225"/>
      <c r="KC11" s="246"/>
      <c r="KD11" s="246"/>
      <c r="KE11" s="232"/>
      <c r="KF11" s="246"/>
      <c r="KG11" s="246"/>
      <c r="KH11" s="246"/>
      <c r="KI11" s="246"/>
      <c r="KJ11" s="246"/>
      <c r="KK11" s="246"/>
      <c r="KL11" s="246"/>
      <c r="KM11" s="246"/>
      <c r="KN11" s="246"/>
      <c r="KO11" s="246"/>
      <c r="KP11" s="246"/>
      <c r="KQ11" s="226"/>
      <c r="KR11" s="226"/>
      <c r="KS11" s="226"/>
      <c r="KT11" s="226"/>
      <c r="KU11" s="226"/>
      <c r="KV11" s="246"/>
      <c r="KW11" s="246"/>
      <c r="KX11" s="257"/>
      <c r="KY11" s="258"/>
      <c r="KZ11" s="246"/>
      <c r="LA11" s="246"/>
      <c r="LB11" s="246"/>
      <c r="LC11" s="246"/>
      <c r="LD11" s="246"/>
      <c r="LE11" s="246"/>
      <c r="LF11" s="246"/>
      <c r="LG11" s="246"/>
      <c r="LH11" s="246"/>
      <c r="LI11" s="246"/>
      <c r="LJ11" s="246"/>
      <c r="LK11" s="246"/>
      <c r="LL11" s="225"/>
      <c r="LM11" s="226"/>
      <c r="LN11" s="225"/>
      <c r="LO11" s="246"/>
      <c r="LP11" s="246"/>
      <c r="LQ11" s="246"/>
      <c r="LR11" s="246"/>
      <c r="LS11" s="246"/>
      <c r="LT11" s="253"/>
      <c r="LU11" s="246"/>
      <c r="LV11" s="246"/>
      <c r="LW11" s="246"/>
      <c r="LX11" s="246"/>
      <c r="LY11" s="246"/>
      <c r="LZ11" s="246"/>
      <c r="MA11" s="246"/>
      <c r="MB11" s="246"/>
      <c r="MC11" s="246"/>
      <c r="MD11" s="246"/>
      <c r="ME11" s="246"/>
      <c r="MF11" s="254"/>
      <c r="MG11" s="226"/>
      <c r="MH11" s="226"/>
      <c r="MI11" s="226"/>
      <c r="MJ11" s="255"/>
      <c r="MK11" s="255"/>
      <c r="ML11" s="255"/>
      <c r="MM11" s="255"/>
      <c r="MN11" s="256"/>
      <c r="MO11" s="256"/>
      <c r="MP11" s="256"/>
      <c r="MQ11" s="256"/>
      <c r="MR11" s="256"/>
      <c r="MS11" s="256"/>
      <c r="MT11" s="255"/>
      <c r="MU11" s="256"/>
      <c r="MV11" s="255"/>
      <c r="MW11" s="255"/>
      <c r="MX11" s="226"/>
      <c r="MY11" s="226"/>
      <c r="MZ11" s="226"/>
      <c r="NA11" s="226"/>
    </row>
    <row r="12" spans="1:365" s="796" customFormat="1" ht="24" customHeight="1" x14ac:dyDescent="0.2">
      <c r="A12" s="208"/>
      <c r="B12" s="205"/>
      <c r="C12" s="206"/>
      <c r="D12" s="207"/>
      <c r="E12" s="246"/>
      <c r="F12" s="246"/>
      <c r="G12" s="246"/>
      <c r="H12" s="246"/>
      <c r="I12" s="246"/>
      <c r="J12" s="246"/>
      <c r="K12" s="246"/>
      <c r="L12" s="246"/>
      <c r="M12" s="246"/>
      <c r="N12" s="246"/>
      <c r="O12" s="246"/>
      <c r="P12" s="412"/>
      <c r="Q12" s="246"/>
      <c r="R12" s="246"/>
      <c r="S12" s="246"/>
      <c r="T12" s="246"/>
      <c r="U12" s="246"/>
      <c r="V12" s="225"/>
      <c r="W12" s="226"/>
      <c r="X12" s="226"/>
      <c r="Y12" s="226"/>
      <c r="Z12" s="226"/>
      <c r="AA12" s="226"/>
      <c r="AB12" s="226"/>
      <c r="AC12" s="226"/>
      <c r="AD12" s="226"/>
      <c r="AE12" s="226"/>
      <c r="AF12" s="246"/>
      <c r="AG12" s="238"/>
      <c r="AH12" s="226"/>
      <c r="AI12" s="246"/>
      <c r="AJ12" s="246"/>
      <c r="AK12" s="250"/>
      <c r="AL12" s="246"/>
      <c r="AM12" s="226"/>
      <c r="AN12" s="226"/>
      <c r="AO12" s="226"/>
      <c r="AP12" s="226"/>
      <c r="AQ12" s="246"/>
      <c r="AR12" s="246"/>
      <c r="AS12" s="246"/>
      <c r="AT12" s="246"/>
      <c r="AU12" s="246"/>
      <c r="AV12" s="246"/>
      <c r="AW12" s="246"/>
      <c r="AX12" s="246"/>
      <c r="AY12" s="413"/>
      <c r="AZ12" s="246"/>
      <c r="BA12" s="246"/>
      <c r="BB12" s="246"/>
      <c r="BC12" s="246"/>
      <c r="BD12" s="246"/>
      <c r="BE12" s="413"/>
      <c r="BF12" s="246"/>
      <c r="BG12" s="252"/>
      <c r="BH12" s="246"/>
      <c r="BI12" s="246"/>
      <c r="BJ12" s="246"/>
      <c r="BK12" s="246"/>
      <c r="BL12" s="246"/>
      <c r="BM12" s="246"/>
      <c r="BN12" s="226"/>
      <c r="BO12" s="246"/>
      <c r="BP12" s="246"/>
      <c r="BQ12" s="246"/>
      <c r="BR12" s="233"/>
      <c r="BS12" s="246"/>
      <c r="BT12" s="246"/>
      <c r="BU12" s="246"/>
      <c r="BV12" s="246"/>
      <c r="BW12" s="246"/>
      <c r="BX12" s="246"/>
      <c r="BY12" s="246"/>
      <c r="BZ12" s="246"/>
      <c r="CA12" s="246"/>
      <c r="CB12" s="246"/>
      <c r="CC12" s="246"/>
      <c r="CD12" s="250"/>
      <c r="CE12" s="413"/>
      <c r="CF12" s="250"/>
      <c r="CG12" s="250"/>
      <c r="CH12" s="250"/>
      <c r="CI12" s="250"/>
      <c r="CJ12" s="250"/>
      <c r="CK12" s="250"/>
      <c r="CL12" s="250"/>
      <c r="CM12" s="250"/>
      <c r="CN12" s="246"/>
      <c r="CO12" s="246"/>
      <c r="CP12" s="246"/>
      <c r="CQ12" s="406"/>
      <c r="CR12" s="414"/>
      <c r="CS12" s="246"/>
      <c r="CT12" s="246"/>
      <c r="CU12" s="415"/>
      <c r="CV12" s="246"/>
      <c r="CW12" s="246"/>
      <c r="CX12" s="246"/>
      <c r="CY12" s="246"/>
      <c r="CZ12" s="246"/>
      <c r="DA12" s="246"/>
      <c r="DB12" s="246"/>
      <c r="DC12" s="246"/>
      <c r="DD12" s="246"/>
      <c r="DE12" s="246"/>
      <c r="DF12" s="246"/>
      <c r="DG12" s="246"/>
      <c r="DH12" s="246"/>
      <c r="DI12" s="246"/>
      <c r="DJ12" s="246"/>
      <c r="DK12" s="246"/>
      <c r="DL12" s="246"/>
      <c r="DM12" s="246"/>
      <c r="DN12" s="246"/>
      <c r="DO12" s="225"/>
      <c r="DP12" s="246"/>
      <c r="DQ12" s="246"/>
      <c r="DR12" s="246"/>
      <c r="DS12" s="246"/>
      <c r="DT12" s="246"/>
      <c r="DU12" s="246"/>
      <c r="DV12" s="246"/>
      <c r="DW12" s="246"/>
      <c r="DX12" s="246"/>
      <c r="DY12" s="246"/>
      <c r="DZ12" s="233"/>
      <c r="EA12" s="246"/>
      <c r="EB12" s="246"/>
      <c r="EC12" s="226"/>
      <c r="ED12" s="246"/>
      <c r="EE12" s="246"/>
      <c r="EF12" s="246"/>
      <c r="EG12" s="226"/>
      <c r="EH12" s="246"/>
      <c r="EI12" s="246"/>
      <c r="EJ12" s="226"/>
      <c r="EK12" s="226"/>
      <c r="EL12" s="226"/>
      <c r="EM12" s="226"/>
      <c r="EN12" s="226"/>
      <c r="EO12" s="226"/>
      <c r="EP12" s="226"/>
      <c r="EQ12" s="226"/>
      <c r="ER12" s="246"/>
      <c r="ES12" s="246"/>
      <c r="ET12" s="246"/>
      <c r="EU12" s="246"/>
      <c r="EV12" s="246"/>
      <c r="EW12" s="246"/>
      <c r="EX12" s="246"/>
      <c r="EY12" s="246"/>
      <c r="EZ12" s="250"/>
      <c r="FA12" s="246"/>
      <c r="FB12" s="246"/>
      <c r="FC12" s="246"/>
      <c r="FD12" s="226"/>
      <c r="FE12" s="416"/>
      <c r="FF12" s="246"/>
      <c r="FG12" s="246"/>
      <c r="FH12" s="246"/>
      <c r="FI12" s="414"/>
      <c r="FJ12" s="414"/>
      <c r="FK12" s="414"/>
      <c r="FL12" s="414"/>
      <c r="FM12" s="246"/>
      <c r="FN12" s="246"/>
      <c r="FO12" s="414"/>
      <c r="FP12" s="414"/>
      <c r="FQ12" s="414"/>
      <c r="FR12" s="414"/>
      <c r="FS12" s="414"/>
      <c r="FT12" s="414"/>
      <c r="FU12" s="226"/>
      <c r="FV12" s="414"/>
      <c r="FW12" s="414"/>
      <c r="FX12" s="414"/>
      <c r="FY12" s="226"/>
      <c r="FZ12" s="414"/>
      <c r="GA12" s="414"/>
      <c r="GB12" s="414"/>
      <c r="GC12" s="414"/>
      <c r="GD12" s="414"/>
      <c r="GE12" s="414"/>
      <c r="GF12" s="414"/>
      <c r="GG12" s="414"/>
      <c r="GH12" s="414"/>
      <c r="GI12" s="226"/>
      <c r="GJ12" s="414"/>
      <c r="GK12" s="414"/>
      <c r="GL12" s="414"/>
      <c r="GM12" s="414"/>
      <c r="GN12" s="414"/>
      <c r="GO12" s="226"/>
      <c r="GP12" s="414"/>
      <c r="GQ12" s="226"/>
      <c r="GR12" s="414"/>
      <c r="GS12" s="414"/>
      <c r="GT12" s="414"/>
      <c r="GU12" s="414"/>
      <c r="GV12" s="414"/>
      <c r="GW12" s="226"/>
      <c r="GX12" s="246"/>
      <c r="GY12" s="246"/>
      <c r="GZ12" s="414"/>
      <c r="HA12" s="246"/>
      <c r="HB12" s="246"/>
      <c r="HC12" s="246"/>
      <c r="HD12" s="246"/>
      <c r="HE12" s="246"/>
      <c r="HF12" s="226"/>
      <c r="HG12" s="247"/>
      <c r="HH12" s="247"/>
      <c r="HI12" s="247"/>
      <c r="HJ12" s="246"/>
      <c r="HK12" s="247"/>
      <c r="HL12" s="226"/>
      <c r="HM12" s="246"/>
      <c r="HN12" s="226"/>
      <c r="HO12" s="246"/>
      <c r="HP12" s="248"/>
      <c r="HQ12" s="246"/>
      <c r="HR12" s="246"/>
      <c r="HS12" s="246"/>
      <c r="HT12" s="246"/>
      <c r="HU12" s="246"/>
      <c r="HV12" s="246"/>
      <c r="HW12" s="246"/>
      <c r="HX12" s="246"/>
      <c r="HY12" s="246"/>
      <c r="HZ12" s="246"/>
      <c r="IA12" s="246"/>
      <c r="IB12" s="246"/>
      <c r="IC12" s="246"/>
      <c r="ID12" s="246"/>
      <c r="IE12" s="246"/>
      <c r="IF12" s="246"/>
      <c r="IG12" s="249"/>
      <c r="IH12" s="250"/>
      <c r="II12" s="238"/>
      <c r="IJ12" s="249"/>
      <c r="IK12" s="249"/>
      <c r="IL12" s="238"/>
      <c r="IM12" s="249"/>
      <c r="IN12" s="246"/>
      <c r="IO12" s="246"/>
      <c r="IP12" s="246"/>
      <c r="IQ12" s="246"/>
      <c r="IR12" s="249"/>
      <c r="IS12" s="238"/>
      <c r="IT12" s="238"/>
      <c r="IU12" s="249"/>
      <c r="IV12" s="246"/>
      <c r="IW12" s="249"/>
      <c r="IX12" s="246"/>
      <c r="IY12" s="246"/>
      <c r="IZ12" s="246"/>
      <c r="JA12" s="246"/>
      <c r="JB12" s="246"/>
      <c r="JC12" s="246"/>
      <c r="JD12" s="246"/>
      <c r="JE12" s="226"/>
      <c r="JF12" s="226"/>
      <c r="JG12" s="226"/>
      <c r="JH12" s="246"/>
      <c r="JI12" s="246"/>
      <c r="JJ12" s="246"/>
      <c r="JK12" s="251"/>
      <c r="JL12" s="246"/>
      <c r="JM12" s="246"/>
      <c r="JN12" s="226"/>
      <c r="JO12" s="226"/>
      <c r="JP12" s="226"/>
      <c r="JQ12" s="246"/>
      <c r="JR12" s="246"/>
      <c r="JS12" s="246"/>
      <c r="JT12" s="246"/>
      <c r="JU12" s="246"/>
      <c r="JV12" s="246"/>
      <c r="JW12" s="252"/>
      <c r="JX12" s="246"/>
      <c r="JY12" s="246"/>
      <c r="JZ12" s="246"/>
      <c r="KA12" s="246"/>
      <c r="KB12" s="225"/>
      <c r="KC12" s="246"/>
      <c r="KD12" s="246"/>
      <c r="KE12" s="232"/>
      <c r="KF12" s="246"/>
      <c r="KG12" s="246"/>
      <c r="KH12" s="246"/>
      <c r="KI12" s="246"/>
      <c r="KJ12" s="246"/>
      <c r="KK12" s="246"/>
      <c r="KL12" s="246"/>
      <c r="KM12" s="246"/>
      <c r="KN12" s="246"/>
      <c r="KO12" s="246"/>
      <c r="KP12" s="246"/>
      <c r="KQ12" s="226"/>
      <c r="KR12" s="226"/>
      <c r="KS12" s="226"/>
      <c r="KT12" s="226"/>
      <c r="KU12" s="226"/>
      <c r="KV12" s="246"/>
      <c r="KW12" s="246"/>
      <c r="KX12" s="257"/>
      <c r="KY12" s="258"/>
      <c r="KZ12" s="246"/>
      <c r="LA12" s="246"/>
      <c r="LB12" s="246"/>
      <c r="LC12" s="246"/>
      <c r="LD12" s="246"/>
      <c r="LE12" s="246"/>
      <c r="LF12" s="246"/>
      <c r="LG12" s="246"/>
      <c r="LH12" s="246"/>
      <c r="LI12" s="246"/>
      <c r="LJ12" s="246"/>
      <c r="LK12" s="246"/>
      <c r="LL12" s="225"/>
      <c r="LM12" s="226"/>
      <c r="LN12" s="225"/>
      <c r="LO12" s="246"/>
      <c r="LP12" s="246"/>
      <c r="LQ12" s="246"/>
      <c r="LR12" s="246"/>
      <c r="LS12" s="246"/>
      <c r="LT12" s="253"/>
      <c r="LU12" s="246"/>
      <c r="LV12" s="246"/>
      <c r="LW12" s="246"/>
      <c r="LX12" s="246"/>
      <c r="LY12" s="246"/>
      <c r="LZ12" s="246"/>
      <c r="MA12" s="246"/>
      <c r="MB12" s="246"/>
      <c r="MC12" s="246"/>
      <c r="MD12" s="246"/>
      <c r="ME12" s="246"/>
      <c r="MF12" s="254"/>
      <c r="MG12" s="226"/>
      <c r="MH12" s="226"/>
      <c r="MI12" s="226"/>
      <c r="MJ12" s="255"/>
      <c r="MK12" s="255"/>
      <c r="ML12" s="255"/>
      <c r="MM12" s="255"/>
      <c r="MN12" s="256"/>
      <c r="MO12" s="256"/>
      <c r="MP12" s="256"/>
      <c r="MQ12" s="256"/>
      <c r="MR12" s="256"/>
      <c r="MS12" s="256"/>
      <c r="MT12" s="255"/>
      <c r="MU12" s="256"/>
      <c r="MV12" s="255"/>
      <c r="MW12" s="255"/>
      <c r="MX12" s="226"/>
      <c r="MY12" s="226"/>
      <c r="MZ12" s="226"/>
      <c r="NA12" s="226"/>
    </row>
    <row r="13" spans="1:365" s="796" customFormat="1" ht="24" customHeight="1" x14ac:dyDescent="0.2">
      <c r="A13" s="208"/>
      <c r="B13" s="205"/>
      <c r="C13" s="206"/>
      <c r="D13" s="207"/>
      <c r="E13" s="246"/>
      <c r="F13" s="246"/>
      <c r="G13" s="246"/>
      <c r="H13" s="246"/>
      <c r="I13" s="246"/>
      <c r="J13" s="246"/>
      <c r="K13" s="246"/>
      <c r="L13" s="246"/>
      <c r="M13" s="246"/>
      <c r="N13" s="246"/>
      <c r="O13" s="246"/>
      <c r="P13" s="412"/>
      <c r="Q13" s="246"/>
      <c r="R13" s="246"/>
      <c r="S13" s="246"/>
      <c r="T13" s="246"/>
      <c r="U13" s="246"/>
      <c r="V13" s="225"/>
      <c r="W13" s="226"/>
      <c r="X13" s="226"/>
      <c r="Y13" s="226"/>
      <c r="Z13" s="226"/>
      <c r="AA13" s="226"/>
      <c r="AB13" s="226"/>
      <c r="AC13" s="226"/>
      <c r="AD13" s="226"/>
      <c r="AE13" s="226"/>
      <c r="AF13" s="246"/>
      <c r="AG13" s="238"/>
      <c r="AH13" s="226"/>
      <c r="AI13" s="246"/>
      <c r="AJ13" s="246"/>
      <c r="AK13" s="250"/>
      <c r="AL13" s="246"/>
      <c r="AM13" s="226"/>
      <c r="AN13" s="226"/>
      <c r="AO13" s="226"/>
      <c r="AP13" s="226"/>
      <c r="AQ13" s="246"/>
      <c r="AR13" s="246"/>
      <c r="AS13" s="246"/>
      <c r="AT13" s="246"/>
      <c r="AU13" s="246"/>
      <c r="AV13" s="246"/>
      <c r="AW13" s="246"/>
      <c r="AX13" s="246"/>
      <c r="AY13" s="413"/>
      <c r="AZ13" s="246"/>
      <c r="BA13" s="246"/>
      <c r="BB13" s="246"/>
      <c r="BC13" s="246"/>
      <c r="BD13" s="246"/>
      <c r="BE13" s="413"/>
      <c r="BF13" s="246"/>
      <c r="BG13" s="252"/>
      <c r="BH13" s="246"/>
      <c r="BI13" s="246"/>
      <c r="BJ13" s="246"/>
      <c r="BK13" s="246"/>
      <c r="BL13" s="246"/>
      <c r="BM13" s="246"/>
      <c r="BN13" s="226"/>
      <c r="BO13" s="246"/>
      <c r="BP13" s="246"/>
      <c r="BQ13" s="246"/>
      <c r="BR13" s="233"/>
      <c r="BS13" s="246"/>
      <c r="BT13" s="246"/>
      <c r="BU13" s="246"/>
      <c r="BV13" s="246"/>
      <c r="BW13" s="246"/>
      <c r="BX13" s="246"/>
      <c r="BY13" s="246"/>
      <c r="BZ13" s="246"/>
      <c r="CA13" s="246"/>
      <c r="CB13" s="246"/>
      <c r="CC13" s="246"/>
      <c r="CD13" s="250"/>
      <c r="CE13" s="413"/>
      <c r="CF13" s="250"/>
      <c r="CG13" s="250"/>
      <c r="CH13" s="250"/>
      <c r="CI13" s="250"/>
      <c r="CJ13" s="250"/>
      <c r="CK13" s="250"/>
      <c r="CL13" s="250"/>
      <c r="CM13" s="250"/>
      <c r="CN13" s="246"/>
      <c r="CO13" s="246"/>
      <c r="CP13" s="246"/>
      <c r="CQ13" s="406"/>
      <c r="CR13" s="414"/>
      <c r="CS13" s="246"/>
      <c r="CT13" s="246"/>
      <c r="CU13" s="415"/>
      <c r="CV13" s="246"/>
      <c r="CW13" s="246"/>
      <c r="CX13" s="246"/>
      <c r="CY13" s="246"/>
      <c r="CZ13" s="246"/>
      <c r="DA13" s="246"/>
      <c r="DB13" s="246"/>
      <c r="DC13" s="246"/>
      <c r="DD13" s="246"/>
      <c r="DE13" s="246"/>
      <c r="DF13" s="246"/>
      <c r="DG13" s="246"/>
      <c r="DH13" s="246"/>
      <c r="DI13" s="246"/>
      <c r="DJ13" s="246"/>
      <c r="DK13" s="246"/>
      <c r="DL13" s="246"/>
      <c r="DM13" s="246"/>
      <c r="DN13" s="246"/>
      <c r="DO13" s="225"/>
      <c r="DP13" s="246"/>
      <c r="DQ13" s="246"/>
      <c r="DR13" s="246"/>
      <c r="DS13" s="246"/>
      <c r="DT13" s="246"/>
      <c r="DU13" s="246"/>
      <c r="DV13" s="246"/>
      <c r="DW13" s="246"/>
      <c r="DX13" s="246"/>
      <c r="DY13" s="246"/>
      <c r="DZ13" s="233"/>
      <c r="EA13" s="246"/>
      <c r="EB13" s="246"/>
      <c r="EC13" s="226"/>
      <c r="ED13" s="246"/>
      <c r="EE13" s="246"/>
      <c r="EF13" s="246"/>
      <c r="EG13" s="226"/>
      <c r="EH13" s="246"/>
      <c r="EI13" s="246"/>
      <c r="EJ13" s="226"/>
      <c r="EK13" s="226"/>
      <c r="EL13" s="226"/>
      <c r="EM13" s="226"/>
      <c r="EN13" s="226"/>
      <c r="EO13" s="226"/>
      <c r="EP13" s="226"/>
      <c r="EQ13" s="226"/>
      <c r="ER13" s="246"/>
      <c r="ES13" s="246"/>
      <c r="ET13" s="246"/>
      <c r="EU13" s="246"/>
      <c r="EV13" s="246"/>
      <c r="EW13" s="246"/>
      <c r="EX13" s="246"/>
      <c r="EY13" s="246"/>
      <c r="EZ13" s="250"/>
      <c r="FA13" s="246"/>
      <c r="FB13" s="246"/>
      <c r="FC13" s="246"/>
      <c r="FD13" s="226"/>
      <c r="FE13" s="416"/>
      <c r="FF13" s="246"/>
      <c r="FG13" s="246"/>
      <c r="FH13" s="246"/>
      <c r="FI13" s="414"/>
      <c r="FJ13" s="414"/>
      <c r="FK13" s="414"/>
      <c r="FL13" s="414"/>
      <c r="FM13" s="246"/>
      <c r="FN13" s="246"/>
      <c r="FO13" s="414"/>
      <c r="FP13" s="414"/>
      <c r="FQ13" s="414"/>
      <c r="FR13" s="414"/>
      <c r="FS13" s="414"/>
      <c r="FT13" s="414"/>
      <c r="FU13" s="226"/>
      <c r="FV13" s="414"/>
      <c r="FW13" s="414"/>
      <c r="FX13" s="414"/>
      <c r="FY13" s="226"/>
      <c r="FZ13" s="414"/>
      <c r="GA13" s="414"/>
      <c r="GB13" s="414"/>
      <c r="GC13" s="414"/>
      <c r="GD13" s="414"/>
      <c r="GE13" s="414"/>
      <c r="GF13" s="414"/>
      <c r="GG13" s="414"/>
      <c r="GH13" s="414"/>
      <c r="GI13" s="226"/>
      <c r="GJ13" s="414"/>
      <c r="GK13" s="414"/>
      <c r="GL13" s="414"/>
      <c r="GM13" s="414"/>
      <c r="GN13" s="414"/>
      <c r="GO13" s="226"/>
      <c r="GP13" s="414"/>
      <c r="GQ13" s="226"/>
      <c r="GR13" s="414"/>
      <c r="GS13" s="414"/>
      <c r="GT13" s="414"/>
      <c r="GU13" s="414"/>
      <c r="GV13" s="414"/>
      <c r="GW13" s="226"/>
      <c r="GX13" s="246"/>
      <c r="GY13" s="246"/>
      <c r="GZ13" s="414"/>
      <c r="HA13" s="246"/>
      <c r="HB13" s="246"/>
      <c r="HC13" s="246"/>
      <c r="HD13" s="246"/>
      <c r="HE13" s="246"/>
      <c r="HF13" s="226"/>
      <c r="HG13" s="247"/>
      <c r="HH13" s="247"/>
      <c r="HI13" s="247"/>
      <c r="HJ13" s="246"/>
      <c r="HK13" s="247"/>
      <c r="HL13" s="226"/>
      <c r="HM13" s="246"/>
      <c r="HN13" s="226"/>
      <c r="HO13" s="246"/>
      <c r="HP13" s="248"/>
      <c r="HQ13" s="246"/>
      <c r="HR13" s="246"/>
      <c r="HS13" s="246"/>
      <c r="HT13" s="246"/>
      <c r="HU13" s="246"/>
      <c r="HV13" s="246"/>
      <c r="HW13" s="246"/>
      <c r="HX13" s="246"/>
      <c r="HY13" s="246"/>
      <c r="HZ13" s="246"/>
      <c r="IA13" s="246"/>
      <c r="IB13" s="246"/>
      <c r="IC13" s="246"/>
      <c r="ID13" s="246"/>
      <c r="IE13" s="246"/>
      <c r="IF13" s="246"/>
      <c r="IG13" s="249"/>
      <c r="IH13" s="250"/>
      <c r="II13" s="238"/>
      <c r="IJ13" s="249"/>
      <c r="IK13" s="249"/>
      <c r="IL13" s="238"/>
      <c r="IM13" s="249"/>
      <c r="IN13" s="246"/>
      <c r="IO13" s="246"/>
      <c r="IP13" s="246"/>
      <c r="IQ13" s="246"/>
      <c r="IR13" s="249"/>
      <c r="IS13" s="238"/>
      <c r="IT13" s="238"/>
      <c r="IU13" s="249"/>
      <c r="IV13" s="246"/>
      <c r="IW13" s="249"/>
      <c r="IX13" s="246"/>
      <c r="IY13" s="246"/>
      <c r="IZ13" s="246"/>
      <c r="JA13" s="246"/>
      <c r="JB13" s="246"/>
      <c r="JC13" s="246"/>
      <c r="JD13" s="246"/>
      <c r="JE13" s="226"/>
      <c r="JF13" s="226"/>
      <c r="JG13" s="226"/>
      <c r="JH13" s="246"/>
      <c r="JI13" s="246"/>
      <c r="JJ13" s="246"/>
      <c r="JK13" s="251"/>
      <c r="JL13" s="246"/>
      <c r="JM13" s="246"/>
      <c r="JN13" s="226"/>
      <c r="JO13" s="226"/>
      <c r="JP13" s="226"/>
      <c r="JQ13" s="246"/>
      <c r="JR13" s="246"/>
      <c r="JS13" s="246"/>
      <c r="JT13" s="246"/>
      <c r="JU13" s="246"/>
      <c r="JV13" s="246"/>
      <c r="JW13" s="252"/>
      <c r="JX13" s="246"/>
      <c r="JY13" s="246"/>
      <c r="JZ13" s="246"/>
      <c r="KA13" s="246"/>
      <c r="KB13" s="225"/>
      <c r="KC13" s="246"/>
      <c r="KD13" s="246"/>
      <c r="KE13" s="232"/>
      <c r="KF13" s="246"/>
      <c r="KG13" s="246"/>
      <c r="KH13" s="246"/>
      <c r="KI13" s="246"/>
      <c r="KJ13" s="246"/>
      <c r="KK13" s="246"/>
      <c r="KL13" s="246"/>
      <c r="KM13" s="246"/>
      <c r="KN13" s="246"/>
      <c r="KO13" s="246"/>
      <c r="KP13" s="246"/>
      <c r="KQ13" s="226"/>
      <c r="KR13" s="226"/>
      <c r="KS13" s="226"/>
      <c r="KT13" s="226"/>
      <c r="KU13" s="226"/>
      <c r="KV13" s="246"/>
      <c r="KW13" s="246"/>
      <c r="KX13" s="257"/>
      <c r="KY13" s="258"/>
      <c r="KZ13" s="246"/>
      <c r="LA13" s="246"/>
      <c r="LB13" s="246"/>
      <c r="LC13" s="246"/>
      <c r="LD13" s="246"/>
      <c r="LE13" s="246"/>
      <c r="LF13" s="246"/>
      <c r="LG13" s="246"/>
      <c r="LH13" s="246"/>
      <c r="LI13" s="246"/>
      <c r="LJ13" s="246"/>
      <c r="LK13" s="246"/>
      <c r="LL13" s="225"/>
      <c r="LM13" s="226"/>
      <c r="LN13" s="225"/>
      <c r="LO13" s="246"/>
      <c r="LP13" s="246"/>
      <c r="LQ13" s="246"/>
      <c r="LR13" s="246"/>
      <c r="LS13" s="246"/>
      <c r="LT13" s="253"/>
      <c r="LU13" s="246"/>
      <c r="LV13" s="246"/>
      <c r="LW13" s="246"/>
      <c r="LX13" s="246"/>
      <c r="LY13" s="246"/>
      <c r="LZ13" s="246"/>
      <c r="MA13" s="246"/>
      <c r="MB13" s="246"/>
      <c r="MC13" s="246"/>
      <c r="MD13" s="246"/>
      <c r="ME13" s="246"/>
      <c r="MF13" s="254"/>
      <c r="MG13" s="226"/>
      <c r="MH13" s="226"/>
      <c r="MI13" s="226"/>
      <c r="MJ13" s="255"/>
      <c r="MK13" s="255"/>
      <c r="ML13" s="255"/>
      <c r="MM13" s="255"/>
      <c r="MN13" s="256"/>
      <c r="MO13" s="256"/>
      <c r="MP13" s="256"/>
      <c r="MQ13" s="256"/>
      <c r="MR13" s="256"/>
      <c r="MS13" s="256"/>
      <c r="MT13" s="255"/>
      <c r="MU13" s="256"/>
      <c r="MV13" s="255"/>
      <c r="MW13" s="255"/>
      <c r="MX13" s="226"/>
      <c r="MY13" s="226"/>
      <c r="MZ13" s="226"/>
      <c r="NA13" s="226"/>
    </row>
    <row r="14" spans="1:365" s="796" customFormat="1" ht="24" customHeight="1" x14ac:dyDescent="0.2">
      <c r="A14" s="208"/>
      <c r="B14" s="205"/>
      <c r="C14" s="206"/>
      <c r="D14" s="207"/>
      <c r="E14" s="246"/>
      <c r="F14" s="246"/>
      <c r="G14" s="246"/>
      <c r="H14" s="246"/>
      <c r="I14" s="246"/>
      <c r="J14" s="246"/>
      <c r="K14" s="246"/>
      <c r="L14" s="246"/>
      <c r="M14" s="246"/>
      <c r="N14" s="246"/>
      <c r="O14" s="246"/>
      <c r="P14" s="412"/>
      <c r="Q14" s="246"/>
      <c r="R14" s="246"/>
      <c r="S14" s="246"/>
      <c r="T14" s="246"/>
      <c r="U14" s="246"/>
      <c r="V14" s="225"/>
      <c r="W14" s="226"/>
      <c r="X14" s="226"/>
      <c r="Y14" s="226"/>
      <c r="Z14" s="226"/>
      <c r="AA14" s="226"/>
      <c r="AB14" s="226"/>
      <c r="AC14" s="226"/>
      <c r="AD14" s="226"/>
      <c r="AE14" s="226"/>
      <c r="AF14" s="246"/>
      <c r="AG14" s="238"/>
      <c r="AH14" s="226"/>
      <c r="AI14" s="246"/>
      <c r="AJ14" s="246"/>
      <c r="AK14" s="250"/>
      <c r="AL14" s="246"/>
      <c r="AM14" s="226"/>
      <c r="AN14" s="226"/>
      <c r="AO14" s="226"/>
      <c r="AP14" s="226"/>
      <c r="AQ14" s="246"/>
      <c r="AR14" s="246"/>
      <c r="AS14" s="246"/>
      <c r="AT14" s="246"/>
      <c r="AU14" s="246"/>
      <c r="AV14" s="246"/>
      <c r="AW14" s="246"/>
      <c r="AX14" s="246"/>
      <c r="AY14" s="413"/>
      <c r="AZ14" s="246"/>
      <c r="BA14" s="246"/>
      <c r="BB14" s="246"/>
      <c r="BC14" s="246"/>
      <c r="BD14" s="246"/>
      <c r="BE14" s="413"/>
      <c r="BF14" s="246"/>
      <c r="BG14" s="252"/>
      <c r="BH14" s="246"/>
      <c r="BI14" s="246"/>
      <c r="BJ14" s="246"/>
      <c r="BK14" s="246"/>
      <c r="BL14" s="246"/>
      <c r="BM14" s="246"/>
      <c r="BN14" s="226"/>
      <c r="BO14" s="246"/>
      <c r="BP14" s="246"/>
      <c r="BQ14" s="246"/>
      <c r="BR14" s="233"/>
      <c r="BS14" s="246"/>
      <c r="BT14" s="246"/>
      <c r="BU14" s="246"/>
      <c r="BV14" s="246"/>
      <c r="BW14" s="246"/>
      <c r="BX14" s="246"/>
      <c r="BY14" s="246"/>
      <c r="BZ14" s="246"/>
      <c r="CA14" s="246"/>
      <c r="CB14" s="246"/>
      <c r="CC14" s="246"/>
      <c r="CD14" s="250"/>
      <c r="CE14" s="413"/>
      <c r="CF14" s="250"/>
      <c r="CG14" s="250"/>
      <c r="CH14" s="250"/>
      <c r="CI14" s="250"/>
      <c r="CJ14" s="250"/>
      <c r="CK14" s="250"/>
      <c r="CL14" s="250"/>
      <c r="CM14" s="250"/>
      <c r="CN14" s="246"/>
      <c r="CO14" s="246"/>
      <c r="CP14" s="246"/>
      <c r="CQ14" s="406"/>
      <c r="CR14" s="414"/>
      <c r="CS14" s="246"/>
      <c r="CT14" s="246"/>
      <c r="CU14" s="415"/>
      <c r="CV14" s="246"/>
      <c r="CW14" s="246"/>
      <c r="CX14" s="246"/>
      <c r="CY14" s="246"/>
      <c r="CZ14" s="246"/>
      <c r="DA14" s="246"/>
      <c r="DB14" s="246"/>
      <c r="DC14" s="246"/>
      <c r="DD14" s="246"/>
      <c r="DE14" s="246"/>
      <c r="DF14" s="246"/>
      <c r="DG14" s="246"/>
      <c r="DH14" s="246"/>
      <c r="DI14" s="246"/>
      <c r="DJ14" s="246"/>
      <c r="DK14" s="246"/>
      <c r="DL14" s="246"/>
      <c r="DM14" s="246"/>
      <c r="DN14" s="246"/>
      <c r="DO14" s="225"/>
      <c r="DP14" s="246"/>
      <c r="DQ14" s="246"/>
      <c r="DR14" s="246"/>
      <c r="DS14" s="246"/>
      <c r="DT14" s="246"/>
      <c r="DU14" s="246"/>
      <c r="DV14" s="246"/>
      <c r="DW14" s="246"/>
      <c r="DX14" s="246"/>
      <c r="DY14" s="246"/>
      <c r="DZ14" s="233"/>
      <c r="EA14" s="246"/>
      <c r="EB14" s="246"/>
      <c r="EC14" s="226"/>
      <c r="ED14" s="246"/>
      <c r="EE14" s="246"/>
      <c r="EF14" s="246"/>
      <c r="EG14" s="226"/>
      <c r="EH14" s="246"/>
      <c r="EI14" s="246"/>
      <c r="EJ14" s="226"/>
      <c r="EK14" s="226"/>
      <c r="EL14" s="226"/>
      <c r="EM14" s="226"/>
      <c r="EN14" s="226"/>
      <c r="EO14" s="226"/>
      <c r="EP14" s="226"/>
      <c r="EQ14" s="226"/>
      <c r="ER14" s="246"/>
      <c r="ES14" s="246"/>
      <c r="ET14" s="246"/>
      <c r="EU14" s="246"/>
      <c r="EV14" s="246"/>
      <c r="EW14" s="246"/>
      <c r="EX14" s="246"/>
      <c r="EY14" s="246"/>
      <c r="EZ14" s="250"/>
      <c r="FA14" s="246"/>
      <c r="FB14" s="246"/>
      <c r="FC14" s="246"/>
      <c r="FD14" s="226"/>
      <c r="FE14" s="416"/>
      <c r="FF14" s="246"/>
      <c r="FG14" s="246"/>
      <c r="FH14" s="246"/>
      <c r="FI14" s="414"/>
      <c r="FJ14" s="414"/>
      <c r="FK14" s="414"/>
      <c r="FL14" s="414"/>
      <c r="FM14" s="246"/>
      <c r="FN14" s="246"/>
      <c r="FO14" s="414"/>
      <c r="FP14" s="414"/>
      <c r="FQ14" s="414"/>
      <c r="FR14" s="414"/>
      <c r="FS14" s="414"/>
      <c r="FT14" s="414"/>
      <c r="FU14" s="226"/>
      <c r="FV14" s="414"/>
      <c r="FW14" s="414"/>
      <c r="FX14" s="414"/>
      <c r="FY14" s="226"/>
      <c r="FZ14" s="414"/>
      <c r="GA14" s="414"/>
      <c r="GB14" s="414"/>
      <c r="GC14" s="414"/>
      <c r="GD14" s="414"/>
      <c r="GE14" s="414"/>
      <c r="GF14" s="414"/>
      <c r="GG14" s="414"/>
      <c r="GH14" s="414"/>
      <c r="GI14" s="226"/>
      <c r="GJ14" s="414"/>
      <c r="GK14" s="414"/>
      <c r="GL14" s="414"/>
      <c r="GM14" s="414"/>
      <c r="GN14" s="414"/>
      <c r="GO14" s="226"/>
      <c r="GP14" s="414"/>
      <c r="GQ14" s="226"/>
      <c r="GR14" s="414"/>
      <c r="GS14" s="414"/>
      <c r="GT14" s="414"/>
      <c r="GU14" s="414"/>
      <c r="GV14" s="414"/>
      <c r="GW14" s="226"/>
      <c r="GX14" s="246"/>
      <c r="GY14" s="246"/>
      <c r="GZ14" s="414"/>
      <c r="HA14" s="246"/>
      <c r="HB14" s="246"/>
      <c r="HC14" s="246"/>
      <c r="HD14" s="246"/>
      <c r="HE14" s="246"/>
      <c r="HF14" s="226"/>
      <c r="HG14" s="247"/>
      <c r="HH14" s="247"/>
      <c r="HI14" s="247"/>
      <c r="HJ14" s="246"/>
      <c r="HK14" s="247"/>
      <c r="HL14" s="226"/>
      <c r="HM14" s="246"/>
      <c r="HN14" s="226"/>
      <c r="HO14" s="246"/>
      <c r="HP14" s="248"/>
      <c r="HQ14" s="246"/>
      <c r="HR14" s="246"/>
      <c r="HS14" s="246"/>
      <c r="HT14" s="246"/>
      <c r="HU14" s="246"/>
      <c r="HV14" s="246"/>
      <c r="HW14" s="246"/>
      <c r="HX14" s="246"/>
      <c r="HY14" s="246"/>
      <c r="HZ14" s="246"/>
      <c r="IA14" s="246"/>
      <c r="IB14" s="246"/>
      <c r="IC14" s="246"/>
      <c r="ID14" s="246"/>
      <c r="IE14" s="246"/>
      <c r="IF14" s="246"/>
      <c r="IG14" s="249"/>
      <c r="IH14" s="250"/>
      <c r="II14" s="238"/>
      <c r="IJ14" s="249"/>
      <c r="IK14" s="249"/>
      <c r="IL14" s="238"/>
      <c r="IM14" s="249"/>
      <c r="IN14" s="246"/>
      <c r="IO14" s="246"/>
      <c r="IP14" s="246"/>
      <c r="IQ14" s="246"/>
      <c r="IR14" s="249"/>
      <c r="IS14" s="238"/>
      <c r="IT14" s="238"/>
      <c r="IU14" s="249"/>
      <c r="IV14" s="246"/>
      <c r="IW14" s="249"/>
      <c r="IX14" s="246"/>
      <c r="IY14" s="246"/>
      <c r="IZ14" s="246"/>
      <c r="JA14" s="246"/>
      <c r="JB14" s="246"/>
      <c r="JC14" s="246"/>
      <c r="JD14" s="246"/>
      <c r="JE14" s="226"/>
      <c r="JF14" s="226"/>
      <c r="JG14" s="226"/>
      <c r="JH14" s="246"/>
      <c r="JI14" s="246"/>
      <c r="JJ14" s="246"/>
      <c r="JK14" s="251"/>
      <c r="JL14" s="246"/>
      <c r="JM14" s="246"/>
      <c r="JN14" s="226"/>
      <c r="JO14" s="226"/>
      <c r="JP14" s="226"/>
      <c r="JQ14" s="246"/>
      <c r="JR14" s="246"/>
      <c r="JS14" s="246"/>
      <c r="JT14" s="246"/>
      <c r="JU14" s="246"/>
      <c r="JV14" s="246"/>
      <c r="JW14" s="252"/>
      <c r="JX14" s="246"/>
      <c r="JY14" s="246"/>
      <c r="JZ14" s="246"/>
      <c r="KA14" s="246"/>
      <c r="KB14" s="225"/>
      <c r="KC14" s="246"/>
      <c r="KD14" s="246"/>
      <c r="KE14" s="232"/>
      <c r="KF14" s="246"/>
      <c r="KG14" s="246"/>
      <c r="KH14" s="246"/>
      <c r="KI14" s="246"/>
      <c r="KJ14" s="246"/>
      <c r="KK14" s="246"/>
      <c r="KL14" s="246"/>
      <c r="KM14" s="246"/>
      <c r="KN14" s="246"/>
      <c r="KO14" s="246"/>
      <c r="KP14" s="246"/>
      <c r="KQ14" s="226"/>
      <c r="KR14" s="226"/>
      <c r="KS14" s="226"/>
      <c r="KT14" s="226"/>
      <c r="KU14" s="226"/>
      <c r="KV14" s="246"/>
      <c r="KW14" s="246"/>
      <c r="KX14" s="257"/>
      <c r="KY14" s="258"/>
      <c r="KZ14" s="246"/>
      <c r="LA14" s="246"/>
      <c r="LB14" s="246"/>
      <c r="LC14" s="246"/>
      <c r="LD14" s="246"/>
      <c r="LE14" s="246"/>
      <c r="LF14" s="246"/>
      <c r="LG14" s="246"/>
      <c r="LH14" s="246"/>
      <c r="LI14" s="246"/>
      <c r="LJ14" s="246"/>
      <c r="LK14" s="246"/>
      <c r="LL14" s="225"/>
      <c r="LM14" s="226"/>
      <c r="LN14" s="225"/>
      <c r="LO14" s="246"/>
      <c r="LP14" s="246"/>
      <c r="LQ14" s="246"/>
      <c r="LR14" s="246"/>
      <c r="LS14" s="246"/>
      <c r="LT14" s="253"/>
      <c r="LU14" s="246"/>
      <c r="LV14" s="246"/>
      <c r="LW14" s="246"/>
      <c r="LX14" s="246"/>
      <c r="LY14" s="246"/>
      <c r="LZ14" s="246"/>
      <c r="MA14" s="246"/>
      <c r="MB14" s="246"/>
      <c r="MC14" s="246"/>
      <c r="MD14" s="246"/>
      <c r="ME14" s="246"/>
      <c r="MF14" s="254"/>
      <c r="MG14" s="226"/>
      <c r="MH14" s="226"/>
      <c r="MI14" s="226"/>
      <c r="MJ14" s="255"/>
      <c r="MK14" s="255"/>
      <c r="ML14" s="255"/>
      <c r="MM14" s="255"/>
      <c r="MN14" s="256"/>
      <c r="MO14" s="256"/>
      <c r="MP14" s="256"/>
      <c r="MQ14" s="256"/>
      <c r="MR14" s="256"/>
      <c r="MS14" s="256"/>
      <c r="MT14" s="255"/>
      <c r="MU14" s="256"/>
      <c r="MV14" s="255"/>
      <c r="MW14" s="255"/>
      <c r="MX14" s="226"/>
      <c r="MY14" s="226"/>
      <c r="MZ14" s="226"/>
      <c r="NA14" s="226"/>
    </row>
    <row r="15" spans="1:365" s="796" customFormat="1" ht="24" customHeight="1" x14ac:dyDescent="0.2">
      <c r="A15" s="208"/>
      <c r="B15" s="205"/>
      <c r="C15" s="206"/>
      <c r="D15" s="207"/>
      <c r="E15" s="246"/>
      <c r="F15" s="246"/>
      <c r="G15" s="246"/>
      <c r="H15" s="246"/>
      <c r="I15" s="246"/>
      <c r="J15" s="246"/>
      <c r="K15" s="246"/>
      <c r="L15" s="246"/>
      <c r="M15" s="246"/>
      <c r="N15" s="246"/>
      <c r="O15" s="246"/>
      <c r="P15" s="412"/>
      <c r="Q15" s="246"/>
      <c r="R15" s="246"/>
      <c r="S15" s="246"/>
      <c r="T15" s="246"/>
      <c r="U15" s="246"/>
      <c r="V15" s="225"/>
      <c r="W15" s="226"/>
      <c r="X15" s="226"/>
      <c r="Y15" s="226"/>
      <c r="Z15" s="226"/>
      <c r="AA15" s="226"/>
      <c r="AB15" s="226"/>
      <c r="AC15" s="226"/>
      <c r="AD15" s="226"/>
      <c r="AE15" s="226"/>
      <c r="AF15" s="246"/>
      <c r="AG15" s="238"/>
      <c r="AH15" s="226"/>
      <c r="AI15" s="246"/>
      <c r="AJ15" s="246"/>
      <c r="AK15" s="250"/>
      <c r="AL15" s="246"/>
      <c r="AM15" s="226"/>
      <c r="AN15" s="226"/>
      <c r="AO15" s="226"/>
      <c r="AP15" s="226"/>
      <c r="AQ15" s="246"/>
      <c r="AR15" s="246"/>
      <c r="AS15" s="246"/>
      <c r="AT15" s="246"/>
      <c r="AU15" s="246"/>
      <c r="AV15" s="246"/>
      <c r="AW15" s="246"/>
      <c r="AX15" s="246"/>
      <c r="AY15" s="413"/>
      <c r="AZ15" s="246"/>
      <c r="BA15" s="246"/>
      <c r="BB15" s="246"/>
      <c r="BC15" s="246"/>
      <c r="BD15" s="246"/>
      <c r="BE15" s="413"/>
      <c r="BF15" s="246"/>
      <c r="BG15" s="252"/>
      <c r="BH15" s="246"/>
      <c r="BI15" s="246"/>
      <c r="BJ15" s="246"/>
      <c r="BK15" s="246"/>
      <c r="BL15" s="246"/>
      <c r="BM15" s="246"/>
      <c r="BN15" s="226"/>
      <c r="BO15" s="246"/>
      <c r="BP15" s="246"/>
      <c r="BQ15" s="246"/>
      <c r="BR15" s="233"/>
      <c r="BS15" s="246"/>
      <c r="BT15" s="246"/>
      <c r="BU15" s="246"/>
      <c r="BV15" s="246"/>
      <c r="BW15" s="246"/>
      <c r="BX15" s="246"/>
      <c r="BY15" s="246"/>
      <c r="BZ15" s="246"/>
      <c r="CA15" s="246"/>
      <c r="CB15" s="246"/>
      <c r="CC15" s="246"/>
      <c r="CD15" s="250"/>
      <c r="CE15" s="413"/>
      <c r="CF15" s="250"/>
      <c r="CG15" s="250"/>
      <c r="CH15" s="250"/>
      <c r="CI15" s="250"/>
      <c r="CJ15" s="250"/>
      <c r="CK15" s="250"/>
      <c r="CL15" s="250"/>
      <c r="CM15" s="250"/>
      <c r="CN15" s="246"/>
      <c r="CO15" s="246"/>
      <c r="CP15" s="246"/>
      <c r="CQ15" s="406"/>
      <c r="CR15" s="414"/>
      <c r="CS15" s="246"/>
      <c r="CT15" s="246"/>
      <c r="CU15" s="415"/>
      <c r="CV15" s="246"/>
      <c r="CW15" s="246"/>
      <c r="CX15" s="246"/>
      <c r="CY15" s="246"/>
      <c r="CZ15" s="246"/>
      <c r="DA15" s="246"/>
      <c r="DB15" s="246"/>
      <c r="DC15" s="246"/>
      <c r="DD15" s="246"/>
      <c r="DE15" s="246"/>
      <c r="DF15" s="246"/>
      <c r="DG15" s="246"/>
      <c r="DH15" s="246"/>
      <c r="DI15" s="246"/>
      <c r="DJ15" s="246"/>
      <c r="DK15" s="246"/>
      <c r="DL15" s="246"/>
      <c r="DM15" s="246"/>
      <c r="DN15" s="246"/>
      <c r="DO15" s="225"/>
      <c r="DP15" s="246"/>
      <c r="DQ15" s="246"/>
      <c r="DR15" s="246"/>
      <c r="DS15" s="246"/>
      <c r="DT15" s="246"/>
      <c r="DU15" s="246"/>
      <c r="DV15" s="246"/>
      <c r="DW15" s="246"/>
      <c r="DX15" s="246"/>
      <c r="DY15" s="246"/>
      <c r="DZ15" s="233"/>
      <c r="EA15" s="246"/>
      <c r="EB15" s="246"/>
      <c r="EC15" s="226"/>
      <c r="ED15" s="246"/>
      <c r="EE15" s="246"/>
      <c r="EF15" s="246"/>
      <c r="EG15" s="226"/>
      <c r="EH15" s="246"/>
      <c r="EI15" s="246"/>
      <c r="EJ15" s="226"/>
      <c r="EK15" s="226"/>
      <c r="EL15" s="226"/>
      <c r="EM15" s="226"/>
      <c r="EN15" s="226"/>
      <c r="EO15" s="226"/>
      <c r="EP15" s="226"/>
      <c r="EQ15" s="226"/>
      <c r="ER15" s="246"/>
      <c r="ES15" s="246"/>
      <c r="ET15" s="246"/>
      <c r="EU15" s="246"/>
      <c r="EV15" s="246"/>
      <c r="EW15" s="246"/>
      <c r="EX15" s="246"/>
      <c r="EY15" s="246"/>
      <c r="EZ15" s="250"/>
      <c r="FA15" s="246"/>
      <c r="FB15" s="246"/>
      <c r="FC15" s="246"/>
      <c r="FD15" s="226"/>
      <c r="FE15" s="416"/>
      <c r="FF15" s="246"/>
      <c r="FG15" s="246"/>
      <c r="FH15" s="246"/>
      <c r="FI15" s="414"/>
      <c r="FJ15" s="414"/>
      <c r="FK15" s="414"/>
      <c r="FL15" s="414"/>
      <c r="FM15" s="246"/>
      <c r="FN15" s="246"/>
      <c r="FO15" s="414"/>
      <c r="FP15" s="414"/>
      <c r="FQ15" s="414"/>
      <c r="FR15" s="414"/>
      <c r="FS15" s="414"/>
      <c r="FT15" s="414"/>
      <c r="FU15" s="226"/>
      <c r="FV15" s="414"/>
      <c r="FW15" s="414"/>
      <c r="FX15" s="414"/>
      <c r="FY15" s="226"/>
      <c r="FZ15" s="414"/>
      <c r="GA15" s="414"/>
      <c r="GB15" s="414"/>
      <c r="GC15" s="414"/>
      <c r="GD15" s="414"/>
      <c r="GE15" s="414"/>
      <c r="GF15" s="414"/>
      <c r="GG15" s="414"/>
      <c r="GH15" s="414"/>
      <c r="GI15" s="226"/>
      <c r="GJ15" s="414"/>
      <c r="GK15" s="414"/>
      <c r="GL15" s="414"/>
      <c r="GM15" s="414"/>
      <c r="GN15" s="414"/>
      <c r="GO15" s="226"/>
      <c r="GP15" s="414"/>
      <c r="GQ15" s="226"/>
      <c r="GR15" s="414"/>
      <c r="GS15" s="414"/>
      <c r="GT15" s="414"/>
      <c r="GU15" s="414"/>
      <c r="GV15" s="414"/>
      <c r="GW15" s="226"/>
      <c r="GX15" s="246"/>
      <c r="GY15" s="246"/>
      <c r="GZ15" s="414"/>
      <c r="HA15" s="246"/>
      <c r="HB15" s="246"/>
      <c r="HC15" s="246"/>
      <c r="HD15" s="246"/>
      <c r="HE15" s="246"/>
      <c r="HF15" s="226"/>
      <c r="HG15" s="247"/>
      <c r="HH15" s="247"/>
      <c r="HI15" s="247"/>
      <c r="HJ15" s="246"/>
      <c r="HK15" s="247"/>
      <c r="HL15" s="226"/>
      <c r="HM15" s="246"/>
      <c r="HN15" s="226"/>
      <c r="HO15" s="246"/>
      <c r="HP15" s="248"/>
      <c r="HQ15" s="246"/>
      <c r="HR15" s="246"/>
      <c r="HS15" s="246"/>
      <c r="HT15" s="246"/>
      <c r="HU15" s="246"/>
      <c r="HV15" s="246"/>
      <c r="HW15" s="246"/>
      <c r="HX15" s="246"/>
      <c r="HY15" s="246"/>
      <c r="HZ15" s="246"/>
      <c r="IA15" s="246"/>
      <c r="IB15" s="246"/>
      <c r="IC15" s="246"/>
      <c r="ID15" s="246"/>
      <c r="IE15" s="246"/>
      <c r="IF15" s="246"/>
      <c r="IG15" s="249"/>
      <c r="IH15" s="250"/>
      <c r="II15" s="238"/>
      <c r="IJ15" s="249"/>
      <c r="IK15" s="249"/>
      <c r="IL15" s="238"/>
      <c r="IM15" s="249"/>
      <c r="IN15" s="246"/>
      <c r="IO15" s="246"/>
      <c r="IP15" s="246"/>
      <c r="IQ15" s="246"/>
      <c r="IR15" s="249"/>
      <c r="IS15" s="238"/>
      <c r="IT15" s="238"/>
      <c r="IU15" s="249"/>
      <c r="IV15" s="246"/>
      <c r="IW15" s="249"/>
      <c r="IX15" s="246"/>
      <c r="IY15" s="246"/>
      <c r="IZ15" s="246"/>
      <c r="JA15" s="246"/>
      <c r="JB15" s="246"/>
      <c r="JC15" s="246"/>
      <c r="JD15" s="246"/>
      <c r="JE15" s="226"/>
      <c r="JF15" s="226"/>
      <c r="JG15" s="226"/>
      <c r="JH15" s="246"/>
      <c r="JI15" s="246"/>
      <c r="JJ15" s="246"/>
      <c r="JK15" s="251"/>
      <c r="JL15" s="246"/>
      <c r="JM15" s="246"/>
      <c r="JN15" s="226"/>
      <c r="JO15" s="226"/>
      <c r="JP15" s="226"/>
      <c r="JQ15" s="246"/>
      <c r="JR15" s="246"/>
      <c r="JS15" s="246"/>
      <c r="JT15" s="246"/>
      <c r="JU15" s="246"/>
      <c r="JV15" s="246"/>
      <c r="JW15" s="252"/>
      <c r="JX15" s="246"/>
      <c r="JY15" s="246"/>
      <c r="JZ15" s="246"/>
      <c r="KA15" s="246"/>
      <c r="KB15" s="225"/>
      <c r="KC15" s="246"/>
      <c r="KD15" s="246"/>
      <c r="KE15" s="232"/>
      <c r="KF15" s="246"/>
      <c r="KG15" s="246"/>
      <c r="KH15" s="246"/>
      <c r="KI15" s="246"/>
      <c r="KJ15" s="246"/>
      <c r="KK15" s="246"/>
      <c r="KL15" s="246"/>
      <c r="KM15" s="246"/>
      <c r="KN15" s="246"/>
      <c r="KO15" s="246"/>
      <c r="KP15" s="246"/>
      <c r="KQ15" s="226"/>
      <c r="KR15" s="226"/>
      <c r="KS15" s="226"/>
      <c r="KT15" s="226"/>
      <c r="KU15" s="226"/>
      <c r="KV15" s="246"/>
      <c r="KW15" s="246"/>
      <c r="KX15" s="257"/>
      <c r="KY15" s="258"/>
      <c r="KZ15" s="246"/>
      <c r="LA15" s="246"/>
      <c r="LB15" s="246"/>
      <c r="LC15" s="246"/>
      <c r="LD15" s="246"/>
      <c r="LE15" s="246"/>
      <c r="LF15" s="246"/>
      <c r="LG15" s="246"/>
      <c r="LH15" s="246"/>
      <c r="LI15" s="246"/>
      <c r="LJ15" s="246"/>
      <c r="LK15" s="246"/>
      <c r="LL15" s="225"/>
      <c r="LM15" s="226"/>
      <c r="LN15" s="225"/>
      <c r="LO15" s="246"/>
      <c r="LP15" s="246"/>
      <c r="LQ15" s="246"/>
      <c r="LR15" s="246"/>
      <c r="LS15" s="246"/>
      <c r="LT15" s="253"/>
      <c r="LU15" s="246"/>
      <c r="LV15" s="246"/>
      <c r="LW15" s="246"/>
      <c r="LX15" s="246"/>
      <c r="LY15" s="246"/>
      <c r="LZ15" s="246"/>
      <c r="MA15" s="246"/>
      <c r="MB15" s="246"/>
      <c r="MC15" s="246"/>
      <c r="MD15" s="246"/>
      <c r="ME15" s="246"/>
      <c r="MF15" s="254"/>
      <c r="MG15" s="226"/>
      <c r="MH15" s="226"/>
      <c r="MI15" s="226"/>
      <c r="MJ15" s="255"/>
      <c r="MK15" s="255"/>
      <c r="ML15" s="255"/>
      <c r="MM15" s="255"/>
      <c r="MN15" s="256"/>
      <c r="MO15" s="256"/>
      <c r="MP15" s="256"/>
      <c r="MQ15" s="256"/>
      <c r="MR15" s="256"/>
      <c r="MS15" s="256"/>
      <c r="MT15" s="255"/>
      <c r="MU15" s="256"/>
      <c r="MV15" s="255"/>
      <c r="MW15" s="255"/>
      <c r="MX15" s="226"/>
      <c r="MY15" s="226"/>
      <c r="MZ15" s="226"/>
      <c r="NA15" s="226"/>
    </row>
    <row r="16" spans="1:365" s="796" customFormat="1" ht="24" customHeight="1" x14ac:dyDescent="0.2">
      <c r="A16" s="208"/>
      <c r="B16" s="205"/>
      <c r="C16" s="206"/>
      <c r="D16" s="207"/>
      <c r="E16" s="246"/>
      <c r="F16" s="246"/>
      <c r="G16" s="246"/>
      <c r="H16" s="246"/>
      <c r="I16" s="246"/>
      <c r="J16" s="246"/>
      <c r="K16" s="246"/>
      <c r="L16" s="246"/>
      <c r="M16" s="246"/>
      <c r="N16" s="246"/>
      <c r="O16" s="246"/>
      <c r="P16" s="412"/>
      <c r="Q16" s="246"/>
      <c r="R16" s="246"/>
      <c r="S16" s="246"/>
      <c r="T16" s="246"/>
      <c r="U16" s="246"/>
      <c r="V16" s="225"/>
      <c r="W16" s="226"/>
      <c r="X16" s="226"/>
      <c r="Y16" s="226"/>
      <c r="Z16" s="226"/>
      <c r="AA16" s="226"/>
      <c r="AB16" s="226"/>
      <c r="AC16" s="226"/>
      <c r="AD16" s="226"/>
      <c r="AE16" s="226"/>
      <c r="AF16" s="246"/>
      <c r="AG16" s="238"/>
      <c r="AH16" s="226"/>
      <c r="AI16" s="246"/>
      <c r="AJ16" s="246"/>
      <c r="AK16" s="250"/>
      <c r="AL16" s="246"/>
      <c r="AM16" s="226"/>
      <c r="AN16" s="226"/>
      <c r="AO16" s="226"/>
      <c r="AP16" s="226"/>
      <c r="AQ16" s="246"/>
      <c r="AR16" s="246"/>
      <c r="AS16" s="246"/>
      <c r="AT16" s="246"/>
      <c r="AU16" s="246"/>
      <c r="AV16" s="246"/>
      <c r="AW16" s="246"/>
      <c r="AX16" s="246"/>
      <c r="AY16" s="413"/>
      <c r="AZ16" s="246"/>
      <c r="BA16" s="246"/>
      <c r="BB16" s="246"/>
      <c r="BC16" s="246"/>
      <c r="BD16" s="246"/>
      <c r="BE16" s="413"/>
      <c r="BF16" s="246"/>
      <c r="BG16" s="252"/>
      <c r="BH16" s="246"/>
      <c r="BI16" s="246"/>
      <c r="BJ16" s="246"/>
      <c r="BK16" s="246"/>
      <c r="BL16" s="246"/>
      <c r="BM16" s="246"/>
      <c r="BN16" s="226"/>
      <c r="BO16" s="246"/>
      <c r="BP16" s="246"/>
      <c r="BQ16" s="246"/>
      <c r="BR16" s="233"/>
      <c r="BS16" s="246"/>
      <c r="BT16" s="246"/>
      <c r="BU16" s="246"/>
      <c r="BV16" s="246"/>
      <c r="BW16" s="246"/>
      <c r="BX16" s="246"/>
      <c r="BY16" s="246"/>
      <c r="BZ16" s="246"/>
      <c r="CA16" s="246"/>
      <c r="CB16" s="246"/>
      <c r="CC16" s="246"/>
      <c r="CD16" s="250"/>
      <c r="CE16" s="413"/>
      <c r="CF16" s="250"/>
      <c r="CG16" s="250"/>
      <c r="CH16" s="250"/>
      <c r="CI16" s="250"/>
      <c r="CJ16" s="250"/>
      <c r="CK16" s="250"/>
      <c r="CL16" s="250"/>
      <c r="CM16" s="250"/>
      <c r="CN16" s="246"/>
      <c r="CO16" s="246"/>
      <c r="CP16" s="246"/>
      <c r="CQ16" s="406"/>
      <c r="CR16" s="414"/>
      <c r="CS16" s="246"/>
      <c r="CT16" s="246"/>
      <c r="CU16" s="415"/>
      <c r="CV16" s="246"/>
      <c r="CW16" s="246"/>
      <c r="CX16" s="246"/>
      <c r="CY16" s="246"/>
      <c r="CZ16" s="246"/>
      <c r="DA16" s="246"/>
      <c r="DB16" s="246"/>
      <c r="DC16" s="246"/>
      <c r="DD16" s="246"/>
      <c r="DE16" s="246"/>
      <c r="DF16" s="246"/>
      <c r="DG16" s="246"/>
      <c r="DH16" s="246"/>
      <c r="DI16" s="246"/>
      <c r="DJ16" s="246"/>
      <c r="DK16" s="246"/>
      <c r="DL16" s="246"/>
      <c r="DM16" s="246"/>
      <c r="DN16" s="246"/>
      <c r="DO16" s="225"/>
      <c r="DP16" s="246"/>
      <c r="DQ16" s="246"/>
      <c r="DR16" s="246"/>
      <c r="DS16" s="246"/>
      <c r="DT16" s="246"/>
      <c r="DU16" s="246"/>
      <c r="DV16" s="246"/>
      <c r="DW16" s="246"/>
      <c r="DX16" s="246"/>
      <c r="DY16" s="246"/>
      <c r="DZ16" s="233"/>
      <c r="EA16" s="246"/>
      <c r="EB16" s="246"/>
      <c r="EC16" s="226"/>
      <c r="ED16" s="246"/>
      <c r="EE16" s="246"/>
      <c r="EF16" s="246"/>
      <c r="EG16" s="226"/>
      <c r="EH16" s="246"/>
      <c r="EI16" s="246"/>
      <c r="EJ16" s="226"/>
      <c r="EK16" s="226"/>
      <c r="EL16" s="226"/>
      <c r="EM16" s="226"/>
      <c r="EN16" s="226"/>
      <c r="EO16" s="226"/>
      <c r="EP16" s="226"/>
      <c r="EQ16" s="226"/>
      <c r="ER16" s="246"/>
      <c r="ES16" s="246"/>
      <c r="ET16" s="246"/>
      <c r="EU16" s="246"/>
      <c r="EV16" s="246"/>
      <c r="EW16" s="246"/>
      <c r="EX16" s="246"/>
      <c r="EY16" s="246"/>
      <c r="EZ16" s="250"/>
      <c r="FA16" s="246"/>
      <c r="FB16" s="246"/>
      <c r="FC16" s="246"/>
      <c r="FD16" s="226"/>
      <c r="FE16" s="416"/>
      <c r="FF16" s="246"/>
      <c r="FG16" s="246"/>
      <c r="FH16" s="246"/>
      <c r="FI16" s="414"/>
      <c r="FJ16" s="414"/>
      <c r="FK16" s="414"/>
      <c r="FL16" s="414"/>
      <c r="FM16" s="246"/>
      <c r="FN16" s="246"/>
      <c r="FO16" s="414"/>
      <c r="FP16" s="414"/>
      <c r="FQ16" s="414"/>
      <c r="FR16" s="414"/>
      <c r="FS16" s="414"/>
      <c r="FT16" s="414"/>
      <c r="FU16" s="226"/>
      <c r="FV16" s="414"/>
      <c r="FW16" s="414"/>
      <c r="FX16" s="414"/>
      <c r="FY16" s="226"/>
      <c r="FZ16" s="414"/>
      <c r="GA16" s="414"/>
      <c r="GB16" s="414"/>
      <c r="GC16" s="414"/>
      <c r="GD16" s="414"/>
      <c r="GE16" s="414"/>
      <c r="GF16" s="414"/>
      <c r="GG16" s="414"/>
      <c r="GH16" s="414"/>
      <c r="GI16" s="226"/>
      <c r="GJ16" s="414"/>
      <c r="GK16" s="414"/>
      <c r="GL16" s="414"/>
      <c r="GM16" s="414"/>
      <c r="GN16" s="414"/>
      <c r="GO16" s="226"/>
      <c r="GP16" s="414"/>
      <c r="GQ16" s="226"/>
      <c r="GR16" s="414"/>
      <c r="GS16" s="414"/>
      <c r="GT16" s="414"/>
      <c r="GU16" s="414"/>
      <c r="GV16" s="414"/>
      <c r="GW16" s="226"/>
      <c r="GX16" s="246"/>
      <c r="GY16" s="246"/>
      <c r="GZ16" s="414"/>
      <c r="HA16" s="246"/>
      <c r="HB16" s="246"/>
      <c r="HC16" s="246"/>
      <c r="HD16" s="246"/>
      <c r="HE16" s="246"/>
      <c r="HF16" s="226"/>
      <c r="HG16" s="247"/>
      <c r="HH16" s="247"/>
      <c r="HI16" s="247"/>
      <c r="HJ16" s="246"/>
      <c r="HK16" s="247"/>
      <c r="HL16" s="226"/>
      <c r="HM16" s="246"/>
      <c r="HN16" s="226"/>
      <c r="HO16" s="246"/>
      <c r="HP16" s="248"/>
      <c r="HQ16" s="246"/>
      <c r="HR16" s="246"/>
      <c r="HS16" s="246"/>
      <c r="HT16" s="246"/>
      <c r="HU16" s="246"/>
      <c r="HV16" s="246"/>
      <c r="HW16" s="246"/>
      <c r="HX16" s="246"/>
      <c r="HY16" s="246"/>
      <c r="HZ16" s="246"/>
      <c r="IA16" s="246"/>
      <c r="IB16" s="246"/>
      <c r="IC16" s="246"/>
      <c r="ID16" s="246"/>
      <c r="IE16" s="246"/>
      <c r="IF16" s="246"/>
      <c r="IG16" s="249"/>
      <c r="IH16" s="250"/>
      <c r="II16" s="238"/>
      <c r="IJ16" s="249"/>
      <c r="IK16" s="249"/>
      <c r="IL16" s="238"/>
      <c r="IM16" s="249"/>
      <c r="IN16" s="246"/>
      <c r="IO16" s="246"/>
      <c r="IP16" s="246"/>
      <c r="IQ16" s="246"/>
      <c r="IR16" s="249"/>
      <c r="IS16" s="238"/>
      <c r="IT16" s="238"/>
      <c r="IU16" s="249"/>
      <c r="IV16" s="246"/>
      <c r="IW16" s="249"/>
      <c r="IX16" s="246"/>
      <c r="IY16" s="246"/>
      <c r="IZ16" s="246"/>
      <c r="JA16" s="246"/>
      <c r="JB16" s="246"/>
      <c r="JC16" s="246"/>
      <c r="JD16" s="246"/>
      <c r="JE16" s="226"/>
      <c r="JF16" s="226"/>
      <c r="JG16" s="226"/>
      <c r="JH16" s="246"/>
      <c r="JI16" s="246"/>
      <c r="JJ16" s="246"/>
      <c r="JK16" s="251"/>
      <c r="JL16" s="246"/>
      <c r="JM16" s="246"/>
      <c r="JN16" s="226"/>
      <c r="JO16" s="226"/>
      <c r="JP16" s="226"/>
      <c r="JQ16" s="246"/>
      <c r="JR16" s="246"/>
      <c r="JS16" s="246"/>
      <c r="JT16" s="246"/>
      <c r="JU16" s="246"/>
      <c r="JV16" s="246"/>
      <c r="JW16" s="252"/>
      <c r="JX16" s="246"/>
      <c r="JY16" s="246"/>
      <c r="JZ16" s="246"/>
      <c r="KA16" s="246"/>
      <c r="KB16" s="225"/>
      <c r="KC16" s="246"/>
      <c r="KD16" s="246"/>
      <c r="KE16" s="232"/>
      <c r="KF16" s="246"/>
      <c r="KG16" s="246"/>
      <c r="KH16" s="246"/>
      <c r="KI16" s="246"/>
      <c r="KJ16" s="246"/>
      <c r="KK16" s="246"/>
      <c r="KL16" s="246"/>
      <c r="KM16" s="246"/>
      <c r="KN16" s="246"/>
      <c r="KO16" s="246"/>
      <c r="KP16" s="246"/>
      <c r="KQ16" s="226"/>
      <c r="KR16" s="226"/>
      <c r="KS16" s="226"/>
      <c r="KT16" s="226"/>
      <c r="KU16" s="226"/>
      <c r="KV16" s="246"/>
      <c r="KW16" s="246"/>
      <c r="KX16" s="257"/>
      <c r="KY16" s="258"/>
      <c r="KZ16" s="246"/>
      <c r="LA16" s="246"/>
      <c r="LB16" s="246"/>
      <c r="LC16" s="246"/>
      <c r="LD16" s="246"/>
      <c r="LE16" s="246"/>
      <c r="LF16" s="246"/>
      <c r="LG16" s="246"/>
      <c r="LH16" s="246"/>
      <c r="LI16" s="246"/>
      <c r="LJ16" s="246"/>
      <c r="LK16" s="246"/>
      <c r="LL16" s="225"/>
      <c r="LM16" s="226"/>
      <c r="LN16" s="225"/>
      <c r="LO16" s="246"/>
      <c r="LP16" s="246"/>
      <c r="LQ16" s="246"/>
      <c r="LR16" s="246"/>
      <c r="LS16" s="246"/>
      <c r="LT16" s="253"/>
      <c r="LU16" s="246"/>
      <c r="LV16" s="246"/>
      <c r="LW16" s="246"/>
      <c r="LX16" s="246"/>
      <c r="LY16" s="246"/>
      <c r="LZ16" s="246"/>
      <c r="MA16" s="246"/>
      <c r="MB16" s="246"/>
      <c r="MC16" s="246"/>
      <c r="MD16" s="246"/>
      <c r="ME16" s="246"/>
      <c r="MF16" s="254"/>
      <c r="MG16" s="226"/>
      <c r="MH16" s="226"/>
      <c r="MI16" s="226"/>
      <c r="MJ16" s="255"/>
      <c r="MK16" s="255"/>
      <c r="ML16" s="255"/>
      <c r="MM16" s="255"/>
      <c r="MN16" s="256"/>
      <c r="MO16" s="256"/>
      <c r="MP16" s="256"/>
      <c r="MQ16" s="256"/>
      <c r="MR16" s="256"/>
      <c r="MS16" s="256"/>
      <c r="MT16" s="255"/>
      <c r="MU16" s="256"/>
      <c r="MV16" s="255"/>
      <c r="MW16" s="255"/>
      <c r="MX16" s="226"/>
      <c r="MY16" s="226"/>
      <c r="MZ16" s="226"/>
      <c r="NA16" s="226"/>
    </row>
    <row r="17" spans="1:365" s="796" customFormat="1" ht="24" customHeight="1" x14ac:dyDescent="0.2">
      <c r="A17" s="208"/>
      <c r="B17" s="205"/>
      <c r="C17" s="206"/>
      <c r="D17" s="207"/>
      <c r="E17" s="246"/>
      <c r="F17" s="246"/>
      <c r="G17" s="246"/>
      <c r="H17" s="246"/>
      <c r="I17" s="246"/>
      <c r="J17" s="246"/>
      <c r="K17" s="246"/>
      <c r="L17" s="246"/>
      <c r="M17" s="246"/>
      <c r="N17" s="246"/>
      <c r="O17" s="246"/>
      <c r="P17" s="412"/>
      <c r="Q17" s="246"/>
      <c r="R17" s="246"/>
      <c r="S17" s="246"/>
      <c r="T17" s="246"/>
      <c r="U17" s="246"/>
      <c r="V17" s="225"/>
      <c r="W17" s="226"/>
      <c r="X17" s="226"/>
      <c r="Y17" s="226"/>
      <c r="Z17" s="226"/>
      <c r="AA17" s="226"/>
      <c r="AB17" s="226"/>
      <c r="AC17" s="226"/>
      <c r="AD17" s="226"/>
      <c r="AE17" s="226"/>
      <c r="AF17" s="246"/>
      <c r="AG17" s="238"/>
      <c r="AH17" s="226"/>
      <c r="AI17" s="246"/>
      <c r="AJ17" s="246"/>
      <c r="AK17" s="250"/>
      <c r="AL17" s="246"/>
      <c r="AM17" s="226"/>
      <c r="AN17" s="226"/>
      <c r="AO17" s="226"/>
      <c r="AP17" s="226"/>
      <c r="AQ17" s="246"/>
      <c r="AR17" s="246"/>
      <c r="AS17" s="246"/>
      <c r="AT17" s="246"/>
      <c r="AU17" s="246"/>
      <c r="AV17" s="246"/>
      <c r="AW17" s="246"/>
      <c r="AX17" s="246"/>
      <c r="AY17" s="413"/>
      <c r="AZ17" s="246"/>
      <c r="BA17" s="246"/>
      <c r="BB17" s="246"/>
      <c r="BC17" s="246"/>
      <c r="BD17" s="246"/>
      <c r="BE17" s="413"/>
      <c r="BF17" s="246"/>
      <c r="BG17" s="252"/>
      <c r="BH17" s="246"/>
      <c r="BI17" s="246"/>
      <c r="BJ17" s="246"/>
      <c r="BK17" s="246"/>
      <c r="BL17" s="246"/>
      <c r="BM17" s="246"/>
      <c r="BN17" s="226"/>
      <c r="BO17" s="246"/>
      <c r="BP17" s="246"/>
      <c r="BQ17" s="246"/>
      <c r="BR17" s="233"/>
      <c r="BS17" s="246"/>
      <c r="BT17" s="246"/>
      <c r="BU17" s="246"/>
      <c r="BV17" s="246"/>
      <c r="BW17" s="246"/>
      <c r="BX17" s="246"/>
      <c r="BY17" s="246"/>
      <c r="BZ17" s="246"/>
      <c r="CA17" s="246"/>
      <c r="CB17" s="246"/>
      <c r="CC17" s="246"/>
      <c r="CD17" s="250"/>
      <c r="CE17" s="413"/>
      <c r="CF17" s="250"/>
      <c r="CG17" s="250"/>
      <c r="CH17" s="250"/>
      <c r="CI17" s="250"/>
      <c r="CJ17" s="250"/>
      <c r="CK17" s="250"/>
      <c r="CL17" s="250"/>
      <c r="CM17" s="250"/>
      <c r="CN17" s="246"/>
      <c r="CO17" s="246"/>
      <c r="CP17" s="246"/>
      <c r="CQ17" s="406"/>
      <c r="CR17" s="414"/>
      <c r="CS17" s="246"/>
      <c r="CT17" s="246"/>
      <c r="CU17" s="415"/>
      <c r="CV17" s="246"/>
      <c r="CW17" s="246"/>
      <c r="CX17" s="246"/>
      <c r="CY17" s="246"/>
      <c r="CZ17" s="246"/>
      <c r="DA17" s="246"/>
      <c r="DB17" s="246"/>
      <c r="DC17" s="246"/>
      <c r="DD17" s="246"/>
      <c r="DE17" s="246"/>
      <c r="DF17" s="246"/>
      <c r="DG17" s="246"/>
      <c r="DH17" s="246"/>
      <c r="DI17" s="246"/>
      <c r="DJ17" s="246"/>
      <c r="DK17" s="246"/>
      <c r="DL17" s="246"/>
      <c r="DM17" s="246"/>
      <c r="DN17" s="246"/>
      <c r="DO17" s="225"/>
      <c r="DP17" s="246"/>
      <c r="DQ17" s="246"/>
      <c r="DR17" s="246"/>
      <c r="DS17" s="246"/>
      <c r="DT17" s="246"/>
      <c r="DU17" s="246"/>
      <c r="DV17" s="246"/>
      <c r="DW17" s="246"/>
      <c r="DX17" s="246"/>
      <c r="DY17" s="246"/>
      <c r="DZ17" s="233"/>
      <c r="EA17" s="246"/>
      <c r="EB17" s="246"/>
      <c r="EC17" s="226"/>
      <c r="ED17" s="246"/>
      <c r="EE17" s="246"/>
      <c r="EF17" s="246"/>
      <c r="EG17" s="226"/>
      <c r="EH17" s="246"/>
      <c r="EI17" s="246"/>
      <c r="EJ17" s="226"/>
      <c r="EK17" s="226"/>
      <c r="EL17" s="226"/>
      <c r="EM17" s="226"/>
      <c r="EN17" s="226"/>
      <c r="EO17" s="226"/>
      <c r="EP17" s="226"/>
      <c r="EQ17" s="226"/>
      <c r="ER17" s="246"/>
      <c r="ES17" s="246"/>
      <c r="ET17" s="246"/>
      <c r="EU17" s="246"/>
      <c r="EV17" s="246"/>
      <c r="EW17" s="246"/>
      <c r="EX17" s="246"/>
      <c r="EY17" s="246"/>
      <c r="EZ17" s="250"/>
      <c r="FA17" s="246"/>
      <c r="FB17" s="246"/>
      <c r="FC17" s="246"/>
      <c r="FD17" s="226"/>
      <c r="FE17" s="416"/>
      <c r="FF17" s="246"/>
      <c r="FG17" s="246"/>
      <c r="FH17" s="246"/>
      <c r="FI17" s="414"/>
      <c r="FJ17" s="414"/>
      <c r="FK17" s="414"/>
      <c r="FL17" s="414"/>
      <c r="FM17" s="246"/>
      <c r="FN17" s="246"/>
      <c r="FO17" s="414"/>
      <c r="FP17" s="414"/>
      <c r="FQ17" s="414"/>
      <c r="FR17" s="414"/>
      <c r="FS17" s="414"/>
      <c r="FT17" s="414"/>
      <c r="FU17" s="226"/>
      <c r="FV17" s="414"/>
      <c r="FW17" s="414"/>
      <c r="FX17" s="414"/>
      <c r="FY17" s="226"/>
      <c r="FZ17" s="414"/>
      <c r="GA17" s="414"/>
      <c r="GB17" s="414"/>
      <c r="GC17" s="414"/>
      <c r="GD17" s="414"/>
      <c r="GE17" s="414"/>
      <c r="GF17" s="414"/>
      <c r="GG17" s="414"/>
      <c r="GH17" s="414"/>
      <c r="GI17" s="226"/>
      <c r="GJ17" s="414"/>
      <c r="GK17" s="414"/>
      <c r="GL17" s="414"/>
      <c r="GM17" s="414"/>
      <c r="GN17" s="414"/>
      <c r="GO17" s="226"/>
      <c r="GP17" s="414"/>
      <c r="GQ17" s="226"/>
      <c r="GR17" s="414"/>
      <c r="GS17" s="414"/>
      <c r="GT17" s="414"/>
      <c r="GU17" s="414"/>
      <c r="GV17" s="414"/>
      <c r="GW17" s="226"/>
      <c r="GX17" s="246"/>
      <c r="GY17" s="246"/>
      <c r="GZ17" s="414"/>
      <c r="HA17" s="246"/>
      <c r="HB17" s="246"/>
      <c r="HC17" s="246"/>
      <c r="HD17" s="246"/>
      <c r="HE17" s="246"/>
      <c r="HF17" s="226"/>
      <c r="HG17" s="247"/>
      <c r="HH17" s="247"/>
      <c r="HI17" s="247"/>
      <c r="HJ17" s="246"/>
      <c r="HK17" s="247"/>
      <c r="HL17" s="226"/>
      <c r="HM17" s="246"/>
      <c r="HN17" s="226"/>
      <c r="HO17" s="246"/>
      <c r="HP17" s="248"/>
      <c r="HQ17" s="246"/>
      <c r="HR17" s="246"/>
      <c r="HS17" s="246"/>
      <c r="HT17" s="246"/>
      <c r="HU17" s="246"/>
      <c r="HV17" s="246"/>
      <c r="HW17" s="246"/>
      <c r="HX17" s="246"/>
      <c r="HY17" s="246"/>
      <c r="HZ17" s="246"/>
      <c r="IA17" s="246"/>
      <c r="IB17" s="246"/>
      <c r="IC17" s="246"/>
      <c r="ID17" s="246"/>
      <c r="IE17" s="246"/>
      <c r="IF17" s="246"/>
      <c r="IG17" s="249"/>
      <c r="IH17" s="250"/>
      <c r="II17" s="238"/>
      <c r="IJ17" s="249"/>
      <c r="IK17" s="249"/>
      <c r="IL17" s="238"/>
      <c r="IM17" s="249"/>
      <c r="IN17" s="246"/>
      <c r="IO17" s="246"/>
      <c r="IP17" s="246"/>
      <c r="IQ17" s="246"/>
      <c r="IR17" s="249"/>
      <c r="IS17" s="238"/>
      <c r="IT17" s="238"/>
      <c r="IU17" s="249"/>
      <c r="IV17" s="246"/>
      <c r="IW17" s="249"/>
      <c r="IX17" s="246"/>
      <c r="IY17" s="246"/>
      <c r="IZ17" s="246"/>
      <c r="JA17" s="246"/>
      <c r="JB17" s="246"/>
      <c r="JC17" s="246"/>
      <c r="JD17" s="246"/>
      <c r="JE17" s="226"/>
      <c r="JF17" s="226"/>
      <c r="JG17" s="226"/>
      <c r="JH17" s="246"/>
      <c r="JI17" s="246"/>
      <c r="JJ17" s="246"/>
      <c r="JK17" s="251"/>
      <c r="JL17" s="246"/>
      <c r="JM17" s="246"/>
      <c r="JN17" s="226"/>
      <c r="JO17" s="226"/>
      <c r="JP17" s="226"/>
      <c r="JQ17" s="246"/>
      <c r="JR17" s="246"/>
      <c r="JS17" s="246"/>
      <c r="JT17" s="246"/>
      <c r="JU17" s="246"/>
      <c r="JV17" s="246"/>
      <c r="JW17" s="252"/>
      <c r="JX17" s="246"/>
      <c r="JY17" s="246"/>
      <c r="JZ17" s="246"/>
      <c r="KA17" s="246"/>
      <c r="KB17" s="225"/>
      <c r="KC17" s="246"/>
      <c r="KD17" s="246"/>
      <c r="KE17" s="232"/>
      <c r="KF17" s="246"/>
      <c r="KG17" s="246"/>
      <c r="KH17" s="246"/>
      <c r="KI17" s="246"/>
      <c r="KJ17" s="246"/>
      <c r="KK17" s="246"/>
      <c r="KL17" s="246"/>
      <c r="KM17" s="246"/>
      <c r="KN17" s="246"/>
      <c r="KO17" s="246"/>
      <c r="KP17" s="246"/>
      <c r="KQ17" s="226"/>
      <c r="KR17" s="226"/>
      <c r="KS17" s="226"/>
      <c r="KT17" s="226"/>
      <c r="KU17" s="226"/>
      <c r="KV17" s="246"/>
      <c r="KW17" s="246"/>
      <c r="KX17" s="257"/>
      <c r="KY17" s="258"/>
      <c r="KZ17" s="246"/>
      <c r="LA17" s="246"/>
      <c r="LB17" s="246"/>
      <c r="LC17" s="246"/>
      <c r="LD17" s="246"/>
      <c r="LE17" s="246"/>
      <c r="LF17" s="246"/>
      <c r="LG17" s="246"/>
      <c r="LH17" s="246"/>
      <c r="LI17" s="246"/>
      <c r="LJ17" s="246"/>
      <c r="LK17" s="246"/>
      <c r="LL17" s="225"/>
      <c r="LM17" s="226"/>
      <c r="LN17" s="225"/>
      <c r="LO17" s="246"/>
      <c r="LP17" s="246"/>
      <c r="LQ17" s="246"/>
      <c r="LR17" s="246"/>
      <c r="LS17" s="246"/>
      <c r="LT17" s="253"/>
      <c r="LU17" s="246"/>
      <c r="LV17" s="246"/>
      <c r="LW17" s="246"/>
      <c r="LX17" s="246"/>
      <c r="LY17" s="246"/>
      <c r="LZ17" s="246"/>
      <c r="MA17" s="246"/>
      <c r="MB17" s="246"/>
      <c r="MC17" s="246"/>
      <c r="MD17" s="246"/>
      <c r="ME17" s="246"/>
      <c r="MF17" s="254"/>
      <c r="MG17" s="226"/>
      <c r="MH17" s="226"/>
      <c r="MI17" s="226"/>
      <c r="MJ17" s="255"/>
      <c r="MK17" s="255"/>
      <c r="ML17" s="255"/>
      <c r="MM17" s="255"/>
      <c r="MN17" s="256"/>
      <c r="MO17" s="256"/>
      <c r="MP17" s="256"/>
      <c r="MQ17" s="256"/>
      <c r="MR17" s="256"/>
      <c r="MS17" s="256"/>
      <c r="MT17" s="255"/>
      <c r="MU17" s="256"/>
      <c r="MV17" s="255"/>
      <c r="MW17" s="255"/>
      <c r="MX17" s="226"/>
      <c r="MY17" s="226"/>
      <c r="MZ17" s="226"/>
      <c r="NA17" s="226"/>
    </row>
    <row r="18" spans="1:365" s="796" customFormat="1" ht="24" customHeight="1" x14ac:dyDescent="0.2">
      <c r="A18" s="208"/>
      <c r="B18" s="205"/>
      <c r="C18" s="206"/>
      <c r="D18" s="207"/>
      <c r="E18" s="246"/>
      <c r="F18" s="246"/>
      <c r="G18" s="246"/>
      <c r="H18" s="246"/>
      <c r="I18" s="246"/>
      <c r="J18" s="246"/>
      <c r="K18" s="246"/>
      <c r="L18" s="246"/>
      <c r="M18" s="246"/>
      <c r="N18" s="246"/>
      <c r="O18" s="246"/>
      <c r="P18" s="412"/>
      <c r="Q18" s="246"/>
      <c r="R18" s="246"/>
      <c r="S18" s="246"/>
      <c r="T18" s="246"/>
      <c r="U18" s="246"/>
      <c r="V18" s="225"/>
      <c r="W18" s="226"/>
      <c r="X18" s="226"/>
      <c r="Y18" s="226"/>
      <c r="Z18" s="226"/>
      <c r="AA18" s="226"/>
      <c r="AB18" s="226"/>
      <c r="AC18" s="226"/>
      <c r="AD18" s="226"/>
      <c r="AE18" s="226"/>
      <c r="AF18" s="246"/>
      <c r="AG18" s="238"/>
      <c r="AH18" s="226"/>
      <c r="AI18" s="246"/>
      <c r="AJ18" s="246"/>
      <c r="AK18" s="250"/>
      <c r="AL18" s="246"/>
      <c r="AM18" s="226"/>
      <c r="AN18" s="226"/>
      <c r="AO18" s="226"/>
      <c r="AP18" s="226"/>
      <c r="AQ18" s="246"/>
      <c r="AR18" s="246"/>
      <c r="AS18" s="246"/>
      <c r="AT18" s="246"/>
      <c r="AU18" s="246"/>
      <c r="AV18" s="246"/>
      <c r="AW18" s="246"/>
      <c r="AX18" s="246"/>
      <c r="AY18" s="413"/>
      <c r="AZ18" s="246"/>
      <c r="BA18" s="246"/>
      <c r="BB18" s="246"/>
      <c r="BC18" s="246"/>
      <c r="BD18" s="246"/>
      <c r="BE18" s="413"/>
      <c r="BF18" s="246"/>
      <c r="BG18" s="252"/>
      <c r="BH18" s="246"/>
      <c r="BI18" s="246"/>
      <c r="BJ18" s="246"/>
      <c r="BK18" s="246"/>
      <c r="BL18" s="246"/>
      <c r="BM18" s="246"/>
      <c r="BN18" s="226"/>
      <c r="BO18" s="246"/>
      <c r="BP18" s="246"/>
      <c r="BQ18" s="246"/>
      <c r="BR18" s="233"/>
      <c r="BS18" s="246"/>
      <c r="BT18" s="246"/>
      <c r="BU18" s="246"/>
      <c r="BV18" s="246"/>
      <c r="BW18" s="246"/>
      <c r="BX18" s="246"/>
      <c r="BY18" s="246"/>
      <c r="BZ18" s="246"/>
      <c r="CA18" s="246"/>
      <c r="CB18" s="246"/>
      <c r="CC18" s="246"/>
      <c r="CD18" s="250"/>
      <c r="CE18" s="413"/>
      <c r="CF18" s="250"/>
      <c r="CG18" s="250"/>
      <c r="CH18" s="250"/>
      <c r="CI18" s="250"/>
      <c r="CJ18" s="250"/>
      <c r="CK18" s="250"/>
      <c r="CL18" s="250"/>
      <c r="CM18" s="250"/>
      <c r="CN18" s="246"/>
      <c r="CO18" s="246"/>
      <c r="CP18" s="246"/>
      <c r="CQ18" s="406"/>
      <c r="CR18" s="414"/>
      <c r="CS18" s="246"/>
      <c r="CT18" s="246"/>
      <c r="CU18" s="415"/>
      <c r="CV18" s="246"/>
      <c r="CW18" s="246"/>
      <c r="CX18" s="246"/>
      <c r="CY18" s="246"/>
      <c r="CZ18" s="246"/>
      <c r="DA18" s="246"/>
      <c r="DB18" s="246"/>
      <c r="DC18" s="246"/>
      <c r="DD18" s="246"/>
      <c r="DE18" s="246"/>
      <c r="DF18" s="246"/>
      <c r="DG18" s="246"/>
      <c r="DH18" s="246"/>
      <c r="DI18" s="246"/>
      <c r="DJ18" s="246"/>
      <c r="DK18" s="246"/>
      <c r="DL18" s="246"/>
      <c r="DM18" s="246"/>
      <c r="DN18" s="246"/>
      <c r="DO18" s="225"/>
      <c r="DP18" s="246"/>
      <c r="DQ18" s="246"/>
      <c r="DR18" s="246"/>
      <c r="DS18" s="246"/>
      <c r="DT18" s="246"/>
      <c r="DU18" s="246"/>
      <c r="DV18" s="246"/>
      <c r="DW18" s="246"/>
      <c r="DX18" s="246"/>
      <c r="DY18" s="246"/>
      <c r="DZ18" s="233"/>
      <c r="EA18" s="246"/>
      <c r="EB18" s="246"/>
      <c r="EC18" s="226"/>
      <c r="ED18" s="246"/>
      <c r="EE18" s="246"/>
      <c r="EF18" s="246"/>
      <c r="EG18" s="226"/>
      <c r="EH18" s="246"/>
      <c r="EI18" s="246"/>
      <c r="EJ18" s="226"/>
      <c r="EK18" s="226"/>
      <c r="EL18" s="226"/>
      <c r="EM18" s="226"/>
      <c r="EN18" s="226"/>
      <c r="EO18" s="226"/>
      <c r="EP18" s="226"/>
      <c r="EQ18" s="226"/>
      <c r="ER18" s="246"/>
      <c r="ES18" s="246"/>
      <c r="ET18" s="246"/>
      <c r="EU18" s="246"/>
      <c r="EV18" s="246"/>
      <c r="EW18" s="246"/>
      <c r="EX18" s="246"/>
      <c r="EY18" s="246"/>
      <c r="EZ18" s="250"/>
      <c r="FA18" s="246"/>
      <c r="FB18" s="246"/>
      <c r="FC18" s="246"/>
      <c r="FD18" s="226"/>
      <c r="FE18" s="416"/>
      <c r="FF18" s="246"/>
      <c r="FG18" s="246"/>
      <c r="FH18" s="246"/>
      <c r="FI18" s="414"/>
      <c r="FJ18" s="414"/>
      <c r="FK18" s="414"/>
      <c r="FL18" s="414"/>
      <c r="FM18" s="246"/>
      <c r="FN18" s="246"/>
      <c r="FO18" s="414"/>
      <c r="FP18" s="414"/>
      <c r="FQ18" s="414"/>
      <c r="FR18" s="414"/>
      <c r="FS18" s="414"/>
      <c r="FT18" s="414"/>
      <c r="FU18" s="226"/>
      <c r="FV18" s="414"/>
      <c r="FW18" s="414"/>
      <c r="FX18" s="414"/>
      <c r="FY18" s="226"/>
      <c r="FZ18" s="414"/>
      <c r="GA18" s="414"/>
      <c r="GB18" s="414"/>
      <c r="GC18" s="414"/>
      <c r="GD18" s="414"/>
      <c r="GE18" s="414"/>
      <c r="GF18" s="414"/>
      <c r="GG18" s="414"/>
      <c r="GH18" s="414"/>
      <c r="GI18" s="226"/>
      <c r="GJ18" s="414"/>
      <c r="GK18" s="414"/>
      <c r="GL18" s="414"/>
      <c r="GM18" s="414"/>
      <c r="GN18" s="414"/>
      <c r="GO18" s="226"/>
      <c r="GP18" s="414"/>
      <c r="GQ18" s="226"/>
      <c r="GR18" s="414"/>
      <c r="GS18" s="414"/>
      <c r="GT18" s="414"/>
      <c r="GU18" s="414"/>
      <c r="GV18" s="414"/>
      <c r="GW18" s="226"/>
      <c r="GX18" s="246"/>
      <c r="GY18" s="246"/>
      <c r="GZ18" s="414"/>
      <c r="HA18" s="246"/>
      <c r="HB18" s="246"/>
      <c r="HC18" s="246"/>
      <c r="HD18" s="246"/>
      <c r="HE18" s="246"/>
      <c r="HF18" s="226"/>
      <c r="HG18" s="247"/>
      <c r="HH18" s="247"/>
      <c r="HI18" s="247"/>
      <c r="HJ18" s="246"/>
      <c r="HK18" s="247"/>
      <c r="HL18" s="226"/>
      <c r="HM18" s="246"/>
      <c r="HN18" s="226"/>
      <c r="HO18" s="246"/>
      <c r="HP18" s="248"/>
      <c r="HQ18" s="246"/>
      <c r="HR18" s="246"/>
      <c r="HS18" s="246"/>
      <c r="HT18" s="246"/>
      <c r="HU18" s="246"/>
      <c r="HV18" s="246"/>
      <c r="HW18" s="246"/>
      <c r="HX18" s="246"/>
      <c r="HY18" s="246"/>
      <c r="HZ18" s="246"/>
      <c r="IA18" s="246"/>
      <c r="IB18" s="246"/>
      <c r="IC18" s="246"/>
      <c r="ID18" s="246"/>
      <c r="IE18" s="246"/>
      <c r="IF18" s="246"/>
      <c r="IG18" s="249"/>
      <c r="IH18" s="250"/>
      <c r="II18" s="238"/>
      <c r="IJ18" s="249"/>
      <c r="IK18" s="249"/>
      <c r="IL18" s="238"/>
      <c r="IM18" s="249"/>
      <c r="IN18" s="246"/>
      <c r="IO18" s="246"/>
      <c r="IP18" s="246"/>
      <c r="IQ18" s="246"/>
      <c r="IR18" s="249"/>
      <c r="IS18" s="238"/>
      <c r="IT18" s="238"/>
      <c r="IU18" s="249"/>
      <c r="IV18" s="246"/>
      <c r="IW18" s="249"/>
      <c r="IX18" s="246"/>
      <c r="IY18" s="246"/>
      <c r="IZ18" s="246"/>
      <c r="JA18" s="246"/>
      <c r="JB18" s="246"/>
      <c r="JC18" s="246"/>
      <c r="JD18" s="246"/>
      <c r="JE18" s="226"/>
      <c r="JF18" s="226"/>
      <c r="JG18" s="226"/>
      <c r="JH18" s="246"/>
      <c r="JI18" s="246"/>
      <c r="JJ18" s="246"/>
      <c r="JK18" s="251"/>
      <c r="JL18" s="246"/>
      <c r="JM18" s="246"/>
      <c r="JN18" s="226"/>
      <c r="JO18" s="226"/>
      <c r="JP18" s="226"/>
      <c r="JQ18" s="246"/>
      <c r="JR18" s="246"/>
      <c r="JS18" s="246"/>
      <c r="JT18" s="246"/>
      <c r="JU18" s="246"/>
      <c r="JV18" s="246"/>
      <c r="JW18" s="252"/>
      <c r="JX18" s="246"/>
      <c r="JY18" s="246"/>
      <c r="JZ18" s="246"/>
      <c r="KA18" s="246"/>
      <c r="KB18" s="225"/>
      <c r="KC18" s="246"/>
      <c r="KD18" s="246"/>
      <c r="KE18" s="232"/>
      <c r="KF18" s="246"/>
      <c r="KG18" s="246"/>
      <c r="KH18" s="246"/>
      <c r="KI18" s="246"/>
      <c r="KJ18" s="246"/>
      <c r="KK18" s="246"/>
      <c r="KL18" s="246"/>
      <c r="KM18" s="246"/>
      <c r="KN18" s="246"/>
      <c r="KO18" s="246"/>
      <c r="KP18" s="246"/>
      <c r="KQ18" s="226"/>
      <c r="KR18" s="226"/>
      <c r="KS18" s="226"/>
      <c r="KT18" s="226"/>
      <c r="KU18" s="226"/>
      <c r="KV18" s="246"/>
      <c r="KW18" s="246"/>
      <c r="KX18" s="257"/>
      <c r="KY18" s="258"/>
      <c r="KZ18" s="246"/>
      <c r="LA18" s="246"/>
      <c r="LB18" s="246"/>
      <c r="LC18" s="246"/>
      <c r="LD18" s="246"/>
      <c r="LE18" s="246"/>
      <c r="LF18" s="246"/>
      <c r="LG18" s="246"/>
      <c r="LH18" s="246"/>
      <c r="LI18" s="246"/>
      <c r="LJ18" s="246"/>
      <c r="LK18" s="246"/>
      <c r="LL18" s="225"/>
      <c r="LM18" s="226"/>
      <c r="LN18" s="225"/>
      <c r="LO18" s="246"/>
      <c r="LP18" s="246"/>
      <c r="LQ18" s="246"/>
      <c r="LR18" s="246"/>
      <c r="LS18" s="246"/>
      <c r="LT18" s="253"/>
      <c r="LU18" s="246"/>
      <c r="LV18" s="246"/>
      <c r="LW18" s="246"/>
      <c r="LX18" s="246"/>
      <c r="LY18" s="246"/>
      <c r="LZ18" s="246"/>
      <c r="MA18" s="246"/>
      <c r="MB18" s="246"/>
      <c r="MC18" s="246"/>
      <c r="MD18" s="246"/>
      <c r="ME18" s="246"/>
      <c r="MF18" s="254"/>
      <c r="MG18" s="226"/>
      <c r="MH18" s="226"/>
      <c r="MI18" s="226"/>
      <c r="MJ18" s="255"/>
      <c r="MK18" s="255"/>
      <c r="ML18" s="255"/>
      <c r="MM18" s="255"/>
      <c r="MN18" s="256"/>
      <c r="MO18" s="256"/>
      <c r="MP18" s="256"/>
      <c r="MQ18" s="256"/>
      <c r="MR18" s="256"/>
      <c r="MS18" s="256"/>
      <c r="MT18" s="255"/>
      <c r="MU18" s="256"/>
      <c r="MV18" s="255"/>
      <c r="MW18" s="255"/>
      <c r="MX18" s="226"/>
      <c r="MY18" s="226"/>
      <c r="MZ18" s="226"/>
      <c r="NA18" s="226"/>
    </row>
    <row r="19" spans="1:365" s="796" customFormat="1" ht="24" customHeight="1" x14ac:dyDescent="0.2">
      <c r="A19" s="208"/>
      <c r="B19" s="205"/>
      <c r="C19" s="206"/>
      <c r="D19" s="207"/>
      <c r="E19" s="246"/>
      <c r="F19" s="246"/>
      <c r="G19" s="246"/>
      <c r="H19" s="246"/>
      <c r="I19" s="246"/>
      <c r="J19" s="246"/>
      <c r="K19" s="246"/>
      <c r="L19" s="246"/>
      <c r="M19" s="246"/>
      <c r="N19" s="246"/>
      <c r="O19" s="246"/>
      <c r="P19" s="412"/>
      <c r="Q19" s="246"/>
      <c r="R19" s="246"/>
      <c r="S19" s="246"/>
      <c r="T19" s="246"/>
      <c r="U19" s="246"/>
      <c r="V19" s="225"/>
      <c r="W19" s="226"/>
      <c r="X19" s="226"/>
      <c r="Y19" s="226"/>
      <c r="Z19" s="226"/>
      <c r="AA19" s="226"/>
      <c r="AB19" s="226"/>
      <c r="AC19" s="226"/>
      <c r="AD19" s="226"/>
      <c r="AE19" s="226"/>
      <c r="AF19" s="246"/>
      <c r="AG19" s="238"/>
      <c r="AH19" s="226"/>
      <c r="AI19" s="246"/>
      <c r="AJ19" s="246"/>
      <c r="AK19" s="250"/>
      <c r="AL19" s="246"/>
      <c r="AM19" s="226"/>
      <c r="AN19" s="226"/>
      <c r="AO19" s="226"/>
      <c r="AP19" s="226"/>
      <c r="AQ19" s="246"/>
      <c r="AR19" s="246"/>
      <c r="AS19" s="246"/>
      <c r="AT19" s="246"/>
      <c r="AU19" s="246"/>
      <c r="AV19" s="246"/>
      <c r="AW19" s="246"/>
      <c r="AX19" s="246"/>
      <c r="AY19" s="413"/>
      <c r="AZ19" s="246"/>
      <c r="BA19" s="246"/>
      <c r="BB19" s="246"/>
      <c r="BC19" s="246"/>
      <c r="BD19" s="246"/>
      <c r="BE19" s="413"/>
      <c r="BF19" s="246"/>
      <c r="BG19" s="252"/>
      <c r="BH19" s="246"/>
      <c r="BI19" s="246"/>
      <c r="BJ19" s="246"/>
      <c r="BK19" s="246"/>
      <c r="BL19" s="246"/>
      <c r="BM19" s="246"/>
      <c r="BN19" s="226"/>
      <c r="BO19" s="246"/>
      <c r="BP19" s="246"/>
      <c r="BQ19" s="246"/>
      <c r="BR19" s="233"/>
      <c r="BS19" s="246"/>
      <c r="BT19" s="246"/>
      <c r="BU19" s="246"/>
      <c r="BV19" s="246"/>
      <c r="BW19" s="246"/>
      <c r="BX19" s="246"/>
      <c r="BY19" s="246"/>
      <c r="BZ19" s="246"/>
      <c r="CA19" s="246"/>
      <c r="CB19" s="246"/>
      <c r="CC19" s="246"/>
      <c r="CD19" s="250"/>
      <c r="CE19" s="413"/>
      <c r="CF19" s="250"/>
      <c r="CG19" s="250"/>
      <c r="CH19" s="250"/>
      <c r="CI19" s="250"/>
      <c r="CJ19" s="250"/>
      <c r="CK19" s="250"/>
      <c r="CL19" s="250"/>
      <c r="CM19" s="250"/>
      <c r="CN19" s="246"/>
      <c r="CO19" s="246"/>
      <c r="CP19" s="246"/>
      <c r="CQ19" s="406"/>
      <c r="CR19" s="414"/>
      <c r="CS19" s="246"/>
      <c r="CT19" s="246"/>
      <c r="CU19" s="415"/>
      <c r="CV19" s="246"/>
      <c r="CW19" s="246"/>
      <c r="CX19" s="246"/>
      <c r="CY19" s="246"/>
      <c r="CZ19" s="246"/>
      <c r="DA19" s="246"/>
      <c r="DB19" s="246"/>
      <c r="DC19" s="246"/>
      <c r="DD19" s="246"/>
      <c r="DE19" s="246"/>
      <c r="DF19" s="246"/>
      <c r="DG19" s="246"/>
      <c r="DH19" s="246"/>
      <c r="DI19" s="246"/>
      <c r="DJ19" s="246"/>
      <c r="DK19" s="246"/>
      <c r="DL19" s="246"/>
      <c r="DM19" s="246"/>
      <c r="DN19" s="246"/>
      <c r="DO19" s="225"/>
      <c r="DP19" s="246"/>
      <c r="DQ19" s="246"/>
      <c r="DR19" s="246"/>
      <c r="DS19" s="246"/>
      <c r="DT19" s="246"/>
      <c r="DU19" s="246"/>
      <c r="DV19" s="246"/>
      <c r="DW19" s="246"/>
      <c r="DX19" s="246"/>
      <c r="DY19" s="246"/>
      <c r="DZ19" s="233"/>
      <c r="EA19" s="246"/>
      <c r="EB19" s="246"/>
      <c r="EC19" s="226"/>
      <c r="ED19" s="246"/>
      <c r="EE19" s="246"/>
      <c r="EF19" s="246"/>
      <c r="EG19" s="226"/>
      <c r="EH19" s="246"/>
      <c r="EI19" s="246"/>
      <c r="EJ19" s="226"/>
      <c r="EK19" s="226"/>
      <c r="EL19" s="226"/>
      <c r="EM19" s="226"/>
      <c r="EN19" s="226"/>
      <c r="EO19" s="226"/>
      <c r="EP19" s="226"/>
      <c r="EQ19" s="226"/>
      <c r="ER19" s="246"/>
      <c r="ES19" s="246"/>
      <c r="ET19" s="246"/>
      <c r="EU19" s="246"/>
      <c r="EV19" s="246"/>
      <c r="EW19" s="246"/>
      <c r="EX19" s="246"/>
      <c r="EY19" s="246"/>
      <c r="EZ19" s="250"/>
      <c r="FA19" s="246"/>
      <c r="FB19" s="246"/>
      <c r="FC19" s="246"/>
      <c r="FD19" s="226"/>
      <c r="FE19" s="416"/>
      <c r="FF19" s="246"/>
      <c r="FG19" s="246"/>
      <c r="FH19" s="246"/>
      <c r="FI19" s="414"/>
      <c r="FJ19" s="414"/>
      <c r="FK19" s="414"/>
      <c r="FL19" s="414"/>
      <c r="FM19" s="246"/>
      <c r="FN19" s="246"/>
      <c r="FO19" s="414"/>
      <c r="FP19" s="414"/>
      <c r="FQ19" s="414"/>
      <c r="FR19" s="414"/>
      <c r="FS19" s="414"/>
      <c r="FT19" s="414"/>
      <c r="FU19" s="226"/>
      <c r="FV19" s="414"/>
      <c r="FW19" s="414"/>
      <c r="FX19" s="414"/>
      <c r="FY19" s="226"/>
      <c r="FZ19" s="414"/>
      <c r="GA19" s="414"/>
      <c r="GB19" s="414"/>
      <c r="GC19" s="414"/>
      <c r="GD19" s="414"/>
      <c r="GE19" s="414"/>
      <c r="GF19" s="414"/>
      <c r="GG19" s="414"/>
      <c r="GH19" s="414"/>
      <c r="GI19" s="226"/>
      <c r="GJ19" s="414"/>
      <c r="GK19" s="414"/>
      <c r="GL19" s="414"/>
      <c r="GM19" s="414"/>
      <c r="GN19" s="414"/>
      <c r="GO19" s="226"/>
      <c r="GP19" s="414"/>
      <c r="GQ19" s="226"/>
      <c r="GR19" s="414"/>
      <c r="GS19" s="414"/>
      <c r="GT19" s="414"/>
      <c r="GU19" s="414"/>
      <c r="GV19" s="414"/>
      <c r="GW19" s="226"/>
      <c r="GX19" s="246"/>
      <c r="GY19" s="246"/>
      <c r="GZ19" s="414"/>
      <c r="HA19" s="246"/>
      <c r="HB19" s="246"/>
      <c r="HC19" s="246"/>
      <c r="HD19" s="246"/>
      <c r="HE19" s="246"/>
      <c r="HF19" s="226"/>
      <c r="HG19" s="247"/>
      <c r="HH19" s="247"/>
      <c r="HI19" s="247"/>
      <c r="HJ19" s="246"/>
      <c r="HK19" s="247"/>
      <c r="HL19" s="226"/>
      <c r="HM19" s="246"/>
      <c r="HN19" s="226"/>
      <c r="HO19" s="246"/>
      <c r="HP19" s="248"/>
      <c r="HQ19" s="246"/>
      <c r="HR19" s="246"/>
      <c r="HS19" s="246"/>
      <c r="HT19" s="246"/>
      <c r="HU19" s="246"/>
      <c r="HV19" s="246"/>
      <c r="HW19" s="246"/>
      <c r="HX19" s="246"/>
      <c r="HY19" s="246"/>
      <c r="HZ19" s="246"/>
      <c r="IA19" s="246"/>
      <c r="IB19" s="246"/>
      <c r="IC19" s="246"/>
      <c r="ID19" s="246"/>
      <c r="IE19" s="246"/>
      <c r="IF19" s="246"/>
      <c r="IG19" s="249"/>
      <c r="IH19" s="250"/>
      <c r="II19" s="238"/>
      <c r="IJ19" s="249"/>
      <c r="IK19" s="249"/>
      <c r="IL19" s="238"/>
      <c r="IM19" s="249"/>
      <c r="IN19" s="246"/>
      <c r="IO19" s="246"/>
      <c r="IP19" s="246"/>
      <c r="IQ19" s="246"/>
      <c r="IR19" s="249"/>
      <c r="IS19" s="238"/>
      <c r="IT19" s="238"/>
      <c r="IU19" s="249"/>
      <c r="IV19" s="246"/>
      <c r="IW19" s="249"/>
      <c r="IX19" s="246"/>
      <c r="IY19" s="246"/>
      <c r="IZ19" s="246"/>
      <c r="JA19" s="246"/>
      <c r="JB19" s="246"/>
      <c r="JC19" s="246"/>
      <c r="JD19" s="246"/>
      <c r="JE19" s="226"/>
      <c r="JF19" s="226"/>
      <c r="JG19" s="226"/>
      <c r="JH19" s="246"/>
      <c r="JI19" s="246"/>
      <c r="JJ19" s="246"/>
      <c r="JK19" s="251"/>
      <c r="JL19" s="246"/>
      <c r="JM19" s="246"/>
      <c r="JN19" s="226"/>
      <c r="JO19" s="226"/>
      <c r="JP19" s="226"/>
      <c r="JQ19" s="246"/>
      <c r="JR19" s="246"/>
      <c r="JS19" s="246"/>
      <c r="JT19" s="246"/>
      <c r="JU19" s="246"/>
      <c r="JV19" s="246"/>
      <c r="JW19" s="252"/>
      <c r="JX19" s="246"/>
      <c r="JY19" s="246"/>
      <c r="JZ19" s="246"/>
      <c r="KA19" s="246"/>
      <c r="KB19" s="225"/>
      <c r="KC19" s="246"/>
      <c r="KD19" s="246"/>
      <c r="KE19" s="232"/>
      <c r="KF19" s="246"/>
      <c r="KG19" s="246"/>
      <c r="KH19" s="246"/>
      <c r="KI19" s="246"/>
      <c r="KJ19" s="246"/>
      <c r="KK19" s="246"/>
      <c r="KL19" s="246"/>
      <c r="KM19" s="246"/>
      <c r="KN19" s="246"/>
      <c r="KO19" s="246"/>
      <c r="KP19" s="246"/>
      <c r="KQ19" s="226"/>
      <c r="KR19" s="226"/>
      <c r="KS19" s="226"/>
      <c r="KT19" s="226"/>
      <c r="KU19" s="226"/>
      <c r="KV19" s="246"/>
      <c r="KW19" s="246"/>
      <c r="KX19" s="257"/>
      <c r="KY19" s="258"/>
      <c r="KZ19" s="246"/>
      <c r="LA19" s="246"/>
      <c r="LB19" s="246"/>
      <c r="LC19" s="246"/>
      <c r="LD19" s="246"/>
      <c r="LE19" s="246"/>
      <c r="LF19" s="246"/>
      <c r="LG19" s="246"/>
      <c r="LH19" s="246"/>
      <c r="LI19" s="246"/>
      <c r="LJ19" s="246"/>
      <c r="LK19" s="246"/>
      <c r="LL19" s="225"/>
      <c r="LM19" s="226"/>
      <c r="LN19" s="225"/>
      <c r="LO19" s="246"/>
      <c r="LP19" s="246"/>
      <c r="LQ19" s="246"/>
      <c r="LR19" s="246"/>
      <c r="LS19" s="246"/>
      <c r="LT19" s="253"/>
      <c r="LU19" s="246"/>
      <c r="LV19" s="246"/>
      <c r="LW19" s="246"/>
      <c r="LX19" s="246"/>
      <c r="LY19" s="246"/>
      <c r="LZ19" s="246"/>
      <c r="MA19" s="246"/>
      <c r="MB19" s="246"/>
      <c r="MC19" s="246"/>
      <c r="MD19" s="246"/>
      <c r="ME19" s="246"/>
      <c r="MF19" s="254"/>
      <c r="MG19" s="226"/>
      <c r="MH19" s="226"/>
      <c r="MI19" s="226"/>
      <c r="MJ19" s="255"/>
      <c r="MK19" s="255"/>
      <c r="ML19" s="255"/>
      <c r="MM19" s="255"/>
      <c r="MN19" s="256"/>
      <c r="MO19" s="256"/>
      <c r="MP19" s="256"/>
      <c r="MQ19" s="256"/>
      <c r="MR19" s="256"/>
      <c r="MS19" s="256"/>
      <c r="MT19" s="255"/>
      <c r="MU19" s="256"/>
      <c r="MV19" s="255"/>
      <c r="MW19" s="255"/>
      <c r="MX19" s="226"/>
      <c r="MY19" s="226"/>
      <c r="MZ19" s="226"/>
      <c r="NA19" s="226"/>
    </row>
    <row r="20" spans="1:365" s="796" customFormat="1" ht="24" customHeight="1" x14ac:dyDescent="0.2">
      <c r="A20" s="208"/>
      <c r="B20" s="205"/>
      <c r="C20" s="206"/>
      <c r="D20" s="207"/>
      <c r="E20" s="246"/>
      <c r="F20" s="246"/>
      <c r="G20" s="246"/>
      <c r="H20" s="246"/>
      <c r="I20" s="246"/>
      <c r="J20" s="246"/>
      <c r="K20" s="246"/>
      <c r="L20" s="246"/>
      <c r="M20" s="246"/>
      <c r="N20" s="246"/>
      <c r="O20" s="246"/>
      <c r="P20" s="412"/>
      <c r="Q20" s="246"/>
      <c r="R20" s="246"/>
      <c r="S20" s="246"/>
      <c r="T20" s="246"/>
      <c r="U20" s="246"/>
      <c r="V20" s="225"/>
      <c r="W20" s="226"/>
      <c r="X20" s="226"/>
      <c r="Y20" s="226"/>
      <c r="Z20" s="226"/>
      <c r="AA20" s="226"/>
      <c r="AB20" s="226"/>
      <c r="AC20" s="226"/>
      <c r="AD20" s="226"/>
      <c r="AE20" s="226"/>
      <c r="AF20" s="246"/>
      <c r="AG20" s="238"/>
      <c r="AH20" s="226"/>
      <c r="AI20" s="246"/>
      <c r="AJ20" s="246"/>
      <c r="AK20" s="250"/>
      <c r="AL20" s="246"/>
      <c r="AM20" s="226"/>
      <c r="AN20" s="226"/>
      <c r="AO20" s="226"/>
      <c r="AP20" s="226"/>
      <c r="AQ20" s="246"/>
      <c r="AR20" s="246"/>
      <c r="AS20" s="246"/>
      <c r="AT20" s="246"/>
      <c r="AU20" s="246"/>
      <c r="AV20" s="246"/>
      <c r="AW20" s="246"/>
      <c r="AX20" s="246"/>
      <c r="AY20" s="413"/>
      <c r="AZ20" s="246"/>
      <c r="BA20" s="246"/>
      <c r="BB20" s="246"/>
      <c r="BC20" s="246"/>
      <c r="BD20" s="246"/>
      <c r="BE20" s="413"/>
      <c r="BF20" s="246"/>
      <c r="BG20" s="252"/>
      <c r="BH20" s="246"/>
      <c r="BI20" s="246"/>
      <c r="BJ20" s="246"/>
      <c r="BK20" s="246"/>
      <c r="BL20" s="246"/>
      <c r="BM20" s="246"/>
      <c r="BN20" s="226"/>
      <c r="BO20" s="246"/>
      <c r="BP20" s="246"/>
      <c r="BQ20" s="246"/>
      <c r="BR20" s="233"/>
      <c r="BS20" s="246"/>
      <c r="BT20" s="246"/>
      <c r="BU20" s="246"/>
      <c r="BV20" s="246"/>
      <c r="BW20" s="246"/>
      <c r="BX20" s="246"/>
      <c r="BY20" s="246"/>
      <c r="BZ20" s="246"/>
      <c r="CA20" s="246"/>
      <c r="CB20" s="246"/>
      <c r="CC20" s="246"/>
      <c r="CD20" s="250"/>
      <c r="CE20" s="413"/>
      <c r="CF20" s="250"/>
      <c r="CG20" s="250"/>
      <c r="CH20" s="250"/>
      <c r="CI20" s="250"/>
      <c r="CJ20" s="250"/>
      <c r="CK20" s="250"/>
      <c r="CL20" s="250"/>
      <c r="CM20" s="250"/>
      <c r="CN20" s="246"/>
      <c r="CO20" s="246"/>
      <c r="CP20" s="246"/>
      <c r="CQ20" s="406"/>
      <c r="CR20" s="414"/>
      <c r="CS20" s="246"/>
      <c r="CT20" s="246"/>
      <c r="CU20" s="415"/>
      <c r="CV20" s="246"/>
      <c r="CW20" s="246"/>
      <c r="CX20" s="246"/>
      <c r="CY20" s="246"/>
      <c r="CZ20" s="246"/>
      <c r="DA20" s="246"/>
      <c r="DB20" s="246"/>
      <c r="DC20" s="246"/>
      <c r="DD20" s="246"/>
      <c r="DE20" s="246"/>
      <c r="DF20" s="246"/>
      <c r="DG20" s="246"/>
      <c r="DH20" s="246"/>
      <c r="DI20" s="246"/>
      <c r="DJ20" s="246"/>
      <c r="DK20" s="246"/>
      <c r="DL20" s="246"/>
      <c r="DM20" s="246"/>
      <c r="DN20" s="246"/>
      <c r="DO20" s="225"/>
      <c r="DP20" s="246"/>
      <c r="DQ20" s="246"/>
      <c r="DR20" s="246"/>
      <c r="DS20" s="246"/>
      <c r="DT20" s="246"/>
      <c r="DU20" s="246"/>
      <c r="DV20" s="246"/>
      <c r="DW20" s="246"/>
      <c r="DX20" s="246"/>
      <c r="DY20" s="246"/>
      <c r="DZ20" s="233"/>
      <c r="EA20" s="246"/>
      <c r="EB20" s="246"/>
      <c r="EC20" s="226"/>
      <c r="ED20" s="246"/>
      <c r="EE20" s="246"/>
      <c r="EF20" s="246"/>
      <c r="EG20" s="226"/>
      <c r="EH20" s="246"/>
      <c r="EI20" s="246"/>
      <c r="EJ20" s="226"/>
      <c r="EK20" s="226"/>
      <c r="EL20" s="226"/>
      <c r="EM20" s="226"/>
      <c r="EN20" s="226"/>
      <c r="EO20" s="226"/>
      <c r="EP20" s="226"/>
      <c r="EQ20" s="226"/>
      <c r="ER20" s="246"/>
      <c r="ES20" s="246"/>
      <c r="ET20" s="246"/>
      <c r="EU20" s="246"/>
      <c r="EV20" s="246"/>
      <c r="EW20" s="246"/>
      <c r="EX20" s="246"/>
      <c r="EY20" s="246"/>
      <c r="EZ20" s="250"/>
      <c r="FA20" s="246"/>
      <c r="FB20" s="246"/>
      <c r="FC20" s="246"/>
      <c r="FD20" s="226"/>
      <c r="FE20" s="416"/>
      <c r="FF20" s="246"/>
      <c r="FG20" s="246"/>
      <c r="FH20" s="246"/>
      <c r="FI20" s="414"/>
      <c r="FJ20" s="414"/>
      <c r="FK20" s="414"/>
      <c r="FL20" s="414"/>
      <c r="FM20" s="246"/>
      <c r="FN20" s="246"/>
      <c r="FO20" s="414"/>
      <c r="FP20" s="414"/>
      <c r="FQ20" s="414"/>
      <c r="FR20" s="414"/>
      <c r="FS20" s="414"/>
      <c r="FT20" s="414"/>
      <c r="FU20" s="226"/>
      <c r="FV20" s="414"/>
      <c r="FW20" s="414"/>
      <c r="FX20" s="414"/>
      <c r="FY20" s="226"/>
      <c r="FZ20" s="414"/>
      <c r="GA20" s="414"/>
      <c r="GB20" s="414"/>
      <c r="GC20" s="414"/>
      <c r="GD20" s="414"/>
      <c r="GE20" s="414"/>
      <c r="GF20" s="414"/>
      <c r="GG20" s="414"/>
      <c r="GH20" s="414"/>
      <c r="GI20" s="226"/>
      <c r="GJ20" s="414"/>
      <c r="GK20" s="414"/>
      <c r="GL20" s="414"/>
      <c r="GM20" s="414"/>
      <c r="GN20" s="414"/>
      <c r="GO20" s="226"/>
      <c r="GP20" s="414"/>
      <c r="GQ20" s="226"/>
      <c r="GR20" s="414"/>
      <c r="GS20" s="414"/>
      <c r="GT20" s="414"/>
      <c r="GU20" s="414"/>
      <c r="GV20" s="414"/>
      <c r="GW20" s="226"/>
      <c r="GX20" s="246"/>
      <c r="GY20" s="246"/>
      <c r="GZ20" s="414"/>
      <c r="HA20" s="246"/>
      <c r="HB20" s="246"/>
      <c r="HC20" s="246"/>
      <c r="HD20" s="246"/>
      <c r="HE20" s="246"/>
      <c r="HF20" s="226"/>
      <c r="HG20" s="247"/>
      <c r="HH20" s="247"/>
      <c r="HI20" s="247"/>
      <c r="HJ20" s="246"/>
      <c r="HK20" s="247"/>
      <c r="HL20" s="226"/>
      <c r="HM20" s="246"/>
      <c r="HN20" s="226"/>
      <c r="HO20" s="246"/>
      <c r="HP20" s="248"/>
      <c r="HQ20" s="246"/>
      <c r="HR20" s="246"/>
      <c r="HS20" s="246"/>
      <c r="HT20" s="246"/>
      <c r="HU20" s="246"/>
      <c r="HV20" s="246"/>
      <c r="HW20" s="246"/>
      <c r="HX20" s="246"/>
      <c r="HY20" s="246"/>
      <c r="HZ20" s="246"/>
      <c r="IA20" s="246"/>
      <c r="IB20" s="246"/>
      <c r="IC20" s="246"/>
      <c r="ID20" s="246"/>
      <c r="IE20" s="246"/>
      <c r="IF20" s="246"/>
      <c r="IG20" s="249"/>
      <c r="IH20" s="250"/>
      <c r="II20" s="238"/>
      <c r="IJ20" s="249"/>
      <c r="IK20" s="249"/>
      <c r="IL20" s="238"/>
      <c r="IM20" s="249"/>
      <c r="IN20" s="246"/>
      <c r="IO20" s="246"/>
      <c r="IP20" s="246"/>
      <c r="IQ20" s="246"/>
      <c r="IR20" s="249"/>
      <c r="IS20" s="238"/>
      <c r="IT20" s="238"/>
      <c r="IU20" s="249"/>
      <c r="IV20" s="246"/>
      <c r="IW20" s="249"/>
      <c r="IX20" s="246"/>
      <c r="IY20" s="246"/>
      <c r="IZ20" s="246"/>
      <c r="JA20" s="246"/>
      <c r="JB20" s="246"/>
      <c r="JC20" s="246"/>
      <c r="JD20" s="246"/>
      <c r="JE20" s="226"/>
      <c r="JF20" s="226"/>
      <c r="JG20" s="226"/>
      <c r="JH20" s="246"/>
      <c r="JI20" s="246"/>
      <c r="JJ20" s="246"/>
      <c r="JK20" s="251"/>
      <c r="JL20" s="246"/>
      <c r="JM20" s="246"/>
      <c r="JN20" s="226"/>
      <c r="JO20" s="226"/>
      <c r="JP20" s="226"/>
      <c r="JQ20" s="246"/>
      <c r="JR20" s="246"/>
      <c r="JS20" s="246"/>
      <c r="JT20" s="246"/>
      <c r="JU20" s="246"/>
      <c r="JV20" s="246"/>
      <c r="JW20" s="252"/>
      <c r="JX20" s="246"/>
      <c r="JY20" s="246"/>
      <c r="JZ20" s="246"/>
      <c r="KA20" s="246"/>
      <c r="KB20" s="225"/>
      <c r="KC20" s="246"/>
      <c r="KD20" s="246"/>
      <c r="KE20" s="232"/>
      <c r="KF20" s="246"/>
      <c r="KG20" s="246"/>
      <c r="KH20" s="246"/>
      <c r="KI20" s="246"/>
      <c r="KJ20" s="246"/>
      <c r="KK20" s="246"/>
      <c r="KL20" s="246"/>
      <c r="KM20" s="246"/>
      <c r="KN20" s="246"/>
      <c r="KO20" s="246"/>
      <c r="KP20" s="246"/>
      <c r="KQ20" s="226"/>
      <c r="KR20" s="226"/>
      <c r="KS20" s="226"/>
      <c r="KT20" s="226"/>
      <c r="KU20" s="226"/>
      <c r="KV20" s="246"/>
      <c r="KW20" s="246"/>
      <c r="KX20" s="257"/>
      <c r="KY20" s="258"/>
      <c r="KZ20" s="246"/>
      <c r="LA20" s="246"/>
      <c r="LB20" s="246"/>
      <c r="LC20" s="246"/>
      <c r="LD20" s="246"/>
      <c r="LE20" s="246"/>
      <c r="LF20" s="246"/>
      <c r="LG20" s="246"/>
      <c r="LH20" s="246"/>
      <c r="LI20" s="246"/>
      <c r="LJ20" s="246"/>
      <c r="LK20" s="246"/>
      <c r="LL20" s="225"/>
      <c r="LM20" s="226"/>
      <c r="LN20" s="225"/>
      <c r="LO20" s="246"/>
      <c r="LP20" s="246"/>
      <c r="LQ20" s="246"/>
      <c r="LR20" s="246"/>
      <c r="LS20" s="246"/>
      <c r="LT20" s="253"/>
      <c r="LU20" s="246"/>
      <c r="LV20" s="246"/>
      <c r="LW20" s="246"/>
      <c r="LX20" s="246"/>
      <c r="LY20" s="246"/>
      <c r="LZ20" s="246"/>
      <c r="MA20" s="246"/>
      <c r="MB20" s="246"/>
      <c r="MC20" s="246"/>
      <c r="MD20" s="246"/>
      <c r="ME20" s="246"/>
      <c r="MF20" s="254"/>
      <c r="MG20" s="226"/>
      <c r="MH20" s="226"/>
      <c r="MI20" s="226"/>
      <c r="MJ20" s="255"/>
      <c r="MK20" s="255"/>
      <c r="ML20" s="255"/>
      <c r="MM20" s="255"/>
      <c r="MN20" s="256"/>
      <c r="MO20" s="256"/>
      <c r="MP20" s="256"/>
      <c r="MQ20" s="256"/>
      <c r="MR20" s="256"/>
      <c r="MS20" s="256"/>
      <c r="MT20" s="255"/>
      <c r="MU20" s="256"/>
      <c r="MV20" s="255"/>
      <c r="MW20" s="255"/>
      <c r="MX20" s="226"/>
      <c r="MY20" s="226"/>
      <c r="MZ20" s="226"/>
      <c r="NA20" s="226"/>
    </row>
    <row r="21" spans="1:365" ht="61" customHeight="1" x14ac:dyDescent="0.2">
      <c r="A21" s="1216" t="s">
        <v>8196</v>
      </c>
      <c r="B21" s="1217" t="s">
        <v>30</v>
      </c>
      <c r="C21" s="1218" t="s">
        <v>8195</v>
      </c>
      <c r="D21" s="215" t="s">
        <v>15</v>
      </c>
      <c r="E21" s="225" t="s">
        <v>8194</v>
      </c>
      <c r="F21" s="226"/>
      <c r="G21" s="225" t="s">
        <v>8193</v>
      </c>
      <c r="H21" s="225" t="s">
        <v>8192</v>
      </c>
      <c r="I21" s="225" t="s">
        <v>8191</v>
      </c>
      <c r="J21" s="225" t="s">
        <v>8190</v>
      </c>
      <c r="K21" s="225" t="s">
        <v>8189</v>
      </c>
      <c r="L21" s="225" t="s">
        <v>8188</v>
      </c>
      <c r="M21" s="225" t="s">
        <v>8187</v>
      </c>
      <c r="N21" s="225" t="s">
        <v>8186</v>
      </c>
      <c r="O21" s="225" t="s">
        <v>8185</v>
      </c>
      <c r="P21" s="400" t="s">
        <v>7570</v>
      </c>
      <c r="Q21" s="225" t="s">
        <v>8184</v>
      </c>
      <c r="R21" s="225" t="s">
        <v>8183</v>
      </c>
      <c r="S21" s="226" t="s">
        <v>8182</v>
      </c>
      <c r="T21" s="225" t="s">
        <v>8181</v>
      </c>
      <c r="U21" s="225" t="s">
        <v>8180</v>
      </c>
      <c r="V21" s="225" t="s">
        <v>8179</v>
      </c>
      <c r="W21" s="226"/>
      <c r="X21" s="226"/>
      <c r="Y21" s="226"/>
      <c r="Z21" s="226"/>
      <c r="AA21" s="226"/>
      <c r="AB21" s="226"/>
      <c r="AC21" s="226"/>
      <c r="AD21" s="226"/>
      <c r="AE21" s="226"/>
      <c r="AF21" s="225" t="s">
        <v>8178</v>
      </c>
      <c r="AG21" s="225" t="s">
        <v>8177</v>
      </c>
      <c r="AH21" s="226"/>
      <c r="AI21" s="225" t="s">
        <v>8176</v>
      </c>
      <c r="AJ21" s="225" t="s">
        <v>470</v>
      </c>
      <c r="AK21" s="250" t="s">
        <v>8175</v>
      </c>
      <c r="AL21" s="225"/>
      <c r="AM21" s="226"/>
      <c r="AN21" s="226"/>
      <c r="AO21" s="226"/>
      <c r="AP21" s="226"/>
      <c r="AQ21" s="225" t="s">
        <v>8174</v>
      </c>
      <c r="AR21" s="225" t="s">
        <v>8173</v>
      </c>
      <c r="AS21" s="225" t="s">
        <v>8172</v>
      </c>
      <c r="AT21" s="225" t="s">
        <v>8171</v>
      </c>
      <c r="AU21" s="225" t="s">
        <v>8170</v>
      </c>
      <c r="AV21" s="225" t="s">
        <v>8168</v>
      </c>
      <c r="AW21" s="225" t="s">
        <v>8169</v>
      </c>
      <c r="AX21" s="225" t="s">
        <v>8168</v>
      </c>
      <c r="AY21" s="229" t="s">
        <v>8167</v>
      </c>
      <c r="AZ21" s="225" t="s">
        <v>8166</v>
      </c>
      <c r="BA21" s="225" t="s">
        <v>8165</v>
      </c>
      <c r="BB21" s="225" t="s">
        <v>8164</v>
      </c>
      <c r="BC21" s="225" t="s">
        <v>8163</v>
      </c>
      <c r="BD21" s="225" t="s">
        <v>8162</v>
      </c>
      <c r="BE21" s="229" t="s">
        <v>8161</v>
      </c>
      <c r="BF21" s="225" t="s">
        <v>8160</v>
      </c>
      <c r="BG21" s="225" t="s">
        <v>8159</v>
      </c>
      <c r="BH21" s="225" t="s">
        <v>8158</v>
      </c>
      <c r="BI21" s="225" t="s">
        <v>8157</v>
      </c>
      <c r="BJ21" s="225" t="s">
        <v>8156</v>
      </c>
      <c r="BK21" s="225" t="s">
        <v>8155</v>
      </c>
      <c r="BL21" s="225"/>
      <c r="BM21" s="225" t="s">
        <v>8154</v>
      </c>
      <c r="BN21" s="226"/>
      <c r="BO21" s="225" t="s">
        <v>7871</v>
      </c>
      <c r="BP21" s="225" t="s">
        <v>8153</v>
      </c>
      <c r="BQ21" s="225" t="s">
        <v>8152</v>
      </c>
      <c r="BR21" s="233" t="s">
        <v>8151</v>
      </c>
      <c r="BS21" s="417"/>
      <c r="BT21" s="225"/>
      <c r="BU21" s="225" t="s">
        <v>8150</v>
      </c>
      <c r="BV21" s="226"/>
      <c r="BW21" s="225"/>
      <c r="BX21" s="225"/>
      <c r="BY21" s="226"/>
      <c r="BZ21" s="224" t="s">
        <v>8149</v>
      </c>
      <c r="CA21" s="225"/>
      <c r="CB21" s="225"/>
      <c r="CC21" s="418" t="s">
        <v>8148</v>
      </c>
      <c r="CD21" s="229" t="s">
        <v>8147</v>
      </c>
      <c r="CE21" s="229"/>
      <c r="CF21" s="229"/>
      <c r="CG21" s="229" t="s">
        <v>7531</v>
      </c>
      <c r="CH21" s="229" t="s">
        <v>8146</v>
      </c>
      <c r="CI21" s="229"/>
      <c r="CJ21" s="229"/>
      <c r="CK21" s="229" t="s">
        <v>8145</v>
      </c>
      <c r="CL21" s="229" t="s">
        <v>8144</v>
      </c>
      <c r="CM21" s="229"/>
      <c r="CN21" s="225" t="s">
        <v>8143</v>
      </c>
      <c r="CO21" s="225" t="s">
        <v>656</v>
      </c>
      <c r="CP21" s="225"/>
      <c r="CQ21" s="406" t="s">
        <v>7852</v>
      </c>
      <c r="CR21" s="394"/>
      <c r="CS21" s="225" t="s">
        <v>8142</v>
      </c>
      <c r="CT21" s="225"/>
      <c r="CU21" s="225"/>
      <c r="CV21" s="225"/>
      <c r="CW21" s="225" t="s">
        <v>656</v>
      </c>
      <c r="CX21" s="225" t="s">
        <v>470</v>
      </c>
      <c r="CY21" s="225"/>
      <c r="CZ21" s="225" t="s">
        <v>8141</v>
      </c>
      <c r="DA21" s="225" t="s">
        <v>656</v>
      </c>
      <c r="DB21" s="225"/>
      <c r="DC21" s="225"/>
      <c r="DD21" s="225"/>
      <c r="DE21" s="225"/>
      <c r="DF21" s="225" t="s">
        <v>8140</v>
      </c>
      <c r="DG21" s="225" t="s">
        <v>8139</v>
      </c>
      <c r="DH21" s="225" t="s">
        <v>8138</v>
      </c>
      <c r="DI21" s="225" t="s">
        <v>8137</v>
      </c>
      <c r="DJ21" s="225" t="s">
        <v>8136</v>
      </c>
      <c r="DK21" s="225" t="s">
        <v>8135</v>
      </c>
      <c r="DL21" s="225" t="s">
        <v>8134</v>
      </c>
      <c r="DM21" s="238" t="s">
        <v>8133</v>
      </c>
      <c r="DN21" s="225" t="s">
        <v>8132</v>
      </c>
      <c r="DO21" s="225" t="s">
        <v>8131</v>
      </c>
      <c r="DP21" s="225" t="s">
        <v>8130</v>
      </c>
      <c r="DQ21" s="225" t="s">
        <v>8129</v>
      </c>
      <c r="DR21" s="226" t="s">
        <v>8128</v>
      </c>
      <c r="DS21" s="225" t="s">
        <v>8127</v>
      </c>
      <c r="DT21" s="225" t="s">
        <v>8126</v>
      </c>
      <c r="DU21" s="225" t="s">
        <v>8125</v>
      </c>
      <c r="DV21" s="225" t="s">
        <v>8124</v>
      </c>
      <c r="DW21" s="246" t="s">
        <v>8123</v>
      </c>
      <c r="DX21" s="225"/>
      <c r="DY21" s="225" t="s">
        <v>8122</v>
      </c>
      <c r="DZ21" s="233" t="s">
        <v>8121</v>
      </c>
      <c r="EA21" s="225" t="s">
        <v>8120</v>
      </c>
      <c r="EB21" s="225" t="s">
        <v>8119</v>
      </c>
      <c r="EC21" s="226"/>
      <c r="ED21" s="225" t="s">
        <v>8118</v>
      </c>
      <c r="EE21" s="225" t="s">
        <v>656</v>
      </c>
      <c r="EF21" s="225" t="s">
        <v>8117</v>
      </c>
      <c r="EG21" s="226"/>
      <c r="EH21" s="225" t="s">
        <v>8116</v>
      </c>
      <c r="EI21" s="225" t="s">
        <v>8115</v>
      </c>
      <c r="EJ21" s="226"/>
      <c r="EK21" s="226"/>
      <c r="EL21" s="226"/>
      <c r="EM21" s="226"/>
      <c r="EN21" s="226"/>
      <c r="EO21" s="226"/>
      <c r="EP21" s="226"/>
      <c r="EQ21" s="226"/>
      <c r="ER21" s="225" t="s">
        <v>8114</v>
      </c>
      <c r="ES21" s="225" t="s">
        <v>8113</v>
      </c>
      <c r="ET21" s="225" t="s">
        <v>8112</v>
      </c>
      <c r="EU21" s="225" t="s">
        <v>8111</v>
      </c>
      <c r="EV21" s="225" t="s">
        <v>8110</v>
      </c>
      <c r="EW21" s="225" t="s">
        <v>8109</v>
      </c>
      <c r="EX21" s="225" t="s">
        <v>8108</v>
      </c>
      <c r="EY21" s="225" t="s">
        <v>8107</v>
      </c>
      <c r="EZ21" s="229" t="s">
        <v>9512</v>
      </c>
      <c r="FA21" s="225" t="s">
        <v>8106</v>
      </c>
      <c r="FB21" s="226" t="s">
        <v>8105</v>
      </c>
      <c r="FC21" s="225"/>
      <c r="FD21" s="226"/>
      <c r="FE21" s="404"/>
      <c r="FF21" s="238" t="s">
        <v>8104</v>
      </c>
      <c r="FG21" s="225" t="s">
        <v>8103</v>
      </c>
      <c r="FH21" s="225" t="s">
        <v>8102</v>
      </c>
      <c r="FI21" s="394" t="s">
        <v>8101</v>
      </c>
      <c r="FJ21" s="394" t="s">
        <v>8100</v>
      </c>
      <c r="FK21" s="394"/>
      <c r="FL21" s="394" t="s">
        <v>8099</v>
      </c>
      <c r="FM21" s="225" t="s">
        <v>8098</v>
      </c>
      <c r="FN21" s="225"/>
      <c r="FO21" s="394" t="s">
        <v>8097</v>
      </c>
      <c r="FP21" s="394"/>
      <c r="FQ21" s="394" t="s">
        <v>8096</v>
      </c>
      <c r="FR21" s="419" t="s">
        <v>8095</v>
      </c>
      <c r="FS21" s="419"/>
      <c r="FT21" s="394" t="s">
        <v>8094</v>
      </c>
      <c r="FU21" s="226"/>
      <c r="FV21" s="394" t="s">
        <v>8093</v>
      </c>
      <c r="FW21" s="394" t="s">
        <v>8092</v>
      </c>
      <c r="FX21" s="394" t="s">
        <v>8091</v>
      </c>
      <c r="FY21" s="226"/>
      <c r="FZ21" s="394" t="s">
        <v>8090</v>
      </c>
      <c r="GA21" s="394" t="s">
        <v>8089</v>
      </c>
      <c r="GB21" s="394" t="s">
        <v>8088</v>
      </c>
      <c r="GC21" s="394"/>
      <c r="GD21" s="394" t="s">
        <v>8087</v>
      </c>
      <c r="GE21" s="394"/>
      <c r="GF21" s="394" t="s">
        <v>8086</v>
      </c>
      <c r="GG21" s="394" t="s">
        <v>8085</v>
      </c>
      <c r="GH21" s="394" t="s">
        <v>8084</v>
      </c>
      <c r="GI21" s="226"/>
      <c r="GJ21" s="394" t="s">
        <v>8083</v>
      </c>
      <c r="GK21" s="394" t="s">
        <v>8082</v>
      </c>
      <c r="GL21" s="394" t="s">
        <v>8081</v>
      </c>
      <c r="GM21" s="394" t="s">
        <v>8080</v>
      </c>
      <c r="GN21" s="394" t="s">
        <v>8079</v>
      </c>
      <c r="GO21" s="226"/>
      <c r="GP21" s="394" t="s">
        <v>8078</v>
      </c>
      <c r="GQ21" s="226"/>
      <c r="GR21" s="394" t="s">
        <v>8077</v>
      </c>
      <c r="GS21" s="394" t="s">
        <v>8076</v>
      </c>
      <c r="GT21" s="394"/>
      <c r="GU21" s="420" t="s">
        <v>8075</v>
      </c>
      <c r="GV21" s="394" t="s">
        <v>8074</v>
      </c>
      <c r="GW21" s="226"/>
      <c r="GX21" s="225"/>
      <c r="GY21" s="225"/>
      <c r="GZ21" s="394" t="s">
        <v>8073</v>
      </c>
      <c r="HA21" s="225" t="s">
        <v>8072</v>
      </c>
      <c r="HB21" s="225"/>
      <c r="HC21" s="225"/>
      <c r="HD21" s="225"/>
      <c r="HE21" s="225"/>
      <c r="HF21" s="226"/>
      <c r="HG21" s="227" t="s">
        <v>8071</v>
      </c>
      <c r="HH21" s="227" t="s">
        <v>8070</v>
      </c>
      <c r="HI21" s="227" t="s">
        <v>8069</v>
      </c>
      <c r="HJ21" s="225" t="s">
        <v>8068</v>
      </c>
      <c r="HK21" s="227" t="s">
        <v>656</v>
      </c>
      <c r="HL21" s="226"/>
      <c r="HM21" s="225" t="s">
        <v>8067</v>
      </c>
      <c r="HN21" s="226"/>
      <c r="HO21" s="225" t="s">
        <v>8066</v>
      </c>
      <c r="HP21" s="225" t="s">
        <v>8065</v>
      </c>
      <c r="HQ21" s="226" t="s">
        <v>7139</v>
      </c>
      <c r="HR21" s="226" t="s">
        <v>7138</v>
      </c>
      <c r="HS21" s="238" t="s">
        <v>8064</v>
      </c>
      <c r="HT21" s="238" t="s">
        <v>8063</v>
      </c>
      <c r="HU21" s="225" t="s">
        <v>470</v>
      </c>
      <c r="HV21" s="225" t="s">
        <v>8062</v>
      </c>
      <c r="HW21" s="225" t="s">
        <v>8061</v>
      </c>
      <c r="HX21" s="225" t="s">
        <v>8060</v>
      </c>
      <c r="HY21" s="225" t="s">
        <v>8059</v>
      </c>
      <c r="HZ21" s="228" t="s">
        <v>8058</v>
      </c>
      <c r="IA21" s="225"/>
      <c r="IB21" s="225" t="s">
        <v>470</v>
      </c>
      <c r="IC21" s="225"/>
      <c r="ID21" s="225"/>
      <c r="IE21" s="225"/>
      <c r="IF21" s="225"/>
      <c r="IG21" s="225"/>
      <c r="IH21" s="229"/>
      <c r="II21" s="225"/>
      <c r="IJ21" s="225"/>
      <c r="IK21" s="225"/>
      <c r="IL21" s="225"/>
      <c r="IM21" s="225"/>
      <c r="IN21" s="225"/>
      <c r="IO21" s="226"/>
      <c r="IP21" s="226"/>
      <c r="IQ21" s="226"/>
      <c r="IR21" s="225"/>
      <c r="IS21" s="225"/>
      <c r="IT21" s="225"/>
      <c r="IU21" s="225"/>
      <c r="IV21" s="225"/>
      <c r="IW21" s="225"/>
      <c r="IX21" s="225" t="s">
        <v>8057</v>
      </c>
      <c r="IY21" s="225" t="s">
        <v>539</v>
      </c>
      <c r="IZ21" s="225"/>
      <c r="JA21" s="225"/>
      <c r="JB21" s="225"/>
      <c r="JC21" s="225" t="s">
        <v>8056</v>
      </c>
      <c r="JD21" s="225" t="s">
        <v>8055</v>
      </c>
      <c r="JE21" s="226"/>
      <c r="JF21" s="226"/>
      <c r="JG21" s="226"/>
      <c r="JH21" s="225" t="s">
        <v>656</v>
      </c>
      <c r="JI21" s="225"/>
      <c r="JJ21" s="225" t="s">
        <v>8054</v>
      </c>
      <c r="JK21" s="237" t="s">
        <v>8053</v>
      </c>
      <c r="JL21" s="225" t="s">
        <v>8052</v>
      </c>
      <c r="JM21" s="225" t="s">
        <v>8051</v>
      </c>
      <c r="JN21" s="226"/>
      <c r="JO21" s="226"/>
      <c r="JP21" s="226"/>
      <c r="JQ21" s="225" t="s">
        <v>8050</v>
      </c>
      <c r="JR21" s="225" t="s">
        <v>8049</v>
      </c>
      <c r="JS21" s="225" t="s">
        <v>8048</v>
      </c>
      <c r="JT21" s="225" t="s">
        <v>8047</v>
      </c>
      <c r="JU21" s="225"/>
      <c r="JV21" s="225" t="s">
        <v>8046</v>
      </c>
      <c r="JW21" s="225" t="s">
        <v>656</v>
      </c>
      <c r="JX21" s="225" t="s">
        <v>8045</v>
      </c>
      <c r="JY21" s="225" t="s">
        <v>8044</v>
      </c>
      <c r="JZ21" s="225" t="s">
        <v>8043</v>
      </c>
      <c r="KA21" s="225" t="s">
        <v>8042</v>
      </c>
      <c r="KB21" s="225"/>
      <c r="KC21" s="225"/>
      <c r="KD21" s="225"/>
      <c r="KE21" s="232"/>
      <c r="KF21" s="225" t="s">
        <v>470</v>
      </c>
      <c r="KG21" s="225" t="s">
        <v>8041</v>
      </c>
      <c r="KH21" s="225" t="s">
        <v>8040</v>
      </c>
      <c r="KI21" s="225" t="s">
        <v>8039</v>
      </c>
      <c r="KJ21" s="225"/>
      <c r="KK21" s="232" t="s">
        <v>8038</v>
      </c>
      <c r="KL21" s="225" t="s">
        <v>8037</v>
      </c>
      <c r="KM21" s="225" t="s">
        <v>8036</v>
      </c>
      <c r="KN21" s="225" t="s">
        <v>8035</v>
      </c>
      <c r="KO21" s="225" t="s">
        <v>656</v>
      </c>
      <c r="KP21" s="225"/>
      <c r="KQ21" s="226"/>
      <c r="KR21" s="226"/>
      <c r="KS21" s="226"/>
      <c r="KT21" s="226"/>
      <c r="KU21" s="226"/>
      <c r="KV21" s="225" t="s">
        <v>8034</v>
      </c>
      <c r="KW21" s="225"/>
      <c r="KX21" s="228" t="s">
        <v>9296</v>
      </c>
      <c r="KY21" s="797" t="s">
        <v>9277</v>
      </c>
      <c r="KZ21" s="225" t="s">
        <v>9269</v>
      </c>
      <c r="LA21" s="225" t="s">
        <v>9250</v>
      </c>
      <c r="LB21" s="225" t="s">
        <v>9235</v>
      </c>
      <c r="LC21" s="225" t="s">
        <v>9217</v>
      </c>
      <c r="LD21" s="225" t="s">
        <v>9211</v>
      </c>
      <c r="LE21" s="225" t="s">
        <v>9197</v>
      </c>
      <c r="LF21" s="225" t="s">
        <v>9189</v>
      </c>
      <c r="LG21" s="225" t="s">
        <v>9178</v>
      </c>
      <c r="LH21" s="226" t="s">
        <v>9164</v>
      </c>
      <c r="LI21" s="225" t="s">
        <v>9145</v>
      </c>
      <c r="LJ21" s="225" t="s">
        <v>9125</v>
      </c>
      <c r="LK21" s="225" t="s">
        <v>8033</v>
      </c>
      <c r="LL21" s="225" t="s">
        <v>8032</v>
      </c>
      <c r="LM21" s="226"/>
      <c r="LN21" s="225" t="s">
        <v>8031</v>
      </c>
      <c r="LO21" s="225"/>
      <c r="LP21" s="225" t="s">
        <v>8030</v>
      </c>
      <c r="LQ21" s="225" t="s">
        <v>470</v>
      </c>
      <c r="LR21" s="225" t="s">
        <v>8029</v>
      </c>
      <c r="LS21" s="225" t="s">
        <v>8028</v>
      </c>
      <c r="LT21" s="234" t="s">
        <v>8027</v>
      </c>
      <c r="LU21" s="225"/>
      <c r="LV21" s="225" t="s">
        <v>470</v>
      </c>
      <c r="LW21" s="225"/>
      <c r="LX21" s="225"/>
      <c r="LY21" s="225" t="s">
        <v>470</v>
      </c>
      <c r="LZ21" s="225"/>
      <c r="MA21" s="225" t="s">
        <v>6258</v>
      </c>
      <c r="MB21" s="225"/>
      <c r="MC21" s="225" t="s">
        <v>8026</v>
      </c>
      <c r="MD21" s="225" t="s">
        <v>8025</v>
      </c>
      <c r="ME21" s="225"/>
      <c r="MF21" s="225" t="s">
        <v>8024</v>
      </c>
      <c r="MG21" s="226"/>
      <c r="MH21" s="226"/>
      <c r="MI21" s="226"/>
      <c r="MJ21" s="235" t="s">
        <v>8023</v>
      </c>
      <c r="MK21" s="235"/>
      <c r="ML21" s="235" t="s">
        <v>8022</v>
      </c>
      <c r="MM21" s="235" t="s">
        <v>8021</v>
      </c>
      <c r="MN21" s="236" t="s">
        <v>8020</v>
      </c>
      <c r="MO21" s="236" t="s">
        <v>8019</v>
      </c>
      <c r="MP21" s="236" t="s">
        <v>8018</v>
      </c>
      <c r="MQ21" s="236"/>
      <c r="MR21" s="236"/>
      <c r="MS21" s="236"/>
      <c r="MT21" s="235" t="s">
        <v>8017</v>
      </c>
      <c r="MU21" s="236" t="s">
        <v>8016</v>
      </c>
      <c r="MV21" s="235" t="s">
        <v>8015</v>
      </c>
      <c r="MW21" s="259" t="s">
        <v>8014</v>
      </c>
      <c r="MX21" s="226"/>
      <c r="MY21" s="226"/>
      <c r="MZ21" s="226"/>
      <c r="NA21" s="226"/>
    </row>
    <row r="22" spans="1:365" ht="57" customHeight="1" x14ac:dyDescent="0.2">
      <c r="A22" s="1216"/>
      <c r="B22" s="1217"/>
      <c r="C22" s="1218"/>
      <c r="D22" s="215" t="s">
        <v>34</v>
      </c>
      <c r="E22" s="260" t="s">
        <v>5789</v>
      </c>
      <c r="F22" s="226"/>
      <c r="G22" s="263" t="s">
        <v>8013</v>
      </c>
      <c r="H22" s="263" t="s">
        <v>8012</v>
      </c>
      <c r="I22" s="263" t="s">
        <v>8011</v>
      </c>
      <c r="J22" s="263" t="s">
        <v>8010</v>
      </c>
      <c r="K22" s="225" t="s">
        <v>8009</v>
      </c>
      <c r="L22" s="225" t="s">
        <v>8008</v>
      </c>
      <c r="M22" s="263" t="s">
        <v>8007</v>
      </c>
      <c r="N22" s="263" t="s">
        <v>8006</v>
      </c>
      <c r="O22" s="263" t="s">
        <v>8005</v>
      </c>
      <c r="P22" s="421" t="s">
        <v>7354</v>
      </c>
      <c r="Q22" s="264" t="s">
        <v>7695</v>
      </c>
      <c r="R22" s="225"/>
      <c r="S22" s="422" t="s">
        <v>8004</v>
      </c>
      <c r="T22" s="279" t="s">
        <v>8003</v>
      </c>
      <c r="U22" s="263" t="s">
        <v>8002</v>
      </c>
      <c r="V22" s="225" t="s">
        <v>5786</v>
      </c>
      <c r="W22" s="226"/>
      <c r="X22" s="226"/>
      <c r="Y22" s="226"/>
      <c r="Z22" s="226"/>
      <c r="AA22" s="226"/>
      <c r="AB22" s="226"/>
      <c r="AC22" s="226"/>
      <c r="AD22" s="226"/>
      <c r="AE22" s="226"/>
      <c r="AF22" s="225" t="s">
        <v>8001</v>
      </c>
      <c r="AG22" s="225" t="s">
        <v>7348</v>
      </c>
      <c r="AH22" s="226"/>
      <c r="AI22" s="260" t="s">
        <v>8000</v>
      </c>
      <c r="AJ22" s="225"/>
      <c r="AK22" s="423" t="s">
        <v>7999</v>
      </c>
      <c r="AL22" s="260"/>
      <c r="AM22" s="226"/>
      <c r="AN22" s="226"/>
      <c r="AO22" s="226"/>
      <c r="AP22" s="226"/>
      <c r="AQ22" s="264" t="s">
        <v>7998</v>
      </c>
      <c r="AR22" s="263" t="s">
        <v>7997</v>
      </c>
      <c r="AS22" s="263" t="s">
        <v>7996</v>
      </c>
      <c r="AT22" s="225"/>
      <c r="AU22" s="260" t="s">
        <v>7995</v>
      </c>
      <c r="AV22" s="225" t="s">
        <v>7991</v>
      </c>
      <c r="AW22" s="225" t="s">
        <v>7991</v>
      </c>
      <c r="AX22" s="225" t="s">
        <v>7991</v>
      </c>
      <c r="AY22" s="424" t="s">
        <v>7994</v>
      </c>
      <c r="AZ22" s="260" t="s">
        <v>7993</v>
      </c>
      <c r="BA22" s="225"/>
      <c r="BB22" s="225" t="s">
        <v>7992</v>
      </c>
      <c r="BC22" s="225"/>
      <c r="BD22" s="260" t="s">
        <v>5176</v>
      </c>
      <c r="BE22" s="229"/>
      <c r="BF22" s="225"/>
      <c r="BG22" s="225" t="s">
        <v>7991</v>
      </c>
      <c r="BH22" s="225"/>
      <c r="BI22" s="225" t="s">
        <v>656</v>
      </c>
      <c r="BJ22" s="264" t="s">
        <v>7990</v>
      </c>
      <c r="BK22" s="225" t="s">
        <v>7989</v>
      </c>
      <c r="BL22" s="225"/>
      <c r="BM22" s="225"/>
      <c r="BN22" s="226"/>
      <c r="BO22" s="225"/>
      <c r="BP22" s="225"/>
      <c r="BQ22" s="264" t="s">
        <v>5169</v>
      </c>
      <c r="BR22" s="233" t="s">
        <v>34</v>
      </c>
      <c r="BS22" s="417"/>
      <c r="BT22" s="225"/>
      <c r="BU22" s="225" t="s">
        <v>7988</v>
      </c>
      <c r="BV22" s="225"/>
      <c r="BW22" s="225"/>
      <c r="BX22" s="225"/>
      <c r="BY22" s="225"/>
      <c r="BZ22" s="225" t="s">
        <v>7332</v>
      </c>
      <c r="CA22" s="264"/>
      <c r="CB22" s="264"/>
      <c r="CC22" s="226"/>
      <c r="CD22" s="424" t="s">
        <v>7330</v>
      </c>
      <c r="CE22" s="229"/>
      <c r="CF22" s="229"/>
      <c r="CG22" s="229" t="s">
        <v>7329</v>
      </c>
      <c r="CH22" s="425" t="s">
        <v>7328</v>
      </c>
      <c r="CI22" s="229"/>
      <c r="CJ22" s="229"/>
      <c r="CK22" s="425" t="s">
        <v>7326</v>
      </c>
      <c r="CL22" s="229" t="s">
        <v>7325</v>
      </c>
      <c r="CM22" s="229"/>
      <c r="CN22" s="225" t="s">
        <v>7987</v>
      </c>
      <c r="CO22" s="225" t="s">
        <v>656</v>
      </c>
      <c r="CP22" s="225"/>
      <c r="CQ22" s="406" t="s">
        <v>5998</v>
      </c>
      <c r="CR22" s="394"/>
      <c r="CS22" s="225"/>
      <c r="CT22" s="225"/>
      <c r="CU22" s="225"/>
      <c r="CV22" s="225"/>
      <c r="CW22" s="225" t="s">
        <v>656</v>
      </c>
      <c r="CX22" s="225"/>
      <c r="CY22" s="225"/>
      <c r="CZ22" s="260" t="s">
        <v>7986</v>
      </c>
      <c r="DA22" s="225" t="s">
        <v>656</v>
      </c>
      <c r="DB22" s="225"/>
      <c r="DC22" s="225"/>
      <c r="DD22" s="225"/>
      <c r="DE22" s="225"/>
      <c r="DF22" s="260" t="s">
        <v>7985</v>
      </c>
      <c r="DG22" s="260" t="s">
        <v>7984</v>
      </c>
      <c r="DH22" s="260" t="s">
        <v>7983</v>
      </c>
      <c r="DI22" s="279" t="s">
        <v>5001</v>
      </c>
      <c r="DJ22" s="426" t="s">
        <v>5144</v>
      </c>
      <c r="DK22" s="225" t="s">
        <v>7982</v>
      </c>
      <c r="DL22" s="260" t="s">
        <v>7981</v>
      </c>
      <c r="DM22" s="260" t="s">
        <v>7980</v>
      </c>
      <c r="DN22" s="279" t="s">
        <v>5899</v>
      </c>
      <c r="DO22" s="225"/>
      <c r="DP22" s="264" t="s">
        <v>7979</v>
      </c>
      <c r="DQ22" s="427" t="s">
        <v>7978</v>
      </c>
      <c r="DR22" s="264" t="s">
        <v>7977</v>
      </c>
      <c r="DS22" s="264" t="s">
        <v>7976</v>
      </c>
      <c r="DT22" s="427" t="s">
        <v>7975</v>
      </c>
      <c r="DU22" s="225" t="s">
        <v>7974</v>
      </c>
      <c r="DV22" s="260" t="s">
        <v>7973</v>
      </c>
      <c r="DW22" s="246" t="s">
        <v>2234</v>
      </c>
      <c r="DX22" s="225"/>
      <c r="DY22" s="226" t="s">
        <v>7091</v>
      </c>
      <c r="DZ22" s="233" t="s">
        <v>7972</v>
      </c>
      <c r="EA22" s="263" t="s">
        <v>7971</v>
      </c>
      <c r="EB22" s="263" t="s">
        <v>7970</v>
      </c>
      <c r="EC22" s="226"/>
      <c r="ED22" s="225" t="s">
        <v>7969</v>
      </c>
      <c r="EE22" s="225" t="s">
        <v>656</v>
      </c>
      <c r="EF22" s="225" t="s">
        <v>7968</v>
      </c>
      <c r="EG22" s="226"/>
      <c r="EH22" s="225" t="e">
        <f>#REF!</f>
        <v>#REF!</v>
      </c>
      <c r="EI22" s="260" t="s">
        <v>7967</v>
      </c>
      <c r="EJ22" s="226"/>
      <c r="EK22" s="226"/>
      <c r="EL22" s="226"/>
      <c r="EM22" s="226"/>
      <c r="EN22" s="226"/>
      <c r="EO22" s="226"/>
      <c r="EP22" s="226"/>
      <c r="EQ22" s="226"/>
      <c r="ER22" s="263" t="s">
        <v>7966</v>
      </c>
      <c r="ES22" s="263" t="s">
        <v>7965</v>
      </c>
      <c r="ET22" s="264" t="s">
        <v>7964</v>
      </c>
      <c r="EU22" s="264" t="s">
        <v>7963</v>
      </c>
      <c r="EV22" s="264" t="s">
        <v>7962</v>
      </c>
      <c r="EW22" s="264" t="s">
        <v>7961</v>
      </c>
      <c r="EX22" s="263" t="s">
        <v>7960</v>
      </c>
      <c r="EY22" s="260" t="s">
        <v>7959</v>
      </c>
      <c r="EZ22" s="229"/>
      <c r="FA22" s="264" t="s">
        <v>7958</v>
      </c>
      <c r="FB22" s="260" t="s">
        <v>5371</v>
      </c>
      <c r="FC22" s="225"/>
      <c r="FD22" s="226"/>
      <c r="FE22" s="404"/>
      <c r="FF22" s="264" t="s">
        <v>7957</v>
      </c>
      <c r="FG22" s="264" t="s">
        <v>7956</v>
      </c>
      <c r="FH22" s="225" t="s">
        <v>7641</v>
      </c>
      <c r="FI22" s="388" t="s">
        <v>7955</v>
      </c>
      <c r="FJ22" s="388" t="s">
        <v>7954</v>
      </c>
      <c r="FK22" s="388"/>
      <c r="FL22" s="388" t="s">
        <v>7953</v>
      </c>
      <c r="FM22" s="428" t="s">
        <v>7952</v>
      </c>
      <c r="FN22" s="428"/>
      <c r="FO22" s="388" t="s">
        <v>7951</v>
      </c>
      <c r="FP22" s="388"/>
      <c r="FQ22" s="388" t="s">
        <v>7950</v>
      </c>
      <c r="FR22" s="388" t="s">
        <v>7949</v>
      </c>
      <c r="FS22" s="388"/>
      <c r="FT22" s="388" t="s">
        <v>7948</v>
      </c>
      <c r="FU22" s="226"/>
      <c r="FV22" s="388" t="s">
        <v>7947</v>
      </c>
      <c r="FW22" s="388" t="s">
        <v>5992</v>
      </c>
      <c r="FX22" s="388" t="s">
        <v>7946</v>
      </c>
      <c r="FY22" s="226"/>
      <c r="FZ22" s="388"/>
      <c r="GA22" s="394" t="s">
        <v>7945</v>
      </c>
      <c r="GB22" s="394" t="s">
        <v>7944</v>
      </c>
      <c r="GC22" s="388"/>
      <c r="GD22" s="388" t="s">
        <v>7943</v>
      </c>
      <c r="GE22" s="394"/>
      <c r="GF22" s="388" t="s">
        <v>7942</v>
      </c>
      <c r="GG22" s="388" t="s">
        <v>6233</v>
      </c>
      <c r="GH22" s="388"/>
      <c r="GI22" s="226"/>
      <c r="GJ22" s="394" t="s">
        <v>7941</v>
      </c>
      <c r="GK22" s="388" t="s">
        <v>7940</v>
      </c>
      <c r="GL22" s="388" t="s">
        <v>7939</v>
      </c>
      <c r="GM22" s="388" t="s">
        <v>7637</v>
      </c>
      <c r="GN22" s="388" t="s">
        <v>5117</v>
      </c>
      <c r="GO22" s="226"/>
      <c r="GP22" s="388" t="s">
        <v>7938</v>
      </c>
      <c r="GQ22" s="226"/>
      <c r="GR22" s="394" t="s">
        <v>5458</v>
      </c>
      <c r="GS22" s="394"/>
      <c r="GT22" s="394"/>
      <c r="GU22" s="388" t="s">
        <v>7937</v>
      </c>
      <c r="GV22" s="388" t="s">
        <v>7936</v>
      </c>
      <c r="GW22" s="226"/>
      <c r="GX22" s="225"/>
      <c r="GY22" s="225"/>
      <c r="GZ22" s="394" t="s">
        <v>7935</v>
      </c>
      <c r="HA22" s="264" t="s">
        <v>7934</v>
      </c>
      <c r="HB22" s="225"/>
      <c r="HC22" s="260"/>
      <c r="HD22" s="225"/>
      <c r="HE22" s="225"/>
      <c r="HF22" s="226"/>
      <c r="HG22" s="261" t="s">
        <v>7933</v>
      </c>
      <c r="HH22" s="261" t="s">
        <v>7932</v>
      </c>
      <c r="HI22" s="262" t="s">
        <v>7931</v>
      </c>
      <c r="HJ22" s="263" t="s">
        <v>7260</v>
      </c>
      <c r="HK22" s="227" t="s">
        <v>656</v>
      </c>
      <c r="HL22" s="226"/>
      <c r="HM22" s="225"/>
      <c r="HN22" s="226"/>
      <c r="HO22" s="260" t="s">
        <v>7930</v>
      </c>
      <c r="HP22" s="264" t="s">
        <v>7929</v>
      </c>
      <c r="HQ22" s="260" t="s">
        <v>7071</v>
      </c>
      <c r="HR22" s="260" t="s">
        <v>7071</v>
      </c>
      <c r="HS22" s="225"/>
      <c r="HT22" s="260" t="s">
        <v>7928</v>
      </c>
      <c r="HU22" s="225"/>
      <c r="HV22" s="265" t="s">
        <v>7927</v>
      </c>
      <c r="HW22" s="225" t="s">
        <v>7926</v>
      </c>
      <c r="HX22" s="260" t="s">
        <v>7925</v>
      </c>
      <c r="HY22" s="266" t="s">
        <v>7924</v>
      </c>
      <c r="HZ22" s="260" t="s">
        <v>7923</v>
      </c>
      <c r="IA22" s="225"/>
      <c r="IB22" s="225"/>
      <c r="IC22" s="225"/>
      <c r="ID22" s="267"/>
      <c r="IE22" s="264"/>
      <c r="IF22" s="260"/>
      <c r="IG22" s="225"/>
      <c r="IH22" s="229"/>
      <c r="II22" s="225"/>
      <c r="IJ22" s="225"/>
      <c r="IK22" s="225"/>
      <c r="IL22" s="260"/>
      <c r="IM22" s="260"/>
      <c r="IN22" s="225"/>
      <c r="IO22" s="226"/>
      <c r="IP22" s="226"/>
      <c r="IQ22" s="226"/>
      <c r="IR22" s="225"/>
      <c r="IS22" s="225"/>
      <c r="IT22" s="225"/>
      <c r="IU22" s="225"/>
      <c r="IV22" s="225"/>
      <c r="IW22" s="225"/>
      <c r="IX22" s="260" t="s">
        <v>7922</v>
      </c>
      <c r="IY22" s="225"/>
      <c r="IZ22" s="225"/>
      <c r="JA22" s="225"/>
      <c r="JB22" s="225"/>
      <c r="JC22" s="225" t="s">
        <v>7921</v>
      </c>
      <c r="JD22" s="264" t="s">
        <v>5083</v>
      </c>
      <c r="JE22" s="226"/>
      <c r="JF22" s="226"/>
      <c r="JG22" s="226"/>
      <c r="JH22" s="225" t="s">
        <v>656</v>
      </c>
      <c r="JI22" s="225"/>
      <c r="JJ22" s="263" t="s">
        <v>7920</v>
      </c>
      <c r="JK22" s="237" t="s">
        <v>7919</v>
      </c>
      <c r="JL22" s="263" t="s">
        <v>7918</v>
      </c>
      <c r="JM22" s="263" t="s">
        <v>5078</v>
      </c>
      <c r="JN22" s="226"/>
      <c r="JO22" s="226"/>
      <c r="JP22" s="226"/>
      <c r="JQ22" s="260" t="s">
        <v>7917</v>
      </c>
      <c r="JR22" s="225" t="s">
        <v>7916</v>
      </c>
      <c r="JS22" s="260" t="s">
        <v>7615</v>
      </c>
      <c r="JT22" s="260" t="s">
        <v>7915</v>
      </c>
      <c r="JU22" s="225"/>
      <c r="JV22" s="260" t="s">
        <v>7914</v>
      </c>
      <c r="JW22" s="225" t="s">
        <v>656</v>
      </c>
      <c r="JX22" s="260" t="s">
        <v>7225</v>
      </c>
      <c r="JY22" s="264" t="s">
        <v>7913</v>
      </c>
      <c r="JZ22" s="225" t="s">
        <v>7912</v>
      </c>
      <c r="KA22" s="225" t="s">
        <v>656</v>
      </c>
      <c r="KB22" s="225"/>
      <c r="KC22" s="225"/>
      <c r="KD22" s="225"/>
      <c r="KE22" s="232"/>
      <c r="KF22" s="225"/>
      <c r="KG22" s="260" t="s">
        <v>7911</v>
      </c>
      <c r="KH22" s="260" t="s">
        <v>5067</v>
      </c>
      <c r="KI22" s="264" t="s">
        <v>7910</v>
      </c>
      <c r="KJ22" s="225"/>
      <c r="KK22" s="232" t="s">
        <v>7909</v>
      </c>
      <c r="KL22" s="260" t="s">
        <v>7908</v>
      </c>
      <c r="KM22" s="265" t="s">
        <v>7907</v>
      </c>
      <c r="KN22" s="225" t="s">
        <v>5063</v>
      </c>
      <c r="KO22" s="225"/>
      <c r="KP22" s="225"/>
      <c r="KQ22" s="226"/>
      <c r="KR22" s="226"/>
      <c r="KS22" s="226"/>
      <c r="KT22" s="226"/>
      <c r="KU22" s="226"/>
      <c r="KV22" s="263" t="s">
        <v>7906</v>
      </c>
      <c r="KW22" s="225"/>
      <c r="KX22" s="798" t="s">
        <v>9297</v>
      </c>
      <c r="KY22" s="799" t="s">
        <v>9278</v>
      </c>
      <c r="KZ22" s="264" t="s">
        <v>9270</v>
      </c>
      <c r="LA22" s="800" t="s">
        <v>9251</v>
      </c>
      <c r="LB22" s="264" t="s">
        <v>9236</v>
      </c>
      <c r="LC22" s="264" t="s">
        <v>9218</v>
      </c>
      <c r="LD22" s="264" t="s">
        <v>9212</v>
      </c>
      <c r="LE22" s="263" t="s">
        <v>9198</v>
      </c>
      <c r="LF22" s="264" t="s">
        <v>9190</v>
      </c>
      <c r="LG22" s="264" t="s">
        <v>9179</v>
      </c>
      <c r="LH22" s="264" t="s">
        <v>9165</v>
      </c>
      <c r="LI22" s="264" t="s">
        <v>9146</v>
      </c>
      <c r="LJ22" s="263" t="s">
        <v>9126</v>
      </c>
      <c r="LK22" s="225" t="s">
        <v>7905</v>
      </c>
      <c r="LL22" s="263" t="s">
        <v>7904</v>
      </c>
      <c r="LM22" s="226"/>
      <c r="LN22" s="264" t="s">
        <v>7597</v>
      </c>
      <c r="LO22" s="260"/>
      <c r="LP22" s="225" t="s">
        <v>7903</v>
      </c>
      <c r="LQ22" s="225"/>
      <c r="LR22" s="225" t="s">
        <v>7055</v>
      </c>
      <c r="LS22" s="225" t="s">
        <v>7902</v>
      </c>
      <c r="LT22" s="268" t="s">
        <v>9531</v>
      </c>
      <c r="LU22" s="225"/>
      <c r="LV22" s="225" t="s">
        <v>470</v>
      </c>
      <c r="LW22" s="225"/>
      <c r="LX22" s="225"/>
      <c r="LY22" s="225"/>
      <c r="LZ22" s="225"/>
      <c r="MA22" s="264" t="s">
        <v>6214</v>
      </c>
      <c r="MB22" s="225"/>
      <c r="MC22" s="225" t="s">
        <v>7901</v>
      </c>
      <c r="MD22" s="225" t="s">
        <v>7900</v>
      </c>
      <c r="ME22" s="260"/>
      <c r="MF22" s="225" t="s">
        <v>7899</v>
      </c>
      <c r="MG22" s="226"/>
      <c r="MH22" s="226"/>
      <c r="MI22" s="226"/>
      <c r="MJ22" s="269" t="s">
        <v>7898</v>
      </c>
      <c r="MK22" s="269"/>
      <c r="ML22" s="235" t="s">
        <v>7897</v>
      </c>
      <c r="MM22" s="270" t="s">
        <v>7896</v>
      </c>
      <c r="MN22" s="271" t="s">
        <v>9536</v>
      </c>
      <c r="MO22" s="272" t="s">
        <v>7895</v>
      </c>
      <c r="MP22" s="273" t="s">
        <v>5773</v>
      </c>
      <c r="MQ22" s="236"/>
      <c r="MR22" s="274"/>
      <c r="MS22" s="236"/>
      <c r="MT22" s="275" t="s">
        <v>6211</v>
      </c>
      <c r="MU22" s="274" t="s">
        <v>7894</v>
      </c>
      <c r="MV22" s="235" t="s">
        <v>7893</v>
      </c>
      <c r="MW22" s="276" t="s">
        <v>6338</v>
      </c>
      <c r="MX22" s="226"/>
      <c r="MY22" s="226"/>
      <c r="MZ22" s="226"/>
      <c r="NA22" s="226"/>
    </row>
    <row r="23" spans="1:365" ht="64" customHeight="1" x14ac:dyDescent="0.2">
      <c r="A23" s="1216"/>
      <c r="B23" s="1217" t="s">
        <v>32</v>
      </c>
      <c r="C23" s="1218" t="s">
        <v>7892</v>
      </c>
      <c r="D23" s="215" t="s">
        <v>15</v>
      </c>
      <c r="E23" s="225"/>
      <c r="F23" s="225" t="s">
        <v>7891</v>
      </c>
      <c r="G23" s="225" t="s">
        <v>656</v>
      </c>
      <c r="H23" s="225" t="s">
        <v>656</v>
      </c>
      <c r="I23" s="225" t="s">
        <v>656</v>
      </c>
      <c r="J23" s="225" t="s">
        <v>656</v>
      </c>
      <c r="K23" s="225" t="s">
        <v>470</v>
      </c>
      <c r="L23" s="225" t="s">
        <v>470</v>
      </c>
      <c r="M23" s="225" t="s">
        <v>470</v>
      </c>
      <c r="N23" s="225" t="s">
        <v>470</v>
      </c>
      <c r="O23" s="225" t="s">
        <v>470</v>
      </c>
      <c r="P23" s="400" t="s">
        <v>470</v>
      </c>
      <c r="Q23" s="225" t="s">
        <v>7890</v>
      </c>
      <c r="R23" s="225"/>
      <c r="S23" s="225"/>
      <c r="T23" s="225" t="s">
        <v>7889</v>
      </c>
      <c r="U23" s="225" t="s">
        <v>7888</v>
      </c>
      <c r="V23" s="225" t="s">
        <v>7887</v>
      </c>
      <c r="W23" s="226"/>
      <c r="X23" s="226"/>
      <c r="Y23" s="226"/>
      <c r="Z23" s="226"/>
      <c r="AA23" s="226"/>
      <c r="AB23" s="226"/>
      <c r="AC23" s="226"/>
      <c r="AD23" s="226"/>
      <c r="AE23" s="226"/>
      <c r="AF23" s="225" t="s">
        <v>7886</v>
      </c>
      <c r="AG23" s="225" t="s">
        <v>7563</v>
      </c>
      <c r="AH23" s="226"/>
      <c r="AI23" s="225" t="s">
        <v>7885</v>
      </c>
      <c r="AJ23" s="225" t="s">
        <v>7884</v>
      </c>
      <c r="AK23" s="250" t="s">
        <v>7883</v>
      </c>
      <c r="AL23" s="225" t="s">
        <v>7882</v>
      </c>
      <c r="AM23" s="226"/>
      <c r="AN23" s="226"/>
      <c r="AO23" s="226"/>
      <c r="AP23" s="226"/>
      <c r="AQ23" s="225" t="s">
        <v>7881</v>
      </c>
      <c r="AR23" s="225" t="s">
        <v>7880</v>
      </c>
      <c r="AS23" s="225" t="s">
        <v>7880</v>
      </c>
      <c r="AT23" s="225" t="s">
        <v>7879</v>
      </c>
      <c r="AU23" s="225" t="s">
        <v>656</v>
      </c>
      <c r="AV23" s="225" t="s">
        <v>7878</v>
      </c>
      <c r="AW23" s="225" t="s">
        <v>7877</v>
      </c>
      <c r="AX23" s="225" t="s">
        <v>7876</v>
      </c>
      <c r="AY23" s="229" t="s">
        <v>2234</v>
      </c>
      <c r="AZ23" s="225" t="s">
        <v>5315</v>
      </c>
      <c r="BA23" s="225"/>
      <c r="BB23" s="225"/>
      <c r="BC23" s="429" t="s">
        <v>7875</v>
      </c>
      <c r="BD23" s="225" t="s">
        <v>470</v>
      </c>
      <c r="BE23" s="229"/>
      <c r="BF23" s="225"/>
      <c r="BG23" s="225" t="s">
        <v>7874</v>
      </c>
      <c r="BH23" s="225" t="s">
        <v>7873</v>
      </c>
      <c r="BI23" s="225" t="s">
        <v>7872</v>
      </c>
      <c r="BJ23" s="225"/>
      <c r="BK23" s="225" t="s">
        <v>470</v>
      </c>
      <c r="BL23" s="225"/>
      <c r="BM23" s="225"/>
      <c r="BN23" s="226"/>
      <c r="BO23" s="225" t="s">
        <v>7871</v>
      </c>
      <c r="BP23" s="225"/>
      <c r="BQ23" s="238" t="s">
        <v>7870</v>
      </c>
      <c r="BR23" s="233" t="s">
        <v>7869</v>
      </c>
      <c r="BS23" s="226" t="s">
        <v>7868</v>
      </c>
      <c r="BT23" s="225" t="s">
        <v>7867</v>
      </c>
      <c r="BU23" s="225"/>
      <c r="BV23" s="225" t="s">
        <v>7866</v>
      </c>
      <c r="BW23" s="225" t="s">
        <v>7865</v>
      </c>
      <c r="BX23" s="225"/>
      <c r="BY23" s="225" t="s">
        <v>7864</v>
      </c>
      <c r="BZ23" s="224" t="s">
        <v>9502</v>
      </c>
      <c r="CA23" s="225" t="s">
        <v>7863</v>
      </c>
      <c r="CB23" s="225" t="s">
        <v>7863</v>
      </c>
      <c r="CC23" s="226"/>
      <c r="CD23" s="229" t="s">
        <v>7862</v>
      </c>
      <c r="CE23" s="229"/>
      <c r="CF23" s="229" t="s">
        <v>7861</v>
      </c>
      <c r="CG23" s="229" t="s">
        <v>7860</v>
      </c>
      <c r="CH23" s="229" t="s">
        <v>7859</v>
      </c>
      <c r="CI23" s="229" t="s">
        <v>7858</v>
      </c>
      <c r="CJ23" s="229" t="s">
        <v>7857</v>
      </c>
      <c r="CK23" s="229" t="s">
        <v>7856</v>
      </c>
      <c r="CL23" s="229"/>
      <c r="CM23" s="229" t="s">
        <v>7855</v>
      </c>
      <c r="CN23" s="225" t="s">
        <v>7854</v>
      </c>
      <c r="CO23" s="225" t="s">
        <v>6326</v>
      </c>
      <c r="CP23" s="225" t="s">
        <v>7853</v>
      </c>
      <c r="CQ23" s="406" t="s">
        <v>7852</v>
      </c>
      <c r="CR23" s="394" t="s">
        <v>7851</v>
      </c>
      <c r="CS23" s="225"/>
      <c r="CT23" s="225" t="s">
        <v>7850</v>
      </c>
      <c r="CU23" s="402" t="s">
        <v>7849</v>
      </c>
      <c r="CV23" s="225" t="s">
        <v>7848</v>
      </c>
      <c r="CW23" s="225" t="s">
        <v>7847</v>
      </c>
      <c r="CX23" s="225" t="s">
        <v>7846</v>
      </c>
      <c r="CY23" s="403" t="s">
        <v>7845</v>
      </c>
      <c r="CZ23" s="225"/>
      <c r="DA23" s="225" t="s">
        <v>7844</v>
      </c>
      <c r="DB23" s="225" t="s">
        <v>7843</v>
      </c>
      <c r="DC23" s="225" t="s">
        <v>7842</v>
      </c>
      <c r="DD23" s="225" t="s">
        <v>7841</v>
      </c>
      <c r="DE23" s="225"/>
      <c r="DF23" s="225" t="s">
        <v>7840</v>
      </c>
      <c r="DG23" s="225" t="s">
        <v>7839</v>
      </c>
      <c r="DH23" s="225" t="s">
        <v>7838</v>
      </c>
      <c r="DI23" s="225" t="s">
        <v>7837</v>
      </c>
      <c r="DJ23" s="225" t="s">
        <v>7836</v>
      </c>
      <c r="DK23" s="225" t="s">
        <v>7835</v>
      </c>
      <c r="DL23" s="225" t="s">
        <v>7834</v>
      </c>
      <c r="DM23" s="225" t="s">
        <v>7833</v>
      </c>
      <c r="DN23" s="225" t="s">
        <v>7832</v>
      </c>
      <c r="DO23" s="225"/>
      <c r="DP23" s="225" t="s">
        <v>7831</v>
      </c>
      <c r="DQ23" s="225" t="s">
        <v>7830</v>
      </c>
      <c r="DR23" s="225" t="s">
        <v>7829</v>
      </c>
      <c r="DS23" s="225" t="s">
        <v>7828</v>
      </c>
      <c r="DT23" s="225" t="s">
        <v>7827</v>
      </c>
      <c r="DU23" s="225" t="s">
        <v>7826</v>
      </c>
      <c r="DV23" s="225" t="s">
        <v>7825</v>
      </c>
      <c r="DW23" s="246" t="s">
        <v>7824</v>
      </c>
      <c r="DX23" s="225" t="s">
        <v>7823</v>
      </c>
      <c r="DY23" s="225" t="s">
        <v>7822</v>
      </c>
      <c r="DZ23" s="233" t="s">
        <v>7821</v>
      </c>
      <c r="EA23" s="225"/>
      <c r="EB23" s="225" t="s">
        <v>7820</v>
      </c>
      <c r="EC23" s="226"/>
      <c r="ED23" s="225" t="s">
        <v>7818</v>
      </c>
      <c r="EE23" s="225" t="s">
        <v>7819</v>
      </c>
      <c r="EF23" s="225" t="s">
        <v>7818</v>
      </c>
      <c r="EG23" s="226"/>
      <c r="EH23" s="225" t="s">
        <v>470</v>
      </c>
      <c r="EI23" s="225" t="s">
        <v>7817</v>
      </c>
      <c r="EJ23" s="226"/>
      <c r="EK23" s="226"/>
      <c r="EL23" s="226"/>
      <c r="EM23" s="226"/>
      <c r="EN23" s="226"/>
      <c r="EO23" s="226"/>
      <c r="EP23" s="226"/>
      <c r="EQ23" s="226"/>
      <c r="ER23" s="225" t="s">
        <v>7816</v>
      </c>
      <c r="ES23" s="225" t="s">
        <v>7815</v>
      </c>
      <c r="ET23" s="225"/>
      <c r="EU23" s="225"/>
      <c r="EV23" s="225"/>
      <c r="EW23" s="225"/>
      <c r="EX23" s="225" t="s">
        <v>7814</v>
      </c>
      <c r="EY23" s="225" t="s">
        <v>1482</v>
      </c>
      <c r="EZ23" s="229" t="s">
        <v>7813</v>
      </c>
      <c r="FA23" s="225"/>
      <c r="FB23" s="225"/>
      <c r="FC23" s="225" t="s">
        <v>7812</v>
      </c>
      <c r="FD23" s="226"/>
      <c r="FE23" s="404" t="s">
        <v>7811</v>
      </c>
      <c r="FF23" s="225" t="s">
        <v>7810</v>
      </c>
      <c r="FG23" s="225" t="s">
        <v>7809</v>
      </c>
      <c r="FH23" s="225" t="s">
        <v>7808</v>
      </c>
      <c r="FI23" s="394" t="s">
        <v>656</v>
      </c>
      <c r="FJ23" s="394" t="s">
        <v>656</v>
      </c>
      <c r="FK23" s="394"/>
      <c r="FL23" s="394" t="s">
        <v>656</v>
      </c>
      <c r="FM23" s="225"/>
      <c r="FN23" s="225"/>
      <c r="FO23" s="394" t="s">
        <v>7807</v>
      </c>
      <c r="FP23" s="394"/>
      <c r="FQ23" s="394" t="s">
        <v>7806</v>
      </c>
      <c r="FR23" s="394"/>
      <c r="FS23" s="394"/>
      <c r="FT23" s="394"/>
      <c r="FU23" s="226"/>
      <c r="FV23" s="394"/>
      <c r="FW23" s="394"/>
      <c r="FX23" s="394"/>
      <c r="FY23" s="226"/>
      <c r="FZ23" s="394"/>
      <c r="GA23" s="394"/>
      <c r="GB23" s="394" t="s">
        <v>656</v>
      </c>
      <c r="GC23" s="394"/>
      <c r="GD23" s="394"/>
      <c r="GE23" s="394" t="s">
        <v>7805</v>
      </c>
      <c r="GF23" s="394"/>
      <c r="GG23" s="394" t="s">
        <v>4906</v>
      </c>
      <c r="GH23" s="394" t="s">
        <v>4906</v>
      </c>
      <c r="GI23" s="226"/>
      <c r="GJ23" s="394"/>
      <c r="GK23" s="394" t="s">
        <v>7804</v>
      </c>
      <c r="GL23" s="394"/>
      <c r="GM23" s="394" t="s">
        <v>7803</v>
      </c>
      <c r="GN23" s="394"/>
      <c r="GO23" s="226"/>
      <c r="GP23" s="394"/>
      <c r="GQ23" s="226"/>
      <c r="GR23" s="394" t="s">
        <v>7802</v>
      </c>
      <c r="GS23" s="394" t="s">
        <v>7801</v>
      </c>
      <c r="GT23" s="394"/>
      <c r="GU23" s="394" t="s">
        <v>7800</v>
      </c>
      <c r="GV23" s="394"/>
      <c r="GW23" s="226"/>
      <c r="GX23" s="225" t="s">
        <v>7799</v>
      </c>
      <c r="GY23" s="225" t="s">
        <v>7798</v>
      </c>
      <c r="GZ23" s="394"/>
      <c r="HA23" s="225" t="s">
        <v>7797</v>
      </c>
      <c r="HB23" s="225" t="s">
        <v>7796</v>
      </c>
      <c r="HC23" s="225"/>
      <c r="HD23" s="225" t="s">
        <v>7795</v>
      </c>
      <c r="HE23" s="225" t="s">
        <v>7794</v>
      </c>
      <c r="HF23" s="226"/>
      <c r="HG23" s="227" t="s">
        <v>470</v>
      </c>
      <c r="HH23" s="227" t="s">
        <v>7793</v>
      </c>
      <c r="HI23" s="227" t="s">
        <v>7792</v>
      </c>
      <c r="HJ23" s="225" t="s">
        <v>656</v>
      </c>
      <c r="HK23" s="227" t="s">
        <v>7791</v>
      </c>
      <c r="HL23" s="226"/>
      <c r="HM23" s="225" t="s">
        <v>7790</v>
      </c>
      <c r="HN23" s="226"/>
      <c r="HO23" s="225" t="s">
        <v>7789</v>
      </c>
      <c r="HP23" s="225" t="s">
        <v>7788</v>
      </c>
      <c r="HQ23" s="225" t="s">
        <v>7787</v>
      </c>
      <c r="HR23" s="225" t="s">
        <v>7786</v>
      </c>
      <c r="HS23" s="225" t="s">
        <v>470</v>
      </c>
      <c r="HT23" s="225"/>
      <c r="HU23" s="225" t="s">
        <v>7785</v>
      </c>
      <c r="HV23" s="225" t="s">
        <v>7784</v>
      </c>
      <c r="HW23" s="225" t="s">
        <v>470</v>
      </c>
      <c r="HX23" s="225" t="s">
        <v>7783</v>
      </c>
      <c r="HY23" s="225" t="s">
        <v>7782</v>
      </c>
      <c r="HZ23" s="225"/>
      <c r="IA23" s="225" t="s">
        <v>7781</v>
      </c>
      <c r="IB23" s="225" t="s">
        <v>7780</v>
      </c>
      <c r="IC23" s="225" t="s">
        <v>7780</v>
      </c>
      <c r="ID23" s="225" t="s">
        <v>7779</v>
      </c>
      <c r="IE23" s="225" t="s">
        <v>7778</v>
      </c>
      <c r="IF23" s="225" t="s">
        <v>7778</v>
      </c>
      <c r="IG23" s="225" t="s">
        <v>7777</v>
      </c>
      <c r="IH23" s="229" t="s">
        <v>7776</v>
      </c>
      <c r="II23" s="225" t="s">
        <v>7775</v>
      </c>
      <c r="IJ23" s="225" t="s">
        <v>7774</v>
      </c>
      <c r="IK23" s="225" t="s">
        <v>7774</v>
      </c>
      <c r="IL23" s="225" t="s">
        <v>7773</v>
      </c>
      <c r="IM23" s="225" t="s">
        <v>7773</v>
      </c>
      <c r="IN23" s="225" t="s">
        <v>7772</v>
      </c>
      <c r="IO23" s="226" t="s">
        <v>7770</v>
      </c>
      <c r="IP23" s="226" t="s">
        <v>7771</v>
      </c>
      <c r="IQ23" s="226" t="s">
        <v>7770</v>
      </c>
      <c r="IR23" s="225" t="s">
        <v>7769</v>
      </c>
      <c r="IS23" s="225" t="s">
        <v>7768</v>
      </c>
      <c r="IT23" s="225" t="s">
        <v>7767</v>
      </c>
      <c r="IU23" s="225" t="s">
        <v>7766</v>
      </c>
      <c r="IV23" s="225" t="s">
        <v>7765</v>
      </c>
      <c r="IW23" s="225" t="s">
        <v>7764</v>
      </c>
      <c r="IX23" s="225" t="s">
        <v>7763</v>
      </c>
      <c r="IY23" s="225" t="s">
        <v>7762</v>
      </c>
      <c r="IZ23" s="225" t="s">
        <v>7761</v>
      </c>
      <c r="JA23" s="225" t="s">
        <v>7760</v>
      </c>
      <c r="JB23" s="225" t="s">
        <v>7759</v>
      </c>
      <c r="JC23" s="225" t="s">
        <v>656</v>
      </c>
      <c r="JD23" s="225"/>
      <c r="JE23" s="226"/>
      <c r="JF23" s="226"/>
      <c r="JG23" s="226"/>
      <c r="JH23" s="225" t="s">
        <v>7758</v>
      </c>
      <c r="JI23" s="225" t="s">
        <v>7757</v>
      </c>
      <c r="JJ23" s="225" t="s">
        <v>470</v>
      </c>
      <c r="JK23" s="237" t="s">
        <v>7756</v>
      </c>
      <c r="JL23" s="225" t="s">
        <v>7755</v>
      </c>
      <c r="JM23" s="225" t="s">
        <v>7754</v>
      </c>
      <c r="JN23" s="226"/>
      <c r="JO23" s="226"/>
      <c r="JP23" s="226"/>
      <c r="JQ23" s="225" t="s">
        <v>7753</v>
      </c>
      <c r="JR23" s="225" t="s">
        <v>7752</v>
      </c>
      <c r="JS23" s="225" t="s">
        <v>7751</v>
      </c>
      <c r="JT23" s="225" t="s">
        <v>7750</v>
      </c>
      <c r="JU23" s="277" t="s">
        <v>7749</v>
      </c>
      <c r="JV23" s="225" t="s">
        <v>7748</v>
      </c>
      <c r="JW23" s="225" t="s">
        <v>7747</v>
      </c>
      <c r="JX23" s="225" t="s">
        <v>7746</v>
      </c>
      <c r="JY23" s="225" t="s">
        <v>7745</v>
      </c>
      <c r="JZ23" s="225" t="s">
        <v>7744</v>
      </c>
      <c r="KA23" s="225" t="s">
        <v>7743</v>
      </c>
      <c r="KB23" s="225" t="s">
        <v>7742</v>
      </c>
      <c r="KC23" s="225" t="s">
        <v>7741</v>
      </c>
      <c r="KD23" s="225" t="s">
        <v>7740</v>
      </c>
      <c r="KE23" s="232" t="s">
        <v>7739</v>
      </c>
      <c r="KF23" s="225" t="s">
        <v>7738</v>
      </c>
      <c r="KG23" s="225" t="s">
        <v>7737</v>
      </c>
      <c r="KH23" s="225" t="s">
        <v>7736</v>
      </c>
      <c r="KI23" s="225" t="s">
        <v>7735</v>
      </c>
      <c r="KJ23" s="225" t="s">
        <v>7734</v>
      </c>
      <c r="KK23" s="232" t="s">
        <v>656</v>
      </c>
      <c r="KL23" s="225" t="s">
        <v>7733</v>
      </c>
      <c r="KM23" s="225" t="s">
        <v>7732</v>
      </c>
      <c r="KN23" s="225" t="s">
        <v>7731</v>
      </c>
      <c r="KO23" s="225" t="s">
        <v>7730</v>
      </c>
      <c r="KP23" s="225"/>
      <c r="KQ23" s="226"/>
      <c r="KR23" s="226"/>
      <c r="KS23" s="226"/>
      <c r="KT23" s="226"/>
      <c r="KU23" s="226"/>
      <c r="KV23" s="225" t="s">
        <v>7729</v>
      </c>
      <c r="KW23" s="225" t="s">
        <v>7728</v>
      </c>
      <c r="KX23" s="228" t="s">
        <v>9298</v>
      </c>
      <c r="KY23" s="793" t="s">
        <v>9279</v>
      </c>
      <c r="KZ23" s="225" t="s">
        <v>9271</v>
      </c>
      <c r="LA23" s="225" t="s">
        <v>9252</v>
      </c>
      <c r="LB23" s="225" t="s">
        <v>9237</v>
      </c>
      <c r="LC23" s="225" t="s">
        <v>9219</v>
      </c>
      <c r="LD23" s="225" t="s">
        <v>9213</v>
      </c>
      <c r="LE23" s="225" t="s">
        <v>9199</v>
      </c>
      <c r="LF23" s="225" t="s">
        <v>9191</v>
      </c>
      <c r="LG23" s="225" t="s">
        <v>9180</v>
      </c>
      <c r="LH23" s="225" t="s">
        <v>9166</v>
      </c>
      <c r="LI23" s="225" t="s">
        <v>9147</v>
      </c>
      <c r="LJ23" s="225" t="s">
        <v>9127</v>
      </c>
      <c r="LK23" s="225"/>
      <c r="LL23" s="225"/>
      <c r="LM23" s="226"/>
      <c r="LN23" s="225" t="s">
        <v>7727</v>
      </c>
      <c r="LO23" s="225" t="s">
        <v>7726</v>
      </c>
      <c r="LP23" s="225" t="s">
        <v>7725</v>
      </c>
      <c r="LQ23" s="225" t="s">
        <v>7724</v>
      </c>
      <c r="LR23" s="225" t="s">
        <v>7723</v>
      </c>
      <c r="LS23" s="225" t="s">
        <v>7722</v>
      </c>
      <c r="LT23" s="234" t="s">
        <v>7721</v>
      </c>
      <c r="LU23" s="225" t="s">
        <v>7720</v>
      </c>
      <c r="LV23" s="225" t="s">
        <v>9534</v>
      </c>
      <c r="LW23" s="225" t="s">
        <v>7719</v>
      </c>
      <c r="LX23" s="225" t="s">
        <v>7718</v>
      </c>
      <c r="LY23" s="225" t="s">
        <v>7717</v>
      </c>
      <c r="LZ23" s="225" t="s">
        <v>7716</v>
      </c>
      <c r="MA23" s="225" t="s">
        <v>7715</v>
      </c>
      <c r="MB23" s="225" t="s">
        <v>7714</v>
      </c>
      <c r="MC23" s="225" t="s">
        <v>7713</v>
      </c>
      <c r="MD23" s="225" t="s">
        <v>7712</v>
      </c>
      <c r="ME23" s="225" t="s">
        <v>7711</v>
      </c>
      <c r="MF23" s="225" t="s">
        <v>7710</v>
      </c>
      <c r="MG23" s="226"/>
      <c r="MH23" s="226"/>
      <c r="MI23" s="226"/>
      <c r="MJ23" s="235" t="s">
        <v>7709</v>
      </c>
      <c r="MK23" s="235"/>
      <c r="ML23" s="235" t="s">
        <v>7708</v>
      </c>
      <c r="MM23" s="235" t="s">
        <v>7707</v>
      </c>
      <c r="MN23" s="236" t="s">
        <v>7706</v>
      </c>
      <c r="MO23" s="236" t="s">
        <v>7705</v>
      </c>
      <c r="MP23" s="236" t="s">
        <v>7704</v>
      </c>
      <c r="MQ23" s="236" t="s">
        <v>7703</v>
      </c>
      <c r="MR23" s="236" t="s">
        <v>7702</v>
      </c>
      <c r="MS23" s="236" t="s">
        <v>7701</v>
      </c>
      <c r="MT23" s="235" t="s">
        <v>7700</v>
      </c>
      <c r="MU23" s="236" t="s">
        <v>7699</v>
      </c>
      <c r="MV23" s="235" t="s">
        <v>7698</v>
      </c>
      <c r="MW23" s="259" t="s">
        <v>7697</v>
      </c>
      <c r="MX23" s="226"/>
      <c r="MY23" s="226"/>
      <c r="MZ23" s="226"/>
      <c r="NA23" s="226"/>
    </row>
    <row r="24" spans="1:365" ht="136" customHeight="1" x14ac:dyDescent="0.2">
      <c r="A24" s="1216"/>
      <c r="B24" s="1216"/>
      <c r="C24" s="1218"/>
      <c r="D24" s="215" t="s">
        <v>34</v>
      </c>
      <c r="E24" s="260"/>
      <c r="F24" s="260" t="s">
        <v>7696</v>
      </c>
      <c r="G24" s="225" t="s">
        <v>656</v>
      </c>
      <c r="H24" s="225" t="s">
        <v>656</v>
      </c>
      <c r="I24" s="225" t="s">
        <v>656</v>
      </c>
      <c r="J24" s="225" t="s">
        <v>656</v>
      </c>
      <c r="K24" s="225" t="s">
        <v>1924</v>
      </c>
      <c r="L24" s="225" t="s">
        <v>1924</v>
      </c>
      <c r="M24" s="225" t="s">
        <v>1924</v>
      </c>
      <c r="N24" s="225" t="s">
        <v>470</v>
      </c>
      <c r="O24" s="225" t="s">
        <v>470</v>
      </c>
      <c r="P24" s="400" t="s">
        <v>470</v>
      </c>
      <c r="Q24" s="264" t="s">
        <v>7695</v>
      </c>
      <c r="R24" s="225"/>
      <c r="S24" s="225"/>
      <c r="T24" s="279" t="s">
        <v>7694</v>
      </c>
      <c r="U24" s="263" t="s">
        <v>7693</v>
      </c>
      <c r="V24" s="225" t="s">
        <v>7692</v>
      </c>
      <c r="W24" s="226"/>
      <c r="X24" s="226"/>
      <c r="Y24" s="226"/>
      <c r="Z24" s="226"/>
      <c r="AA24" s="226"/>
      <c r="AB24" s="226"/>
      <c r="AC24" s="226"/>
      <c r="AD24" s="226"/>
      <c r="AE24" s="226"/>
      <c r="AF24" s="225" t="s">
        <v>7691</v>
      </c>
      <c r="AG24" s="225" t="s">
        <v>7348</v>
      </c>
      <c r="AH24" s="226"/>
      <c r="AI24" s="260" t="s">
        <v>7690</v>
      </c>
      <c r="AJ24" s="264" t="s">
        <v>7689</v>
      </c>
      <c r="AK24" s="423" t="s">
        <v>7688</v>
      </c>
      <c r="AL24" s="260" t="s">
        <v>7687</v>
      </c>
      <c r="AM24" s="226"/>
      <c r="AN24" s="226"/>
      <c r="AO24" s="226"/>
      <c r="AP24" s="226"/>
      <c r="AQ24" s="264" t="s">
        <v>7686</v>
      </c>
      <c r="AR24" s="263" t="s">
        <v>7685</v>
      </c>
      <c r="AS24" s="263" t="s">
        <v>7685</v>
      </c>
      <c r="AT24" s="225" t="s">
        <v>7684</v>
      </c>
      <c r="AU24" s="225" t="s">
        <v>656</v>
      </c>
      <c r="AV24" s="225" t="s">
        <v>7683</v>
      </c>
      <c r="AW24" s="225" t="s">
        <v>5730</v>
      </c>
      <c r="AX24" s="225" t="s">
        <v>7682</v>
      </c>
      <c r="AY24" s="229" t="s">
        <v>2234</v>
      </c>
      <c r="AZ24" s="260" t="s">
        <v>5177</v>
      </c>
      <c r="BA24" s="260"/>
      <c r="BB24" s="225"/>
      <c r="BC24" s="225"/>
      <c r="BD24" s="225"/>
      <c r="BE24" s="229"/>
      <c r="BF24" s="225"/>
      <c r="BG24" s="225"/>
      <c r="BH24" s="260" t="s">
        <v>7681</v>
      </c>
      <c r="BI24" s="225" t="s">
        <v>656</v>
      </c>
      <c r="BJ24" s="225"/>
      <c r="BK24" s="225" t="s">
        <v>470</v>
      </c>
      <c r="BL24" s="225"/>
      <c r="BM24" s="225"/>
      <c r="BN24" s="226"/>
      <c r="BO24" s="225"/>
      <c r="BP24" s="225"/>
      <c r="BQ24" s="264" t="s">
        <v>5169</v>
      </c>
      <c r="BR24" s="233" t="s">
        <v>34</v>
      </c>
      <c r="BS24" s="226" t="s">
        <v>7680</v>
      </c>
      <c r="BT24" s="264" t="s">
        <v>5168</v>
      </c>
      <c r="BU24" s="225"/>
      <c r="BV24" s="225"/>
      <c r="BW24" s="225"/>
      <c r="BX24" s="225"/>
      <c r="BY24" s="225"/>
      <c r="BZ24" s="260" t="s">
        <v>7679</v>
      </c>
      <c r="CA24" s="264" t="s">
        <v>4921</v>
      </c>
      <c r="CB24" s="264" t="s">
        <v>4921</v>
      </c>
      <c r="CC24" s="226"/>
      <c r="CD24" s="424" t="s">
        <v>7678</v>
      </c>
      <c r="CE24" s="229"/>
      <c r="CF24" s="229" t="s">
        <v>7677</v>
      </c>
      <c r="CG24" s="430" t="s">
        <v>4847</v>
      </c>
      <c r="CH24" s="425" t="s">
        <v>7676</v>
      </c>
      <c r="CI24" s="425" t="s">
        <v>7675</v>
      </c>
      <c r="CJ24" s="425" t="s">
        <v>7674</v>
      </c>
      <c r="CK24" s="425" t="s">
        <v>7673</v>
      </c>
      <c r="CL24" s="229"/>
      <c r="CM24" s="425" t="s">
        <v>7672</v>
      </c>
      <c r="CN24" s="225" t="s">
        <v>7671</v>
      </c>
      <c r="CO24" s="263" t="s">
        <v>7670</v>
      </c>
      <c r="CP24" s="225" t="s">
        <v>6240</v>
      </c>
      <c r="CQ24" s="406" t="s">
        <v>5998</v>
      </c>
      <c r="CR24" s="388" t="s">
        <v>6239</v>
      </c>
      <c r="CS24" s="225"/>
      <c r="CT24" s="279" t="s">
        <v>7669</v>
      </c>
      <c r="CU24" s="402" t="s">
        <v>6238</v>
      </c>
      <c r="CV24" s="225" t="s">
        <v>5153</v>
      </c>
      <c r="CW24" s="279" t="s">
        <v>7668</v>
      </c>
      <c r="CX24" s="225" t="s">
        <v>7667</v>
      </c>
      <c r="CY24" s="403" t="s">
        <v>7666</v>
      </c>
      <c r="CZ24" s="225"/>
      <c r="DA24" s="225" t="s">
        <v>1149</v>
      </c>
      <c r="DB24" s="260" t="s">
        <v>5997</v>
      </c>
      <c r="DC24" s="225" t="s">
        <v>7665</v>
      </c>
      <c r="DD24" s="225" t="s">
        <v>7664</v>
      </c>
      <c r="DE24" s="225"/>
      <c r="DF24" s="260" t="s">
        <v>7663</v>
      </c>
      <c r="DG24" s="260" t="s">
        <v>7662</v>
      </c>
      <c r="DH24" s="260" t="s">
        <v>7661</v>
      </c>
      <c r="DI24" s="279" t="s">
        <v>5001</v>
      </c>
      <c r="DJ24" s="426" t="s">
        <v>5144</v>
      </c>
      <c r="DK24" s="225" t="s">
        <v>7660</v>
      </c>
      <c r="DL24" s="260" t="s">
        <v>7659</v>
      </c>
      <c r="DM24" s="260" t="s">
        <v>7307</v>
      </c>
      <c r="DN24" s="279" t="s">
        <v>5899</v>
      </c>
      <c r="DO24" s="225"/>
      <c r="DP24" s="264" t="s">
        <v>7658</v>
      </c>
      <c r="DQ24" s="427" t="s">
        <v>7657</v>
      </c>
      <c r="DR24" s="264" t="s">
        <v>7656</v>
      </c>
      <c r="DS24" s="264" t="s">
        <v>7655</v>
      </c>
      <c r="DT24" s="427" t="s">
        <v>7654</v>
      </c>
      <c r="DU24" s="225" t="s">
        <v>7653</v>
      </c>
      <c r="DV24" s="260" t="s">
        <v>7652</v>
      </c>
      <c r="DW24" s="246" t="s">
        <v>2234</v>
      </c>
      <c r="DX24" s="264" t="s">
        <v>6236</v>
      </c>
      <c r="DY24" s="226" t="s">
        <v>7091</v>
      </c>
      <c r="DZ24" s="263" t="s">
        <v>7651</v>
      </c>
      <c r="EA24" s="225"/>
      <c r="EB24" s="263" t="s">
        <v>7650</v>
      </c>
      <c r="EC24" s="226"/>
      <c r="ED24" s="263" t="s">
        <v>7649</v>
      </c>
      <c r="EE24" s="263" t="s">
        <v>6235</v>
      </c>
      <c r="EF24" s="263" t="s">
        <v>7649</v>
      </c>
      <c r="EG24" s="226"/>
      <c r="EH24" s="225"/>
      <c r="EI24" s="260" t="s">
        <v>5993</v>
      </c>
      <c r="EJ24" s="226"/>
      <c r="EK24" s="226"/>
      <c r="EL24" s="226"/>
      <c r="EM24" s="226"/>
      <c r="EN24" s="226"/>
      <c r="EO24" s="226"/>
      <c r="EP24" s="226"/>
      <c r="EQ24" s="226"/>
      <c r="ER24" s="263" t="s">
        <v>7648</v>
      </c>
      <c r="ES24" s="263" t="s">
        <v>7647</v>
      </c>
      <c r="ET24" s="225"/>
      <c r="EU24" s="225"/>
      <c r="EV24" s="225"/>
      <c r="EW24" s="225"/>
      <c r="EX24" s="263" t="s">
        <v>7646</v>
      </c>
      <c r="EY24" s="225"/>
      <c r="EZ24" s="229"/>
      <c r="FA24" s="225"/>
      <c r="FB24" s="225"/>
      <c r="FC24" s="264" t="s">
        <v>7645</v>
      </c>
      <c r="FD24" s="226"/>
      <c r="FE24" s="404" t="s">
        <v>7644</v>
      </c>
      <c r="FF24" s="264" t="s">
        <v>7643</v>
      </c>
      <c r="FG24" s="264" t="s">
        <v>7642</v>
      </c>
      <c r="FH24" s="225" t="s">
        <v>7641</v>
      </c>
      <c r="FI24" s="394" t="s">
        <v>656</v>
      </c>
      <c r="FJ24" s="394" t="s">
        <v>656</v>
      </c>
      <c r="FK24" s="394"/>
      <c r="FL24" s="394" t="s">
        <v>656</v>
      </c>
      <c r="FM24" s="225"/>
      <c r="FN24" s="225"/>
      <c r="FO24" s="388" t="s">
        <v>7640</v>
      </c>
      <c r="FP24" s="388"/>
      <c r="FQ24" s="388" t="s">
        <v>6234</v>
      </c>
      <c r="FR24" s="394"/>
      <c r="FS24" s="394"/>
      <c r="FT24" s="394"/>
      <c r="FU24" s="226"/>
      <c r="FV24" s="394"/>
      <c r="FW24" s="394"/>
      <c r="FX24" s="394"/>
      <c r="FY24" s="226"/>
      <c r="FZ24" s="394"/>
      <c r="GA24" s="394"/>
      <c r="GB24" s="394"/>
      <c r="GC24" s="394"/>
      <c r="GD24" s="394"/>
      <c r="GE24" s="388" t="s">
        <v>7639</v>
      </c>
      <c r="GF24" s="388"/>
      <c r="GG24" s="394" t="s">
        <v>4906</v>
      </c>
      <c r="GH24" s="394" t="s">
        <v>4906</v>
      </c>
      <c r="GI24" s="226"/>
      <c r="GJ24" s="394"/>
      <c r="GK24" s="388" t="s">
        <v>7638</v>
      </c>
      <c r="GL24" s="394"/>
      <c r="GM24" s="388" t="s">
        <v>7637</v>
      </c>
      <c r="GN24" s="388"/>
      <c r="GO24" s="226"/>
      <c r="GP24" s="394"/>
      <c r="GQ24" s="226"/>
      <c r="GR24" s="394" t="s">
        <v>7636</v>
      </c>
      <c r="GS24" s="394"/>
      <c r="GT24" s="394"/>
      <c r="GU24" s="388" t="s">
        <v>7635</v>
      </c>
      <c r="GV24" s="394"/>
      <c r="GW24" s="226"/>
      <c r="GX24" s="225"/>
      <c r="GY24" s="225"/>
      <c r="GZ24" s="394"/>
      <c r="HA24" s="225"/>
      <c r="HB24" s="225" t="s">
        <v>7634</v>
      </c>
      <c r="HC24" s="260"/>
      <c r="HD24" s="260" t="s">
        <v>7633</v>
      </c>
      <c r="HE24" s="225" t="s">
        <v>7632</v>
      </c>
      <c r="HF24" s="226"/>
      <c r="HG24" s="227" t="s">
        <v>656</v>
      </c>
      <c r="HH24" s="261" t="s">
        <v>7631</v>
      </c>
      <c r="HI24" s="262" t="s">
        <v>7630</v>
      </c>
      <c r="HJ24" s="225" t="s">
        <v>656</v>
      </c>
      <c r="HK24" s="261" t="s">
        <v>6227</v>
      </c>
      <c r="HL24" s="226"/>
      <c r="HM24" s="225"/>
      <c r="HN24" s="226"/>
      <c r="HO24" s="260" t="s">
        <v>7629</v>
      </c>
      <c r="HP24" s="264" t="s">
        <v>7628</v>
      </c>
      <c r="HQ24" s="225"/>
      <c r="HR24" s="260" t="s">
        <v>7627</v>
      </c>
      <c r="HS24" s="225"/>
      <c r="HT24" s="225"/>
      <c r="HU24" s="260" t="s">
        <v>6225</v>
      </c>
      <c r="HV24" s="265" t="s">
        <v>7626</v>
      </c>
      <c r="HW24" s="225"/>
      <c r="HX24" s="260" t="s">
        <v>7625</v>
      </c>
      <c r="HY24" s="266" t="s">
        <v>5289</v>
      </c>
      <c r="HZ24" s="225"/>
      <c r="IA24" s="260" t="s">
        <v>7624</v>
      </c>
      <c r="IB24" s="260" t="s">
        <v>7623</v>
      </c>
      <c r="IC24" s="260" t="s">
        <v>7622</v>
      </c>
      <c r="ID24" s="267" t="s">
        <v>5989</v>
      </c>
      <c r="IE24" s="264" t="s">
        <v>5989</v>
      </c>
      <c r="IF24" s="260" t="s">
        <v>5989</v>
      </c>
      <c r="IG24" s="260" t="s">
        <v>4400</v>
      </c>
      <c r="IH24" s="278" t="s">
        <v>7621</v>
      </c>
      <c r="II24" s="260" t="s">
        <v>5987</v>
      </c>
      <c r="IJ24" s="260" t="s">
        <v>5986</v>
      </c>
      <c r="IK24" s="260" t="s">
        <v>5986</v>
      </c>
      <c r="IL24" s="260" t="s">
        <v>5985</v>
      </c>
      <c r="IM24" s="260" t="s">
        <v>5985</v>
      </c>
      <c r="IN24" s="260" t="s">
        <v>5984</v>
      </c>
      <c r="IO24" s="260" t="s">
        <v>5983</v>
      </c>
      <c r="IP24" s="260" t="s">
        <v>5983</v>
      </c>
      <c r="IQ24" s="260" t="s">
        <v>5983</v>
      </c>
      <c r="IR24" s="260" t="s">
        <v>5982</v>
      </c>
      <c r="IS24" s="260" t="s">
        <v>5981</v>
      </c>
      <c r="IT24" s="260" t="s">
        <v>5980</v>
      </c>
      <c r="IU24" s="260" t="s">
        <v>5979</v>
      </c>
      <c r="IV24" s="260" t="s">
        <v>5978</v>
      </c>
      <c r="IW24" s="260" t="s">
        <v>5977</v>
      </c>
      <c r="IX24" s="260" t="s">
        <v>7620</v>
      </c>
      <c r="IY24" s="260" t="s">
        <v>5975</v>
      </c>
      <c r="IZ24" s="225" t="s">
        <v>7619</v>
      </c>
      <c r="JA24" s="225"/>
      <c r="JB24" s="225"/>
      <c r="JC24" s="225" t="s">
        <v>656</v>
      </c>
      <c r="JD24" s="225"/>
      <c r="JE24" s="226"/>
      <c r="JF24" s="226"/>
      <c r="JG24" s="226"/>
      <c r="JH24" s="263" t="s">
        <v>7618</v>
      </c>
      <c r="JI24" s="279" t="s">
        <v>5082</v>
      </c>
      <c r="JJ24" s="225" t="s">
        <v>656</v>
      </c>
      <c r="JK24" s="280" t="s">
        <v>9523</v>
      </c>
      <c r="JL24" s="263" t="s">
        <v>5079</v>
      </c>
      <c r="JM24" s="225" t="s">
        <v>5078</v>
      </c>
      <c r="JN24" s="226"/>
      <c r="JO24" s="226"/>
      <c r="JP24" s="226"/>
      <c r="JQ24" s="225" t="s">
        <v>7617</v>
      </c>
      <c r="JR24" s="225" t="s">
        <v>7616</v>
      </c>
      <c r="JS24" s="260" t="s">
        <v>7615</v>
      </c>
      <c r="JT24" s="260" t="s">
        <v>5973</v>
      </c>
      <c r="JU24" s="281" t="s">
        <v>7614</v>
      </c>
      <c r="JV24" s="225" t="s">
        <v>7613</v>
      </c>
      <c r="JW24" s="260" t="s">
        <v>6222</v>
      </c>
      <c r="JX24" s="225" t="s">
        <v>7612</v>
      </c>
      <c r="JY24" s="264" t="s">
        <v>7611</v>
      </c>
      <c r="JZ24" s="264" t="s">
        <v>7610</v>
      </c>
      <c r="KA24" s="225" t="s">
        <v>656</v>
      </c>
      <c r="KB24" s="225" t="s">
        <v>7609</v>
      </c>
      <c r="KC24" s="225" t="s">
        <v>7608</v>
      </c>
      <c r="KD24" s="225" t="s">
        <v>7607</v>
      </c>
      <c r="KE24" s="232" t="s">
        <v>7606</v>
      </c>
      <c r="KF24" s="260" t="s">
        <v>7605</v>
      </c>
      <c r="KG24" s="260" t="s">
        <v>7604</v>
      </c>
      <c r="KH24" s="260" t="s">
        <v>5067</v>
      </c>
      <c r="KI24" s="225" t="s">
        <v>7603</v>
      </c>
      <c r="KJ24" s="225" t="s">
        <v>7602</v>
      </c>
      <c r="KK24" s="232" t="s">
        <v>656</v>
      </c>
      <c r="KL24" s="260" t="s">
        <v>7601</v>
      </c>
      <c r="KM24" s="282" t="s">
        <v>7600</v>
      </c>
      <c r="KN24" s="225" t="s">
        <v>5063</v>
      </c>
      <c r="KO24" s="225" t="s">
        <v>6219</v>
      </c>
      <c r="KP24" s="225"/>
      <c r="KQ24" s="226"/>
      <c r="KR24" s="226"/>
      <c r="KS24" s="226"/>
      <c r="KT24" s="226"/>
      <c r="KU24" s="226"/>
      <c r="KV24" s="263" t="s">
        <v>7599</v>
      </c>
      <c r="KW24" s="263" t="s">
        <v>7598</v>
      </c>
      <c r="KX24" s="798" t="s">
        <v>9299</v>
      </c>
      <c r="KY24" s="801" t="s">
        <v>9280</v>
      </c>
      <c r="KZ24" s="264" t="s">
        <v>9167</v>
      </c>
      <c r="LA24" s="264" t="s">
        <v>9253</v>
      </c>
      <c r="LB24" s="264" t="s">
        <v>9238</v>
      </c>
      <c r="LC24" s="264" t="s">
        <v>9220</v>
      </c>
      <c r="LD24" s="264" t="s">
        <v>9167</v>
      </c>
      <c r="LE24" s="263" t="s">
        <v>9200</v>
      </c>
      <c r="LF24" s="264" t="s">
        <v>9167</v>
      </c>
      <c r="LG24" s="264" t="s">
        <v>9181</v>
      </c>
      <c r="LH24" s="264" t="s">
        <v>9167</v>
      </c>
      <c r="LI24" s="264" t="s">
        <v>9148</v>
      </c>
      <c r="LJ24" s="263" t="s">
        <v>9128</v>
      </c>
      <c r="LK24" s="225"/>
      <c r="LL24" s="225"/>
      <c r="LM24" s="226"/>
      <c r="LN24" s="264" t="s">
        <v>7597</v>
      </c>
      <c r="LO24" s="260" t="s">
        <v>7596</v>
      </c>
      <c r="LP24" s="225" t="s">
        <v>6217</v>
      </c>
      <c r="LQ24" s="225" t="s">
        <v>7595</v>
      </c>
      <c r="LR24" s="225" t="s">
        <v>7594</v>
      </c>
      <c r="LS24" s="225" t="s">
        <v>7593</v>
      </c>
      <c r="LT24" s="283" t="s">
        <v>6216</v>
      </c>
      <c r="LU24" s="225" t="s">
        <v>7592</v>
      </c>
      <c r="LV24" s="225" t="s">
        <v>7591</v>
      </c>
      <c r="LW24" s="260" t="s">
        <v>7590</v>
      </c>
      <c r="LX24" s="264" t="s">
        <v>7589</v>
      </c>
      <c r="LY24" s="225" t="s">
        <v>6215</v>
      </c>
      <c r="LZ24" s="260" t="s">
        <v>7588</v>
      </c>
      <c r="MA24" s="264" t="s">
        <v>7587</v>
      </c>
      <c r="MB24" s="225" t="s">
        <v>7586</v>
      </c>
      <c r="MC24" s="225" t="s">
        <v>7585</v>
      </c>
      <c r="MD24" s="225" t="s">
        <v>7584</v>
      </c>
      <c r="ME24" s="260" t="s">
        <v>7583</v>
      </c>
      <c r="MF24" s="225" t="s">
        <v>7582</v>
      </c>
      <c r="MG24" s="226"/>
      <c r="MH24" s="226"/>
      <c r="MI24" s="226"/>
      <c r="MJ24" s="284" t="s">
        <v>7581</v>
      </c>
      <c r="MK24" s="284"/>
      <c r="ML24" s="235" t="s">
        <v>6213</v>
      </c>
      <c r="MM24" s="285" t="s">
        <v>7580</v>
      </c>
      <c r="MN24" s="286" t="s">
        <v>7579</v>
      </c>
      <c r="MO24" s="286" t="s">
        <v>7578</v>
      </c>
      <c r="MP24" s="287" t="s">
        <v>5773</v>
      </c>
      <c r="MQ24" s="286" t="s">
        <v>5772</v>
      </c>
      <c r="MR24" s="274" t="s">
        <v>7577</v>
      </c>
      <c r="MS24" s="274" t="s">
        <v>5770</v>
      </c>
      <c r="MT24" s="275" t="s">
        <v>7576</v>
      </c>
      <c r="MU24" s="274" t="s">
        <v>5769</v>
      </c>
      <c r="MV24" s="269" t="s">
        <v>5768</v>
      </c>
      <c r="MW24" s="276" t="s">
        <v>5767</v>
      </c>
      <c r="MX24" s="226"/>
      <c r="MY24" s="226"/>
      <c r="MZ24" s="226"/>
      <c r="NA24" s="226"/>
    </row>
    <row r="25" spans="1:365" ht="409.6" x14ac:dyDescent="0.2">
      <c r="A25" s="1216"/>
      <c r="B25" s="1217" t="s">
        <v>35</v>
      </c>
      <c r="C25" s="1218" t="s">
        <v>7575</v>
      </c>
      <c r="D25" s="215" t="s">
        <v>15</v>
      </c>
      <c r="E25" s="225" t="s">
        <v>7574</v>
      </c>
      <c r="F25" s="225" t="s">
        <v>7573</v>
      </c>
      <c r="G25" s="225" t="s">
        <v>656</v>
      </c>
      <c r="H25" s="225" t="s">
        <v>656</v>
      </c>
      <c r="I25" s="225" t="s">
        <v>656</v>
      </c>
      <c r="J25" s="225" t="s">
        <v>656</v>
      </c>
      <c r="K25" s="225" t="s">
        <v>7572</v>
      </c>
      <c r="L25" s="225" t="s">
        <v>7356</v>
      </c>
      <c r="M25" s="225" t="s">
        <v>7571</v>
      </c>
      <c r="N25" s="225" t="s">
        <v>7571</v>
      </c>
      <c r="O25" s="225" t="s">
        <v>470</v>
      </c>
      <c r="P25" s="400" t="s">
        <v>7570</v>
      </c>
      <c r="Q25" s="225" t="s">
        <v>7569</v>
      </c>
      <c r="R25" s="225" t="s">
        <v>7568</v>
      </c>
      <c r="S25" s="225"/>
      <c r="T25" s="225" t="s">
        <v>7567</v>
      </c>
      <c r="U25" s="225" t="s">
        <v>7566</v>
      </c>
      <c r="V25" s="225" t="s">
        <v>7565</v>
      </c>
      <c r="W25" s="226"/>
      <c r="X25" s="226"/>
      <c r="Y25" s="226"/>
      <c r="Z25" s="226"/>
      <c r="AA25" s="226"/>
      <c r="AB25" s="226"/>
      <c r="AC25" s="226"/>
      <c r="AD25" s="226"/>
      <c r="AE25" s="226"/>
      <c r="AF25" s="225" t="s">
        <v>7564</v>
      </c>
      <c r="AG25" s="225" t="s">
        <v>7563</v>
      </c>
      <c r="AH25" s="226"/>
      <c r="AI25" s="225" t="s">
        <v>7562</v>
      </c>
      <c r="AJ25" s="225" t="s">
        <v>7561</v>
      </c>
      <c r="AK25" s="250" t="s">
        <v>7560</v>
      </c>
      <c r="AL25" s="225" t="s">
        <v>7559</v>
      </c>
      <c r="AM25" s="226"/>
      <c r="AN25" s="226"/>
      <c r="AO25" s="226"/>
      <c r="AP25" s="226"/>
      <c r="AQ25" s="225" t="s">
        <v>7558</v>
      </c>
      <c r="AR25" s="225" t="s">
        <v>7557</v>
      </c>
      <c r="AS25" s="225" t="s">
        <v>7557</v>
      </c>
      <c r="AT25" s="225" t="s">
        <v>470</v>
      </c>
      <c r="AU25" s="225" t="s">
        <v>7556</v>
      </c>
      <c r="AV25" s="225" t="s">
        <v>7555</v>
      </c>
      <c r="AW25" s="264" t="s">
        <v>7554</v>
      </c>
      <c r="AX25" s="225" t="s">
        <v>7553</v>
      </c>
      <c r="AY25" s="229" t="s">
        <v>7552</v>
      </c>
      <c r="AZ25" s="225" t="s">
        <v>7551</v>
      </c>
      <c r="BA25" s="225"/>
      <c r="BB25" s="225"/>
      <c r="BC25" s="226" t="s">
        <v>7550</v>
      </c>
      <c r="BD25" s="225" t="s">
        <v>7549</v>
      </c>
      <c r="BE25" s="229" t="s">
        <v>7548</v>
      </c>
      <c r="BF25" s="225"/>
      <c r="BG25" s="225"/>
      <c r="BH25" s="225" t="s">
        <v>7547</v>
      </c>
      <c r="BI25" s="225" t="s">
        <v>7546</v>
      </c>
      <c r="BJ25" s="225" t="s">
        <v>7545</v>
      </c>
      <c r="BK25" s="233" t="s">
        <v>7544</v>
      </c>
      <c r="BL25" s="225"/>
      <c r="BM25" s="225"/>
      <c r="BN25" s="226"/>
      <c r="BO25" s="225" t="s">
        <v>7543</v>
      </c>
      <c r="BP25" s="225" t="s">
        <v>7542</v>
      </c>
      <c r="BQ25" s="225" t="s">
        <v>7541</v>
      </c>
      <c r="BR25" s="233" t="s">
        <v>7540</v>
      </c>
      <c r="BS25" s="225" t="s">
        <v>7539</v>
      </c>
      <c r="BT25" s="225"/>
      <c r="BU25" s="225" t="s">
        <v>7538</v>
      </c>
      <c r="BV25" s="225" t="s">
        <v>7537</v>
      </c>
      <c r="BW25" s="225"/>
      <c r="BX25" s="225" t="s">
        <v>7536</v>
      </c>
      <c r="BY25" s="225" t="s">
        <v>7535</v>
      </c>
      <c r="BZ25" s="224" t="s">
        <v>7534</v>
      </c>
      <c r="CA25" s="225"/>
      <c r="CB25" s="225"/>
      <c r="CC25" s="226" t="s">
        <v>7533</v>
      </c>
      <c r="CD25" s="229" t="s">
        <v>7532</v>
      </c>
      <c r="CE25" s="229"/>
      <c r="CF25" s="229"/>
      <c r="CG25" s="229" t="s">
        <v>7531</v>
      </c>
      <c r="CH25" s="229" t="s">
        <v>7530</v>
      </c>
      <c r="CI25" s="229"/>
      <c r="CJ25" s="229" t="s">
        <v>7529</v>
      </c>
      <c r="CK25" s="229" t="s">
        <v>7528</v>
      </c>
      <c r="CL25" s="229" t="s">
        <v>7527</v>
      </c>
      <c r="CM25" s="229"/>
      <c r="CN25" s="225" t="s">
        <v>7526</v>
      </c>
      <c r="CO25" s="225" t="s">
        <v>7525</v>
      </c>
      <c r="CP25" s="225"/>
      <c r="CQ25" s="406" t="s">
        <v>7524</v>
      </c>
      <c r="CR25" s="394" t="s">
        <v>7523</v>
      </c>
      <c r="CS25" s="225" t="s">
        <v>7522</v>
      </c>
      <c r="CT25" s="225" t="s">
        <v>7521</v>
      </c>
      <c r="CU25" s="225" t="s">
        <v>7520</v>
      </c>
      <c r="CV25" s="225" t="s">
        <v>7519</v>
      </c>
      <c r="CW25" s="226" t="s">
        <v>7518</v>
      </c>
      <c r="CX25" s="225" t="s">
        <v>7517</v>
      </c>
      <c r="CY25" s="225" t="s">
        <v>7516</v>
      </c>
      <c r="CZ25" s="225" t="s">
        <v>7515</v>
      </c>
      <c r="DA25" s="225" t="s">
        <v>7514</v>
      </c>
      <c r="DB25" s="225" t="s">
        <v>7513</v>
      </c>
      <c r="DC25" s="225"/>
      <c r="DD25" s="225" t="s">
        <v>7512</v>
      </c>
      <c r="DE25" s="225" t="s">
        <v>7511</v>
      </c>
      <c r="DF25" s="225" t="s">
        <v>7510</v>
      </c>
      <c r="DG25" s="225" t="s">
        <v>470</v>
      </c>
      <c r="DH25" s="225" t="s">
        <v>7509</v>
      </c>
      <c r="DI25" s="225" t="s">
        <v>7508</v>
      </c>
      <c r="DJ25" s="225" t="s">
        <v>7507</v>
      </c>
      <c r="DK25" s="225" t="s">
        <v>7506</v>
      </c>
      <c r="DL25" s="225" t="s">
        <v>7505</v>
      </c>
      <c r="DM25" s="225" t="s">
        <v>7504</v>
      </c>
      <c r="DN25" s="225" t="s">
        <v>7503</v>
      </c>
      <c r="DO25" s="225"/>
      <c r="DP25" s="225" t="s">
        <v>7502</v>
      </c>
      <c r="DQ25" s="225" t="s">
        <v>7501</v>
      </c>
      <c r="DR25" s="226" t="s">
        <v>7500</v>
      </c>
      <c r="DS25" s="225" t="s">
        <v>7499</v>
      </c>
      <c r="DT25" s="431" t="s">
        <v>7498</v>
      </c>
      <c r="DU25" s="225" t="s">
        <v>7497</v>
      </c>
      <c r="DV25" s="225" t="s">
        <v>7496</v>
      </c>
      <c r="DW25" s="246" t="s">
        <v>2234</v>
      </c>
      <c r="DX25" s="225" t="s">
        <v>7495</v>
      </c>
      <c r="DY25" s="225" t="s">
        <v>7494</v>
      </c>
      <c r="DZ25" s="233" t="s">
        <v>7493</v>
      </c>
      <c r="EA25" s="225" t="s">
        <v>7492</v>
      </c>
      <c r="EB25" s="225" t="s">
        <v>7491</v>
      </c>
      <c r="EC25" s="226"/>
      <c r="ED25" s="225" t="s">
        <v>7490</v>
      </c>
      <c r="EE25" s="225"/>
      <c r="EF25" s="225" t="s">
        <v>7490</v>
      </c>
      <c r="EG25" s="226"/>
      <c r="EH25" s="225" t="s">
        <v>7489</v>
      </c>
      <c r="EI25" s="225" t="s">
        <v>7488</v>
      </c>
      <c r="EJ25" s="226"/>
      <c r="EK25" s="226"/>
      <c r="EL25" s="226"/>
      <c r="EM25" s="226"/>
      <c r="EN25" s="226"/>
      <c r="EO25" s="226"/>
      <c r="EP25" s="226"/>
      <c r="EQ25" s="226"/>
      <c r="ER25" s="225" t="s">
        <v>7487</v>
      </c>
      <c r="ES25" s="225" t="s">
        <v>7486</v>
      </c>
      <c r="ET25" s="225" t="s">
        <v>7485</v>
      </c>
      <c r="EU25" s="225" t="s">
        <v>7484</v>
      </c>
      <c r="EV25" s="225" t="s">
        <v>7484</v>
      </c>
      <c r="EW25" s="225" t="s">
        <v>7483</v>
      </c>
      <c r="EX25" s="225" t="s">
        <v>7482</v>
      </c>
      <c r="EY25" s="225"/>
      <c r="EZ25" s="229" t="s">
        <v>7481</v>
      </c>
      <c r="FA25" s="225" t="s">
        <v>7480</v>
      </c>
      <c r="FB25" s="225" t="s">
        <v>7479</v>
      </c>
      <c r="FC25" s="225" t="s">
        <v>7478</v>
      </c>
      <c r="FD25" s="226"/>
      <c r="FE25" s="404" t="s">
        <v>7477</v>
      </c>
      <c r="FF25" s="225" t="s">
        <v>7476</v>
      </c>
      <c r="FG25" s="225" t="s">
        <v>7475</v>
      </c>
      <c r="FH25" s="225" t="s">
        <v>7474</v>
      </c>
      <c r="FI25" s="394" t="s">
        <v>7473</v>
      </c>
      <c r="FJ25" s="394" t="s">
        <v>7472</v>
      </c>
      <c r="FK25" s="394"/>
      <c r="FL25" s="394" t="s">
        <v>7471</v>
      </c>
      <c r="FM25" s="225" t="s">
        <v>7470</v>
      </c>
      <c r="FN25" s="225"/>
      <c r="FO25" s="394" t="s">
        <v>7469</v>
      </c>
      <c r="FP25" s="394"/>
      <c r="FQ25" s="394" t="s">
        <v>7468</v>
      </c>
      <c r="FR25" s="394" t="s">
        <v>7467</v>
      </c>
      <c r="FS25" s="394"/>
      <c r="FT25" s="394" t="s">
        <v>7466</v>
      </c>
      <c r="FU25" s="226"/>
      <c r="FV25" s="394"/>
      <c r="FW25" s="394"/>
      <c r="FX25" s="394"/>
      <c r="FY25" s="226"/>
      <c r="FZ25" s="394" t="s">
        <v>7465</v>
      </c>
      <c r="GA25" s="394" t="s">
        <v>7464</v>
      </c>
      <c r="GB25" s="394"/>
      <c r="GC25" s="394"/>
      <c r="GD25" s="394" t="s">
        <v>7463</v>
      </c>
      <c r="GE25" s="394"/>
      <c r="GF25" s="394"/>
      <c r="GG25" s="394" t="s">
        <v>7462</v>
      </c>
      <c r="GH25" s="394" t="s">
        <v>7461</v>
      </c>
      <c r="GI25" s="226"/>
      <c r="GJ25" s="394" t="s">
        <v>7460</v>
      </c>
      <c r="GK25" s="394" t="s">
        <v>7459</v>
      </c>
      <c r="GL25" s="394"/>
      <c r="GM25" s="394" t="s">
        <v>7458</v>
      </c>
      <c r="GN25" s="394" t="s">
        <v>7457</v>
      </c>
      <c r="GO25" s="226"/>
      <c r="GP25" s="394" t="s">
        <v>7456</v>
      </c>
      <c r="GQ25" s="226"/>
      <c r="GR25" s="394"/>
      <c r="GS25" s="394" t="s">
        <v>7455</v>
      </c>
      <c r="GT25" s="394"/>
      <c r="GU25" s="394" t="s">
        <v>7454</v>
      </c>
      <c r="GV25" s="394" t="s">
        <v>7453</v>
      </c>
      <c r="GW25" s="226"/>
      <c r="GX25" s="226" t="s">
        <v>7452</v>
      </c>
      <c r="GY25" s="226" t="s">
        <v>7451</v>
      </c>
      <c r="GZ25" s="394" t="s">
        <v>7450</v>
      </c>
      <c r="HA25" s="225" t="s">
        <v>7449</v>
      </c>
      <c r="HB25" s="225" t="s">
        <v>7448</v>
      </c>
      <c r="HC25" s="225" t="s">
        <v>7447</v>
      </c>
      <c r="HD25" s="225" t="s">
        <v>7446</v>
      </c>
      <c r="HE25" s="225" t="s">
        <v>7445</v>
      </c>
      <c r="HF25" s="226"/>
      <c r="HG25" s="227" t="s">
        <v>7444</v>
      </c>
      <c r="HH25" s="227" t="s">
        <v>7443</v>
      </c>
      <c r="HI25" s="227" t="s">
        <v>7442</v>
      </c>
      <c r="HJ25" s="225" t="s">
        <v>7441</v>
      </c>
      <c r="HK25" s="227" t="s">
        <v>7440</v>
      </c>
      <c r="HL25" s="226"/>
      <c r="HM25" s="225" t="s">
        <v>7439</v>
      </c>
      <c r="HN25" s="226"/>
      <c r="HO25" s="225" t="s">
        <v>7438</v>
      </c>
      <c r="HP25" s="225" t="s">
        <v>7437</v>
      </c>
      <c r="HQ25" s="225" t="s">
        <v>7436</v>
      </c>
      <c r="HR25" s="226" t="s">
        <v>7138</v>
      </c>
      <c r="HS25" s="225" t="s">
        <v>470</v>
      </c>
      <c r="HT25" s="225"/>
      <c r="HU25" s="225" t="s">
        <v>470</v>
      </c>
      <c r="HV25" s="225"/>
      <c r="HW25" s="225" t="s">
        <v>470</v>
      </c>
      <c r="HX25" s="225"/>
      <c r="HY25" s="225" t="s">
        <v>7435</v>
      </c>
      <c r="HZ25" s="225"/>
      <c r="IA25" s="225"/>
      <c r="IB25" s="225" t="s">
        <v>7434</v>
      </c>
      <c r="IC25" s="225" t="s">
        <v>7434</v>
      </c>
      <c r="ID25" s="225" t="s">
        <v>7433</v>
      </c>
      <c r="IE25" s="225" t="s">
        <v>7432</v>
      </c>
      <c r="IF25" s="225" t="s">
        <v>7431</v>
      </c>
      <c r="IG25" s="225" t="s">
        <v>7430</v>
      </c>
      <c r="IH25" s="229" t="s">
        <v>7429</v>
      </c>
      <c r="II25" s="225" t="s">
        <v>7428</v>
      </c>
      <c r="IJ25" s="225" t="s">
        <v>7427</v>
      </c>
      <c r="IK25" s="225" t="s">
        <v>7427</v>
      </c>
      <c r="IL25" s="225" t="s">
        <v>7426</v>
      </c>
      <c r="IM25" s="225" t="s">
        <v>7425</v>
      </c>
      <c r="IN25" s="225" t="s">
        <v>7424</v>
      </c>
      <c r="IO25" s="225" t="s">
        <v>7423</v>
      </c>
      <c r="IP25" s="225" t="s">
        <v>7423</v>
      </c>
      <c r="IQ25" s="225" t="s">
        <v>7423</v>
      </c>
      <c r="IR25" s="225" t="s">
        <v>7422</v>
      </c>
      <c r="IS25" s="225" t="s">
        <v>7421</v>
      </c>
      <c r="IT25" s="225" t="s">
        <v>7420</v>
      </c>
      <c r="IU25" s="226" t="s">
        <v>7419</v>
      </c>
      <c r="IV25" s="225" t="s">
        <v>7418</v>
      </c>
      <c r="IW25" s="225" t="s">
        <v>7417</v>
      </c>
      <c r="IX25" s="225" t="s">
        <v>7416</v>
      </c>
      <c r="IY25" s="225" t="s">
        <v>7415</v>
      </c>
      <c r="IZ25" s="224" t="s">
        <v>7414</v>
      </c>
      <c r="JA25" s="224" t="s">
        <v>7413</v>
      </c>
      <c r="JB25" s="224" t="s">
        <v>7412</v>
      </c>
      <c r="JC25" s="225" t="s">
        <v>656</v>
      </c>
      <c r="JD25" s="225"/>
      <c r="JE25" s="226"/>
      <c r="JF25" s="226"/>
      <c r="JG25" s="226"/>
      <c r="JH25" s="225" t="s">
        <v>656</v>
      </c>
      <c r="JI25" s="225" t="s">
        <v>7411</v>
      </c>
      <c r="JJ25" s="225" t="s">
        <v>470</v>
      </c>
      <c r="JK25" s="237" t="s">
        <v>470</v>
      </c>
      <c r="JL25" s="225" t="s">
        <v>656</v>
      </c>
      <c r="JM25" s="225" t="s">
        <v>470</v>
      </c>
      <c r="JN25" s="226"/>
      <c r="JO25" s="226"/>
      <c r="JP25" s="226"/>
      <c r="JQ25" s="225" t="s">
        <v>7410</v>
      </c>
      <c r="JR25" s="225" t="s">
        <v>7409</v>
      </c>
      <c r="JS25" s="225" t="s">
        <v>470</v>
      </c>
      <c r="JT25" s="225" t="s">
        <v>7408</v>
      </c>
      <c r="JU25" s="225" t="s">
        <v>7407</v>
      </c>
      <c r="JV25" s="225" t="s">
        <v>7406</v>
      </c>
      <c r="JW25" s="225" t="s">
        <v>656</v>
      </c>
      <c r="JX25" s="225" t="s">
        <v>7405</v>
      </c>
      <c r="JY25" s="225" t="s">
        <v>7404</v>
      </c>
      <c r="JZ25" s="225" t="s">
        <v>7403</v>
      </c>
      <c r="KA25" s="225" t="s">
        <v>7402</v>
      </c>
      <c r="KB25" s="225" t="s">
        <v>7401</v>
      </c>
      <c r="KC25" s="225" t="s">
        <v>7400</v>
      </c>
      <c r="KD25" s="225" t="s">
        <v>7399</v>
      </c>
      <c r="KE25" s="232"/>
      <c r="KF25" s="225" t="s">
        <v>7398</v>
      </c>
      <c r="KG25" s="225" t="s">
        <v>7397</v>
      </c>
      <c r="KH25" s="225" t="s">
        <v>7396</v>
      </c>
      <c r="KI25" s="225" t="s">
        <v>7395</v>
      </c>
      <c r="KJ25" s="225" t="s">
        <v>7394</v>
      </c>
      <c r="KK25" s="232" t="s">
        <v>7393</v>
      </c>
      <c r="KL25" s="225" t="s">
        <v>7392</v>
      </c>
      <c r="KM25" s="225" t="s">
        <v>7391</v>
      </c>
      <c r="KN25" s="225" t="s">
        <v>656</v>
      </c>
      <c r="KO25" s="225"/>
      <c r="KP25" s="225" t="s">
        <v>7390</v>
      </c>
      <c r="KQ25" s="226"/>
      <c r="KR25" s="226"/>
      <c r="KS25" s="226"/>
      <c r="KT25" s="226"/>
      <c r="KU25" s="226"/>
      <c r="KV25" s="225" t="s">
        <v>7389</v>
      </c>
      <c r="KW25" s="225" t="s">
        <v>6781</v>
      </c>
      <c r="KX25" s="228" t="s">
        <v>470</v>
      </c>
      <c r="KY25" s="793" t="s">
        <v>9281</v>
      </c>
      <c r="KZ25" s="225" t="s">
        <v>470</v>
      </c>
      <c r="LA25" s="225" t="s">
        <v>9254</v>
      </c>
      <c r="LB25" s="225" t="s">
        <v>9239</v>
      </c>
      <c r="LC25" s="225" t="s">
        <v>9221</v>
      </c>
      <c r="LD25" s="225" t="s">
        <v>470</v>
      </c>
      <c r="LE25" s="225" t="s">
        <v>873</v>
      </c>
      <c r="LF25" s="225" t="s">
        <v>470</v>
      </c>
      <c r="LG25" s="225" t="s">
        <v>470</v>
      </c>
      <c r="LH25" s="225" t="s">
        <v>470</v>
      </c>
      <c r="LI25" s="225" t="s">
        <v>9149</v>
      </c>
      <c r="LJ25" s="225" t="s">
        <v>9129</v>
      </c>
      <c r="LK25" s="225"/>
      <c r="LL25" s="225" t="s">
        <v>7388</v>
      </c>
      <c r="LM25" s="226"/>
      <c r="LN25" s="225" t="s">
        <v>7387</v>
      </c>
      <c r="LO25" s="225" t="s">
        <v>7386</v>
      </c>
      <c r="LP25" s="225" t="s">
        <v>7385</v>
      </c>
      <c r="LQ25" s="225" t="s">
        <v>470</v>
      </c>
      <c r="LR25" s="225" t="s">
        <v>7384</v>
      </c>
      <c r="LS25" s="225" t="s">
        <v>7383</v>
      </c>
      <c r="LT25" s="234" t="s">
        <v>7382</v>
      </c>
      <c r="LU25" s="225" t="s">
        <v>7381</v>
      </c>
      <c r="LV25" s="225" t="s">
        <v>7380</v>
      </c>
      <c r="LW25" s="225" t="s">
        <v>7379</v>
      </c>
      <c r="LX25" s="225" t="s">
        <v>7378</v>
      </c>
      <c r="LY25" s="225" t="s">
        <v>7377</v>
      </c>
      <c r="LZ25" s="225" t="s">
        <v>7376</v>
      </c>
      <c r="MA25" s="225" t="s">
        <v>7375</v>
      </c>
      <c r="MB25" s="225" t="s">
        <v>7374</v>
      </c>
      <c r="MC25" s="225" t="s">
        <v>7373</v>
      </c>
      <c r="MD25" s="225" t="s">
        <v>7372</v>
      </c>
      <c r="ME25" s="225" t="s">
        <v>7371</v>
      </c>
      <c r="MF25" s="225" t="s">
        <v>7370</v>
      </c>
      <c r="MG25" s="226"/>
      <c r="MH25" s="226"/>
      <c r="MI25" s="226"/>
      <c r="MJ25" s="235" t="s">
        <v>7369</v>
      </c>
      <c r="MK25" s="235"/>
      <c r="ML25" s="235" t="s">
        <v>7368</v>
      </c>
      <c r="MM25" s="235" t="s">
        <v>7367</v>
      </c>
      <c r="MN25" s="236" t="s">
        <v>7366</v>
      </c>
      <c r="MO25" s="236" t="s">
        <v>7365</v>
      </c>
      <c r="MP25" s="236" t="s">
        <v>7364</v>
      </c>
      <c r="MQ25" s="236" t="s">
        <v>7363</v>
      </c>
      <c r="MR25" s="236" t="s">
        <v>7362</v>
      </c>
      <c r="MS25" s="236" t="s">
        <v>7361</v>
      </c>
      <c r="MT25" s="235" t="s">
        <v>7360</v>
      </c>
      <c r="MU25" s="236"/>
      <c r="MV25" s="235"/>
      <c r="MW25" s="235" t="s">
        <v>7359</v>
      </c>
      <c r="MX25" s="226"/>
      <c r="MY25" s="226"/>
      <c r="MZ25" s="226"/>
      <c r="NA25" s="226"/>
    </row>
    <row r="26" spans="1:365" ht="409.6" x14ac:dyDescent="0.2">
      <c r="A26" s="1216"/>
      <c r="B26" s="1216"/>
      <c r="C26" s="1218"/>
      <c r="D26" s="215" t="s">
        <v>34</v>
      </c>
      <c r="E26" s="225"/>
      <c r="F26" s="260" t="s">
        <v>7358</v>
      </c>
      <c r="G26" s="225" t="s">
        <v>656</v>
      </c>
      <c r="H26" s="225" t="s">
        <v>656</v>
      </c>
      <c r="I26" s="225" t="s">
        <v>656</v>
      </c>
      <c r="J26" s="225" t="s">
        <v>656</v>
      </c>
      <c r="K26" s="392" t="s">
        <v>7357</v>
      </c>
      <c r="L26" s="225" t="s">
        <v>7356</v>
      </c>
      <c r="M26" s="263" t="s">
        <v>7355</v>
      </c>
      <c r="N26" s="263" t="s">
        <v>7355</v>
      </c>
      <c r="O26" s="225" t="s">
        <v>470</v>
      </c>
      <c r="P26" s="421" t="s">
        <v>7354</v>
      </c>
      <c r="Q26" s="264" t="s">
        <v>7353</v>
      </c>
      <c r="R26" s="225"/>
      <c r="S26" s="225"/>
      <c r="T26" s="279" t="s">
        <v>7352</v>
      </c>
      <c r="U26" s="263" t="s">
        <v>7351</v>
      </c>
      <c r="V26" s="225" t="s">
        <v>7350</v>
      </c>
      <c r="W26" s="226"/>
      <c r="X26" s="226"/>
      <c r="Y26" s="226"/>
      <c r="Z26" s="226"/>
      <c r="AA26" s="226"/>
      <c r="AB26" s="226"/>
      <c r="AC26" s="226"/>
      <c r="AD26" s="226"/>
      <c r="AE26" s="226"/>
      <c r="AF26" s="265" t="s">
        <v>7349</v>
      </c>
      <c r="AG26" s="225" t="s">
        <v>7348</v>
      </c>
      <c r="AH26" s="226"/>
      <c r="AI26" s="260" t="s">
        <v>7347</v>
      </c>
      <c r="AJ26" s="264"/>
      <c r="AK26" s="423" t="s">
        <v>7346</v>
      </c>
      <c r="AL26" s="260" t="s">
        <v>7103</v>
      </c>
      <c r="AM26" s="226"/>
      <c r="AN26" s="226"/>
      <c r="AO26" s="226"/>
      <c r="AP26" s="226"/>
      <c r="AQ26" s="225" t="s">
        <v>7345</v>
      </c>
      <c r="AR26" s="263" t="s">
        <v>7344</v>
      </c>
      <c r="AS26" s="263" t="s">
        <v>7344</v>
      </c>
      <c r="AT26" s="225"/>
      <c r="AU26" s="260" t="s">
        <v>7343</v>
      </c>
      <c r="AV26" s="225" t="s">
        <v>7342</v>
      </c>
      <c r="AW26" s="225" t="s">
        <v>7341</v>
      </c>
      <c r="AX26" s="225" t="s">
        <v>7340</v>
      </c>
      <c r="AY26" s="229" t="s">
        <v>2234</v>
      </c>
      <c r="AZ26" s="260" t="s">
        <v>7339</v>
      </c>
      <c r="BA26" s="225"/>
      <c r="BB26" s="225"/>
      <c r="BC26" s="225"/>
      <c r="BD26" s="260" t="s">
        <v>7338</v>
      </c>
      <c r="BE26" s="229"/>
      <c r="BF26" s="225"/>
      <c r="BG26" s="225"/>
      <c r="BH26" s="260" t="s">
        <v>7337</v>
      </c>
      <c r="BI26" s="225" t="s">
        <v>656</v>
      </c>
      <c r="BJ26" s="225" t="s">
        <v>7336</v>
      </c>
      <c r="BK26" s="233" t="s">
        <v>7335</v>
      </c>
      <c r="BL26" s="225"/>
      <c r="BM26" s="225"/>
      <c r="BN26" s="226"/>
      <c r="BO26" s="225"/>
      <c r="BP26" s="225"/>
      <c r="BQ26" s="264" t="s">
        <v>5169</v>
      </c>
      <c r="BR26" s="233" t="s">
        <v>34</v>
      </c>
      <c r="BS26" s="225" t="s">
        <v>7334</v>
      </c>
      <c r="BT26" s="225"/>
      <c r="BU26" s="225"/>
      <c r="BV26" s="225"/>
      <c r="BW26" s="225"/>
      <c r="BX26" s="264" t="s">
        <v>7333</v>
      </c>
      <c r="BY26" s="225"/>
      <c r="BZ26" s="225" t="s">
        <v>7332</v>
      </c>
      <c r="CA26" s="225"/>
      <c r="CB26" s="225"/>
      <c r="CC26" s="263" t="s">
        <v>7331</v>
      </c>
      <c r="CD26" s="424" t="s">
        <v>7330</v>
      </c>
      <c r="CE26" s="229"/>
      <c r="CF26" s="229"/>
      <c r="CG26" s="229" t="s">
        <v>7329</v>
      </c>
      <c r="CH26" s="425" t="s">
        <v>7328</v>
      </c>
      <c r="CI26" s="229"/>
      <c r="CJ26" s="425" t="s">
        <v>7327</v>
      </c>
      <c r="CK26" s="425" t="s">
        <v>7326</v>
      </c>
      <c r="CL26" s="229" t="s">
        <v>7325</v>
      </c>
      <c r="CM26" s="229"/>
      <c r="CN26" s="225" t="s">
        <v>7324</v>
      </c>
      <c r="CO26" s="263" t="s">
        <v>7323</v>
      </c>
      <c r="CP26" s="225"/>
      <c r="CQ26" s="406" t="s">
        <v>7322</v>
      </c>
      <c r="CR26" s="394"/>
      <c r="CS26" s="225"/>
      <c r="CT26" s="279" t="s">
        <v>7321</v>
      </c>
      <c r="CU26" s="432" t="s">
        <v>7320</v>
      </c>
      <c r="CV26" s="225" t="s">
        <v>7319</v>
      </c>
      <c r="CW26" s="260" t="s">
        <v>7318</v>
      </c>
      <c r="CX26" s="225" t="s">
        <v>7317</v>
      </c>
      <c r="CY26" s="260" t="s">
        <v>7316</v>
      </c>
      <c r="CZ26" s="260" t="s">
        <v>7315</v>
      </c>
      <c r="DA26" s="225" t="s">
        <v>1149</v>
      </c>
      <c r="DB26" s="260" t="s">
        <v>7314</v>
      </c>
      <c r="DC26" s="225"/>
      <c r="DD26" s="225" t="s">
        <v>7313</v>
      </c>
      <c r="DE26" s="264" t="s">
        <v>5566</v>
      </c>
      <c r="DF26" s="260" t="s">
        <v>7312</v>
      </c>
      <c r="DG26" s="225"/>
      <c r="DH26" s="260" t="s">
        <v>7311</v>
      </c>
      <c r="DI26" s="279" t="s">
        <v>5001</v>
      </c>
      <c r="DJ26" s="426" t="s">
        <v>7310</v>
      </c>
      <c r="DK26" s="260" t="s">
        <v>7309</v>
      </c>
      <c r="DL26" s="260" t="s">
        <v>7308</v>
      </c>
      <c r="DM26" s="225" t="s">
        <v>7307</v>
      </c>
      <c r="DN26" s="279" t="s">
        <v>5899</v>
      </c>
      <c r="DO26" s="225"/>
      <c r="DP26" s="225" t="s">
        <v>470</v>
      </c>
      <c r="DQ26" s="264" t="s">
        <v>7306</v>
      </c>
      <c r="DR26" s="427" t="s">
        <v>7305</v>
      </c>
      <c r="DS26" s="264" t="s">
        <v>7304</v>
      </c>
      <c r="DT26" s="225" t="s">
        <v>7303</v>
      </c>
      <c r="DU26" s="260" t="s">
        <v>7302</v>
      </c>
      <c r="DV26" s="260" t="s">
        <v>7301</v>
      </c>
      <c r="DW26" s="246" t="s">
        <v>2234</v>
      </c>
      <c r="DX26" s="225"/>
      <c r="DY26" s="226" t="s">
        <v>7091</v>
      </c>
      <c r="DZ26" s="263" t="s">
        <v>7300</v>
      </c>
      <c r="EA26" s="263" t="s">
        <v>7299</v>
      </c>
      <c r="EB26" s="263" t="s">
        <v>7298</v>
      </c>
      <c r="EC26" s="226"/>
      <c r="ED26" s="225" t="s">
        <v>7297</v>
      </c>
      <c r="EE26" s="225"/>
      <c r="EF26" s="225" t="s">
        <v>7297</v>
      </c>
      <c r="EG26" s="226"/>
      <c r="EH26" s="225" t="s">
        <v>5134</v>
      </c>
      <c r="EI26" s="260" t="s">
        <v>7296</v>
      </c>
      <c r="EJ26" s="226"/>
      <c r="EK26" s="226"/>
      <c r="EL26" s="226"/>
      <c r="EM26" s="226"/>
      <c r="EN26" s="226"/>
      <c r="EO26" s="226"/>
      <c r="EP26" s="226"/>
      <c r="EQ26" s="226"/>
      <c r="ER26" s="263" t="s">
        <v>7295</v>
      </c>
      <c r="ES26" s="263" t="s">
        <v>7294</v>
      </c>
      <c r="ET26" s="264" t="s">
        <v>7293</v>
      </c>
      <c r="EU26" s="264" t="s">
        <v>7293</v>
      </c>
      <c r="EV26" s="264" t="s">
        <v>7293</v>
      </c>
      <c r="EW26" s="264" t="s">
        <v>7292</v>
      </c>
      <c r="EX26" s="263" t="s">
        <v>7291</v>
      </c>
      <c r="EY26" s="225"/>
      <c r="EZ26" s="229"/>
      <c r="FA26" s="264" t="s">
        <v>7290</v>
      </c>
      <c r="FB26" s="260" t="s">
        <v>7289</v>
      </c>
      <c r="FC26" s="264" t="s">
        <v>7288</v>
      </c>
      <c r="FD26" s="226"/>
      <c r="FE26" s="404" t="s">
        <v>7287</v>
      </c>
      <c r="FF26" s="225" t="s">
        <v>470</v>
      </c>
      <c r="FG26" s="263" t="s">
        <v>7286</v>
      </c>
      <c r="FH26" s="225" t="s">
        <v>7285</v>
      </c>
      <c r="FI26" s="388" t="s">
        <v>7284</v>
      </c>
      <c r="FJ26" s="388" t="s">
        <v>7283</v>
      </c>
      <c r="FK26" s="388"/>
      <c r="FL26" s="388" t="s">
        <v>7282</v>
      </c>
      <c r="FM26" s="428" t="s">
        <v>7281</v>
      </c>
      <c r="FN26" s="428"/>
      <c r="FO26" s="388" t="s">
        <v>7280</v>
      </c>
      <c r="FP26" s="388"/>
      <c r="FQ26" s="388" t="s">
        <v>7279</v>
      </c>
      <c r="FR26" s="388" t="s">
        <v>7278</v>
      </c>
      <c r="FS26" s="388"/>
      <c r="FT26" s="394"/>
      <c r="FU26" s="226"/>
      <c r="FV26" s="394"/>
      <c r="FW26" s="394"/>
      <c r="FX26" s="394"/>
      <c r="FY26" s="226"/>
      <c r="FZ26" s="388" t="s">
        <v>7277</v>
      </c>
      <c r="GA26" s="394" t="s">
        <v>7276</v>
      </c>
      <c r="GB26" s="394"/>
      <c r="GC26" s="388"/>
      <c r="GD26" s="388" t="s">
        <v>7275</v>
      </c>
      <c r="GE26" s="394"/>
      <c r="GF26" s="394"/>
      <c r="GG26" s="388" t="s">
        <v>7274</v>
      </c>
      <c r="GH26" s="388" t="s">
        <v>7273</v>
      </c>
      <c r="GI26" s="226"/>
      <c r="GJ26" s="388" t="s">
        <v>7272</v>
      </c>
      <c r="GK26" s="388" t="s">
        <v>7271</v>
      </c>
      <c r="GL26" s="394"/>
      <c r="GM26" s="388" t="s">
        <v>7270</v>
      </c>
      <c r="GN26" s="388" t="s">
        <v>7269</v>
      </c>
      <c r="GO26" s="226"/>
      <c r="GP26" s="394"/>
      <c r="GQ26" s="226"/>
      <c r="GR26" s="394"/>
      <c r="GS26" s="394"/>
      <c r="GT26" s="394"/>
      <c r="GU26" s="388" t="s">
        <v>7268</v>
      </c>
      <c r="GV26" s="388" t="s">
        <v>7267</v>
      </c>
      <c r="GW26" s="226"/>
      <c r="GX26" s="225"/>
      <c r="GY26" s="225"/>
      <c r="GZ26" s="394"/>
      <c r="HA26" s="225"/>
      <c r="HB26" s="225" t="s">
        <v>7266</v>
      </c>
      <c r="HC26" s="225" t="s">
        <v>7265</v>
      </c>
      <c r="HD26" s="260" t="s">
        <v>7264</v>
      </c>
      <c r="HE26" s="225"/>
      <c r="HF26" s="226"/>
      <c r="HG26" s="261" t="s">
        <v>7263</v>
      </c>
      <c r="HH26" s="261" t="s">
        <v>7262</v>
      </c>
      <c r="HI26" s="262" t="s">
        <v>7261</v>
      </c>
      <c r="HJ26" s="263" t="s">
        <v>7260</v>
      </c>
      <c r="HK26" s="261" t="s">
        <v>7259</v>
      </c>
      <c r="HL26" s="226"/>
      <c r="HM26" s="225"/>
      <c r="HN26" s="226"/>
      <c r="HO26" s="260" t="s">
        <v>7258</v>
      </c>
      <c r="HP26" s="264" t="s">
        <v>7257</v>
      </c>
      <c r="HQ26" s="288" t="s">
        <v>7256</v>
      </c>
      <c r="HR26" s="260" t="s">
        <v>7071</v>
      </c>
      <c r="HS26" s="225"/>
      <c r="HT26" s="225"/>
      <c r="HU26" s="225"/>
      <c r="HV26" s="225"/>
      <c r="HW26" s="225"/>
      <c r="HX26" s="225"/>
      <c r="HY26" s="225" t="s">
        <v>7255</v>
      </c>
      <c r="HZ26" s="225"/>
      <c r="IA26" s="225"/>
      <c r="IB26" s="260" t="s">
        <v>7254</v>
      </c>
      <c r="IC26" s="260" t="s">
        <v>7253</v>
      </c>
      <c r="ID26" s="260" t="s">
        <v>7252</v>
      </c>
      <c r="IE26" s="264" t="s">
        <v>7251</v>
      </c>
      <c r="IF26" s="260" t="s">
        <v>7250</v>
      </c>
      <c r="IG26" s="260" t="s">
        <v>7249</v>
      </c>
      <c r="IH26" s="278" t="s">
        <v>7248</v>
      </c>
      <c r="II26" s="260" t="s">
        <v>7247</v>
      </c>
      <c r="IJ26" s="260" t="s">
        <v>7246</v>
      </c>
      <c r="IK26" s="260" t="s">
        <v>7246</v>
      </c>
      <c r="IL26" s="260" t="s">
        <v>7245</v>
      </c>
      <c r="IM26" s="260" t="s">
        <v>7244</v>
      </c>
      <c r="IN26" s="260" t="s">
        <v>7243</v>
      </c>
      <c r="IO26" s="260" t="s">
        <v>7242</v>
      </c>
      <c r="IP26" s="260" t="s">
        <v>7242</v>
      </c>
      <c r="IQ26" s="260" t="s">
        <v>7242</v>
      </c>
      <c r="IR26" s="260" t="s">
        <v>7241</v>
      </c>
      <c r="IS26" s="260" t="s">
        <v>7240</v>
      </c>
      <c r="IT26" s="260" t="s">
        <v>7239</v>
      </c>
      <c r="IU26" s="260" t="s">
        <v>7238</v>
      </c>
      <c r="IV26" s="260" t="s">
        <v>7237</v>
      </c>
      <c r="IW26" s="260" t="s">
        <v>7236</v>
      </c>
      <c r="IX26" s="260" t="s">
        <v>7235</v>
      </c>
      <c r="IY26" s="260" t="s">
        <v>7234</v>
      </c>
      <c r="IZ26" s="260" t="s">
        <v>7233</v>
      </c>
      <c r="JA26" s="260" t="s">
        <v>7232</v>
      </c>
      <c r="JB26" s="225" t="s">
        <v>7231</v>
      </c>
      <c r="JC26" s="225" t="s">
        <v>656</v>
      </c>
      <c r="JD26" s="225"/>
      <c r="JE26" s="226"/>
      <c r="JF26" s="226"/>
      <c r="JG26" s="226"/>
      <c r="JH26" s="225" t="s">
        <v>656</v>
      </c>
      <c r="JI26" s="279" t="s">
        <v>7230</v>
      </c>
      <c r="JJ26" s="225" t="s">
        <v>656</v>
      </c>
      <c r="JK26" s="237"/>
      <c r="JL26" s="225" t="s">
        <v>656</v>
      </c>
      <c r="JM26" s="225"/>
      <c r="JN26" s="226"/>
      <c r="JO26" s="226"/>
      <c r="JP26" s="226"/>
      <c r="JQ26" s="225" t="s">
        <v>7229</v>
      </c>
      <c r="JR26" s="225" t="s">
        <v>7228</v>
      </c>
      <c r="JS26" s="225"/>
      <c r="JT26" s="260" t="s">
        <v>7227</v>
      </c>
      <c r="JU26" s="225" t="s">
        <v>7226</v>
      </c>
      <c r="JV26" s="260" t="s">
        <v>7226</v>
      </c>
      <c r="JW26" s="225" t="s">
        <v>656</v>
      </c>
      <c r="JX26" s="260" t="s">
        <v>7225</v>
      </c>
      <c r="JY26" s="264" t="s">
        <v>7224</v>
      </c>
      <c r="JZ26" s="225" t="s">
        <v>7223</v>
      </c>
      <c r="KA26" s="225" t="s">
        <v>7222</v>
      </c>
      <c r="KB26" s="225" t="s">
        <v>7221</v>
      </c>
      <c r="KC26" s="225" t="s">
        <v>470</v>
      </c>
      <c r="KD26" s="225" t="s">
        <v>7220</v>
      </c>
      <c r="KE26" s="232"/>
      <c r="KF26" s="260" t="s">
        <v>7219</v>
      </c>
      <c r="KG26" s="260" t="s">
        <v>7218</v>
      </c>
      <c r="KH26" s="260" t="s">
        <v>7217</v>
      </c>
      <c r="KI26" s="225"/>
      <c r="KJ26" s="260" t="s">
        <v>7216</v>
      </c>
      <c r="KK26" s="232" t="s">
        <v>7215</v>
      </c>
      <c r="KL26" s="260" t="s">
        <v>7214</v>
      </c>
      <c r="KM26" s="282" t="s">
        <v>7213</v>
      </c>
      <c r="KN26" s="225" t="s">
        <v>656</v>
      </c>
      <c r="KO26" s="225"/>
      <c r="KP26" s="225" t="s">
        <v>7212</v>
      </c>
      <c r="KQ26" s="226"/>
      <c r="KR26" s="226"/>
      <c r="KS26" s="226"/>
      <c r="KT26" s="226"/>
      <c r="KU26" s="226"/>
      <c r="KV26" s="263" t="s">
        <v>7211</v>
      </c>
      <c r="KW26" s="225"/>
      <c r="KX26" s="228"/>
      <c r="KY26" s="793"/>
      <c r="KZ26" s="225"/>
      <c r="LA26" s="264" t="s">
        <v>9255</v>
      </c>
      <c r="LB26" s="225" t="s">
        <v>1482</v>
      </c>
      <c r="LC26" s="264" t="s">
        <v>9218</v>
      </c>
      <c r="LD26" s="225"/>
      <c r="LE26" s="225"/>
      <c r="LF26" s="225"/>
      <c r="LG26" s="225"/>
      <c r="LH26" s="225"/>
      <c r="LI26" s="264" t="s">
        <v>9150</v>
      </c>
      <c r="LJ26" s="263" t="s">
        <v>9130</v>
      </c>
      <c r="LK26" s="225"/>
      <c r="LL26" s="289" t="s">
        <v>7210</v>
      </c>
      <c r="LM26" s="226"/>
      <c r="LN26" s="264" t="s">
        <v>7209</v>
      </c>
      <c r="LO26" s="260" t="s">
        <v>7208</v>
      </c>
      <c r="LP26" s="225" t="s">
        <v>7207</v>
      </c>
      <c r="LQ26" s="225"/>
      <c r="LR26" s="225" t="s">
        <v>7055</v>
      </c>
      <c r="LS26" s="225" t="s">
        <v>7206</v>
      </c>
      <c r="LT26" s="268" t="s">
        <v>9532</v>
      </c>
      <c r="LU26" s="225" t="s">
        <v>7205</v>
      </c>
      <c r="LV26" s="225" t="s">
        <v>7204</v>
      </c>
      <c r="LW26" s="260" t="s">
        <v>7203</v>
      </c>
      <c r="LX26" s="264" t="s">
        <v>7202</v>
      </c>
      <c r="LY26" s="225" t="s">
        <v>7201</v>
      </c>
      <c r="LZ26" s="260" t="s">
        <v>7200</v>
      </c>
      <c r="MA26" s="264" t="s">
        <v>7199</v>
      </c>
      <c r="MB26" s="225" t="s">
        <v>7198</v>
      </c>
      <c r="MC26" s="225" t="s">
        <v>7197</v>
      </c>
      <c r="MD26" s="260" t="s">
        <v>7196</v>
      </c>
      <c r="ME26" s="260" t="s">
        <v>7195</v>
      </c>
      <c r="MF26" s="260" t="s">
        <v>7194</v>
      </c>
      <c r="MG26" s="226"/>
      <c r="MH26" s="226"/>
      <c r="MI26" s="226"/>
      <c r="MJ26" s="269" t="s">
        <v>7193</v>
      </c>
      <c r="MK26" s="269"/>
      <c r="ML26" s="290" t="s">
        <v>7192</v>
      </c>
      <c r="MM26" s="275" t="s">
        <v>7191</v>
      </c>
      <c r="MN26" s="287" t="s">
        <v>7190</v>
      </c>
      <c r="MO26" s="236" t="s">
        <v>7046</v>
      </c>
      <c r="MP26" s="286" t="s">
        <v>7189</v>
      </c>
      <c r="MQ26" s="274" t="s">
        <v>7188</v>
      </c>
      <c r="MR26" s="274" t="s">
        <v>7187</v>
      </c>
      <c r="MS26" s="274" t="s">
        <v>7186</v>
      </c>
      <c r="MT26" s="275" t="s">
        <v>7185</v>
      </c>
      <c r="MU26" s="236"/>
      <c r="MV26" s="235"/>
      <c r="MW26" s="235"/>
      <c r="MX26" s="226"/>
      <c r="MY26" s="226"/>
      <c r="MZ26" s="226"/>
      <c r="NA26" s="226"/>
    </row>
    <row r="27" spans="1:365" ht="409.6" x14ac:dyDescent="0.2">
      <c r="A27" s="1216"/>
      <c r="B27" s="1217" t="s">
        <v>37</v>
      </c>
      <c r="C27" s="1218" t="s">
        <v>7184</v>
      </c>
      <c r="D27" s="215" t="s">
        <v>15</v>
      </c>
      <c r="E27" s="225" t="s">
        <v>656</v>
      </c>
      <c r="F27" s="266" t="s">
        <v>7183</v>
      </c>
      <c r="G27" s="225" t="s">
        <v>656</v>
      </c>
      <c r="H27" s="225" t="s">
        <v>656</v>
      </c>
      <c r="I27" s="225" t="s">
        <v>656</v>
      </c>
      <c r="J27" s="225" t="s">
        <v>656</v>
      </c>
      <c r="K27" s="225" t="s">
        <v>7182</v>
      </c>
      <c r="L27" s="225" t="s">
        <v>7181</v>
      </c>
      <c r="M27" s="225" t="s">
        <v>7181</v>
      </c>
      <c r="N27" s="225" t="s">
        <v>7181</v>
      </c>
      <c r="O27" s="225" t="s">
        <v>7180</v>
      </c>
      <c r="P27" s="400" t="s">
        <v>470</v>
      </c>
      <c r="Q27" s="225" t="s">
        <v>7179</v>
      </c>
      <c r="R27" s="225"/>
      <c r="S27" s="225"/>
      <c r="T27" s="225"/>
      <c r="U27" s="225"/>
      <c r="V27" s="225" t="s">
        <v>7178</v>
      </c>
      <c r="W27" s="226"/>
      <c r="X27" s="226"/>
      <c r="Y27" s="226"/>
      <c r="Z27" s="226"/>
      <c r="AA27" s="226"/>
      <c r="AB27" s="226"/>
      <c r="AC27" s="226"/>
      <c r="AD27" s="226"/>
      <c r="AE27" s="226"/>
      <c r="AF27" s="225" t="s">
        <v>1447</v>
      </c>
      <c r="AG27" s="225"/>
      <c r="AH27" s="226"/>
      <c r="AI27" s="225" t="s">
        <v>470</v>
      </c>
      <c r="AJ27" s="225" t="s">
        <v>470</v>
      </c>
      <c r="AK27" s="250" t="s">
        <v>470</v>
      </c>
      <c r="AL27" s="225" t="s">
        <v>7177</v>
      </c>
      <c r="AM27" s="226"/>
      <c r="AN27" s="226"/>
      <c r="AO27" s="226"/>
      <c r="AP27" s="226"/>
      <c r="AQ27" s="225"/>
      <c r="AR27" s="225"/>
      <c r="AS27" s="225"/>
      <c r="AT27" s="226" t="s">
        <v>7176</v>
      </c>
      <c r="AU27" s="225" t="s">
        <v>7175</v>
      </c>
      <c r="AV27" s="225" t="s">
        <v>7174</v>
      </c>
      <c r="AW27" s="225" t="s">
        <v>7173</v>
      </c>
      <c r="AX27" s="225" t="s">
        <v>7172</v>
      </c>
      <c r="AY27" s="229" t="s">
        <v>2234</v>
      </c>
      <c r="AZ27" s="225" t="s">
        <v>7171</v>
      </c>
      <c r="BA27" s="225"/>
      <c r="BB27" s="225"/>
      <c r="BC27" s="226" t="s">
        <v>7170</v>
      </c>
      <c r="BD27" s="225" t="s">
        <v>470</v>
      </c>
      <c r="BE27" s="229" t="s">
        <v>7169</v>
      </c>
      <c r="BF27" s="225"/>
      <c r="BG27" s="225"/>
      <c r="BH27" s="225" t="s">
        <v>7168</v>
      </c>
      <c r="BI27" s="225" t="s">
        <v>656</v>
      </c>
      <c r="BJ27" s="225"/>
      <c r="BK27" s="233" t="s">
        <v>7167</v>
      </c>
      <c r="BL27" s="225"/>
      <c r="BM27" s="225"/>
      <c r="BN27" s="226"/>
      <c r="BO27" s="225" t="s">
        <v>1482</v>
      </c>
      <c r="BP27" s="225"/>
      <c r="BQ27" s="225"/>
      <c r="BR27" s="233" t="s">
        <v>15</v>
      </c>
      <c r="BS27" s="225"/>
      <c r="BT27" s="225"/>
      <c r="BU27" s="225"/>
      <c r="BV27" s="225"/>
      <c r="BW27" s="225"/>
      <c r="BX27" s="225" t="s">
        <v>7166</v>
      </c>
      <c r="BY27" s="225"/>
      <c r="BZ27" s="225"/>
      <c r="CA27" s="225"/>
      <c r="CB27" s="225"/>
      <c r="CC27" s="433"/>
      <c r="CD27" s="229"/>
      <c r="CE27" s="229"/>
      <c r="CF27" s="229"/>
      <c r="CG27" s="225" t="s">
        <v>7165</v>
      </c>
      <c r="CH27" s="229"/>
      <c r="CI27" s="229"/>
      <c r="CJ27" s="229" t="s">
        <v>470</v>
      </c>
      <c r="CK27" s="229"/>
      <c r="CL27" s="229"/>
      <c r="CM27" s="229" t="s">
        <v>470</v>
      </c>
      <c r="CN27" s="225" t="s">
        <v>7164</v>
      </c>
      <c r="CO27" s="225" t="s">
        <v>656</v>
      </c>
      <c r="CP27" s="225"/>
      <c r="CQ27" s="406"/>
      <c r="CR27" s="394"/>
      <c r="CS27" s="225"/>
      <c r="CT27" s="225"/>
      <c r="CU27" s="225" t="s">
        <v>656</v>
      </c>
      <c r="CV27" s="225"/>
      <c r="CW27" s="225" t="s">
        <v>656</v>
      </c>
      <c r="CX27" s="225" t="s">
        <v>470</v>
      </c>
      <c r="CY27" s="225"/>
      <c r="CZ27" s="225"/>
      <c r="DA27" s="225" t="s">
        <v>7163</v>
      </c>
      <c r="DB27" s="225"/>
      <c r="DC27" s="225"/>
      <c r="DD27" s="225"/>
      <c r="DE27" s="225"/>
      <c r="DF27" s="225" t="s">
        <v>470</v>
      </c>
      <c r="DG27" s="225" t="s">
        <v>470</v>
      </c>
      <c r="DH27" s="225"/>
      <c r="DI27" s="225"/>
      <c r="DJ27" s="225" t="s">
        <v>656</v>
      </c>
      <c r="DK27" s="225" t="s">
        <v>470</v>
      </c>
      <c r="DL27" s="225" t="s">
        <v>470</v>
      </c>
      <c r="DM27" s="225"/>
      <c r="DN27" s="225" t="s">
        <v>656</v>
      </c>
      <c r="DO27" s="225"/>
      <c r="DP27" s="225" t="s">
        <v>470</v>
      </c>
      <c r="DQ27" s="225" t="s">
        <v>470</v>
      </c>
      <c r="DR27" s="225" t="s">
        <v>470</v>
      </c>
      <c r="DS27" s="225" t="s">
        <v>470</v>
      </c>
      <c r="DT27" s="225" t="s">
        <v>470</v>
      </c>
      <c r="DU27" s="225" t="s">
        <v>1924</v>
      </c>
      <c r="DV27" s="225"/>
      <c r="DW27" s="246" t="s">
        <v>2234</v>
      </c>
      <c r="DX27" s="225" t="s">
        <v>7162</v>
      </c>
      <c r="DY27" s="225" t="s">
        <v>7161</v>
      </c>
      <c r="DZ27" s="225"/>
      <c r="EA27" s="225"/>
      <c r="EB27" s="225" t="s">
        <v>7160</v>
      </c>
      <c r="EC27" s="226"/>
      <c r="ED27" s="225" t="s">
        <v>7159</v>
      </c>
      <c r="EE27" s="225" t="s">
        <v>656</v>
      </c>
      <c r="EF27" s="225" t="s">
        <v>7158</v>
      </c>
      <c r="EG27" s="226"/>
      <c r="EH27" s="225" t="s">
        <v>470</v>
      </c>
      <c r="EI27" s="226" t="s">
        <v>1924</v>
      </c>
      <c r="EJ27" s="226"/>
      <c r="EK27" s="226"/>
      <c r="EL27" s="226"/>
      <c r="EM27" s="226"/>
      <c r="EN27" s="226"/>
      <c r="EO27" s="226"/>
      <c r="EP27" s="226"/>
      <c r="EQ27" s="226"/>
      <c r="ER27" s="225" t="s">
        <v>7157</v>
      </c>
      <c r="ES27" s="225"/>
      <c r="ET27" s="225"/>
      <c r="EU27" s="225"/>
      <c r="EV27" s="225"/>
      <c r="EW27" s="225"/>
      <c r="EX27" s="225"/>
      <c r="EY27" s="225"/>
      <c r="EZ27" s="229" t="s">
        <v>7156</v>
      </c>
      <c r="FA27" s="226" t="s">
        <v>7155</v>
      </c>
      <c r="FB27" s="225"/>
      <c r="FC27" s="226" t="s">
        <v>7154</v>
      </c>
      <c r="FD27" s="226"/>
      <c r="FE27" s="404" t="s">
        <v>1924</v>
      </c>
      <c r="FF27" s="225" t="s">
        <v>470</v>
      </c>
      <c r="FG27" s="225" t="s">
        <v>470</v>
      </c>
      <c r="FH27" s="225" t="s">
        <v>470</v>
      </c>
      <c r="FI27" s="394" t="s">
        <v>656</v>
      </c>
      <c r="FJ27" s="394" t="s">
        <v>656</v>
      </c>
      <c r="FK27" s="394"/>
      <c r="FL27" s="394" t="s">
        <v>656</v>
      </c>
      <c r="FM27" s="225" t="s">
        <v>7153</v>
      </c>
      <c r="FN27" s="225"/>
      <c r="FO27" s="394" t="s">
        <v>470</v>
      </c>
      <c r="FP27" s="394"/>
      <c r="FQ27" s="394" t="s">
        <v>7152</v>
      </c>
      <c r="FR27" s="394" t="s">
        <v>7151</v>
      </c>
      <c r="FS27" s="394"/>
      <c r="FT27" s="394"/>
      <c r="FU27" s="226"/>
      <c r="FV27" s="394"/>
      <c r="FW27" s="394"/>
      <c r="FX27" s="394"/>
      <c r="FY27" s="226"/>
      <c r="FZ27" s="394" t="s">
        <v>470</v>
      </c>
      <c r="GA27" s="394"/>
      <c r="GB27" s="394"/>
      <c r="GC27" s="394"/>
      <c r="GD27" s="394" t="s">
        <v>7150</v>
      </c>
      <c r="GE27" s="394" t="s">
        <v>470</v>
      </c>
      <c r="GF27" s="394" t="s">
        <v>470</v>
      </c>
      <c r="GG27" s="394" t="s">
        <v>4906</v>
      </c>
      <c r="GH27" s="394" t="s">
        <v>4906</v>
      </c>
      <c r="GI27" s="226"/>
      <c r="GJ27" s="394" t="s">
        <v>7149</v>
      </c>
      <c r="GK27" s="394" t="s">
        <v>7148</v>
      </c>
      <c r="GL27" s="394"/>
      <c r="GM27" s="394"/>
      <c r="GN27" s="394"/>
      <c r="GO27" s="226"/>
      <c r="GP27" s="394"/>
      <c r="GQ27" s="226"/>
      <c r="GR27" s="394"/>
      <c r="GS27" s="394"/>
      <c r="GT27" s="394"/>
      <c r="GU27" s="394" t="s">
        <v>470</v>
      </c>
      <c r="GV27" s="394"/>
      <c r="GW27" s="226"/>
      <c r="GX27" s="225"/>
      <c r="GY27" s="225"/>
      <c r="GZ27" s="394"/>
      <c r="HA27" s="225" t="s">
        <v>7147</v>
      </c>
      <c r="HB27" s="225" t="s">
        <v>7146</v>
      </c>
      <c r="HC27" s="225" t="s">
        <v>470</v>
      </c>
      <c r="HD27" s="225"/>
      <c r="HE27" s="225" t="s">
        <v>7145</v>
      </c>
      <c r="HF27" s="226"/>
      <c r="HG27" s="227" t="s">
        <v>7144</v>
      </c>
      <c r="HH27" s="291" t="s">
        <v>656</v>
      </c>
      <c r="HI27" s="227"/>
      <c r="HJ27" s="225" t="s">
        <v>656</v>
      </c>
      <c r="HK27" s="227" t="s">
        <v>7143</v>
      </c>
      <c r="HL27" s="226"/>
      <c r="HM27" s="225" t="s">
        <v>7142</v>
      </c>
      <c r="HN27" s="226"/>
      <c r="HO27" s="225" t="s">
        <v>7141</v>
      </c>
      <c r="HP27" s="225" t="s">
        <v>7140</v>
      </c>
      <c r="HQ27" s="226" t="s">
        <v>7139</v>
      </c>
      <c r="HR27" s="226" t="s">
        <v>7138</v>
      </c>
      <c r="HS27" s="225" t="s">
        <v>470</v>
      </c>
      <c r="HT27" s="225"/>
      <c r="HU27" s="225" t="s">
        <v>470</v>
      </c>
      <c r="HV27" s="225"/>
      <c r="HW27" s="225" t="s">
        <v>470</v>
      </c>
      <c r="HX27" s="225"/>
      <c r="HY27" s="225" t="s">
        <v>7137</v>
      </c>
      <c r="HZ27" s="228" t="s">
        <v>7136</v>
      </c>
      <c r="IA27" s="225"/>
      <c r="IB27" s="225" t="s">
        <v>470</v>
      </c>
      <c r="IC27" s="225" t="s">
        <v>470</v>
      </c>
      <c r="ID27" s="225"/>
      <c r="IE27" s="225"/>
      <c r="IF27" s="225"/>
      <c r="IG27" s="225"/>
      <c r="IH27" s="229"/>
      <c r="II27" s="225"/>
      <c r="IJ27" s="225"/>
      <c r="IK27" s="225"/>
      <c r="IL27" s="225"/>
      <c r="IM27" s="225"/>
      <c r="IN27" s="225"/>
      <c r="IO27" s="225"/>
      <c r="IP27" s="225"/>
      <c r="IQ27" s="225"/>
      <c r="IR27" s="225"/>
      <c r="IS27" s="225"/>
      <c r="IT27" s="225"/>
      <c r="IU27" s="225"/>
      <c r="IV27" s="225"/>
      <c r="IW27" s="225"/>
      <c r="IX27" s="225"/>
      <c r="IY27" s="225" t="s">
        <v>539</v>
      </c>
      <c r="IZ27" s="225"/>
      <c r="JA27" s="225"/>
      <c r="JB27" s="225"/>
      <c r="JC27" s="225" t="s">
        <v>656</v>
      </c>
      <c r="JD27" s="225"/>
      <c r="JE27" s="226"/>
      <c r="JF27" s="226"/>
      <c r="JG27" s="226"/>
      <c r="JH27" s="225" t="s">
        <v>656</v>
      </c>
      <c r="JI27" s="225"/>
      <c r="JJ27" s="225" t="s">
        <v>470</v>
      </c>
      <c r="JK27" s="237" t="s">
        <v>470</v>
      </c>
      <c r="JL27" s="225" t="s">
        <v>7135</v>
      </c>
      <c r="JM27" s="225" t="s">
        <v>470</v>
      </c>
      <c r="JN27" s="226"/>
      <c r="JO27" s="226"/>
      <c r="JP27" s="226"/>
      <c r="JQ27" s="225" t="s">
        <v>656</v>
      </c>
      <c r="JR27" s="225" t="s">
        <v>7134</v>
      </c>
      <c r="JS27" s="225" t="s">
        <v>470</v>
      </c>
      <c r="JT27" s="225" t="s">
        <v>7133</v>
      </c>
      <c r="JU27" s="225"/>
      <c r="JV27" s="225"/>
      <c r="JW27" s="225" t="s">
        <v>656</v>
      </c>
      <c r="JX27" s="225" t="s">
        <v>656</v>
      </c>
      <c r="JY27" s="226" t="s">
        <v>7132</v>
      </c>
      <c r="JZ27" s="225" t="s">
        <v>7131</v>
      </c>
      <c r="KA27" s="225" t="s">
        <v>7130</v>
      </c>
      <c r="KB27" s="225" t="s">
        <v>7129</v>
      </c>
      <c r="KC27" s="225" t="s">
        <v>470</v>
      </c>
      <c r="KD27" s="225" t="s">
        <v>7128</v>
      </c>
      <c r="KE27" s="232"/>
      <c r="KF27" s="225" t="s">
        <v>470</v>
      </c>
      <c r="KG27" s="225" t="s">
        <v>7127</v>
      </c>
      <c r="KH27" s="225" t="s">
        <v>470</v>
      </c>
      <c r="KI27" s="225" t="s">
        <v>7126</v>
      </c>
      <c r="KJ27" s="225"/>
      <c r="KK27" s="232" t="s">
        <v>656</v>
      </c>
      <c r="KL27" s="225" t="s">
        <v>656</v>
      </c>
      <c r="KM27" s="225" t="s">
        <v>470</v>
      </c>
      <c r="KN27" s="225" t="s">
        <v>656</v>
      </c>
      <c r="KO27" s="225"/>
      <c r="KP27" s="225" t="s">
        <v>7125</v>
      </c>
      <c r="KQ27" s="226"/>
      <c r="KR27" s="226"/>
      <c r="KS27" s="226"/>
      <c r="KT27" s="226"/>
      <c r="KU27" s="226"/>
      <c r="KV27" s="225" t="s">
        <v>656</v>
      </c>
      <c r="KW27" s="225"/>
      <c r="KX27" s="228"/>
      <c r="KY27" s="793"/>
      <c r="KZ27" s="225"/>
      <c r="LA27" s="225"/>
      <c r="LB27" s="225"/>
      <c r="LC27" s="225"/>
      <c r="LD27" s="225"/>
      <c r="LE27" s="225" t="s">
        <v>873</v>
      </c>
      <c r="LF27" s="225"/>
      <c r="LG27" s="225"/>
      <c r="LH27" s="225"/>
      <c r="LI27" s="225"/>
      <c r="LJ27" s="225" t="s">
        <v>9131</v>
      </c>
      <c r="LK27" s="225"/>
      <c r="LL27" s="225" t="s">
        <v>7124</v>
      </c>
      <c r="LM27" s="226"/>
      <c r="LN27" s="292" t="s">
        <v>7123</v>
      </c>
      <c r="LO27" s="225" t="s">
        <v>7122</v>
      </c>
      <c r="LP27" s="225" t="s">
        <v>7121</v>
      </c>
      <c r="LQ27" s="225" t="s">
        <v>470</v>
      </c>
      <c r="LR27" s="225" t="s">
        <v>7120</v>
      </c>
      <c r="LS27" s="225" t="s">
        <v>7119</v>
      </c>
      <c r="LT27" s="234" t="s">
        <v>7118</v>
      </c>
      <c r="LU27" s="225"/>
      <c r="LV27" s="225" t="s">
        <v>470</v>
      </c>
      <c r="LW27" s="225"/>
      <c r="LX27" s="225"/>
      <c r="LY27" s="225"/>
      <c r="LZ27" s="225"/>
      <c r="MA27" s="225"/>
      <c r="MB27" s="225"/>
      <c r="MC27" s="225" t="s">
        <v>7117</v>
      </c>
      <c r="MD27" s="225" t="s">
        <v>7116</v>
      </c>
      <c r="ME27" s="225"/>
      <c r="MF27" s="225" t="s">
        <v>7115</v>
      </c>
      <c r="MG27" s="226"/>
      <c r="MH27" s="226"/>
      <c r="MI27" s="226"/>
      <c r="MJ27" s="235" t="s">
        <v>7114</v>
      </c>
      <c r="MK27" s="235"/>
      <c r="ML27" s="235" t="s">
        <v>7113</v>
      </c>
      <c r="MM27" s="235" t="s">
        <v>7112</v>
      </c>
      <c r="MN27" s="236"/>
      <c r="MO27" s="236" t="s">
        <v>7111</v>
      </c>
      <c r="MP27" s="236"/>
      <c r="MQ27" s="236"/>
      <c r="MR27" s="236" t="s">
        <v>7111</v>
      </c>
      <c r="MS27" s="236" t="s">
        <v>1924</v>
      </c>
      <c r="MT27" s="235" t="s">
        <v>7110</v>
      </c>
      <c r="MU27" s="236"/>
      <c r="MV27" s="235"/>
      <c r="MW27" s="235"/>
      <c r="MX27" s="226"/>
      <c r="MY27" s="226"/>
      <c r="MZ27" s="226"/>
      <c r="NA27" s="226"/>
    </row>
    <row r="28" spans="1:365" ht="59" customHeight="1" x14ac:dyDescent="0.2">
      <c r="A28" s="1216"/>
      <c r="B28" s="1216"/>
      <c r="C28" s="1218"/>
      <c r="D28" s="215" t="s">
        <v>34</v>
      </c>
      <c r="E28" s="225" t="s">
        <v>656</v>
      </c>
      <c r="F28" s="260" t="s">
        <v>7109</v>
      </c>
      <c r="G28" s="225" t="s">
        <v>656</v>
      </c>
      <c r="H28" s="225" t="s">
        <v>656</v>
      </c>
      <c r="I28" s="225" t="s">
        <v>656</v>
      </c>
      <c r="J28" s="225" t="s">
        <v>656</v>
      </c>
      <c r="K28" s="392" t="s">
        <v>7108</v>
      </c>
      <c r="L28" s="225" t="s">
        <v>7107</v>
      </c>
      <c r="M28" s="225" t="s">
        <v>7107</v>
      </c>
      <c r="N28" s="225" t="s">
        <v>7107</v>
      </c>
      <c r="O28" s="263" t="s">
        <v>7106</v>
      </c>
      <c r="P28" s="400" t="s">
        <v>470</v>
      </c>
      <c r="Q28" s="264" t="s">
        <v>7105</v>
      </c>
      <c r="R28" s="225"/>
      <c r="S28" s="225"/>
      <c r="T28" s="225"/>
      <c r="U28" s="225"/>
      <c r="V28" s="225" t="s">
        <v>7104</v>
      </c>
      <c r="W28" s="226"/>
      <c r="X28" s="226"/>
      <c r="Y28" s="226"/>
      <c r="Z28" s="226"/>
      <c r="AA28" s="226"/>
      <c r="AB28" s="226"/>
      <c r="AC28" s="226"/>
      <c r="AD28" s="226"/>
      <c r="AE28" s="226"/>
      <c r="AF28" s="225" t="s">
        <v>1447</v>
      </c>
      <c r="AG28" s="225"/>
      <c r="AH28" s="226"/>
      <c r="AI28" s="225" t="s">
        <v>470</v>
      </c>
      <c r="AJ28" s="225"/>
      <c r="AK28" s="423"/>
      <c r="AL28" s="260" t="s">
        <v>7103</v>
      </c>
      <c r="AM28" s="226"/>
      <c r="AN28" s="226"/>
      <c r="AO28" s="226"/>
      <c r="AP28" s="226"/>
      <c r="AQ28" s="225"/>
      <c r="AR28" s="225"/>
      <c r="AS28" s="225"/>
      <c r="AT28" s="225" t="s">
        <v>7102</v>
      </c>
      <c r="AU28" s="260" t="s">
        <v>7101</v>
      </c>
      <c r="AV28" s="225" t="s">
        <v>7100</v>
      </c>
      <c r="AW28" s="225" t="s">
        <v>7099</v>
      </c>
      <c r="AX28" s="225" t="s">
        <v>7098</v>
      </c>
      <c r="AY28" s="229" t="s">
        <v>2234</v>
      </c>
      <c r="AZ28" s="260" t="s">
        <v>7097</v>
      </c>
      <c r="BA28" s="225"/>
      <c r="BB28" s="225"/>
      <c r="BC28" s="225"/>
      <c r="BD28" s="225"/>
      <c r="BE28" s="229"/>
      <c r="BF28" s="225"/>
      <c r="BG28" s="225"/>
      <c r="BH28" s="260" t="s">
        <v>7096</v>
      </c>
      <c r="BI28" s="225" t="s">
        <v>656</v>
      </c>
      <c r="BJ28" s="225"/>
      <c r="BK28" s="233" t="s">
        <v>7095</v>
      </c>
      <c r="BL28" s="225"/>
      <c r="BM28" s="225"/>
      <c r="BN28" s="226"/>
      <c r="BO28" s="225"/>
      <c r="BP28" s="225"/>
      <c r="BQ28" s="225"/>
      <c r="BR28" s="233" t="s">
        <v>34</v>
      </c>
      <c r="BS28" s="225"/>
      <c r="BT28" s="225"/>
      <c r="BU28" s="225"/>
      <c r="BV28" s="225"/>
      <c r="BW28" s="225"/>
      <c r="BX28" s="225"/>
      <c r="BY28" s="225"/>
      <c r="BZ28" s="225"/>
      <c r="CA28" s="225"/>
      <c r="CB28" s="225"/>
      <c r="CC28" s="433"/>
      <c r="CD28" s="229"/>
      <c r="CE28" s="229"/>
      <c r="CF28" s="229"/>
      <c r="CG28" s="225" t="s">
        <v>7094</v>
      </c>
      <c r="CH28" s="229"/>
      <c r="CI28" s="229"/>
      <c r="CJ28" s="229"/>
      <c r="CK28" s="229"/>
      <c r="CL28" s="229"/>
      <c r="CM28" s="229"/>
      <c r="CN28" s="263" t="s">
        <v>7093</v>
      </c>
      <c r="CO28" s="225" t="s">
        <v>656</v>
      </c>
      <c r="CP28" s="225"/>
      <c r="CQ28" s="406"/>
      <c r="CR28" s="394"/>
      <c r="CS28" s="225"/>
      <c r="CT28" s="225"/>
      <c r="CU28" s="225"/>
      <c r="CV28" s="225"/>
      <c r="CW28" s="225" t="s">
        <v>656</v>
      </c>
      <c r="CX28" s="225"/>
      <c r="CY28" s="225"/>
      <c r="CZ28" s="225"/>
      <c r="DA28" s="225" t="s">
        <v>1149</v>
      </c>
      <c r="DB28" s="225"/>
      <c r="DC28" s="225"/>
      <c r="DD28" s="225"/>
      <c r="DE28" s="225"/>
      <c r="DF28" s="225" t="s">
        <v>470</v>
      </c>
      <c r="DG28" s="225"/>
      <c r="DH28" s="225"/>
      <c r="DI28" s="225"/>
      <c r="DJ28" s="225" t="s">
        <v>656</v>
      </c>
      <c r="DK28" s="225"/>
      <c r="DL28" s="260"/>
      <c r="DM28" s="225"/>
      <c r="DN28" s="225" t="s">
        <v>656</v>
      </c>
      <c r="DO28" s="225"/>
      <c r="DP28" s="225" t="s">
        <v>470</v>
      </c>
      <c r="DQ28" s="225" t="s">
        <v>470</v>
      </c>
      <c r="DR28" s="225" t="s">
        <v>470</v>
      </c>
      <c r="DS28" s="225" t="s">
        <v>470</v>
      </c>
      <c r="DT28" s="225" t="s">
        <v>470</v>
      </c>
      <c r="DU28" s="225" t="s">
        <v>1924</v>
      </c>
      <c r="DV28" s="225"/>
      <c r="DW28" s="246" t="s">
        <v>2234</v>
      </c>
      <c r="DX28" s="225" t="s">
        <v>7092</v>
      </c>
      <c r="DY28" s="226" t="s">
        <v>7091</v>
      </c>
      <c r="DZ28" s="225"/>
      <c r="EA28" s="225"/>
      <c r="EB28" s="263" t="s">
        <v>7090</v>
      </c>
      <c r="EC28" s="226"/>
      <c r="ED28" s="263" t="s">
        <v>7089</v>
      </c>
      <c r="EE28" s="225" t="s">
        <v>656</v>
      </c>
      <c r="EF28" s="263" t="s">
        <v>7088</v>
      </c>
      <c r="EG28" s="226"/>
      <c r="EH28" s="225"/>
      <c r="EI28" s="225" t="s">
        <v>1924</v>
      </c>
      <c r="EJ28" s="226"/>
      <c r="EK28" s="226"/>
      <c r="EL28" s="226"/>
      <c r="EM28" s="226"/>
      <c r="EN28" s="226"/>
      <c r="EO28" s="226"/>
      <c r="EP28" s="226"/>
      <c r="EQ28" s="226"/>
      <c r="ER28" s="263" t="s">
        <v>7087</v>
      </c>
      <c r="ES28" s="225"/>
      <c r="ET28" s="225"/>
      <c r="EU28" s="225"/>
      <c r="EV28" s="225"/>
      <c r="EW28" s="225"/>
      <c r="EX28" s="225"/>
      <c r="EY28" s="225"/>
      <c r="EZ28" s="260" t="s">
        <v>7086</v>
      </c>
      <c r="FA28" s="264" t="s">
        <v>7085</v>
      </c>
      <c r="FB28" s="225"/>
      <c r="FC28" s="264" t="s">
        <v>7084</v>
      </c>
      <c r="FD28" s="226"/>
      <c r="FE28" s="404"/>
      <c r="FF28" s="225" t="s">
        <v>470</v>
      </c>
      <c r="FG28" s="263" t="s">
        <v>470</v>
      </c>
      <c r="FH28" s="225" t="s">
        <v>470</v>
      </c>
      <c r="FI28" s="394" t="s">
        <v>656</v>
      </c>
      <c r="FJ28" s="394" t="s">
        <v>656</v>
      </c>
      <c r="FK28" s="394"/>
      <c r="FL28" s="394" t="s">
        <v>656</v>
      </c>
      <c r="FM28" s="428" t="s">
        <v>7083</v>
      </c>
      <c r="FN28" s="428"/>
      <c r="FO28" s="394" t="s">
        <v>470</v>
      </c>
      <c r="FP28" s="394"/>
      <c r="FQ28" s="388" t="s">
        <v>7082</v>
      </c>
      <c r="FR28" s="388" t="s">
        <v>7081</v>
      </c>
      <c r="FS28" s="388"/>
      <c r="FT28" s="394"/>
      <c r="FU28" s="226"/>
      <c r="FV28" s="394"/>
      <c r="FW28" s="394"/>
      <c r="FX28" s="394"/>
      <c r="FY28" s="226"/>
      <c r="FZ28" s="394"/>
      <c r="GA28" s="394" t="s">
        <v>7080</v>
      </c>
      <c r="GB28" s="394"/>
      <c r="GC28" s="394"/>
      <c r="GD28" s="388" t="s">
        <v>7079</v>
      </c>
      <c r="GE28" s="394"/>
      <c r="GF28" s="394"/>
      <c r="GG28" s="394" t="s">
        <v>4906</v>
      </c>
      <c r="GH28" s="394" t="s">
        <v>4906</v>
      </c>
      <c r="GI28" s="226"/>
      <c r="GJ28" s="388" t="s">
        <v>7078</v>
      </c>
      <c r="GK28" s="388" t="s">
        <v>7077</v>
      </c>
      <c r="GL28" s="394"/>
      <c r="GM28" s="388"/>
      <c r="GN28" s="388"/>
      <c r="GO28" s="226"/>
      <c r="GP28" s="394"/>
      <c r="GQ28" s="226"/>
      <c r="GR28" s="394"/>
      <c r="GS28" s="394"/>
      <c r="GT28" s="394"/>
      <c r="GU28" s="394"/>
      <c r="GV28" s="394"/>
      <c r="GW28" s="226"/>
      <c r="GX28" s="225"/>
      <c r="GY28" s="225"/>
      <c r="GZ28" s="394"/>
      <c r="HA28" s="264" t="s">
        <v>7076</v>
      </c>
      <c r="HB28" s="225" t="s">
        <v>7075</v>
      </c>
      <c r="HC28" s="225" t="s">
        <v>470</v>
      </c>
      <c r="HD28" s="225"/>
      <c r="HE28" s="225"/>
      <c r="HF28" s="226"/>
      <c r="HG28" s="261" t="s">
        <v>7074</v>
      </c>
      <c r="HH28" s="291" t="s">
        <v>656</v>
      </c>
      <c r="HI28" s="262"/>
      <c r="HJ28" s="225" t="s">
        <v>656</v>
      </c>
      <c r="HK28" s="261" t="s">
        <v>7073</v>
      </c>
      <c r="HL28" s="226"/>
      <c r="HM28" s="225"/>
      <c r="HN28" s="226"/>
      <c r="HO28" s="260" t="s">
        <v>7072</v>
      </c>
      <c r="HP28" s="264" t="s">
        <v>6226</v>
      </c>
      <c r="HQ28" s="260" t="s">
        <v>7071</v>
      </c>
      <c r="HR28" s="260" t="s">
        <v>7071</v>
      </c>
      <c r="HS28" s="225"/>
      <c r="HT28" s="225"/>
      <c r="HU28" s="225"/>
      <c r="HV28" s="225"/>
      <c r="HW28" s="225"/>
      <c r="HX28" s="225"/>
      <c r="HY28" s="266" t="s">
        <v>7070</v>
      </c>
      <c r="HZ28" s="228" t="s">
        <v>7069</v>
      </c>
      <c r="IA28" s="225"/>
      <c r="IB28" s="225"/>
      <c r="IC28" s="225"/>
      <c r="ID28" s="260"/>
      <c r="IE28" s="225"/>
      <c r="IF28" s="225"/>
      <c r="IG28" s="225"/>
      <c r="IH28" s="229"/>
      <c r="II28" s="225"/>
      <c r="IJ28" s="225"/>
      <c r="IK28" s="225"/>
      <c r="IL28" s="260"/>
      <c r="IM28" s="260"/>
      <c r="IN28" s="225"/>
      <c r="IO28" s="225"/>
      <c r="IP28" s="225"/>
      <c r="IQ28" s="225"/>
      <c r="IR28" s="225"/>
      <c r="IS28" s="225"/>
      <c r="IT28" s="225"/>
      <c r="IU28" s="225"/>
      <c r="IV28" s="225"/>
      <c r="IW28" s="225"/>
      <c r="IX28" s="225"/>
      <c r="IY28" s="225" t="s">
        <v>656</v>
      </c>
      <c r="IZ28" s="225"/>
      <c r="JA28" s="225"/>
      <c r="JB28" s="225"/>
      <c r="JC28" s="225" t="s">
        <v>656</v>
      </c>
      <c r="JD28" s="225"/>
      <c r="JE28" s="226"/>
      <c r="JF28" s="226"/>
      <c r="JG28" s="226"/>
      <c r="JH28" s="225" t="s">
        <v>656</v>
      </c>
      <c r="JI28" s="225"/>
      <c r="JJ28" s="225" t="s">
        <v>656</v>
      </c>
      <c r="JK28" s="237"/>
      <c r="JL28" s="263" t="s">
        <v>7068</v>
      </c>
      <c r="JM28" s="225"/>
      <c r="JN28" s="226"/>
      <c r="JO28" s="226"/>
      <c r="JP28" s="226"/>
      <c r="JQ28" s="225" t="s">
        <v>656</v>
      </c>
      <c r="JR28" s="225"/>
      <c r="JS28" s="225"/>
      <c r="JT28" s="260" t="s">
        <v>7067</v>
      </c>
      <c r="JU28" s="225"/>
      <c r="JV28" s="225"/>
      <c r="JW28" s="225" t="s">
        <v>656</v>
      </c>
      <c r="JX28" s="225" t="s">
        <v>656</v>
      </c>
      <c r="JY28" s="264" t="s">
        <v>7066</v>
      </c>
      <c r="JZ28" s="225" t="s">
        <v>7065</v>
      </c>
      <c r="KA28" s="225" t="s">
        <v>7064</v>
      </c>
      <c r="KB28" s="225" t="s">
        <v>7063</v>
      </c>
      <c r="KC28" s="225" t="s">
        <v>470</v>
      </c>
      <c r="KD28" s="225" t="s">
        <v>7062</v>
      </c>
      <c r="KE28" s="232"/>
      <c r="KF28" s="225"/>
      <c r="KG28" s="260" t="s">
        <v>7061</v>
      </c>
      <c r="KH28" s="225"/>
      <c r="KI28" s="264" t="s">
        <v>7060</v>
      </c>
      <c r="KJ28" s="225"/>
      <c r="KK28" s="232" t="s">
        <v>656</v>
      </c>
      <c r="KL28" s="225" t="s">
        <v>656</v>
      </c>
      <c r="KM28" s="225" t="s">
        <v>470</v>
      </c>
      <c r="KN28" s="225" t="s">
        <v>656</v>
      </c>
      <c r="KO28" s="225"/>
      <c r="KP28" s="264" t="s">
        <v>7059</v>
      </c>
      <c r="KQ28" s="226"/>
      <c r="KR28" s="226"/>
      <c r="KS28" s="226"/>
      <c r="KT28" s="226"/>
      <c r="KU28" s="226"/>
      <c r="KV28" s="225" t="s">
        <v>656</v>
      </c>
      <c r="KW28" s="225"/>
      <c r="KX28" s="228"/>
      <c r="KY28" s="793"/>
      <c r="KZ28" s="225"/>
      <c r="LA28" s="225"/>
      <c r="LB28" s="225"/>
      <c r="LC28" s="225"/>
      <c r="LD28" s="225"/>
      <c r="LE28" s="225"/>
      <c r="LF28" s="225"/>
      <c r="LG28" s="225"/>
      <c r="LH28" s="225"/>
      <c r="LI28" s="225"/>
      <c r="LJ28" s="263" t="s">
        <v>9132</v>
      </c>
      <c r="LK28" s="225"/>
      <c r="LL28" s="225"/>
      <c r="LM28" s="226"/>
      <c r="LN28" s="264" t="s">
        <v>7058</v>
      </c>
      <c r="LO28" s="260" t="s">
        <v>7057</v>
      </c>
      <c r="LP28" s="225" t="s">
        <v>7056</v>
      </c>
      <c r="LQ28" s="225"/>
      <c r="LR28" s="225" t="s">
        <v>7055</v>
      </c>
      <c r="LS28" s="260" t="s">
        <v>7054</v>
      </c>
      <c r="LT28" s="268" t="s">
        <v>7053</v>
      </c>
      <c r="LU28" s="225"/>
      <c r="LV28" s="225" t="s">
        <v>470</v>
      </c>
      <c r="LW28" s="225"/>
      <c r="LX28" s="225"/>
      <c r="LY28" s="225"/>
      <c r="LZ28" s="225"/>
      <c r="MA28" s="225"/>
      <c r="MB28" s="225"/>
      <c r="MC28" s="225" t="s">
        <v>7052</v>
      </c>
      <c r="MD28" s="225" t="s">
        <v>7051</v>
      </c>
      <c r="ME28" s="225"/>
      <c r="MF28" s="225" t="s">
        <v>7050</v>
      </c>
      <c r="MG28" s="226"/>
      <c r="MH28" s="226"/>
      <c r="MI28" s="226"/>
      <c r="MJ28" s="235" t="s">
        <v>7049</v>
      </c>
      <c r="MK28" s="235"/>
      <c r="ML28" s="235" t="s">
        <v>7048</v>
      </c>
      <c r="MM28" s="275" t="s">
        <v>7047</v>
      </c>
      <c r="MN28" s="236"/>
      <c r="MO28" s="236" t="s">
        <v>7046</v>
      </c>
      <c r="MP28" s="236"/>
      <c r="MQ28" s="236"/>
      <c r="MR28" s="274" t="s">
        <v>7045</v>
      </c>
      <c r="MS28" s="236"/>
      <c r="MT28" s="269" t="s">
        <v>7044</v>
      </c>
      <c r="MU28" s="236"/>
      <c r="MV28" s="235"/>
      <c r="MW28" s="235"/>
      <c r="MX28" s="226"/>
      <c r="MY28" s="226"/>
      <c r="MZ28" s="226"/>
      <c r="NA28" s="226"/>
    </row>
    <row r="29" spans="1:365" ht="34" customHeight="1" x14ac:dyDescent="0.2">
      <c r="A29" s="200" t="s">
        <v>43</v>
      </c>
      <c r="B29" s="201" t="s">
        <v>44</v>
      </c>
      <c r="C29" s="202" t="s">
        <v>7043</v>
      </c>
      <c r="D29" s="215" t="s">
        <v>15</v>
      </c>
      <c r="E29" s="225" t="s">
        <v>7042</v>
      </c>
      <c r="F29" s="225" t="s">
        <v>7042</v>
      </c>
      <c r="G29" s="225" t="s">
        <v>7041</v>
      </c>
      <c r="H29" s="225" t="s">
        <v>7040</v>
      </c>
      <c r="I29" s="225" t="s">
        <v>7039</v>
      </c>
      <c r="J29" s="225" t="s">
        <v>7038</v>
      </c>
      <c r="K29" s="225" t="s">
        <v>6906</v>
      </c>
      <c r="L29" s="225" t="s">
        <v>6905</v>
      </c>
      <c r="M29" s="224" t="s">
        <v>6905</v>
      </c>
      <c r="N29" s="225" t="s">
        <v>6905</v>
      </c>
      <c r="O29" s="225" t="s">
        <v>7037</v>
      </c>
      <c r="P29" s="400" t="s">
        <v>6903</v>
      </c>
      <c r="Q29" s="225" t="s">
        <v>6902</v>
      </c>
      <c r="R29" s="225" t="s">
        <v>6901</v>
      </c>
      <c r="S29" s="226" t="s">
        <v>7036</v>
      </c>
      <c r="T29" s="225" t="s">
        <v>7035</v>
      </c>
      <c r="U29" s="225" t="s">
        <v>6603</v>
      </c>
      <c r="V29" s="225" t="s">
        <v>7034</v>
      </c>
      <c r="W29" s="226"/>
      <c r="X29" s="226"/>
      <c r="Y29" s="226"/>
      <c r="Z29" s="226"/>
      <c r="AA29" s="226"/>
      <c r="AB29" s="226"/>
      <c r="AC29" s="226"/>
      <c r="AD29" s="226"/>
      <c r="AE29" s="226"/>
      <c r="AF29" s="225" t="s">
        <v>6897</v>
      </c>
      <c r="AG29" s="225" t="s">
        <v>6600</v>
      </c>
      <c r="AH29" s="226"/>
      <c r="AI29" s="225" t="s">
        <v>6599</v>
      </c>
      <c r="AJ29" s="225" t="s">
        <v>6598</v>
      </c>
      <c r="AK29" s="229" t="s">
        <v>7033</v>
      </c>
      <c r="AL29" s="225" t="s">
        <v>6596</v>
      </c>
      <c r="AM29" s="226"/>
      <c r="AN29" s="226"/>
      <c r="AO29" s="226"/>
      <c r="AP29" s="226"/>
      <c r="AQ29" s="225" t="s">
        <v>6894</v>
      </c>
      <c r="AR29" s="225" t="s">
        <v>7032</v>
      </c>
      <c r="AS29" s="225" t="s">
        <v>7032</v>
      </c>
      <c r="AT29" s="225" t="s">
        <v>6593</v>
      </c>
      <c r="AU29" s="225" t="s">
        <v>6893</v>
      </c>
      <c r="AV29" s="225" t="s">
        <v>7031</v>
      </c>
      <c r="AW29" s="225" t="s">
        <v>6590</v>
      </c>
      <c r="AX29" s="225" t="s">
        <v>7030</v>
      </c>
      <c r="AY29" s="229" t="s">
        <v>6892</v>
      </c>
      <c r="AZ29" s="225" t="s">
        <v>7029</v>
      </c>
      <c r="BA29" s="225" t="s">
        <v>7028</v>
      </c>
      <c r="BB29" s="225" t="s">
        <v>6585</v>
      </c>
      <c r="BC29" s="225" t="s">
        <v>6584</v>
      </c>
      <c r="BD29" s="225" t="s">
        <v>7027</v>
      </c>
      <c r="BE29" s="229" t="s">
        <v>6582</v>
      </c>
      <c r="BF29" s="225" t="s">
        <v>7026</v>
      </c>
      <c r="BG29" s="225" t="s">
        <v>7025</v>
      </c>
      <c r="BH29" s="225" t="s">
        <v>7024</v>
      </c>
      <c r="BI29" s="225" t="s">
        <v>7023</v>
      </c>
      <c r="BJ29" s="225" t="s">
        <v>6888</v>
      </c>
      <c r="BK29" s="233" t="s">
        <v>7022</v>
      </c>
      <c r="BL29" s="225" t="s">
        <v>6575</v>
      </c>
      <c r="BM29" s="225" t="s">
        <v>7021</v>
      </c>
      <c r="BN29" s="226"/>
      <c r="BO29" s="225" t="s">
        <v>7020</v>
      </c>
      <c r="BP29" s="225" t="s">
        <v>6885</v>
      </c>
      <c r="BQ29" s="225" t="s">
        <v>7019</v>
      </c>
      <c r="BR29" s="233" t="s">
        <v>7018</v>
      </c>
      <c r="BS29" s="225" t="s">
        <v>7017</v>
      </c>
      <c r="BT29" s="225" t="s">
        <v>6570</v>
      </c>
      <c r="BU29" s="225" t="s">
        <v>6883</v>
      </c>
      <c r="BV29" s="225" t="s">
        <v>7016</v>
      </c>
      <c r="BW29" s="225" t="s">
        <v>6568</v>
      </c>
      <c r="BX29" s="225" t="s">
        <v>6567</v>
      </c>
      <c r="BY29" s="225" t="s">
        <v>7015</v>
      </c>
      <c r="BZ29" s="224" t="s">
        <v>6566</v>
      </c>
      <c r="CA29" s="225" t="s">
        <v>6880</v>
      </c>
      <c r="CB29" s="225" t="s">
        <v>6880</v>
      </c>
      <c r="CC29" s="225" t="s">
        <v>6564</v>
      </c>
      <c r="CD29" s="229" t="s">
        <v>7014</v>
      </c>
      <c r="CE29" s="229" t="s">
        <v>6563</v>
      </c>
      <c r="CF29" s="229" t="s">
        <v>6562</v>
      </c>
      <c r="CG29" s="229" t="s">
        <v>6561</v>
      </c>
      <c r="CH29" s="229" t="s">
        <v>6560</v>
      </c>
      <c r="CI29" s="229" t="s">
        <v>6559</v>
      </c>
      <c r="CJ29" s="229" t="s">
        <v>6558</v>
      </c>
      <c r="CK29" s="229" t="s">
        <v>6557</v>
      </c>
      <c r="CL29" s="229" t="s">
        <v>6556</v>
      </c>
      <c r="CM29" s="229" t="s">
        <v>7013</v>
      </c>
      <c r="CN29" s="225" t="s">
        <v>6554</v>
      </c>
      <c r="CO29" s="225" t="s">
        <v>6553</v>
      </c>
      <c r="CP29" s="225" t="s">
        <v>6878</v>
      </c>
      <c r="CQ29" s="401" t="s">
        <v>6877</v>
      </c>
      <c r="CR29" s="394" t="s">
        <v>7012</v>
      </c>
      <c r="CS29" s="225" t="s">
        <v>7011</v>
      </c>
      <c r="CT29" s="225" t="s">
        <v>6875</v>
      </c>
      <c r="CU29" s="402" t="s">
        <v>6550</v>
      </c>
      <c r="CV29" s="225" t="s">
        <v>6549</v>
      </c>
      <c r="CW29" s="225" t="s">
        <v>6548</v>
      </c>
      <c r="CX29" s="225" t="s">
        <v>6547</v>
      </c>
      <c r="CY29" s="403" t="s">
        <v>6546</v>
      </c>
      <c r="CZ29" s="225" t="s">
        <v>6874</v>
      </c>
      <c r="DA29" s="225" t="s">
        <v>7010</v>
      </c>
      <c r="DB29" s="225" t="s">
        <v>6872</v>
      </c>
      <c r="DC29" s="225" t="s">
        <v>6871</v>
      </c>
      <c r="DD29" s="225" t="s">
        <v>6542</v>
      </c>
      <c r="DE29" s="225" t="s">
        <v>6870</v>
      </c>
      <c r="DF29" s="225" t="s">
        <v>7009</v>
      </c>
      <c r="DG29" s="225" t="s">
        <v>7008</v>
      </c>
      <c r="DH29" s="225" t="s">
        <v>6539</v>
      </c>
      <c r="DI29" s="225" t="s">
        <v>6538</v>
      </c>
      <c r="DJ29" s="225" t="s">
        <v>6537</v>
      </c>
      <c r="DK29" s="225" t="s">
        <v>7007</v>
      </c>
      <c r="DL29" s="225" t="s">
        <v>6536</v>
      </c>
      <c r="DM29" s="225" t="s">
        <v>6535</v>
      </c>
      <c r="DN29" s="225" t="s">
        <v>6534</v>
      </c>
      <c r="DO29" s="225" t="s">
        <v>7006</v>
      </c>
      <c r="DP29" s="225" t="s">
        <v>6533</v>
      </c>
      <c r="DQ29" s="225" t="s">
        <v>6532</v>
      </c>
      <c r="DR29" s="225" t="s">
        <v>6531</v>
      </c>
      <c r="DS29" s="225" t="s">
        <v>6530</v>
      </c>
      <c r="DT29" s="225" t="s">
        <v>6529</v>
      </c>
      <c r="DU29" s="225" t="s">
        <v>6528</v>
      </c>
      <c r="DV29" s="225" t="s">
        <v>6527</v>
      </c>
      <c r="DW29" s="246" t="s">
        <v>6868</v>
      </c>
      <c r="DX29" s="225" t="s">
        <v>6867</v>
      </c>
      <c r="DY29" s="225" t="s">
        <v>7005</v>
      </c>
      <c r="DZ29" s="225" t="s">
        <v>6865</v>
      </c>
      <c r="EA29" s="225" t="s">
        <v>6864</v>
      </c>
      <c r="EB29" s="225" t="s">
        <v>6863</v>
      </c>
      <c r="EC29" s="226"/>
      <c r="ED29" s="225" t="s">
        <v>7004</v>
      </c>
      <c r="EE29" s="225" t="s">
        <v>6520</v>
      </c>
      <c r="EF29" s="225" t="s">
        <v>7004</v>
      </c>
      <c r="EG29" s="226"/>
      <c r="EH29" s="225" t="s">
        <v>7003</v>
      </c>
      <c r="EI29" s="225" t="s">
        <v>6517</v>
      </c>
      <c r="EJ29" s="226"/>
      <c r="EK29" s="226"/>
      <c r="EL29" s="226"/>
      <c r="EM29" s="226"/>
      <c r="EN29" s="226"/>
      <c r="EO29" s="226"/>
      <c r="EP29" s="226"/>
      <c r="EQ29" s="226"/>
      <c r="ER29" s="225" t="s">
        <v>7002</v>
      </c>
      <c r="ES29" s="225" t="s">
        <v>6515</v>
      </c>
      <c r="ET29" s="225" t="s">
        <v>6856</v>
      </c>
      <c r="EU29" s="225" t="s">
        <v>6856</v>
      </c>
      <c r="EV29" s="225" t="s">
        <v>6856</v>
      </c>
      <c r="EW29" s="225" t="s">
        <v>6855</v>
      </c>
      <c r="EX29" s="225" t="s">
        <v>6854</v>
      </c>
      <c r="EY29" s="225"/>
      <c r="EZ29" s="229" t="s">
        <v>6852</v>
      </c>
      <c r="FA29" s="225" t="s">
        <v>7001</v>
      </c>
      <c r="FB29" s="225" t="s">
        <v>6850</v>
      </c>
      <c r="FC29" s="225" t="s">
        <v>7000</v>
      </c>
      <c r="FD29" s="226"/>
      <c r="FE29" s="404" t="s">
        <v>6999</v>
      </c>
      <c r="FF29" s="225" t="s">
        <v>6503</v>
      </c>
      <c r="FG29" s="225" t="s">
        <v>6998</v>
      </c>
      <c r="FH29" s="225" t="s">
        <v>6997</v>
      </c>
      <c r="FI29" s="394"/>
      <c r="FJ29" s="394" t="s">
        <v>6843</v>
      </c>
      <c r="FK29" s="394"/>
      <c r="FL29" s="394" t="s">
        <v>6996</v>
      </c>
      <c r="FM29" s="225" t="s">
        <v>6841</v>
      </c>
      <c r="FN29" s="225"/>
      <c r="FO29" s="394" t="s">
        <v>6995</v>
      </c>
      <c r="FP29" s="394"/>
      <c r="FQ29" s="394" t="s">
        <v>6994</v>
      </c>
      <c r="FR29" s="394" t="s">
        <v>6993</v>
      </c>
      <c r="FS29" s="394"/>
      <c r="FT29" s="394" t="s">
        <v>6838</v>
      </c>
      <c r="FU29" s="226"/>
      <c r="FV29" s="394" t="s">
        <v>6992</v>
      </c>
      <c r="FW29" s="394" t="s">
        <v>6836</v>
      </c>
      <c r="FX29" s="394" t="s">
        <v>6991</v>
      </c>
      <c r="FY29" s="226"/>
      <c r="FZ29" s="394" t="s">
        <v>6990</v>
      </c>
      <c r="GA29" s="394" t="s">
        <v>6834</v>
      </c>
      <c r="GB29" s="394" t="s">
        <v>6833</v>
      </c>
      <c r="GC29" s="394"/>
      <c r="GD29" s="394" t="s">
        <v>6832</v>
      </c>
      <c r="GE29" s="394" t="s">
        <v>6831</v>
      </c>
      <c r="GF29" s="394" t="s">
        <v>6831</v>
      </c>
      <c r="GG29" s="394" t="s">
        <v>6829</v>
      </c>
      <c r="GH29" s="394" t="s">
        <v>6989</v>
      </c>
      <c r="GI29" s="226"/>
      <c r="GJ29" s="394" t="s">
        <v>6988</v>
      </c>
      <c r="GK29" s="394" t="s">
        <v>6827</v>
      </c>
      <c r="GL29" s="394" t="s">
        <v>6826</v>
      </c>
      <c r="GM29" s="394" t="s">
        <v>6825</v>
      </c>
      <c r="GN29" s="394" t="s">
        <v>6987</v>
      </c>
      <c r="GO29" s="226"/>
      <c r="GP29" s="394" t="s">
        <v>6986</v>
      </c>
      <c r="GQ29" s="226"/>
      <c r="GR29" s="394" t="s">
        <v>6478</v>
      </c>
      <c r="GS29" s="394" t="s">
        <v>6985</v>
      </c>
      <c r="GT29" s="394"/>
      <c r="GU29" s="394" t="s">
        <v>6823</v>
      </c>
      <c r="GV29" s="394"/>
      <c r="GW29" s="226"/>
      <c r="GX29" s="225" t="s">
        <v>6475</v>
      </c>
      <c r="GY29" s="225" t="s">
        <v>6474</v>
      </c>
      <c r="GZ29" s="394" t="s">
        <v>6473</v>
      </c>
      <c r="HA29" s="225" t="s">
        <v>6984</v>
      </c>
      <c r="HB29" s="225" t="s">
        <v>6471</v>
      </c>
      <c r="HC29" s="225" t="s">
        <v>6983</v>
      </c>
      <c r="HD29" s="225" t="s">
        <v>6820</v>
      </c>
      <c r="HE29" s="225" t="s">
        <v>6982</v>
      </c>
      <c r="HF29" s="226"/>
      <c r="HG29" s="227" t="s">
        <v>6981</v>
      </c>
      <c r="HH29" s="227" t="s">
        <v>6980</v>
      </c>
      <c r="HI29" s="227" t="s">
        <v>6979</v>
      </c>
      <c r="HJ29" s="225" t="s">
        <v>6978</v>
      </c>
      <c r="HK29" s="227" t="s">
        <v>6977</v>
      </c>
      <c r="HL29" s="226"/>
      <c r="HM29" s="225" t="s">
        <v>6976</v>
      </c>
      <c r="HN29" s="226"/>
      <c r="HO29" s="225" t="s">
        <v>6975</v>
      </c>
      <c r="HP29" s="224" t="s">
        <v>6974</v>
      </c>
      <c r="HQ29" s="225" t="s">
        <v>6973</v>
      </c>
      <c r="HR29" s="225" t="s">
        <v>6812</v>
      </c>
      <c r="HS29" s="225" t="s">
        <v>6811</v>
      </c>
      <c r="HT29" s="225" t="s">
        <v>6811</v>
      </c>
      <c r="HU29" s="225" t="s">
        <v>6972</v>
      </c>
      <c r="HV29" s="225" t="s">
        <v>6810</v>
      </c>
      <c r="HW29" s="225" t="s">
        <v>6455</v>
      </c>
      <c r="HX29" s="225" t="s">
        <v>6809</v>
      </c>
      <c r="HY29" s="225" t="s">
        <v>6971</v>
      </c>
      <c r="HZ29" s="228" t="s">
        <v>6970</v>
      </c>
      <c r="IA29" s="225" t="s">
        <v>6451</v>
      </c>
      <c r="IB29" s="225" t="s">
        <v>6969</v>
      </c>
      <c r="IC29" s="225" t="s">
        <v>6969</v>
      </c>
      <c r="ID29" s="225" t="s">
        <v>6447</v>
      </c>
      <c r="IE29" s="225" t="s">
        <v>6447</v>
      </c>
      <c r="IF29" s="225" t="s">
        <v>6447</v>
      </c>
      <c r="IG29" s="225" t="s">
        <v>6446</v>
      </c>
      <c r="IH29" s="229" t="s">
        <v>6445</v>
      </c>
      <c r="II29" s="225" t="s">
        <v>6444</v>
      </c>
      <c r="IJ29" s="225" t="s">
        <v>6443</v>
      </c>
      <c r="IK29" s="225" t="s">
        <v>6443</v>
      </c>
      <c r="IL29" s="225" t="s">
        <v>6442</v>
      </c>
      <c r="IM29" s="225" t="s">
        <v>6968</v>
      </c>
      <c r="IN29" s="225" t="s">
        <v>6440</v>
      </c>
      <c r="IO29" s="225" t="s">
        <v>6439</v>
      </c>
      <c r="IP29" s="225" t="s">
        <v>6439</v>
      </c>
      <c r="IQ29" s="225" t="s">
        <v>6439</v>
      </c>
      <c r="IR29" s="225" t="s">
        <v>6438</v>
      </c>
      <c r="IS29" s="225" t="s">
        <v>6437</v>
      </c>
      <c r="IT29" s="225" t="s">
        <v>6436</v>
      </c>
      <c r="IU29" s="225" t="s">
        <v>6435</v>
      </c>
      <c r="IV29" s="225" t="s">
        <v>6434</v>
      </c>
      <c r="IW29" s="225" t="s">
        <v>6433</v>
      </c>
      <c r="IX29" s="225" t="s">
        <v>6803</v>
      </c>
      <c r="IY29" s="225" t="s">
        <v>6802</v>
      </c>
      <c r="IZ29" s="225" t="s">
        <v>6967</v>
      </c>
      <c r="JA29" s="225" t="s">
        <v>6430</v>
      </c>
      <c r="JB29" s="225" t="s">
        <v>6429</v>
      </c>
      <c r="JC29" s="225" t="s">
        <v>6966</v>
      </c>
      <c r="JD29" s="225" t="s">
        <v>6965</v>
      </c>
      <c r="JE29" s="226"/>
      <c r="JF29" s="226"/>
      <c r="JG29" s="226"/>
      <c r="JH29" s="225" t="s">
        <v>6964</v>
      </c>
      <c r="JI29" s="225" t="s">
        <v>6963</v>
      </c>
      <c r="JJ29" s="225" t="s">
        <v>6962</v>
      </c>
      <c r="JK29" s="237" t="s">
        <v>6961</v>
      </c>
      <c r="JL29" s="225" t="s">
        <v>6795</v>
      </c>
      <c r="JM29" s="225" t="s">
        <v>6794</v>
      </c>
      <c r="JN29" s="226"/>
      <c r="JO29" s="226"/>
      <c r="JP29" s="226"/>
      <c r="JQ29" s="225" t="s">
        <v>6960</v>
      </c>
      <c r="JR29" s="225" t="s">
        <v>6959</v>
      </c>
      <c r="JS29" s="225" t="s">
        <v>6958</v>
      </c>
      <c r="JT29" s="225" t="s">
        <v>6957</v>
      </c>
      <c r="JU29" s="225" t="s">
        <v>6956</v>
      </c>
      <c r="JV29" s="225" t="s">
        <v>6956</v>
      </c>
      <c r="JW29" s="225" t="s">
        <v>6955</v>
      </c>
      <c r="JX29" s="225" t="s">
        <v>6954</v>
      </c>
      <c r="JY29" s="225" t="s">
        <v>6953</v>
      </c>
      <c r="JZ29" s="225" t="s">
        <v>6952</v>
      </c>
      <c r="KA29" s="225" t="s">
        <v>6951</v>
      </c>
      <c r="KB29" s="225" t="s">
        <v>6950</v>
      </c>
      <c r="KC29" s="225" t="s">
        <v>6949</v>
      </c>
      <c r="KD29" s="225" t="s">
        <v>6948</v>
      </c>
      <c r="KE29" s="232" t="s">
        <v>6406</v>
      </c>
      <c r="KF29" s="225" t="s">
        <v>6947</v>
      </c>
      <c r="KG29" s="225" t="s">
        <v>6946</v>
      </c>
      <c r="KH29" s="225" t="s">
        <v>6945</v>
      </c>
      <c r="KI29" s="225" t="s">
        <v>6944</v>
      </c>
      <c r="KJ29" s="225" t="s">
        <v>6943</v>
      </c>
      <c r="KK29" s="232" t="s">
        <v>6400</v>
      </c>
      <c r="KL29" s="225" t="s">
        <v>6942</v>
      </c>
      <c r="KM29" s="225" t="s">
        <v>6398</v>
      </c>
      <c r="KN29" s="225" t="s">
        <v>6941</v>
      </c>
      <c r="KO29" s="225" t="s">
        <v>6940</v>
      </c>
      <c r="KP29" s="225" t="s">
        <v>6395</v>
      </c>
      <c r="KQ29" s="226"/>
      <c r="KR29" s="226"/>
      <c r="KS29" s="226"/>
      <c r="KT29" s="226"/>
      <c r="KU29" s="226"/>
      <c r="KV29" s="225" t="s">
        <v>6939</v>
      </c>
      <c r="KW29" s="225" t="s">
        <v>6781</v>
      </c>
      <c r="KX29" s="228" t="s">
        <v>9300</v>
      </c>
      <c r="KY29" s="793" t="s">
        <v>9282</v>
      </c>
      <c r="KZ29" s="225" t="s">
        <v>9272</v>
      </c>
      <c r="LA29" s="225" t="s">
        <v>9256</v>
      </c>
      <c r="LB29" s="225" t="s">
        <v>9240</v>
      </c>
      <c r="LC29" s="225" t="s">
        <v>9222</v>
      </c>
      <c r="LD29" s="225" t="s">
        <v>9214</v>
      </c>
      <c r="LE29" s="225" t="s">
        <v>9201</v>
      </c>
      <c r="LF29" s="225" t="s">
        <v>9192</v>
      </c>
      <c r="LG29" s="225" t="s">
        <v>9182</v>
      </c>
      <c r="LH29" s="225" t="s">
        <v>9168</v>
      </c>
      <c r="LI29" s="224" t="s">
        <v>9151</v>
      </c>
      <c r="LJ29" s="225" t="s">
        <v>9133</v>
      </c>
      <c r="LK29" s="233" t="s">
        <v>6780</v>
      </c>
      <c r="LL29" s="225" t="s">
        <v>6938</v>
      </c>
      <c r="LM29" s="226"/>
      <c r="LN29" s="225" t="s">
        <v>6937</v>
      </c>
      <c r="LO29" s="225" t="s">
        <v>6777</v>
      </c>
      <c r="LP29" s="225" t="s">
        <v>6936</v>
      </c>
      <c r="LQ29" s="225" t="s">
        <v>6935</v>
      </c>
      <c r="LR29" s="225" t="s">
        <v>6934</v>
      </c>
      <c r="LS29" s="225" t="s">
        <v>6933</v>
      </c>
      <c r="LT29" s="234" t="s">
        <v>6932</v>
      </c>
      <c r="LU29" s="225" t="s">
        <v>6931</v>
      </c>
      <c r="LV29" s="225" t="s">
        <v>6930</v>
      </c>
      <c r="LW29" s="225" t="s">
        <v>6382</v>
      </c>
      <c r="LX29" s="225" t="s">
        <v>6381</v>
      </c>
      <c r="LY29" s="225" t="s">
        <v>6929</v>
      </c>
      <c r="LZ29" s="225" t="s">
        <v>6379</v>
      </c>
      <c r="MA29" s="225" t="s">
        <v>6378</v>
      </c>
      <c r="MB29" s="225" t="s">
        <v>6377</v>
      </c>
      <c r="MC29" s="225" t="s">
        <v>6928</v>
      </c>
      <c r="MD29" s="225" t="s">
        <v>6927</v>
      </c>
      <c r="ME29" s="225" t="s">
        <v>6926</v>
      </c>
      <c r="MF29" s="225" t="s">
        <v>6925</v>
      </c>
      <c r="MG29" s="226"/>
      <c r="MH29" s="226"/>
      <c r="MI29" s="226"/>
      <c r="MJ29" s="235" t="s">
        <v>6924</v>
      </c>
      <c r="MK29" s="235"/>
      <c r="ML29" s="235" t="s">
        <v>6923</v>
      </c>
      <c r="MM29" s="235" t="s">
        <v>6922</v>
      </c>
      <c r="MN29" s="236" t="s">
        <v>6921</v>
      </c>
      <c r="MO29" s="236" t="s">
        <v>6920</v>
      </c>
      <c r="MP29" s="236" t="s">
        <v>6764</v>
      </c>
      <c r="MQ29" s="236" t="s">
        <v>6919</v>
      </c>
      <c r="MR29" s="236" t="s">
        <v>6918</v>
      </c>
      <c r="MS29" s="236" t="s">
        <v>6917</v>
      </c>
      <c r="MT29" s="235" t="s">
        <v>6916</v>
      </c>
      <c r="MU29" s="236" t="s">
        <v>6915</v>
      </c>
      <c r="MV29" s="235" t="s">
        <v>6914</v>
      </c>
      <c r="MW29" s="235" t="s">
        <v>6913</v>
      </c>
      <c r="MX29" s="226"/>
      <c r="MY29" s="226"/>
      <c r="MZ29" s="226"/>
      <c r="NA29" s="226"/>
    </row>
    <row r="30" spans="1:365" ht="409.6" x14ac:dyDescent="0.2">
      <c r="A30" s="1216" t="s">
        <v>46</v>
      </c>
      <c r="B30" s="201" t="s">
        <v>47</v>
      </c>
      <c r="C30" s="202" t="s">
        <v>6912</v>
      </c>
      <c r="D30" s="215" t="s">
        <v>15</v>
      </c>
      <c r="E30" s="225" t="s">
        <v>6911</v>
      </c>
      <c r="F30" s="225" t="s">
        <v>6614</v>
      </c>
      <c r="G30" s="225" t="s">
        <v>6910</v>
      </c>
      <c r="H30" s="225" t="s">
        <v>6909</v>
      </c>
      <c r="I30" s="225" t="s">
        <v>6908</v>
      </c>
      <c r="J30" s="225" t="s">
        <v>6907</v>
      </c>
      <c r="K30" s="225" t="s">
        <v>6906</v>
      </c>
      <c r="L30" s="225" t="s">
        <v>6905</v>
      </c>
      <c r="M30" s="225" t="s">
        <v>6905</v>
      </c>
      <c r="N30" s="225" t="s">
        <v>6905</v>
      </c>
      <c r="O30" s="225" t="s">
        <v>6904</v>
      </c>
      <c r="P30" s="400" t="s">
        <v>6903</v>
      </c>
      <c r="Q30" s="225" t="s">
        <v>6902</v>
      </c>
      <c r="R30" s="225" t="s">
        <v>6901</v>
      </c>
      <c r="S30" s="226" t="s">
        <v>6900</v>
      </c>
      <c r="T30" s="225" t="s">
        <v>6899</v>
      </c>
      <c r="U30" s="225" t="s">
        <v>6603</v>
      </c>
      <c r="V30" s="225" t="s">
        <v>6898</v>
      </c>
      <c r="W30" s="226"/>
      <c r="X30" s="226"/>
      <c r="Y30" s="226"/>
      <c r="Z30" s="226"/>
      <c r="AA30" s="226"/>
      <c r="AB30" s="226"/>
      <c r="AC30" s="226"/>
      <c r="AD30" s="226"/>
      <c r="AE30" s="226"/>
      <c r="AF30" s="225" t="s">
        <v>6897</v>
      </c>
      <c r="AG30" s="225" t="s">
        <v>6896</v>
      </c>
      <c r="AH30" s="226"/>
      <c r="AI30" s="225" t="s">
        <v>6599</v>
      </c>
      <c r="AJ30" s="225" t="s">
        <v>6598</v>
      </c>
      <c r="AK30" s="229" t="s">
        <v>6895</v>
      </c>
      <c r="AL30" s="225" t="s">
        <v>6596</v>
      </c>
      <c r="AM30" s="226"/>
      <c r="AN30" s="226"/>
      <c r="AO30" s="226"/>
      <c r="AP30" s="226"/>
      <c r="AQ30" s="225" t="s">
        <v>6894</v>
      </c>
      <c r="AR30" s="225" t="s">
        <v>6594</v>
      </c>
      <c r="AS30" s="225" t="s">
        <v>6594</v>
      </c>
      <c r="AT30" s="225" t="s">
        <v>1679</v>
      </c>
      <c r="AU30" s="225" t="s">
        <v>6893</v>
      </c>
      <c r="AV30" s="225" t="s">
        <v>1679</v>
      </c>
      <c r="AW30" s="225" t="s">
        <v>6886</v>
      </c>
      <c r="AX30" s="225" t="s">
        <v>1679</v>
      </c>
      <c r="AY30" s="229" t="s">
        <v>6892</v>
      </c>
      <c r="AZ30" s="225" t="s">
        <v>6891</v>
      </c>
      <c r="BA30" s="225"/>
      <c r="BB30" s="225" t="s">
        <v>1679</v>
      </c>
      <c r="BC30" s="225" t="s">
        <v>1679</v>
      </c>
      <c r="BD30" s="225" t="s">
        <v>6890</v>
      </c>
      <c r="BE30" s="434" t="s">
        <v>1679</v>
      </c>
      <c r="BF30" s="225" t="s">
        <v>6889</v>
      </c>
      <c r="BG30" s="225" t="s">
        <v>1679</v>
      </c>
      <c r="BH30" s="225" t="s">
        <v>1679</v>
      </c>
      <c r="BI30" s="225" t="s">
        <v>1679</v>
      </c>
      <c r="BJ30" s="225" t="s">
        <v>6888</v>
      </c>
      <c r="BK30" s="225" t="s">
        <v>6887</v>
      </c>
      <c r="BL30" s="225" t="s">
        <v>1679</v>
      </c>
      <c r="BM30" s="225" t="s">
        <v>6886</v>
      </c>
      <c r="BN30" s="226"/>
      <c r="BO30" s="225" t="s">
        <v>6573</v>
      </c>
      <c r="BP30" s="225" t="s">
        <v>6885</v>
      </c>
      <c r="BQ30" s="225" t="s">
        <v>6572</v>
      </c>
      <c r="BR30" s="233" t="s">
        <v>15</v>
      </c>
      <c r="BS30" s="225" t="s">
        <v>6884</v>
      </c>
      <c r="BT30" s="225" t="s">
        <v>6570</v>
      </c>
      <c r="BU30" s="225" t="s">
        <v>6883</v>
      </c>
      <c r="BV30" s="225" t="s">
        <v>6882</v>
      </c>
      <c r="BW30" s="225" t="s">
        <v>6568</v>
      </c>
      <c r="BX30" s="225" t="s">
        <v>6567</v>
      </c>
      <c r="BY30" s="225" t="s">
        <v>6881</v>
      </c>
      <c r="BZ30" s="224" t="s">
        <v>6566</v>
      </c>
      <c r="CA30" s="225" t="s">
        <v>6880</v>
      </c>
      <c r="CB30" s="225" t="s">
        <v>6880</v>
      </c>
      <c r="CC30" s="225" t="s">
        <v>6564</v>
      </c>
      <c r="CD30" s="229"/>
      <c r="CE30" s="229" t="s">
        <v>6563</v>
      </c>
      <c r="CF30" s="229" t="s">
        <v>6562</v>
      </c>
      <c r="CG30" s="225" t="s">
        <v>6561</v>
      </c>
      <c r="CH30" s="229" t="s">
        <v>6560</v>
      </c>
      <c r="CI30" s="229" t="s">
        <v>6559</v>
      </c>
      <c r="CJ30" s="229" t="s">
        <v>6558</v>
      </c>
      <c r="CK30" s="229" t="s">
        <v>6557</v>
      </c>
      <c r="CL30" s="229" t="s">
        <v>6556</v>
      </c>
      <c r="CM30" s="229" t="s">
        <v>6879</v>
      </c>
      <c r="CN30" s="225" t="s">
        <v>6554</v>
      </c>
      <c r="CO30" s="225" t="s">
        <v>6553</v>
      </c>
      <c r="CP30" s="225" t="s">
        <v>6878</v>
      </c>
      <c r="CQ30" s="401" t="s">
        <v>6877</v>
      </c>
      <c r="CR30" s="394" t="s">
        <v>6876</v>
      </c>
      <c r="CS30" s="225" t="s">
        <v>6551</v>
      </c>
      <c r="CT30" s="225" t="s">
        <v>6875</v>
      </c>
      <c r="CU30" s="402" t="s">
        <v>6550</v>
      </c>
      <c r="CV30" s="225" t="s">
        <v>6549</v>
      </c>
      <c r="CW30" s="225" t="s">
        <v>6548</v>
      </c>
      <c r="CX30" s="225" t="s">
        <v>6547</v>
      </c>
      <c r="CY30" s="403" t="s">
        <v>6546</v>
      </c>
      <c r="CZ30" s="225" t="s">
        <v>6874</v>
      </c>
      <c r="DA30" s="225" t="s">
        <v>6873</v>
      </c>
      <c r="DB30" s="225" t="s">
        <v>6872</v>
      </c>
      <c r="DC30" s="225" t="s">
        <v>6871</v>
      </c>
      <c r="DD30" s="225" t="s">
        <v>6542</v>
      </c>
      <c r="DE30" s="225" t="s">
        <v>6870</v>
      </c>
      <c r="DF30" s="225" t="s">
        <v>6541</v>
      </c>
      <c r="DG30" s="225" t="s">
        <v>6869</v>
      </c>
      <c r="DH30" s="225" t="s">
        <v>6539</v>
      </c>
      <c r="DI30" s="225" t="s">
        <v>6538</v>
      </c>
      <c r="DJ30" s="225" t="s">
        <v>6537</v>
      </c>
      <c r="DK30" s="225"/>
      <c r="DL30" s="225" t="s">
        <v>6536</v>
      </c>
      <c r="DM30" s="225" t="s">
        <v>6535</v>
      </c>
      <c r="DN30" s="225" t="s">
        <v>6534</v>
      </c>
      <c r="DO30" s="225"/>
      <c r="DP30" s="225" t="s">
        <v>6533</v>
      </c>
      <c r="DQ30" s="225" t="s">
        <v>6532</v>
      </c>
      <c r="DR30" s="225" t="s">
        <v>6531</v>
      </c>
      <c r="DS30" s="225" t="s">
        <v>6530</v>
      </c>
      <c r="DT30" s="225" t="s">
        <v>6529</v>
      </c>
      <c r="DU30" s="225" t="s">
        <v>6528</v>
      </c>
      <c r="DV30" s="225" t="s">
        <v>6527</v>
      </c>
      <c r="DW30" s="246" t="s">
        <v>6868</v>
      </c>
      <c r="DX30" s="225" t="s">
        <v>6867</v>
      </c>
      <c r="DY30" s="225" t="s">
        <v>6866</v>
      </c>
      <c r="DZ30" s="225" t="s">
        <v>6865</v>
      </c>
      <c r="EA30" s="225" t="s">
        <v>6864</v>
      </c>
      <c r="EB30" s="225" t="s">
        <v>6863</v>
      </c>
      <c r="EC30" s="226"/>
      <c r="ED30" s="225" t="s">
        <v>6862</v>
      </c>
      <c r="EE30" s="225" t="s">
        <v>6520</v>
      </c>
      <c r="EF30" s="225" t="s">
        <v>6861</v>
      </c>
      <c r="EG30" s="226"/>
      <c r="EH30" s="225" t="s">
        <v>614</v>
      </c>
      <c r="EI30" s="225" t="s">
        <v>6860</v>
      </c>
      <c r="EJ30" s="226"/>
      <c r="EK30" s="226"/>
      <c r="EL30" s="226"/>
      <c r="EM30" s="226"/>
      <c r="EN30" s="226"/>
      <c r="EO30" s="226"/>
      <c r="EP30" s="226"/>
      <c r="EQ30" s="226"/>
      <c r="ER30" s="225" t="s">
        <v>6859</v>
      </c>
      <c r="ES30" s="225" t="s">
        <v>6515</v>
      </c>
      <c r="ET30" s="225" t="s">
        <v>6858</v>
      </c>
      <c r="EU30" s="225" t="s">
        <v>6857</v>
      </c>
      <c r="EV30" s="225" t="s">
        <v>6856</v>
      </c>
      <c r="EW30" s="225" t="s">
        <v>6855</v>
      </c>
      <c r="EX30" s="225" t="s">
        <v>6854</v>
      </c>
      <c r="EY30" s="225" t="s">
        <v>6853</v>
      </c>
      <c r="EZ30" s="229" t="s">
        <v>6852</v>
      </c>
      <c r="FA30" s="225" t="s">
        <v>6851</v>
      </c>
      <c r="FB30" s="225" t="s">
        <v>6850</v>
      </c>
      <c r="FC30" s="225" t="s">
        <v>6849</v>
      </c>
      <c r="FD30" s="226"/>
      <c r="FE30" s="404" t="s">
        <v>6848</v>
      </c>
      <c r="FF30" s="225" t="s">
        <v>6847</v>
      </c>
      <c r="FG30" s="225" t="s">
        <v>6846</v>
      </c>
      <c r="FH30" s="225" t="s">
        <v>6845</v>
      </c>
      <c r="FI30" s="394" t="s">
        <v>6844</v>
      </c>
      <c r="FJ30" s="394" t="s">
        <v>6843</v>
      </c>
      <c r="FK30" s="394"/>
      <c r="FL30" s="394" t="s">
        <v>6842</v>
      </c>
      <c r="FM30" s="225" t="s">
        <v>6841</v>
      </c>
      <c r="FN30" s="225"/>
      <c r="FO30" s="394" t="s">
        <v>6840</v>
      </c>
      <c r="FP30" s="394"/>
      <c r="FQ30" s="394" t="s">
        <v>6495</v>
      </c>
      <c r="FR30" s="394" t="s">
        <v>6839</v>
      </c>
      <c r="FS30" s="394"/>
      <c r="FT30" s="394" t="s">
        <v>6838</v>
      </c>
      <c r="FU30" s="226"/>
      <c r="FV30" s="394" t="s">
        <v>6837</v>
      </c>
      <c r="FW30" s="394" t="s">
        <v>6836</v>
      </c>
      <c r="FX30" s="394" t="s">
        <v>6836</v>
      </c>
      <c r="FY30" s="226"/>
      <c r="FZ30" s="394" t="s">
        <v>6835</v>
      </c>
      <c r="GA30" s="394" t="s">
        <v>6834</v>
      </c>
      <c r="GB30" s="394" t="s">
        <v>6833</v>
      </c>
      <c r="GC30" s="394"/>
      <c r="GD30" s="394" t="s">
        <v>6832</v>
      </c>
      <c r="GE30" s="394" t="s">
        <v>6831</v>
      </c>
      <c r="GF30" s="394" t="s">
        <v>6830</v>
      </c>
      <c r="GG30" s="394" t="s">
        <v>6829</v>
      </c>
      <c r="GH30" s="394" t="s">
        <v>6829</v>
      </c>
      <c r="GI30" s="226"/>
      <c r="GJ30" s="394" t="s">
        <v>6828</v>
      </c>
      <c r="GK30" s="394" t="s">
        <v>6827</v>
      </c>
      <c r="GL30" s="394" t="s">
        <v>6826</v>
      </c>
      <c r="GM30" s="394" t="s">
        <v>6825</v>
      </c>
      <c r="GN30" s="394" t="s">
        <v>6825</v>
      </c>
      <c r="GO30" s="226"/>
      <c r="GP30" s="394" t="s">
        <v>6824</v>
      </c>
      <c r="GQ30" s="226"/>
      <c r="GR30" s="394" t="s">
        <v>6478</v>
      </c>
      <c r="GS30" s="394"/>
      <c r="GT30" s="394"/>
      <c r="GU30" s="394" t="s">
        <v>6823</v>
      </c>
      <c r="GV30" s="394" t="s">
        <v>6822</v>
      </c>
      <c r="GW30" s="226"/>
      <c r="GX30" s="225" t="s">
        <v>6475</v>
      </c>
      <c r="GY30" s="225" t="s">
        <v>6474</v>
      </c>
      <c r="GZ30" s="394" t="s">
        <v>6473</v>
      </c>
      <c r="HA30" s="225" t="s">
        <v>6472</v>
      </c>
      <c r="HB30" s="225" t="s">
        <v>6471</v>
      </c>
      <c r="HC30" s="225" t="s">
        <v>6821</v>
      </c>
      <c r="HD30" s="225" t="s">
        <v>6820</v>
      </c>
      <c r="HE30" s="225" t="s">
        <v>6819</v>
      </c>
      <c r="HF30" s="226"/>
      <c r="HG30" s="227" t="s">
        <v>6818</v>
      </c>
      <c r="HH30" s="227" t="s">
        <v>6466</v>
      </c>
      <c r="HI30" s="227" t="s">
        <v>6817</v>
      </c>
      <c r="HJ30" s="225" t="s">
        <v>6464</v>
      </c>
      <c r="HK30" s="227" t="s">
        <v>6816</v>
      </c>
      <c r="HL30" s="226"/>
      <c r="HM30" s="225" t="s">
        <v>6815</v>
      </c>
      <c r="HN30" s="226"/>
      <c r="HO30" s="225" t="s">
        <v>6814</v>
      </c>
      <c r="HP30" s="224" t="s">
        <v>6813</v>
      </c>
      <c r="HQ30" s="225" t="s">
        <v>6812</v>
      </c>
      <c r="HR30" s="225" t="s">
        <v>6812</v>
      </c>
      <c r="HS30" s="225" t="s">
        <v>6811</v>
      </c>
      <c r="HT30" s="225" t="s">
        <v>6811</v>
      </c>
      <c r="HU30" s="225" t="s">
        <v>6457</v>
      </c>
      <c r="HV30" s="225" t="s">
        <v>6810</v>
      </c>
      <c r="HW30" s="225" t="s">
        <v>6455</v>
      </c>
      <c r="HX30" s="225" t="s">
        <v>6809</v>
      </c>
      <c r="HY30" s="225" t="s">
        <v>6808</v>
      </c>
      <c r="HZ30" s="228" t="s">
        <v>6452</v>
      </c>
      <c r="IA30" s="225" t="s">
        <v>6807</v>
      </c>
      <c r="IB30" s="225" t="s">
        <v>6806</v>
      </c>
      <c r="IC30" s="225" t="s">
        <v>6805</v>
      </c>
      <c r="ID30" s="225" t="s">
        <v>6804</v>
      </c>
      <c r="IE30" s="225" t="s">
        <v>6447</v>
      </c>
      <c r="IF30" s="225" t="s">
        <v>6447</v>
      </c>
      <c r="IG30" s="225" t="s">
        <v>6446</v>
      </c>
      <c r="IH30" s="229" t="s">
        <v>6445</v>
      </c>
      <c r="II30" s="225" t="s">
        <v>6444</v>
      </c>
      <c r="IJ30" s="225" t="s">
        <v>6443</v>
      </c>
      <c r="IK30" s="225" t="s">
        <v>6443</v>
      </c>
      <c r="IL30" s="225" t="s">
        <v>6447</v>
      </c>
      <c r="IM30" s="225" t="s">
        <v>6447</v>
      </c>
      <c r="IN30" s="225" t="s">
        <v>6440</v>
      </c>
      <c r="IO30" s="225" t="s">
        <v>6439</v>
      </c>
      <c r="IP30" s="225" t="s">
        <v>6439</v>
      </c>
      <c r="IQ30" s="225" t="s">
        <v>6439</v>
      </c>
      <c r="IR30" s="225" t="s">
        <v>6438</v>
      </c>
      <c r="IS30" s="225" t="s">
        <v>6437</v>
      </c>
      <c r="IT30" s="225" t="s">
        <v>6436</v>
      </c>
      <c r="IU30" s="225" t="s">
        <v>6435</v>
      </c>
      <c r="IV30" s="225" t="s">
        <v>6434</v>
      </c>
      <c r="IW30" s="225" t="s">
        <v>6433</v>
      </c>
      <c r="IX30" s="225" t="s">
        <v>6803</v>
      </c>
      <c r="IY30" s="225" t="s">
        <v>6802</v>
      </c>
      <c r="IZ30" s="225" t="s">
        <v>6431</v>
      </c>
      <c r="JA30" s="225" t="s">
        <v>6430</v>
      </c>
      <c r="JB30" s="225" t="s">
        <v>6429</v>
      </c>
      <c r="JC30" s="225" t="s">
        <v>6801</v>
      </c>
      <c r="JD30" s="225" t="s">
        <v>6800</v>
      </c>
      <c r="JE30" s="226"/>
      <c r="JF30" s="226"/>
      <c r="JG30" s="226"/>
      <c r="JH30" s="225" t="s">
        <v>6799</v>
      </c>
      <c r="JI30" s="225" t="s">
        <v>6798</v>
      </c>
      <c r="JJ30" s="225" t="s">
        <v>6797</v>
      </c>
      <c r="JK30" s="237" t="s">
        <v>6796</v>
      </c>
      <c r="JL30" s="225" t="s">
        <v>6795</v>
      </c>
      <c r="JM30" s="225" t="s">
        <v>6794</v>
      </c>
      <c r="JN30" s="226"/>
      <c r="JO30" s="226"/>
      <c r="JP30" s="226"/>
      <c r="JQ30" s="225" t="s">
        <v>9525</v>
      </c>
      <c r="JR30" s="225" t="s">
        <v>6793</v>
      </c>
      <c r="JS30" s="226" t="s">
        <v>6792</v>
      </c>
      <c r="JT30" s="225" t="s">
        <v>6417</v>
      </c>
      <c r="JU30" s="225" t="s">
        <v>6416</v>
      </c>
      <c r="JV30" s="225" t="s">
        <v>6791</v>
      </c>
      <c r="JW30" s="225" t="s">
        <v>6414</v>
      </c>
      <c r="JX30" s="225" t="s">
        <v>6790</v>
      </c>
      <c r="JY30" s="225" t="s">
        <v>6412</v>
      </c>
      <c r="JZ30" s="225" t="s">
        <v>6789</v>
      </c>
      <c r="KA30" s="225" t="s">
        <v>6410</v>
      </c>
      <c r="KB30" s="225" t="s">
        <v>6409</v>
      </c>
      <c r="KC30" s="225" t="s">
        <v>6408</v>
      </c>
      <c r="KD30" s="225" t="s">
        <v>6407</v>
      </c>
      <c r="KE30" s="232" t="s">
        <v>6406</v>
      </c>
      <c r="KF30" s="225" t="s">
        <v>6788</v>
      </c>
      <c r="KG30" s="225" t="s">
        <v>6404</v>
      </c>
      <c r="KH30" s="225" t="s">
        <v>6403</v>
      </c>
      <c r="KI30" s="225" t="s">
        <v>6787</v>
      </c>
      <c r="KJ30" s="225" t="s">
        <v>6786</v>
      </c>
      <c r="KK30" s="232" t="s">
        <v>6400</v>
      </c>
      <c r="KL30" s="225" t="s">
        <v>6785</v>
      </c>
      <c r="KM30" s="225" t="s">
        <v>6398</v>
      </c>
      <c r="KN30" s="225" t="s">
        <v>6397</v>
      </c>
      <c r="KO30" s="225" t="s">
        <v>6784</v>
      </c>
      <c r="KP30" s="225" t="s">
        <v>6783</v>
      </c>
      <c r="KQ30" s="226"/>
      <c r="KR30" s="226"/>
      <c r="KS30" s="226"/>
      <c r="KT30" s="226"/>
      <c r="KU30" s="226"/>
      <c r="KV30" s="225" t="s">
        <v>6782</v>
      </c>
      <c r="KW30" s="225" t="s">
        <v>6781</v>
      </c>
      <c r="KX30" s="228" t="s">
        <v>9300</v>
      </c>
      <c r="KY30" s="793" t="s">
        <v>9282</v>
      </c>
      <c r="KZ30" s="225" t="s">
        <v>9272</v>
      </c>
      <c r="LA30" s="225" t="s">
        <v>9257</v>
      </c>
      <c r="LB30" s="225" t="s">
        <v>9240</v>
      </c>
      <c r="LC30" s="225" t="s">
        <v>9222</v>
      </c>
      <c r="LD30" s="225" t="s">
        <v>9214</v>
      </c>
      <c r="LE30" s="225" t="s">
        <v>9201</v>
      </c>
      <c r="LF30" s="225" t="s">
        <v>9192</v>
      </c>
      <c r="LG30" s="225" t="s">
        <v>9182</v>
      </c>
      <c r="LH30" s="225" t="s">
        <v>9168</v>
      </c>
      <c r="LI30" s="224" t="s">
        <v>9151</v>
      </c>
      <c r="LJ30" s="225" t="s">
        <v>9133</v>
      </c>
      <c r="LK30" s="233" t="s">
        <v>6780</v>
      </c>
      <c r="LL30" s="225" t="s">
        <v>6779</v>
      </c>
      <c r="LM30" s="226"/>
      <c r="LN30" s="225" t="s">
        <v>6778</v>
      </c>
      <c r="LO30" s="225" t="s">
        <v>6777</v>
      </c>
      <c r="LP30" s="225" t="s">
        <v>6776</v>
      </c>
      <c r="LQ30" s="225" t="s">
        <v>6388</v>
      </c>
      <c r="LR30" s="225" t="s">
        <v>6775</v>
      </c>
      <c r="LS30" s="225" t="s">
        <v>6774</v>
      </c>
      <c r="LT30" s="234" t="s">
        <v>6773</v>
      </c>
      <c r="LU30" s="225" t="s">
        <v>6772</v>
      </c>
      <c r="LV30" s="225" t="s">
        <v>6383</v>
      </c>
      <c r="LW30" s="225" t="s">
        <v>6382</v>
      </c>
      <c r="LX30" s="225" t="s">
        <v>6381</v>
      </c>
      <c r="LY30" s="225" t="s">
        <v>6772</v>
      </c>
      <c r="LZ30" s="225" t="s">
        <v>6379</v>
      </c>
      <c r="MA30" s="225" t="s">
        <v>6378</v>
      </c>
      <c r="MB30" s="225" t="s">
        <v>6377</v>
      </c>
      <c r="MC30" s="225" t="s">
        <v>6376</v>
      </c>
      <c r="MD30" s="225" t="s">
        <v>6771</v>
      </c>
      <c r="ME30" s="225" t="s">
        <v>6770</v>
      </c>
      <c r="MF30" s="225" t="s">
        <v>6769</v>
      </c>
      <c r="MG30" s="226"/>
      <c r="MH30" s="226"/>
      <c r="MI30" s="226"/>
      <c r="MJ30" s="235" t="s">
        <v>6768</v>
      </c>
      <c r="MK30" s="235"/>
      <c r="ML30" s="235" t="s">
        <v>6767</v>
      </c>
      <c r="MM30" s="235" t="s">
        <v>6766</v>
      </c>
      <c r="MN30" s="236" t="s">
        <v>6369</v>
      </c>
      <c r="MO30" s="236" t="s">
        <v>6765</v>
      </c>
      <c r="MP30" s="236" t="s">
        <v>6764</v>
      </c>
      <c r="MQ30" s="236" t="s">
        <v>6763</v>
      </c>
      <c r="MR30" s="236" t="s">
        <v>6762</v>
      </c>
      <c r="MS30" s="236" t="s">
        <v>6761</v>
      </c>
      <c r="MT30" s="235" t="s">
        <v>6760</v>
      </c>
      <c r="MU30" s="236" t="s">
        <v>6759</v>
      </c>
      <c r="MV30" s="235" t="s">
        <v>6758</v>
      </c>
      <c r="MW30" s="235" t="s">
        <v>6757</v>
      </c>
      <c r="MX30" s="226"/>
      <c r="MY30" s="226"/>
      <c r="MZ30" s="226"/>
      <c r="NA30" s="226"/>
    </row>
    <row r="31" spans="1:365" ht="409.6" x14ac:dyDescent="0.2">
      <c r="A31" s="1216"/>
      <c r="B31" s="201" t="s">
        <v>49</v>
      </c>
      <c r="C31" s="202" t="s">
        <v>50</v>
      </c>
      <c r="D31" s="215" t="s">
        <v>15</v>
      </c>
      <c r="E31" s="225" t="s">
        <v>6756</v>
      </c>
      <c r="F31" s="225" t="s">
        <v>6755</v>
      </c>
      <c r="G31" s="225" t="s">
        <v>504</v>
      </c>
      <c r="H31" s="225" t="s">
        <v>504</v>
      </c>
      <c r="I31" s="225" t="s">
        <v>504</v>
      </c>
      <c r="J31" s="225" t="s">
        <v>504</v>
      </c>
      <c r="K31" s="225" t="s">
        <v>615</v>
      </c>
      <c r="L31" s="225" t="s">
        <v>633</v>
      </c>
      <c r="M31" s="225" t="s">
        <v>633</v>
      </c>
      <c r="N31" s="225" t="s">
        <v>633</v>
      </c>
      <c r="O31" s="225" t="s">
        <v>6754</v>
      </c>
      <c r="P31" s="400" t="s">
        <v>6691</v>
      </c>
      <c r="Q31" s="225" t="s">
        <v>6731</v>
      </c>
      <c r="R31" s="225" t="s">
        <v>6753</v>
      </c>
      <c r="S31" s="226" t="s">
        <v>6752</v>
      </c>
      <c r="T31" s="225" t="s">
        <v>6751</v>
      </c>
      <c r="U31" s="225" t="s">
        <v>6750</v>
      </c>
      <c r="V31" s="225" t="s">
        <v>6749</v>
      </c>
      <c r="W31" s="226"/>
      <c r="X31" s="226"/>
      <c r="Y31" s="226"/>
      <c r="Z31" s="226"/>
      <c r="AA31" s="226"/>
      <c r="AB31" s="226"/>
      <c r="AC31" s="226"/>
      <c r="AD31" s="226"/>
      <c r="AE31" s="226"/>
      <c r="AF31" s="225" t="s">
        <v>504</v>
      </c>
      <c r="AG31" s="225" t="s">
        <v>6748</v>
      </c>
      <c r="AH31" s="226"/>
      <c r="AI31" s="225" t="s">
        <v>6747</v>
      </c>
      <c r="AJ31" s="225" t="s">
        <v>504</v>
      </c>
      <c r="AK31" s="229" t="s">
        <v>477</v>
      </c>
      <c r="AL31" s="225" t="s">
        <v>477</v>
      </c>
      <c r="AM31" s="226"/>
      <c r="AN31" s="226"/>
      <c r="AO31" s="226"/>
      <c r="AP31" s="226"/>
      <c r="AQ31" s="225" t="s">
        <v>504</v>
      </c>
      <c r="AR31" s="225" t="s">
        <v>6746</v>
      </c>
      <c r="AS31" s="225" t="s">
        <v>6746</v>
      </c>
      <c r="AT31" s="225" t="s">
        <v>6691</v>
      </c>
      <c r="AU31" s="225" t="s">
        <v>6745</v>
      </c>
      <c r="AV31" s="225" t="s">
        <v>6744</v>
      </c>
      <c r="AW31" s="225" t="s">
        <v>6691</v>
      </c>
      <c r="AX31" s="225" t="s">
        <v>6743</v>
      </c>
      <c r="AY31" s="229" t="s">
        <v>6742</v>
      </c>
      <c r="AZ31" s="225" t="s">
        <v>6741</v>
      </c>
      <c r="BA31" s="225" t="s">
        <v>6736</v>
      </c>
      <c r="BB31" s="225" t="s">
        <v>6740</v>
      </c>
      <c r="BC31" s="225" t="s">
        <v>6736</v>
      </c>
      <c r="BD31" s="225" t="s">
        <v>6702</v>
      </c>
      <c r="BE31" s="434" t="s">
        <v>6691</v>
      </c>
      <c r="BF31" s="225" t="s">
        <v>6739</v>
      </c>
      <c r="BG31" s="225" t="s">
        <v>6691</v>
      </c>
      <c r="BH31" s="225" t="s">
        <v>6738</v>
      </c>
      <c r="BI31" s="225" t="s">
        <v>6691</v>
      </c>
      <c r="BJ31" s="225" t="s">
        <v>6691</v>
      </c>
      <c r="BK31" s="225" t="s">
        <v>6737</v>
      </c>
      <c r="BL31" s="225" t="s">
        <v>6691</v>
      </c>
      <c r="BM31" s="225" t="s">
        <v>6736</v>
      </c>
      <c r="BN31" s="226"/>
      <c r="BO31" s="225" t="s">
        <v>1929</v>
      </c>
      <c r="BP31" s="225"/>
      <c r="BQ31" s="225" t="s">
        <v>6735</v>
      </c>
      <c r="BR31" s="233" t="s">
        <v>15</v>
      </c>
      <c r="BS31" s="225" t="s">
        <v>6734</v>
      </c>
      <c r="BT31" s="225" t="s">
        <v>1714</v>
      </c>
      <c r="BU31" s="225"/>
      <c r="BV31" s="225" t="s">
        <v>6733</v>
      </c>
      <c r="BW31" s="225"/>
      <c r="BX31" s="225" t="s">
        <v>6722</v>
      </c>
      <c r="BY31" s="225" t="s">
        <v>6733</v>
      </c>
      <c r="BZ31" s="225" t="s">
        <v>6732</v>
      </c>
      <c r="CA31" s="225" t="s">
        <v>6731</v>
      </c>
      <c r="CB31" s="225" t="s">
        <v>6731</v>
      </c>
      <c r="CC31" s="225" t="s">
        <v>6730</v>
      </c>
      <c r="CD31" s="229"/>
      <c r="CE31" s="229" t="s">
        <v>477</v>
      </c>
      <c r="CF31" s="229" t="s">
        <v>6729</v>
      </c>
      <c r="CG31" s="225" t="s">
        <v>6728</v>
      </c>
      <c r="CH31" s="229" t="s">
        <v>477</v>
      </c>
      <c r="CI31" s="229"/>
      <c r="CJ31" s="229" t="s">
        <v>470</v>
      </c>
      <c r="CK31" s="229" t="s">
        <v>477</v>
      </c>
      <c r="CL31" s="229" t="s">
        <v>6661</v>
      </c>
      <c r="CM31" s="229" t="s">
        <v>6727</v>
      </c>
      <c r="CN31" s="225" t="s">
        <v>6726</v>
      </c>
      <c r="CO31" s="225" t="s">
        <v>6725</v>
      </c>
      <c r="CP31" s="225" t="s">
        <v>470</v>
      </c>
      <c r="CQ31" s="406"/>
      <c r="CR31" s="394"/>
      <c r="CS31" s="225" t="s">
        <v>6724</v>
      </c>
      <c r="CT31" s="225" t="s">
        <v>6723</v>
      </c>
      <c r="CU31" s="402" t="s">
        <v>1763</v>
      </c>
      <c r="CV31" s="225" t="s">
        <v>6722</v>
      </c>
      <c r="CW31" s="225" t="s">
        <v>6721</v>
      </c>
      <c r="CX31" s="225" t="s">
        <v>6720</v>
      </c>
      <c r="CY31" s="403" t="s">
        <v>6719</v>
      </c>
      <c r="CZ31" s="225" t="s">
        <v>6702</v>
      </c>
      <c r="DA31" s="225" t="s">
        <v>477</v>
      </c>
      <c r="DB31" s="225" t="s">
        <v>6661</v>
      </c>
      <c r="DC31" s="225" t="s">
        <v>6718</v>
      </c>
      <c r="DD31" s="225" t="s">
        <v>6661</v>
      </c>
      <c r="DE31" s="225"/>
      <c r="DF31" s="225" t="s">
        <v>6717</v>
      </c>
      <c r="DG31" s="225" t="s">
        <v>2328</v>
      </c>
      <c r="DH31" s="225" t="s">
        <v>6661</v>
      </c>
      <c r="DI31" s="225"/>
      <c r="DJ31" s="225"/>
      <c r="DK31" s="225"/>
      <c r="DL31" s="225" t="s">
        <v>6661</v>
      </c>
      <c r="DM31" s="225" t="s">
        <v>6716</v>
      </c>
      <c r="DN31" s="225" t="s">
        <v>2328</v>
      </c>
      <c r="DO31" s="225"/>
      <c r="DP31" s="225" t="s">
        <v>6714</v>
      </c>
      <c r="DQ31" s="225" t="s">
        <v>6715</v>
      </c>
      <c r="DR31" s="225" t="s">
        <v>6714</v>
      </c>
      <c r="DS31" s="225" t="s">
        <v>6714</v>
      </c>
      <c r="DT31" s="225" t="s">
        <v>6714</v>
      </c>
      <c r="DU31" s="225" t="s">
        <v>6713</v>
      </c>
      <c r="DV31" s="225" t="s">
        <v>6713</v>
      </c>
      <c r="DW31" s="246" t="s">
        <v>6712</v>
      </c>
      <c r="DX31" s="225" t="s">
        <v>6711</v>
      </c>
      <c r="DY31" s="225" t="s">
        <v>6710</v>
      </c>
      <c r="DZ31" s="225" t="s">
        <v>6709</v>
      </c>
      <c r="EA31" s="225" t="s">
        <v>6708</v>
      </c>
      <c r="EB31" s="225" t="s">
        <v>6707</v>
      </c>
      <c r="EC31" s="226"/>
      <c r="ED31" s="225" t="s">
        <v>6629</v>
      </c>
      <c r="EE31" s="225"/>
      <c r="EF31" s="225" t="s">
        <v>6706</v>
      </c>
      <c r="EG31" s="226"/>
      <c r="EH31" s="225" t="s">
        <v>615</v>
      </c>
      <c r="EI31" s="225" t="s">
        <v>633</v>
      </c>
      <c r="EJ31" s="226"/>
      <c r="EK31" s="226"/>
      <c r="EL31" s="226"/>
      <c r="EM31" s="226"/>
      <c r="EN31" s="226"/>
      <c r="EO31" s="226"/>
      <c r="EP31" s="226"/>
      <c r="EQ31" s="226"/>
      <c r="ER31" s="225" t="s">
        <v>6705</v>
      </c>
      <c r="ES31" s="225" t="s">
        <v>6703</v>
      </c>
      <c r="ET31" s="225" t="s">
        <v>6704</v>
      </c>
      <c r="EU31" s="225" t="s">
        <v>6704</v>
      </c>
      <c r="EV31" s="225" t="s">
        <v>6676</v>
      </c>
      <c r="EW31" s="225" t="s">
        <v>6666</v>
      </c>
      <c r="EX31" s="225" t="s">
        <v>6703</v>
      </c>
      <c r="EY31" s="225" t="s">
        <v>6702</v>
      </c>
      <c r="EZ31" s="229" t="s">
        <v>1237</v>
      </c>
      <c r="FA31" s="225" t="s">
        <v>6629</v>
      </c>
      <c r="FB31" s="225" t="s">
        <v>6629</v>
      </c>
      <c r="FC31" s="225" t="s">
        <v>6653</v>
      </c>
      <c r="FD31" s="226"/>
      <c r="FE31" s="404" t="s">
        <v>6701</v>
      </c>
      <c r="FF31" s="225" t="s">
        <v>2328</v>
      </c>
      <c r="FG31" s="225" t="s">
        <v>6700</v>
      </c>
      <c r="FH31" s="224" t="s">
        <v>477</v>
      </c>
      <c r="FI31" s="394" t="s">
        <v>6699</v>
      </c>
      <c r="FJ31" s="394" t="s">
        <v>477</v>
      </c>
      <c r="FK31" s="394"/>
      <c r="FL31" s="394" t="s">
        <v>6699</v>
      </c>
      <c r="FM31" s="225" t="s">
        <v>477</v>
      </c>
      <c r="FN31" s="225"/>
      <c r="FO31" s="394" t="s">
        <v>615</v>
      </c>
      <c r="FP31" s="394"/>
      <c r="FQ31" s="435" t="s">
        <v>6698</v>
      </c>
      <c r="FR31" s="394" t="s">
        <v>6622</v>
      </c>
      <c r="FS31" s="394"/>
      <c r="FT31" s="394" t="s">
        <v>633</v>
      </c>
      <c r="FU31" s="226"/>
      <c r="FV31" s="394"/>
      <c r="FW31" s="394" t="s">
        <v>6697</v>
      </c>
      <c r="FX31" s="394" t="s">
        <v>633</v>
      </c>
      <c r="FY31" s="226"/>
      <c r="FZ31" s="394" t="s">
        <v>2328</v>
      </c>
      <c r="GA31" s="394" t="s">
        <v>1763</v>
      </c>
      <c r="GB31" s="394" t="s">
        <v>6653</v>
      </c>
      <c r="GC31" s="394"/>
      <c r="GD31" s="394" t="s">
        <v>2328</v>
      </c>
      <c r="GE31" s="394" t="s">
        <v>6696</v>
      </c>
      <c r="GF31" s="394" t="s">
        <v>6695</v>
      </c>
      <c r="GG31" s="394" t="s">
        <v>6692</v>
      </c>
      <c r="GH31" s="394" t="s">
        <v>504</v>
      </c>
      <c r="GI31" s="226"/>
      <c r="GJ31" s="394" t="s">
        <v>6694</v>
      </c>
      <c r="GK31" s="394" t="s">
        <v>2328</v>
      </c>
      <c r="GL31" s="394" t="s">
        <v>6693</v>
      </c>
      <c r="GM31" s="394" t="s">
        <v>6692</v>
      </c>
      <c r="GN31" s="394" t="s">
        <v>615</v>
      </c>
      <c r="GO31" s="226"/>
      <c r="GP31" s="394" t="s">
        <v>615</v>
      </c>
      <c r="GQ31" s="226"/>
      <c r="GR31" s="394" t="s">
        <v>6661</v>
      </c>
      <c r="GS31" s="394"/>
      <c r="GT31" s="394"/>
      <c r="GU31" s="394" t="s">
        <v>6691</v>
      </c>
      <c r="GV31" s="394"/>
      <c r="GW31" s="226"/>
      <c r="GX31" s="225" t="s">
        <v>6690</v>
      </c>
      <c r="GY31" s="225" t="s">
        <v>6690</v>
      </c>
      <c r="GZ31" s="394" t="s">
        <v>1763</v>
      </c>
      <c r="HA31" s="225" t="s">
        <v>6689</v>
      </c>
      <c r="HB31" s="225" t="s">
        <v>6688</v>
      </c>
      <c r="HC31" s="225" t="s">
        <v>6687</v>
      </c>
      <c r="HD31" s="225" t="s">
        <v>6686</v>
      </c>
      <c r="HE31" s="225" t="s">
        <v>615</v>
      </c>
      <c r="HF31" s="226"/>
      <c r="HG31" s="227" t="s">
        <v>504</v>
      </c>
      <c r="HH31" s="227" t="s">
        <v>6685</v>
      </c>
      <c r="HI31" s="227" t="s">
        <v>504</v>
      </c>
      <c r="HJ31" s="225" t="s">
        <v>477</v>
      </c>
      <c r="HK31" s="227" t="s">
        <v>6684</v>
      </c>
      <c r="HL31" s="226"/>
      <c r="HM31" s="225" t="s">
        <v>504</v>
      </c>
      <c r="HN31" s="226"/>
      <c r="HO31" s="225" t="s">
        <v>6683</v>
      </c>
      <c r="HP31" s="224" t="s">
        <v>504</v>
      </c>
      <c r="HQ31" s="225" t="s">
        <v>6682</v>
      </c>
      <c r="HR31" s="225" t="s">
        <v>6682</v>
      </c>
      <c r="HS31" s="225" t="s">
        <v>477</v>
      </c>
      <c r="HT31" s="225" t="s">
        <v>477</v>
      </c>
      <c r="HU31" s="225" t="s">
        <v>6681</v>
      </c>
      <c r="HV31" s="225" t="s">
        <v>6680</v>
      </c>
      <c r="HW31" s="225" t="s">
        <v>6644</v>
      </c>
      <c r="HX31" s="225" t="s">
        <v>477</v>
      </c>
      <c r="HY31" s="225" t="s">
        <v>6679</v>
      </c>
      <c r="HZ31" s="225" t="s">
        <v>504</v>
      </c>
      <c r="IA31" s="225" t="s">
        <v>633</v>
      </c>
      <c r="IB31" s="225" t="s">
        <v>6678</v>
      </c>
      <c r="IC31" s="225" t="s">
        <v>6677</v>
      </c>
      <c r="ID31" s="225" t="s">
        <v>6676</v>
      </c>
      <c r="IE31" s="225" t="s">
        <v>6673</v>
      </c>
      <c r="IF31" s="225" t="s">
        <v>6673</v>
      </c>
      <c r="IG31" s="225" t="s">
        <v>6674</v>
      </c>
      <c r="IH31" s="229" t="s">
        <v>6674</v>
      </c>
      <c r="II31" s="225" t="s">
        <v>6674</v>
      </c>
      <c r="IJ31" s="225" t="s">
        <v>6673</v>
      </c>
      <c r="IK31" s="225" t="s">
        <v>6674</v>
      </c>
      <c r="IL31" s="225" t="s">
        <v>6673</v>
      </c>
      <c r="IM31" s="225" t="s">
        <v>6676</v>
      </c>
      <c r="IN31" s="226" t="s">
        <v>6673</v>
      </c>
      <c r="IO31" s="226" t="s">
        <v>6673</v>
      </c>
      <c r="IP31" s="226" t="s">
        <v>6673</v>
      </c>
      <c r="IQ31" s="226" t="s">
        <v>6673</v>
      </c>
      <c r="IR31" s="225" t="s">
        <v>6675</v>
      </c>
      <c r="IS31" s="225" t="s">
        <v>6674</v>
      </c>
      <c r="IT31" s="225" t="s">
        <v>6673</v>
      </c>
      <c r="IU31" s="225" t="s">
        <v>6673</v>
      </c>
      <c r="IV31" s="225" t="s">
        <v>6673</v>
      </c>
      <c r="IW31" s="226" t="s">
        <v>6673</v>
      </c>
      <c r="IX31" s="225" t="s">
        <v>6672</v>
      </c>
      <c r="IY31" s="225" t="s">
        <v>6661</v>
      </c>
      <c r="IZ31" s="225" t="s">
        <v>6671</v>
      </c>
      <c r="JA31" s="225"/>
      <c r="JB31" s="225" t="s">
        <v>6671</v>
      </c>
      <c r="JC31" s="225" t="s">
        <v>6670</v>
      </c>
      <c r="JD31" s="225" t="s">
        <v>6669</v>
      </c>
      <c r="JE31" s="226"/>
      <c r="JF31" s="226"/>
      <c r="JG31" s="226"/>
      <c r="JH31" s="225" t="s">
        <v>6668</v>
      </c>
      <c r="JI31" s="225" t="s">
        <v>6667</v>
      </c>
      <c r="JJ31" s="225" t="s">
        <v>6666</v>
      </c>
      <c r="JK31" s="237" t="s">
        <v>477</v>
      </c>
      <c r="JL31" s="225" t="s">
        <v>6665</v>
      </c>
      <c r="JM31" s="225" t="s">
        <v>633</v>
      </c>
      <c r="JN31" s="226"/>
      <c r="JO31" s="226"/>
      <c r="JP31" s="226"/>
      <c r="JQ31" s="225" t="s">
        <v>6664</v>
      </c>
      <c r="JR31" s="225" t="s">
        <v>6663</v>
      </c>
      <c r="JS31" s="225" t="s">
        <v>6662</v>
      </c>
      <c r="JT31" s="225" t="s">
        <v>6661</v>
      </c>
      <c r="JU31" s="225" t="s">
        <v>6661</v>
      </c>
      <c r="JV31" s="225" t="s">
        <v>6660</v>
      </c>
      <c r="JW31" s="225" t="s">
        <v>6659</v>
      </c>
      <c r="JX31" s="225" t="s">
        <v>504</v>
      </c>
      <c r="JY31" s="225" t="s">
        <v>6658</v>
      </c>
      <c r="JZ31" s="225" t="s">
        <v>656</v>
      </c>
      <c r="KA31" s="225" t="s">
        <v>6656</v>
      </c>
      <c r="KB31" s="225" t="s">
        <v>6657</v>
      </c>
      <c r="KC31" s="225" t="s">
        <v>6656</v>
      </c>
      <c r="KD31" s="225" t="s">
        <v>6655</v>
      </c>
      <c r="KE31" s="232" t="s">
        <v>6654</v>
      </c>
      <c r="KF31" s="225" t="s">
        <v>6653</v>
      </c>
      <c r="KG31" s="225" t="s">
        <v>6652</v>
      </c>
      <c r="KH31" s="225" t="s">
        <v>6651</v>
      </c>
      <c r="KI31" s="225" t="s">
        <v>6650</v>
      </c>
      <c r="KJ31" s="225" t="s">
        <v>6649</v>
      </c>
      <c r="KK31" s="232" t="s">
        <v>6648</v>
      </c>
      <c r="KL31" s="225" t="s">
        <v>6647</v>
      </c>
      <c r="KM31" s="225" t="s">
        <v>6646</v>
      </c>
      <c r="KN31" s="225" t="s">
        <v>6645</v>
      </c>
      <c r="KO31" s="225" t="s">
        <v>6644</v>
      </c>
      <c r="KP31" s="225" t="s">
        <v>6643</v>
      </c>
      <c r="KQ31" s="226"/>
      <c r="KR31" s="226"/>
      <c r="KS31" s="226"/>
      <c r="KT31" s="226"/>
      <c r="KU31" s="226"/>
      <c r="KV31" s="225" t="s">
        <v>6642</v>
      </c>
      <c r="KW31" s="225"/>
      <c r="KX31" s="228" t="s">
        <v>9169</v>
      </c>
      <c r="KY31" s="793" t="s">
        <v>9283</v>
      </c>
      <c r="KZ31" s="225" t="s">
        <v>9169</v>
      </c>
      <c r="LA31" s="225" t="s">
        <v>9258</v>
      </c>
      <c r="LB31" s="225"/>
      <c r="LC31" s="225" t="s">
        <v>9223</v>
      </c>
      <c r="LD31" s="225" t="s">
        <v>9169</v>
      </c>
      <c r="LE31" s="225" t="s">
        <v>6630</v>
      </c>
      <c r="LF31" s="225" t="s">
        <v>9169</v>
      </c>
      <c r="LG31" s="225" t="s">
        <v>9169</v>
      </c>
      <c r="LH31" s="225" t="s">
        <v>9169</v>
      </c>
      <c r="LI31" s="224" t="s">
        <v>6630</v>
      </c>
      <c r="LJ31" s="225" t="s">
        <v>6644</v>
      </c>
      <c r="LK31" s="233" t="s">
        <v>6641</v>
      </c>
      <c r="LL31" s="225" t="s">
        <v>6640</v>
      </c>
      <c r="LM31" s="226"/>
      <c r="LN31" s="225" t="s">
        <v>6639</v>
      </c>
      <c r="LO31" s="225" t="s">
        <v>477</v>
      </c>
      <c r="LP31" s="225" t="s">
        <v>6638</v>
      </c>
      <c r="LQ31" s="225" t="s">
        <v>2328</v>
      </c>
      <c r="LR31" s="225" t="s">
        <v>6637</v>
      </c>
      <c r="LS31" s="225" t="s">
        <v>6636</v>
      </c>
      <c r="LT31" s="234" t="s">
        <v>504</v>
      </c>
      <c r="LU31" s="225" t="s">
        <v>6635</v>
      </c>
      <c r="LV31" s="225" t="s">
        <v>6634</v>
      </c>
      <c r="LW31" s="225" t="s">
        <v>6633</v>
      </c>
      <c r="LX31" s="225" t="s">
        <v>6632</v>
      </c>
      <c r="LY31" s="225" t="s">
        <v>1763</v>
      </c>
      <c r="LZ31" s="225" t="s">
        <v>6379</v>
      </c>
      <c r="MA31" s="225" t="s">
        <v>6631</v>
      </c>
      <c r="MB31" s="225" t="s">
        <v>1763</v>
      </c>
      <c r="MC31" s="225" t="s">
        <v>6630</v>
      </c>
      <c r="MD31" s="225" t="s">
        <v>6629</v>
      </c>
      <c r="ME31" s="225" t="s">
        <v>3151</v>
      </c>
      <c r="MF31" s="225" t="s">
        <v>1763</v>
      </c>
      <c r="MG31" s="226"/>
      <c r="MH31" s="226"/>
      <c r="MI31" s="226"/>
      <c r="MJ31" s="235" t="s">
        <v>6628</v>
      </c>
      <c r="MK31" s="235"/>
      <c r="ML31" s="235" t="s">
        <v>6627</v>
      </c>
      <c r="MM31" s="235" t="s">
        <v>6626</v>
      </c>
      <c r="MN31" s="236" t="s">
        <v>6625</v>
      </c>
      <c r="MO31" s="236" t="s">
        <v>6622</v>
      </c>
      <c r="MP31" s="236" t="s">
        <v>6624</v>
      </c>
      <c r="MQ31" s="236" t="s">
        <v>6623</v>
      </c>
      <c r="MR31" s="236" t="s">
        <v>6622</v>
      </c>
      <c r="MS31" s="236" t="s">
        <v>6621</v>
      </c>
      <c r="MT31" s="235" t="s">
        <v>6620</v>
      </c>
      <c r="MU31" s="236" t="s">
        <v>6619</v>
      </c>
      <c r="MV31" s="235" t="s">
        <v>6618</v>
      </c>
      <c r="MW31" s="235" t="s">
        <v>6617</v>
      </c>
      <c r="MX31" s="226"/>
      <c r="MY31" s="226"/>
      <c r="MZ31" s="226"/>
      <c r="NA31" s="226"/>
    </row>
    <row r="32" spans="1:365" ht="409.6" x14ac:dyDescent="0.2">
      <c r="A32" s="1216"/>
      <c r="B32" s="201" t="s">
        <v>51</v>
      </c>
      <c r="C32" s="202" t="s">
        <v>6616</v>
      </c>
      <c r="D32" s="215" t="s">
        <v>15</v>
      </c>
      <c r="E32" s="225" t="s">
        <v>6615</v>
      </c>
      <c r="F32" s="225" t="s">
        <v>6614</v>
      </c>
      <c r="G32" s="225" t="s">
        <v>6428</v>
      </c>
      <c r="H32" s="225" t="s">
        <v>6428</v>
      </c>
      <c r="I32" s="299" t="s">
        <v>6428</v>
      </c>
      <c r="J32" s="225" t="s">
        <v>6428</v>
      </c>
      <c r="K32" s="225" t="s">
        <v>6613</v>
      </c>
      <c r="L32" s="225" t="s">
        <v>6612</v>
      </c>
      <c r="M32" s="225" t="s">
        <v>6611</v>
      </c>
      <c r="N32" s="225" t="s">
        <v>6610</v>
      </c>
      <c r="O32" s="225" t="s">
        <v>6609</v>
      </c>
      <c r="P32" s="400" t="s">
        <v>6608</v>
      </c>
      <c r="Q32" s="225" t="s">
        <v>6607</v>
      </c>
      <c r="R32" s="225" t="s">
        <v>6606</v>
      </c>
      <c r="S32" s="226" t="s">
        <v>6605</v>
      </c>
      <c r="T32" s="225" t="s">
        <v>6604</v>
      </c>
      <c r="U32" s="225" t="s">
        <v>6603</v>
      </c>
      <c r="V32" s="225" t="s">
        <v>6602</v>
      </c>
      <c r="W32" s="226"/>
      <c r="X32" s="226"/>
      <c r="Y32" s="226"/>
      <c r="Z32" s="226"/>
      <c r="AA32" s="226"/>
      <c r="AB32" s="226"/>
      <c r="AC32" s="226"/>
      <c r="AD32" s="226"/>
      <c r="AE32" s="226"/>
      <c r="AF32" s="225" t="s">
        <v>6601</v>
      </c>
      <c r="AG32" s="225" t="s">
        <v>6600</v>
      </c>
      <c r="AH32" s="226"/>
      <c r="AI32" s="225" t="s">
        <v>6599</v>
      </c>
      <c r="AJ32" s="225" t="s">
        <v>6598</v>
      </c>
      <c r="AK32" s="250" t="s">
        <v>6597</v>
      </c>
      <c r="AL32" s="225" t="s">
        <v>6596</v>
      </c>
      <c r="AM32" s="226"/>
      <c r="AN32" s="226"/>
      <c r="AO32" s="226"/>
      <c r="AP32" s="226"/>
      <c r="AQ32" s="225" t="s">
        <v>6595</v>
      </c>
      <c r="AR32" s="225" t="s">
        <v>6594</v>
      </c>
      <c r="AS32" s="225" t="s">
        <v>6594</v>
      </c>
      <c r="AT32" s="225" t="s">
        <v>6593</v>
      </c>
      <c r="AU32" s="225" t="s">
        <v>6592</v>
      </c>
      <c r="AV32" s="225" t="s">
        <v>6591</v>
      </c>
      <c r="AW32" s="225" t="s">
        <v>6590</v>
      </c>
      <c r="AX32" s="225" t="s">
        <v>6589</v>
      </c>
      <c r="AY32" s="229" t="s">
        <v>6588</v>
      </c>
      <c r="AZ32" s="225" t="s">
        <v>6587</v>
      </c>
      <c r="BA32" s="225" t="s">
        <v>6586</v>
      </c>
      <c r="BB32" s="225" t="s">
        <v>6585</v>
      </c>
      <c r="BC32" s="225" t="s">
        <v>6584</v>
      </c>
      <c r="BD32" s="225" t="s">
        <v>6583</v>
      </c>
      <c r="BE32" s="229" t="s">
        <v>6582</v>
      </c>
      <c r="BF32" s="225" t="s">
        <v>6581</v>
      </c>
      <c r="BG32" s="225" t="s">
        <v>6580</v>
      </c>
      <c r="BH32" s="225" t="s">
        <v>6579</v>
      </c>
      <c r="BI32" s="225" t="s">
        <v>6578</v>
      </c>
      <c r="BJ32" s="225" t="s">
        <v>6577</v>
      </c>
      <c r="BK32" s="225" t="s">
        <v>6576</v>
      </c>
      <c r="BL32" s="225" t="s">
        <v>6575</v>
      </c>
      <c r="BM32" s="225" t="s">
        <v>6574</v>
      </c>
      <c r="BN32" s="226"/>
      <c r="BO32" s="225" t="s">
        <v>6573</v>
      </c>
      <c r="BP32" s="225"/>
      <c r="BQ32" s="225" t="s">
        <v>6572</v>
      </c>
      <c r="BR32" s="233" t="s">
        <v>15</v>
      </c>
      <c r="BS32" s="225" t="s">
        <v>6571</v>
      </c>
      <c r="BT32" s="225" t="s">
        <v>6570</v>
      </c>
      <c r="BU32" s="225" t="s">
        <v>6569</v>
      </c>
      <c r="BV32" s="225"/>
      <c r="BW32" s="225" t="s">
        <v>6568</v>
      </c>
      <c r="BX32" s="225" t="s">
        <v>6567</v>
      </c>
      <c r="BY32" s="225"/>
      <c r="BZ32" s="224" t="s">
        <v>6566</v>
      </c>
      <c r="CA32" s="225" t="s">
        <v>6565</v>
      </c>
      <c r="CB32" s="225" t="s">
        <v>6565</v>
      </c>
      <c r="CC32" s="225" t="s">
        <v>6564</v>
      </c>
      <c r="CD32" s="229"/>
      <c r="CE32" s="229" t="s">
        <v>6563</v>
      </c>
      <c r="CF32" s="229" t="s">
        <v>6562</v>
      </c>
      <c r="CG32" s="225" t="s">
        <v>6561</v>
      </c>
      <c r="CH32" s="229" t="s">
        <v>6560</v>
      </c>
      <c r="CI32" s="229" t="s">
        <v>6559</v>
      </c>
      <c r="CJ32" s="229" t="s">
        <v>6558</v>
      </c>
      <c r="CK32" s="229" t="s">
        <v>6557</v>
      </c>
      <c r="CL32" s="229" t="s">
        <v>6556</v>
      </c>
      <c r="CM32" s="229" t="s">
        <v>6555</v>
      </c>
      <c r="CN32" s="225" t="s">
        <v>6554</v>
      </c>
      <c r="CO32" s="225" t="s">
        <v>6553</v>
      </c>
      <c r="CP32" s="225" t="s">
        <v>470</v>
      </c>
      <c r="CQ32" s="406"/>
      <c r="CR32" s="394" t="s">
        <v>6552</v>
      </c>
      <c r="CS32" s="225" t="s">
        <v>6551</v>
      </c>
      <c r="CT32" s="225"/>
      <c r="CU32" s="402" t="s">
        <v>6550</v>
      </c>
      <c r="CV32" s="225" t="s">
        <v>6549</v>
      </c>
      <c r="CW32" s="225" t="s">
        <v>6548</v>
      </c>
      <c r="CX32" s="225" t="s">
        <v>6547</v>
      </c>
      <c r="CY32" s="403" t="s">
        <v>6546</v>
      </c>
      <c r="CZ32" s="225" t="s">
        <v>6545</v>
      </c>
      <c r="DA32" s="225" t="s">
        <v>6544</v>
      </c>
      <c r="DB32" s="225"/>
      <c r="DC32" s="225" t="s">
        <v>6543</v>
      </c>
      <c r="DD32" s="225" t="s">
        <v>6542</v>
      </c>
      <c r="DE32" s="225"/>
      <c r="DF32" s="225" t="s">
        <v>6541</v>
      </c>
      <c r="DG32" s="225" t="s">
        <v>6540</v>
      </c>
      <c r="DH32" s="225" t="s">
        <v>6539</v>
      </c>
      <c r="DI32" s="225" t="s">
        <v>6538</v>
      </c>
      <c r="DJ32" s="225" t="s">
        <v>6537</v>
      </c>
      <c r="DK32" s="225"/>
      <c r="DL32" s="225" t="s">
        <v>6536</v>
      </c>
      <c r="DM32" s="225" t="s">
        <v>6535</v>
      </c>
      <c r="DN32" s="225" t="s">
        <v>6534</v>
      </c>
      <c r="DO32" s="225"/>
      <c r="DP32" s="225" t="s">
        <v>6533</v>
      </c>
      <c r="DQ32" s="225" t="s">
        <v>6532</v>
      </c>
      <c r="DR32" s="225" t="s">
        <v>6531</v>
      </c>
      <c r="DS32" s="225" t="s">
        <v>6530</v>
      </c>
      <c r="DT32" s="225" t="s">
        <v>6529</v>
      </c>
      <c r="DU32" s="225" t="s">
        <v>6528</v>
      </c>
      <c r="DV32" s="225" t="s">
        <v>6527</v>
      </c>
      <c r="DW32" s="246" t="s">
        <v>2234</v>
      </c>
      <c r="DX32" s="225" t="s">
        <v>6526</v>
      </c>
      <c r="DY32" s="225" t="s">
        <v>6525</v>
      </c>
      <c r="DZ32" s="225" t="s">
        <v>6524</v>
      </c>
      <c r="EA32" s="225" t="s">
        <v>6523</v>
      </c>
      <c r="EB32" s="225" t="s">
        <v>6522</v>
      </c>
      <c r="EC32" s="226"/>
      <c r="ED32" s="225" t="s">
        <v>6521</v>
      </c>
      <c r="EE32" s="225" t="s">
        <v>6520</v>
      </c>
      <c r="EF32" s="225" t="s">
        <v>6519</v>
      </c>
      <c r="EG32" s="226"/>
      <c r="EH32" s="225" t="s">
        <v>6518</v>
      </c>
      <c r="EI32" s="225" t="s">
        <v>6517</v>
      </c>
      <c r="EJ32" s="226"/>
      <c r="EK32" s="226"/>
      <c r="EL32" s="226"/>
      <c r="EM32" s="226"/>
      <c r="EN32" s="226"/>
      <c r="EO32" s="226"/>
      <c r="EP32" s="226"/>
      <c r="EQ32" s="226"/>
      <c r="ER32" s="225" t="s">
        <v>6516</v>
      </c>
      <c r="ES32" s="225" t="s">
        <v>6515</v>
      </c>
      <c r="ET32" s="225" t="s">
        <v>6514</v>
      </c>
      <c r="EU32" s="225" t="s">
        <v>6513</v>
      </c>
      <c r="EV32" s="225" t="s">
        <v>6512</v>
      </c>
      <c r="EW32" s="225" t="s">
        <v>6511</v>
      </c>
      <c r="EX32" s="225" t="s">
        <v>6510</v>
      </c>
      <c r="EY32" s="225" t="s">
        <v>6509</v>
      </c>
      <c r="EZ32" s="229" t="s">
        <v>6508</v>
      </c>
      <c r="FA32" s="225" t="s">
        <v>6507</v>
      </c>
      <c r="FB32" s="225" t="s">
        <v>6506</v>
      </c>
      <c r="FC32" s="225" t="s">
        <v>6505</v>
      </c>
      <c r="FD32" s="226"/>
      <c r="FE32" s="404" t="s">
        <v>6504</v>
      </c>
      <c r="FF32" s="225" t="s">
        <v>6503</v>
      </c>
      <c r="FG32" s="225" t="s">
        <v>6502</v>
      </c>
      <c r="FH32" s="224" t="s">
        <v>6501</v>
      </c>
      <c r="FI32" s="394" t="s">
        <v>6500</v>
      </c>
      <c r="FJ32" s="394" t="s">
        <v>6499</v>
      </c>
      <c r="FK32" s="394"/>
      <c r="FL32" s="394" t="s">
        <v>6498</v>
      </c>
      <c r="FM32" s="225" t="s">
        <v>6497</v>
      </c>
      <c r="FN32" s="225"/>
      <c r="FO32" s="394" t="s">
        <v>6496</v>
      </c>
      <c r="FP32" s="394"/>
      <c r="FQ32" s="394" t="s">
        <v>6495</v>
      </c>
      <c r="FR32" s="394" t="s">
        <v>6494</v>
      </c>
      <c r="FS32" s="394"/>
      <c r="FT32" s="394" t="s">
        <v>6493</v>
      </c>
      <c r="FU32" s="226"/>
      <c r="FV32" s="394" t="s">
        <v>6492</v>
      </c>
      <c r="FW32" s="394" t="s">
        <v>6491</v>
      </c>
      <c r="FX32" s="394" t="s">
        <v>6491</v>
      </c>
      <c r="FY32" s="226"/>
      <c r="FZ32" s="394" t="s">
        <v>6490</v>
      </c>
      <c r="GA32" s="394" t="s">
        <v>6489</v>
      </c>
      <c r="GB32" s="394" t="s">
        <v>6488</v>
      </c>
      <c r="GC32" s="394"/>
      <c r="GD32" s="394" t="s">
        <v>6487</v>
      </c>
      <c r="GE32" s="394" t="s">
        <v>6486</v>
      </c>
      <c r="GF32" s="435" t="s">
        <v>6485</v>
      </c>
      <c r="GG32" s="394" t="s">
        <v>6484</v>
      </c>
      <c r="GH32" s="394" t="s">
        <v>6483</v>
      </c>
      <c r="GI32" s="226"/>
      <c r="GJ32" s="394" t="s">
        <v>6477</v>
      </c>
      <c r="GK32" s="394" t="s">
        <v>6477</v>
      </c>
      <c r="GL32" s="394" t="s">
        <v>6482</v>
      </c>
      <c r="GM32" s="394" t="s">
        <v>6481</v>
      </c>
      <c r="GN32" s="394" t="s">
        <v>6480</v>
      </c>
      <c r="GO32" s="226"/>
      <c r="GP32" s="394" t="s">
        <v>6479</v>
      </c>
      <c r="GQ32" s="226"/>
      <c r="GR32" s="394" t="s">
        <v>6478</v>
      </c>
      <c r="GS32" s="394"/>
      <c r="GT32" s="394"/>
      <c r="GU32" s="394" t="s">
        <v>6477</v>
      </c>
      <c r="GV32" s="394" t="s">
        <v>6476</v>
      </c>
      <c r="GW32" s="226"/>
      <c r="GX32" s="225" t="s">
        <v>6475</v>
      </c>
      <c r="GY32" s="225" t="s">
        <v>6474</v>
      </c>
      <c r="GZ32" s="394" t="s">
        <v>6473</v>
      </c>
      <c r="HA32" s="225" t="s">
        <v>6472</v>
      </c>
      <c r="HB32" s="225" t="s">
        <v>6471</v>
      </c>
      <c r="HC32" s="225" t="s">
        <v>6470</v>
      </c>
      <c r="HD32" s="225" t="s">
        <v>6469</v>
      </c>
      <c r="HE32" s="225" t="s">
        <v>6468</v>
      </c>
      <c r="HF32" s="226"/>
      <c r="HG32" s="227" t="s">
        <v>6467</v>
      </c>
      <c r="HH32" s="227" t="s">
        <v>6466</v>
      </c>
      <c r="HI32" s="227" t="s">
        <v>6465</v>
      </c>
      <c r="HJ32" s="225" t="s">
        <v>6464</v>
      </c>
      <c r="HK32" s="227" t="s">
        <v>6463</v>
      </c>
      <c r="HL32" s="226"/>
      <c r="HM32" s="225" t="s">
        <v>6462</v>
      </c>
      <c r="HN32" s="226"/>
      <c r="HO32" s="225" t="s">
        <v>6461</v>
      </c>
      <c r="HP32" s="224" t="s">
        <v>6460</v>
      </c>
      <c r="HQ32" s="225"/>
      <c r="HR32" s="225"/>
      <c r="HS32" s="225" t="s">
        <v>6459</v>
      </c>
      <c r="HT32" s="225" t="s">
        <v>6458</v>
      </c>
      <c r="HU32" s="225" t="s">
        <v>6457</v>
      </c>
      <c r="HV32" s="225" t="s">
        <v>6456</v>
      </c>
      <c r="HW32" s="225" t="s">
        <v>6455</v>
      </c>
      <c r="HX32" s="225" t="s">
        <v>6454</v>
      </c>
      <c r="HY32" s="226" t="s">
        <v>6453</v>
      </c>
      <c r="HZ32" s="228" t="s">
        <v>6452</v>
      </c>
      <c r="IA32" s="225" t="s">
        <v>6451</v>
      </c>
      <c r="IB32" s="225" t="s">
        <v>6450</v>
      </c>
      <c r="IC32" s="225" t="s">
        <v>6449</v>
      </c>
      <c r="ID32" s="225" t="s">
        <v>6448</v>
      </c>
      <c r="IE32" s="225" t="s">
        <v>6447</v>
      </c>
      <c r="IF32" s="225" t="s">
        <v>6447</v>
      </c>
      <c r="IG32" s="225" t="s">
        <v>6446</v>
      </c>
      <c r="IH32" s="229" t="s">
        <v>6445</v>
      </c>
      <c r="II32" s="225" t="s">
        <v>6444</v>
      </c>
      <c r="IJ32" s="225" t="s">
        <v>6443</v>
      </c>
      <c r="IK32" s="225" t="s">
        <v>6443</v>
      </c>
      <c r="IL32" s="225" t="s">
        <v>6442</v>
      </c>
      <c r="IM32" s="225" t="s">
        <v>6441</v>
      </c>
      <c r="IN32" s="225" t="s">
        <v>6440</v>
      </c>
      <c r="IO32" s="225" t="s">
        <v>6439</v>
      </c>
      <c r="IP32" s="225" t="s">
        <v>6439</v>
      </c>
      <c r="IQ32" s="225" t="s">
        <v>6439</v>
      </c>
      <c r="IR32" s="225" t="s">
        <v>6438</v>
      </c>
      <c r="IS32" s="225" t="s">
        <v>6437</v>
      </c>
      <c r="IT32" s="225" t="s">
        <v>6436</v>
      </c>
      <c r="IU32" s="225" t="s">
        <v>6435</v>
      </c>
      <c r="IV32" s="225" t="s">
        <v>6434</v>
      </c>
      <c r="IW32" s="225" t="s">
        <v>6433</v>
      </c>
      <c r="IX32" s="225"/>
      <c r="IY32" s="225" t="s">
        <v>6432</v>
      </c>
      <c r="IZ32" s="225" t="s">
        <v>6431</v>
      </c>
      <c r="JA32" s="225" t="s">
        <v>6430</v>
      </c>
      <c r="JB32" s="225" t="s">
        <v>6429</v>
      </c>
      <c r="JC32" s="225" t="s">
        <v>6428</v>
      </c>
      <c r="JD32" s="225" t="s">
        <v>6427</v>
      </c>
      <c r="JE32" s="226"/>
      <c r="JF32" s="226"/>
      <c r="JG32" s="226"/>
      <c r="JH32" s="225" t="s">
        <v>6426</v>
      </c>
      <c r="JI32" s="225" t="s">
        <v>6425</v>
      </c>
      <c r="JJ32" s="225" t="s">
        <v>6424</v>
      </c>
      <c r="JK32" s="237" t="s">
        <v>6423</v>
      </c>
      <c r="JL32" s="225" t="s">
        <v>6422</v>
      </c>
      <c r="JM32" s="225" t="s">
        <v>6421</v>
      </c>
      <c r="JN32" s="226"/>
      <c r="JO32" s="226"/>
      <c r="JP32" s="226"/>
      <c r="JQ32" s="225" t="s">
        <v>6420</v>
      </c>
      <c r="JR32" s="225" t="s">
        <v>6419</v>
      </c>
      <c r="JS32" s="225" t="s">
        <v>6418</v>
      </c>
      <c r="JT32" s="225" t="s">
        <v>6417</v>
      </c>
      <c r="JU32" s="225" t="s">
        <v>6416</v>
      </c>
      <c r="JV32" s="225" t="s">
        <v>6415</v>
      </c>
      <c r="JW32" s="225" t="s">
        <v>6414</v>
      </c>
      <c r="JX32" s="225" t="s">
        <v>6413</v>
      </c>
      <c r="JY32" s="225" t="s">
        <v>6412</v>
      </c>
      <c r="JZ32" s="225" t="s">
        <v>6411</v>
      </c>
      <c r="KA32" s="225" t="s">
        <v>6410</v>
      </c>
      <c r="KB32" s="225" t="s">
        <v>6409</v>
      </c>
      <c r="KC32" s="225" t="s">
        <v>6408</v>
      </c>
      <c r="KD32" s="225" t="s">
        <v>6407</v>
      </c>
      <c r="KE32" s="232" t="s">
        <v>6406</v>
      </c>
      <c r="KF32" s="225" t="s">
        <v>6405</v>
      </c>
      <c r="KG32" s="225" t="s">
        <v>6404</v>
      </c>
      <c r="KH32" s="225" t="s">
        <v>6403</v>
      </c>
      <c r="KI32" s="225" t="s">
        <v>6402</v>
      </c>
      <c r="KJ32" s="225" t="s">
        <v>6401</v>
      </c>
      <c r="KK32" s="232" t="s">
        <v>6400</v>
      </c>
      <c r="KL32" s="225" t="s">
        <v>6399</v>
      </c>
      <c r="KM32" s="225" t="s">
        <v>6398</v>
      </c>
      <c r="KN32" s="225" t="s">
        <v>6397</v>
      </c>
      <c r="KO32" s="225" t="s">
        <v>6396</v>
      </c>
      <c r="KP32" s="225" t="s">
        <v>6395</v>
      </c>
      <c r="KQ32" s="226"/>
      <c r="KR32" s="226"/>
      <c r="KS32" s="226"/>
      <c r="KT32" s="226"/>
      <c r="KU32" s="226"/>
      <c r="KV32" s="225" t="s">
        <v>6394</v>
      </c>
      <c r="KW32" s="225"/>
      <c r="KX32" s="228" t="s">
        <v>9300</v>
      </c>
      <c r="KY32" s="793" t="s">
        <v>9282</v>
      </c>
      <c r="KZ32" s="225" t="s">
        <v>9272</v>
      </c>
      <c r="LA32" s="225" t="s">
        <v>9259</v>
      </c>
      <c r="LB32" s="225" t="s">
        <v>9240</v>
      </c>
      <c r="LC32" s="225" t="s">
        <v>9224</v>
      </c>
      <c r="LD32" s="225" t="s">
        <v>9214</v>
      </c>
      <c r="LE32" s="225" t="s">
        <v>9202</v>
      </c>
      <c r="LF32" s="225" t="s">
        <v>9192</v>
      </c>
      <c r="LG32" s="225" t="s">
        <v>9182</v>
      </c>
      <c r="LH32" s="225" t="s">
        <v>9168</v>
      </c>
      <c r="LI32" s="224" t="s">
        <v>9151</v>
      </c>
      <c r="LJ32" s="225" t="s">
        <v>9133</v>
      </c>
      <c r="LK32" s="225" t="s">
        <v>6393</v>
      </c>
      <c r="LL32" s="225" t="s">
        <v>6392</v>
      </c>
      <c r="LM32" s="226"/>
      <c r="LN32" s="225" t="s">
        <v>6391</v>
      </c>
      <c r="LO32" s="225" t="s">
        <v>6390</v>
      </c>
      <c r="LP32" s="225" t="s">
        <v>6389</v>
      </c>
      <c r="LQ32" s="225" t="s">
        <v>6388</v>
      </c>
      <c r="LR32" s="225" t="s">
        <v>6387</v>
      </c>
      <c r="LS32" s="225" t="s">
        <v>6386</v>
      </c>
      <c r="LT32" s="234" t="s">
        <v>6385</v>
      </c>
      <c r="LU32" s="225" t="s">
        <v>6384</v>
      </c>
      <c r="LV32" s="225" t="s">
        <v>6383</v>
      </c>
      <c r="LW32" s="225" t="s">
        <v>6382</v>
      </c>
      <c r="LX32" s="225" t="s">
        <v>6381</v>
      </c>
      <c r="LY32" s="225" t="s">
        <v>6380</v>
      </c>
      <c r="LZ32" s="225" t="s">
        <v>6379</v>
      </c>
      <c r="MA32" s="225" t="s">
        <v>6378</v>
      </c>
      <c r="MB32" s="225" t="s">
        <v>6377</v>
      </c>
      <c r="MC32" s="225" t="s">
        <v>6376</v>
      </c>
      <c r="MD32" s="225" t="s">
        <v>6375</v>
      </c>
      <c r="ME32" s="225" t="s">
        <v>6374</v>
      </c>
      <c r="MF32" s="225" t="s">
        <v>6373</v>
      </c>
      <c r="MG32" s="226"/>
      <c r="MH32" s="226"/>
      <c r="MI32" s="226"/>
      <c r="MJ32" s="235" t="s">
        <v>6372</v>
      </c>
      <c r="MK32" s="235"/>
      <c r="ML32" s="235" t="s">
        <v>6371</v>
      </c>
      <c r="MM32" s="235" t="s">
        <v>6370</v>
      </c>
      <c r="MN32" s="236" t="s">
        <v>6369</v>
      </c>
      <c r="MO32" s="236" t="s">
        <v>6368</v>
      </c>
      <c r="MP32" s="236" t="s">
        <v>6367</v>
      </c>
      <c r="MQ32" s="236" t="s">
        <v>6366</v>
      </c>
      <c r="MR32" s="236" t="s">
        <v>6365</v>
      </c>
      <c r="MS32" s="236" t="s">
        <v>6364</v>
      </c>
      <c r="MT32" s="235" t="s">
        <v>6363</v>
      </c>
      <c r="MU32" s="236" t="s">
        <v>6362</v>
      </c>
      <c r="MV32" s="235" t="s">
        <v>6361</v>
      </c>
      <c r="MW32" s="235" t="s">
        <v>6360</v>
      </c>
      <c r="MX32" s="226"/>
      <c r="MY32" s="226"/>
      <c r="MZ32" s="226"/>
      <c r="NA32" s="226"/>
    </row>
    <row r="33" spans="1:365" ht="102" x14ac:dyDescent="0.2">
      <c r="A33" s="216" t="s">
        <v>6359</v>
      </c>
      <c r="B33" s="209" t="s">
        <v>55</v>
      </c>
      <c r="C33" s="217" t="s">
        <v>6358</v>
      </c>
      <c r="D33" s="218" t="s">
        <v>57</v>
      </c>
      <c r="E33" s="225">
        <v>8.3469999999999995</v>
      </c>
      <c r="F33" s="225">
        <v>5.7329999999999997</v>
      </c>
      <c r="G33" s="225">
        <f>G37+G40+G42</f>
        <v>1.0760000000000001</v>
      </c>
      <c r="H33" s="225">
        <f>SUM(H37,H40,H42,H44)</f>
        <v>1.988448</v>
      </c>
      <c r="I33" s="225">
        <f>I37+I40+I42</f>
        <v>0.37</v>
      </c>
      <c r="J33" s="225">
        <f>SUM(J37,J40,J42,J44)</f>
        <v>0.33100000000000002</v>
      </c>
      <c r="K33" s="225">
        <f>SUM(K37,K40,K42,K44)</f>
        <v>0.4</v>
      </c>
      <c r="L33" s="225">
        <f>SUM(L37,L40,L42,L44)</f>
        <v>1.6579999999999999</v>
      </c>
      <c r="M33" s="225">
        <f>SUM(M37,M40,M42,M44)</f>
        <v>0.4975</v>
      </c>
      <c r="N33" s="225">
        <f>SUM(N37,N40,N42,N44)</f>
        <v>0.32400000000000001</v>
      </c>
      <c r="O33" s="225">
        <v>3.8671720000000001</v>
      </c>
      <c r="P33" s="402">
        <f>SUM(P37,P40,P42,P44)</f>
        <v>0.32700000000000007</v>
      </c>
      <c r="Q33" s="225">
        <f>SUM(Q37,Q40,Q42,Q44)</f>
        <v>0.45</v>
      </c>
      <c r="R33" s="225">
        <f>0.8977138</f>
        <v>0.89771380000000001</v>
      </c>
      <c r="S33" s="225">
        <f>SUM(S37,S40,S42,S44)</f>
        <v>0.36</v>
      </c>
      <c r="T33" s="225">
        <f>SUM(T37,T40,T42,T44)</f>
        <v>0.204788</v>
      </c>
      <c r="U33" s="225">
        <v>0.49031639999999999</v>
      </c>
      <c r="V33" s="225">
        <f>SUM(V37,V40,V42,V44)</f>
        <v>329.60399999999998</v>
      </c>
      <c r="W33" s="226"/>
      <c r="X33" s="226"/>
      <c r="Y33" s="226"/>
      <c r="Z33" s="226"/>
      <c r="AA33" s="226"/>
      <c r="AB33" s="226"/>
      <c r="AC33" s="226"/>
      <c r="AD33" s="226"/>
      <c r="AE33" s="226"/>
      <c r="AF33" s="225">
        <f>AF37+AF40</f>
        <v>8.5874699999999997</v>
      </c>
      <c r="AG33" s="225">
        <f>SUM(AG37,AG40,AG42,AG44)</f>
        <v>1.02</v>
      </c>
      <c r="AH33" s="226"/>
      <c r="AI33" s="225">
        <v>0.21</v>
      </c>
      <c r="AJ33" s="225">
        <f>SUM(AJ37,AJ40,AJ42,AJ44)</f>
        <v>1.0629999999999999</v>
      </c>
      <c r="AK33" s="225">
        <f>SUM(AK37,AK40,AK42,AK44)</f>
        <v>9.3800000000000008</v>
      </c>
      <c r="AL33" s="225">
        <f>AL37+AL40</f>
        <v>4.6539999999999999</v>
      </c>
      <c r="AM33" s="226"/>
      <c r="AN33" s="226"/>
      <c r="AO33" s="226"/>
      <c r="AP33" s="226"/>
      <c r="AQ33" s="225">
        <f>SUM(AQ37,AQ40,AQ42,AQ44)</f>
        <v>1.3250000000000002</v>
      </c>
      <c r="AR33" s="225">
        <f>SUM(AR37,AR40,AR42,AR44)</f>
        <v>5.6790000000000003</v>
      </c>
      <c r="AS33" s="225">
        <v>0.90600000000000003</v>
      </c>
      <c r="AT33" s="225">
        <f>SUM(AT37,AT40,AT42,AT44)</f>
        <v>4.3488905300000003</v>
      </c>
      <c r="AU33" s="225">
        <f>SUM(AU37,AU40,AU42,AU44)</f>
        <v>3.05274</v>
      </c>
      <c r="AV33" s="225">
        <v>3.76268</v>
      </c>
      <c r="AW33" s="225">
        <v>3.76268</v>
      </c>
      <c r="AX33" s="225">
        <v>3.76268</v>
      </c>
      <c r="AY33" s="225">
        <v>2.9809999999999999</v>
      </c>
      <c r="AZ33" s="225">
        <v>3.05274</v>
      </c>
      <c r="BA33" s="225">
        <f t="shared" ref="BA33:BG33" si="0">SUM(BA37,BA40,BA42,BA44)</f>
        <v>3.76</v>
      </c>
      <c r="BB33" s="225">
        <f t="shared" si="0"/>
        <v>3.05274</v>
      </c>
      <c r="BC33" s="225">
        <f t="shared" si="0"/>
        <v>2.9820000000000002</v>
      </c>
      <c r="BD33" s="225">
        <f t="shared" si="0"/>
        <v>3.762</v>
      </c>
      <c r="BE33" s="225">
        <f t="shared" si="0"/>
        <v>3.7629999999999999</v>
      </c>
      <c r="BF33" s="225">
        <f t="shared" si="0"/>
        <v>2.0005799999999998</v>
      </c>
      <c r="BG33" s="225">
        <f t="shared" si="0"/>
        <v>3.7629999999999999</v>
      </c>
      <c r="BH33" s="225">
        <v>3.76268</v>
      </c>
      <c r="BI33" s="225">
        <f>SUM(BI37,BI40,BI42,BI44)</f>
        <v>3.7629999999999999</v>
      </c>
      <c r="BJ33" s="225">
        <f>SUM(BJ37,BJ40,BJ42,BJ44)</f>
        <v>3.7629999999999999</v>
      </c>
      <c r="BK33" s="225">
        <f>SUM(BK37,BK40,BK42,BK44)</f>
        <v>3.6389999999999998</v>
      </c>
      <c r="BL33" s="225">
        <v>3.762</v>
      </c>
      <c r="BM33" s="225">
        <f>SUM(BM37,BM40,BM42,BM44)</f>
        <v>3.1532300000000002</v>
      </c>
      <c r="BN33" s="226"/>
      <c r="BO33" s="225">
        <f>SUM(BO37,BO40,BO42,BO44)</f>
        <v>0.24269542</v>
      </c>
      <c r="BP33" s="225">
        <f>SUM(BP37,BP40,BP42,BP44)</f>
        <v>1</v>
      </c>
      <c r="BQ33" s="225">
        <f>SUM(BQ37,BQ40,BQ42,BQ44)</f>
        <v>4.4074</v>
      </c>
      <c r="BR33" s="436">
        <v>0.7</v>
      </c>
      <c r="BS33" s="225">
        <v>0.21060000000000001</v>
      </c>
      <c r="BT33" s="225">
        <f>SUM(BT37,BT40,BT42,BT44)</f>
        <v>2.9302540000000001</v>
      </c>
      <c r="BU33" s="225">
        <f>SUM(BU37,BU40,BU42,BU44)</f>
        <v>0.18</v>
      </c>
      <c r="BV33" s="225">
        <f>SUM(BV37,BV40,BV42,BV44)</f>
        <v>3.6999999999999998E-2</v>
      </c>
      <c r="BW33" s="225">
        <f>SUM(BW37,BW40,BW42,BW44)</f>
        <v>0</v>
      </c>
      <c r="BX33" s="225">
        <v>0.1</v>
      </c>
      <c r="BY33" s="225">
        <v>0.94925999999999999</v>
      </c>
      <c r="BZ33" s="225">
        <f>SUM(BZ37,BZ40,BZ42,BZ44)</f>
        <v>1.59</v>
      </c>
      <c r="CA33" s="225">
        <f>SUM(CA37,CA40,CA42,CA44)</f>
        <v>0</v>
      </c>
      <c r="CB33" s="225">
        <f>SUM(CB37,CB40,CB42,CB44)</f>
        <v>0</v>
      </c>
      <c r="CC33" s="225">
        <f>SUM(CC37,CC40,CC42,CC44)</f>
        <v>1.0329999999999999</v>
      </c>
      <c r="CD33" s="225">
        <v>1.0009999999999999</v>
      </c>
      <c r="CE33" s="225">
        <f>SUM(CE37,CE40,CE42,CE44)</f>
        <v>1.4999999999999999E-2</v>
      </c>
      <c r="CF33" s="225">
        <f>SUM(CF37,CF40,CF42,CF44)</f>
        <v>0.02</v>
      </c>
      <c r="CG33" s="225">
        <v>0.11</v>
      </c>
      <c r="CH33" s="225">
        <f>SUM(CH37,CH40,CH42,CH44)</f>
        <v>0.59930000000000005</v>
      </c>
      <c r="CI33" s="225">
        <v>0.48799999999999999</v>
      </c>
      <c r="CJ33" s="225">
        <f>SUM(CJ37,CJ40,CJ42,CJ44)</f>
        <v>4.3999999999999997E-2</v>
      </c>
      <c r="CK33" s="225">
        <f>SUM(CK37,CK40,CK42,CK44)</f>
        <v>0.02</v>
      </c>
      <c r="CL33" s="225">
        <f>CL37</f>
        <v>2.3E-2</v>
      </c>
      <c r="CM33" s="225">
        <v>0.15</v>
      </c>
      <c r="CN33" s="225">
        <v>1.42486</v>
      </c>
      <c r="CO33" s="225">
        <v>0.5</v>
      </c>
      <c r="CP33" s="225">
        <v>5.5163000000000002</v>
      </c>
      <c r="CQ33" s="224">
        <v>0.1</v>
      </c>
      <c r="CR33" s="225">
        <f>SUM(CR37,CR40,CR42,CR44)</f>
        <v>27.65</v>
      </c>
      <c r="CS33" s="225">
        <f>SUM(CS37,CS40,CS42,CS44)</f>
        <v>0.59</v>
      </c>
      <c r="CT33" s="225">
        <v>0.42199999999999999</v>
      </c>
      <c r="CU33" s="225">
        <f>SUM(CU37,CU40,CU42,CU44)</f>
        <v>0.64400000000000002</v>
      </c>
      <c r="CV33" s="225">
        <v>0.8</v>
      </c>
      <c r="CW33" s="225">
        <v>0.45600000000000002</v>
      </c>
      <c r="CX33" s="225">
        <v>6.3</v>
      </c>
      <c r="CY33" s="225">
        <f>SUM(CY37,CY40,CY42,CY44)</f>
        <v>1.2</v>
      </c>
      <c r="CZ33" s="225">
        <f>SUM(CZ37,CZ40,CZ42,CZ44)</f>
        <v>1</v>
      </c>
      <c r="DA33" s="225">
        <f>SUM(DA37,DA40,DA42,DA44)</f>
        <v>1325.0722900000001</v>
      </c>
      <c r="DB33" s="225">
        <v>0.112</v>
      </c>
      <c r="DC33" s="225">
        <v>0.96</v>
      </c>
      <c r="DD33" s="225">
        <v>0.27800000000000002</v>
      </c>
      <c r="DE33" s="225">
        <f>SUM(DE37,DE40,DE42,DE44)</f>
        <v>0.52800000000000002</v>
      </c>
      <c r="DF33" s="225">
        <f>SUM(DF37,DF40,DF42,DF44)</f>
        <v>38.799999999999997</v>
      </c>
      <c r="DG33" s="225">
        <v>5.2450000000000001</v>
      </c>
      <c r="DH33" s="225">
        <v>0.89234999999999998</v>
      </c>
      <c r="DI33" s="225">
        <f>SUM(DI37,DI40,DI42,DI44)</f>
        <v>0.84899999999999998</v>
      </c>
      <c r="DJ33" s="225">
        <v>3.2199999999999998</v>
      </c>
      <c r="DK33" s="225">
        <f>SUM(DK37,DK40,DK42,DK44)</f>
        <v>1.4177031899999999</v>
      </c>
      <c r="DL33" s="225">
        <v>0.93300000000000005</v>
      </c>
      <c r="DM33" s="225">
        <f>SUM(DM37,DM40,DM42,DM44)</f>
        <v>0.48599999999999999</v>
      </c>
      <c r="DN33" s="225">
        <f>SUM(DN37,DN40,DN42,DN44)</f>
        <v>0.50600000000000001</v>
      </c>
      <c r="DO33" s="225">
        <v>11.2</v>
      </c>
      <c r="DP33" s="225">
        <v>0.59599999999999997</v>
      </c>
      <c r="DQ33" s="225">
        <f>SUM(DQ37,DQ40,DQ42,DQ44)</f>
        <v>0.37</v>
      </c>
      <c r="DR33" s="226">
        <v>4.7</v>
      </c>
      <c r="DS33" s="225">
        <v>0.185</v>
      </c>
      <c r="DT33" s="225">
        <v>0.17299999999999999</v>
      </c>
      <c r="DU33" s="225">
        <f t="shared" ref="DU33:EB33" si="1">SUM(DU37,DU40,DU42,DU44)</f>
        <v>0.02</v>
      </c>
      <c r="DV33" s="225">
        <f t="shared" si="1"/>
        <v>0.5</v>
      </c>
      <c r="DW33" s="225">
        <f t="shared" si="1"/>
        <v>0.439</v>
      </c>
      <c r="DX33" s="225">
        <f t="shared" si="1"/>
        <v>1.1000000000000001</v>
      </c>
      <c r="DY33" s="225">
        <f t="shared" si="1"/>
        <v>45.808999999999997</v>
      </c>
      <c r="DZ33" s="225">
        <f t="shared" si="1"/>
        <v>11.366</v>
      </c>
      <c r="EA33" s="225">
        <f t="shared" si="1"/>
        <v>3.2719999999999998</v>
      </c>
      <c r="EB33" s="225">
        <f t="shared" si="1"/>
        <v>0.505</v>
      </c>
      <c r="EC33" s="226"/>
      <c r="ED33" s="225">
        <f>SUM(ED37,ED40,ED42,ED44)</f>
        <v>2</v>
      </c>
      <c r="EE33" s="225">
        <f>SUM(EE37,EE40,EE42,EE44)</f>
        <v>4.3889999999999993</v>
      </c>
      <c r="EF33" s="225">
        <f>SUM(EF37,EF40,EF42,EF44)</f>
        <v>1.865</v>
      </c>
      <c r="EG33" s="226"/>
      <c r="EH33" s="225">
        <f>SUM(EH37,EH40,EH42,EH44)</f>
        <v>0.55070799999999998</v>
      </c>
      <c r="EI33" s="225">
        <f>SUM(EI37,EI40,EI42,EI44)</f>
        <v>0.34166999999999997</v>
      </c>
      <c r="EJ33" s="226"/>
      <c r="EK33" s="226"/>
      <c r="EL33" s="226"/>
      <c r="EM33" s="226"/>
      <c r="EN33" s="226"/>
      <c r="EO33" s="226"/>
      <c r="EP33" s="226"/>
      <c r="EQ33" s="226"/>
      <c r="ER33" s="225">
        <v>40</v>
      </c>
      <c r="ES33" s="225">
        <f>SUM(ES37,ES40,ES42,ES44)</f>
        <v>1.49606905</v>
      </c>
      <c r="ET33" s="225">
        <f>ET37+ET40+ET42+ET44</f>
        <v>14.122</v>
      </c>
      <c r="EU33" s="225">
        <f>EU37+EU40+EU42+EU44</f>
        <v>0.69900000000000007</v>
      </c>
      <c r="EV33" s="225">
        <f>EV37+EV40</f>
        <v>0.53</v>
      </c>
      <c r="EW33" s="225">
        <f>SUM(EW37,EW40,EW42,EW44)</f>
        <v>3</v>
      </c>
      <c r="EX33" s="225">
        <f>SUM(EX37,EX40,EX42,EX44)</f>
        <v>10.7</v>
      </c>
      <c r="EY33" s="225">
        <f>SUM(EY37,EY40,EY42,EY44)</f>
        <v>0.1</v>
      </c>
      <c r="EZ33" s="225">
        <v>1</v>
      </c>
      <c r="FA33" s="225">
        <f>SUM(FA37,FA40,FA42,FA44)</f>
        <v>0.1</v>
      </c>
      <c r="FB33" s="225">
        <f>SUM(FB37,FB40,FB42,FB44)</f>
        <v>0.1</v>
      </c>
      <c r="FC33" s="225">
        <v>0.1</v>
      </c>
      <c r="FD33" s="226"/>
      <c r="FE33" s="225">
        <f>SUM(FE37,FE40,FE42,FE44)</f>
        <v>0.21099999999999999</v>
      </c>
      <c r="FF33" s="225">
        <f>FF37+FF40+FF42</f>
        <v>0.14500000000000002</v>
      </c>
      <c r="FG33" s="225">
        <f>1.3+2.035+1.455</f>
        <v>4.79</v>
      </c>
      <c r="FH33" s="224">
        <f>FH37+FH40+FH42</f>
        <v>10.060570999999999</v>
      </c>
      <c r="FI33" s="225">
        <f>SUM(FI37,FI40,FI42,FI44)</f>
        <v>3</v>
      </c>
      <c r="FJ33" s="225">
        <f>SUM(FJ37,FJ40,FJ42,FJ44)</f>
        <v>1.1000000000000001</v>
      </c>
      <c r="FK33" s="225"/>
      <c r="FL33" s="225">
        <f>SUM(FL37,FL40,FL42,FL44)</f>
        <v>2.12</v>
      </c>
      <c r="FM33" s="225">
        <f>SUM(FM37,FM40,FM42,FM44)</f>
        <v>0.5</v>
      </c>
      <c r="FN33" s="225"/>
      <c r="FO33" s="225">
        <f>SUM(FO37,FO40,FO42,FO44)</f>
        <v>0.5</v>
      </c>
      <c r="FP33" s="225"/>
      <c r="FQ33" s="225">
        <f>SUM(FQ37,FQ40,FQ42,FQ44)</f>
        <v>2.6534502</v>
      </c>
      <c r="FR33" s="225">
        <f>SUM(FR37,FR40,FR42,FR44)</f>
        <v>0.33499999999999996</v>
      </c>
      <c r="FS33" s="225"/>
      <c r="FT33" s="225">
        <f>SUM(FT37,FT40,FT42,FT44)</f>
        <v>0.15</v>
      </c>
      <c r="FU33" s="226"/>
      <c r="FV33" s="225">
        <f>SUM(FV37,FV40,FV42,FV44)</f>
        <v>0.19999999999999998</v>
      </c>
      <c r="FW33" s="225">
        <f>SUM(FW37,FW40,FW42,FW44)</f>
        <v>1.117</v>
      </c>
      <c r="FX33" s="225">
        <v>0.5</v>
      </c>
      <c r="FY33" s="226"/>
      <c r="FZ33" s="225">
        <f>SUM(FZ37,FZ40,FZ42,FZ44)</f>
        <v>0.5726</v>
      </c>
      <c r="GA33" s="225">
        <f>SUM(GA37,GA40,GA42,GA44)</f>
        <v>0.48199999999999998</v>
      </c>
      <c r="GB33" s="225">
        <v>0.5</v>
      </c>
      <c r="GC33" s="225"/>
      <c r="GD33" s="225">
        <f>SUM(GD37,GD40,GD42,GD44)</f>
        <v>0.71057500000000007</v>
      </c>
      <c r="GE33" s="225">
        <f>SUM(GE37,GE40,GE42,GE44)</f>
        <v>1.0510000000000002</v>
      </c>
      <c r="GF33" s="225">
        <v>1.4</v>
      </c>
      <c r="GG33" s="225">
        <f>SUM(GG37,GG40,GG42,GG44)</f>
        <v>1.4115</v>
      </c>
      <c r="GH33" s="225">
        <f>SUM(GH37,GH40,GH42,GH44)</f>
        <v>0.9</v>
      </c>
      <c r="GI33" s="226"/>
      <c r="GJ33" s="225">
        <f>SUM(GJ37,GJ40,GJ42,GJ44)</f>
        <v>0.43</v>
      </c>
      <c r="GK33" s="225">
        <f>SUM(GK37,GK40,GK42,GK44)</f>
        <v>2.3810000000000002</v>
      </c>
      <c r="GL33" s="225">
        <f>SUM(GL37,GL40,GL42,GL44)</f>
        <v>0.55000000000000004</v>
      </c>
      <c r="GM33" s="225">
        <f>SUM(GM37,GM40,GM42,GM44)</f>
        <v>4.5</v>
      </c>
      <c r="GN33" s="225">
        <f>SUM(GN37,GN40,GN42,GN44)</f>
        <v>1</v>
      </c>
      <c r="GO33" s="226"/>
      <c r="GP33" s="225">
        <f>SUM(GP37,GP40,GP42,GP44)</f>
        <v>0.1</v>
      </c>
      <c r="GQ33" s="226"/>
      <c r="GR33" s="225">
        <f>SUM(GR37,GR40,GR42,GR44)</f>
        <v>0.32099999999999995</v>
      </c>
      <c r="GS33" s="225">
        <f>SUM(GS37,GS40,GS42,GS44)</f>
        <v>0.05</v>
      </c>
      <c r="GT33" s="225"/>
      <c r="GU33" s="225">
        <f>SUM(GU37,GU40,GU42,GU44)</f>
        <v>1.415</v>
      </c>
      <c r="GV33" s="225">
        <f>SUM(GV37,GV40,GV42,GV44)</f>
        <v>0.2</v>
      </c>
      <c r="GW33" s="226"/>
      <c r="GX33" s="225">
        <f>SUM(GX37,GX40,GX42,GX44)</f>
        <v>0.11800000000000001</v>
      </c>
      <c r="GY33" s="225">
        <f>SUM(GY37,GY40,GY42,GY44)</f>
        <v>0.25</v>
      </c>
      <c r="GZ33" s="225">
        <f>SUM(GZ37,GZ40,GZ42,GZ44)</f>
        <v>9.2299999999999993E-2</v>
      </c>
      <c r="HA33" s="225">
        <f>SUM(HA37,HA40,HA42,HA44)</f>
        <v>33.527000000000001</v>
      </c>
      <c r="HB33" s="225">
        <f>SUM(HB37,HB40,HB42,HB44)</f>
        <v>1.149688</v>
      </c>
      <c r="HC33" s="225">
        <v>1.02</v>
      </c>
      <c r="HD33" s="225">
        <f>SUM(HD37,HD40,HD42,HD44)</f>
        <v>1.8758654000000001</v>
      </c>
      <c r="HE33" s="225">
        <f>SUM(HE37,HE40,HE42,HE44)</f>
        <v>20.536999999999999</v>
      </c>
      <c r="HF33" s="226"/>
      <c r="HG33" s="226">
        <f>HG37+HG40+HG42+HG44</f>
        <v>5.5627732999999999</v>
      </c>
      <c r="HH33" s="226">
        <f>SUM(HH37,HH40,HH42,HH44)</f>
        <v>0.496</v>
      </c>
      <c r="HI33" s="226">
        <f>SUM(HI37,HI40,HI42,HI44)</f>
        <v>0.8</v>
      </c>
      <c r="HJ33" s="225">
        <v>27.7</v>
      </c>
      <c r="HK33" s="225">
        <f>SUM(HK37,HK40,HK42,HK44)</f>
        <v>10.629999999999999</v>
      </c>
      <c r="HL33" s="226"/>
      <c r="HM33" s="225">
        <f>SUM(HM37,HM40,HM42,HM44)</f>
        <v>347.50400000000002</v>
      </c>
      <c r="HN33" s="226"/>
      <c r="HO33" s="225">
        <f>SUM(HO37,HO40,HO42,HO44)</f>
        <v>1.8440000000000001</v>
      </c>
      <c r="HP33" s="225">
        <f>SUM(HP37,HP40,HP42,HP44)</f>
        <v>0.53383999999999998</v>
      </c>
      <c r="HQ33" s="225">
        <f>SUM(HQ37,HQ40,HQ42,HQ44)</f>
        <v>2.6</v>
      </c>
      <c r="HR33" s="225">
        <f>SUM(HR37,HR40,HR42,HR44)</f>
        <v>2.1</v>
      </c>
      <c r="HS33" s="225">
        <v>1</v>
      </c>
      <c r="HT33" s="225">
        <v>5.1569000000000003</v>
      </c>
      <c r="HU33" s="225">
        <f>SUM(HU37,HU40,HU42,HU44)</f>
        <v>2.1959113299999999</v>
      </c>
      <c r="HV33" s="225">
        <f>SUM(HV37,HV40,HV42,HV44)</f>
        <v>8.8000000000000007</v>
      </c>
      <c r="HW33" s="225">
        <v>0.6</v>
      </c>
      <c r="HX33" s="225">
        <f>SUM(HX37,HX40,HX42,HX44)</f>
        <v>2.4</v>
      </c>
      <c r="HY33" s="225">
        <f>SUM(HY37,HY40,HY42,HY44)</f>
        <v>9.7839999999999989</v>
      </c>
      <c r="HZ33" s="225">
        <f>SUM(HZ37,HZ40,HZ42,HZ44)</f>
        <v>0</v>
      </c>
      <c r="IA33" s="225">
        <f>SUM(IA37,IA40,IA42,IA44)</f>
        <v>0.21000000000000002</v>
      </c>
      <c r="IB33" s="225">
        <f>SUM(IB37,IB40,IB42,IB44)</f>
        <v>0.35399999999999998</v>
      </c>
      <c r="IC33" s="225">
        <v>0.3</v>
      </c>
      <c r="ID33" s="225">
        <v>0.11700000000000001</v>
      </c>
      <c r="IE33" s="225">
        <f>SUM(IE37,IE40,IE42,IE44)</f>
        <v>0.06</v>
      </c>
      <c r="IF33" s="225">
        <f>SUM(IF37,IF40,IF42,IF44)</f>
        <v>0.15</v>
      </c>
      <c r="IG33" s="225">
        <f t="shared" ref="IG33:IL33" si="2">IG37+IG44</f>
        <v>9.4E-2</v>
      </c>
      <c r="IH33" s="225">
        <f t="shared" si="2"/>
        <v>4.9999999999999996E-2</v>
      </c>
      <c r="II33" s="225">
        <f t="shared" si="2"/>
        <v>1.9999999999999997E-2</v>
      </c>
      <c r="IJ33" s="225">
        <f t="shared" si="2"/>
        <v>1.0999999999999999E-2</v>
      </c>
      <c r="IK33" s="225">
        <f t="shared" si="2"/>
        <v>1.3000000000000001E-2</v>
      </c>
      <c r="IL33" s="225">
        <f t="shared" si="2"/>
        <v>0.1</v>
      </c>
      <c r="IM33" s="225">
        <v>3.5000000000000003E-2</v>
      </c>
      <c r="IN33" s="225">
        <f>SUM(IN37,IN40,IN42,IN44)</f>
        <v>0.05</v>
      </c>
      <c r="IO33" s="225">
        <f>SUM(IO37,IO40,IO42,IO44)</f>
        <v>0.05</v>
      </c>
      <c r="IP33" s="225">
        <f>SUM(IP37,IP40,IP42,IP44)</f>
        <v>0.05</v>
      </c>
      <c r="IQ33" s="225">
        <f>SUM(IQ37,IQ40,IQ42,IQ44)</f>
        <v>5.5E-2</v>
      </c>
      <c r="IR33" s="225">
        <v>0.05</v>
      </c>
      <c r="IS33" s="225">
        <f>SUM(IS37,IS40,IS42,IS44)</f>
        <v>0.05</v>
      </c>
      <c r="IT33" s="225">
        <f>SUM(IT37,IT40,IT42,IT44)</f>
        <v>0.05</v>
      </c>
      <c r="IU33" s="225">
        <v>0.05</v>
      </c>
      <c r="IV33" s="225">
        <f>SUM(IV37,IV40,IV42,IV44)</f>
        <v>0.05</v>
      </c>
      <c r="IW33" s="225">
        <f>SUM(IW37,IW40,IW42,IW44)</f>
        <v>0.03</v>
      </c>
      <c r="IX33" s="225">
        <v>0.64</v>
      </c>
      <c r="IY33" s="225">
        <v>0.249</v>
      </c>
      <c r="IZ33" s="225">
        <v>0.4</v>
      </c>
      <c r="JA33" s="225">
        <v>0.28000000000000003</v>
      </c>
      <c r="JB33" s="225">
        <v>3</v>
      </c>
      <c r="JC33" s="225">
        <f>SUM(JC37,JC40,JC42,JC44)</f>
        <v>1.8959999999999999</v>
      </c>
      <c r="JD33" s="225">
        <f>SUM(JD37,JD40,JD42,JD44)</f>
        <v>13.4</v>
      </c>
      <c r="JE33" s="226"/>
      <c r="JF33" s="226"/>
      <c r="JG33" s="226"/>
      <c r="JH33" s="225">
        <f>SUM(JH37,JH40,JH42,JH44)</f>
        <v>2.6189999999999998</v>
      </c>
      <c r="JI33" s="225">
        <f>SUM(JI37,JI40,JI42,JI44)</f>
        <v>6.7850000000000001</v>
      </c>
      <c r="JJ33" s="225">
        <f>JJ37+JJ40+JJ42</f>
        <v>21.959</v>
      </c>
      <c r="JK33" s="225">
        <f>SUM(JK37,JK40,JK42,JK44)</f>
        <v>0.90029999999999999</v>
      </c>
      <c r="JL33" s="225">
        <f>SUM(JL37,JL40,JL42,JL44)</f>
        <v>11.058</v>
      </c>
      <c r="JM33" s="225">
        <f>SUM(JM37,JM40,JM42,JM44)</f>
        <v>1.35</v>
      </c>
      <c r="JN33" s="226"/>
      <c r="JO33" s="226"/>
      <c r="JP33" s="226"/>
      <c r="JQ33" s="225">
        <f t="shared" ref="JQ33:JX33" si="3">SUM(JQ37,JQ40,JQ42,JQ44)</f>
        <v>3.806</v>
      </c>
      <c r="JR33" s="225">
        <f t="shared" si="3"/>
        <v>5.8590400000000002</v>
      </c>
      <c r="JS33" s="225">
        <f t="shared" si="3"/>
        <v>4.0330000000000004</v>
      </c>
      <c r="JT33" s="225">
        <f t="shared" si="3"/>
        <v>5.1219999999999999</v>
      </c>
      <c r="JU33" s="225">
        <f t="shared" si="3"/>
        <v>11.525</v>
      </c>
      <c r="JV33" s="225">
        <f t="shared" si="3"/>
        <v>11.709000000000001</v>
      </c>
      <c r="JW33" s="225">
        <f t="shared" si="3"/>
        <v>0.9</v>
      </c>
      <c r="JX33" s="225">
        <f t="shared" si="3"/>
        <v>7.9729999999999999</v>
      </c>
      <c r="JY33" s="225">
        <f t="shared" ref="JY33:KD33" si="4">SUM(JY37,JY40,JY42,JY44)</f>
        <v>13.158000000000001</v>
      </c>
      <c r="JZ33" s="225">
        <f t="shared" si="4"/>
        <v>2.8109999999999999</v>
      </c>
      <c r="KA33" s="225">
        <f t="shared" si="4"/>
        <v>3.0380000000000003</v>
      </c>
      <c r="KB33" s="225">
        <f t="shared" si="4"/>
        <v>0.748</v>
      </c>
      <c r="KC33" s="225">
        <f t="shared" si="4"/>
        <v>4.9960000000000004</v>
      </c>
      <c r="KD33" s="225">
        <f t="shared" si="4"/>
        <v>13.370999999999999</v>
      </c>
      <c r="KE33" s="225">
        <v>2.85</v>
      </c>
      <c r="KF33" s="225">
        <v>18.334</v>
      </c>
      <c r="KG33" s="225">
        <f>SUM(KG37,KG40,KG42,KG44)</f>
        <v>2.4849999999999999</v>
      </c>
      <c r="KH33" s="225">
        <f>SUM(KH37,KH40,KH42,KH44)</f>
        <v>1.6824680299999999</v>
      </c>
      <c r="KI33" s="225">
        <f>SUM(KI37,KI44,)</f>
        <v>0.51700000000000002</v>
      </c>
      <c r="KJ33" s="225">
        <v>19.591999999999999</v>
      </c>
      <c r="KK33" s="225">
        <v>0.5</v>
      </c>
      <c r="KL33" s="225">
        <f>SUM(KL37,KL40,KL42,KL44)</f>
        <v>2.9009999999999998</v>
      </c>
      <c r="KM33" s="225">
        <f>SUM(KM37,KM40,KM42,KM44)</f>
        <v>0.51600000000000001</v>
      </c>
      <c r="KN33" s="225">
        <f>SUM(KN37,KN40,KN42,KN44)</f>
        <v>1.1599999999999999</v>
      </c>
      <c r="KO33" s="225">
        <f>SUM(KO37,KO40,KO42,KO44)</f>
        <v>0.57899999999999996</v>
      </c>
      <c r="KP33" s="225">
        <f>SUM(KP37,KP40,KP42,KP44)</f>
        <v>1.2810000000000001</v>
      </c>
      <c r="KQ33" s="226"/>
      <c r="KR33" s="226"/>
      <c r="KS33" s="226"/>
      <c r="KT33" s="226"/>
      <c r="KU33" s="226"/>
      <c r="KV33" s="225">
        <f>SUM(KV37,KV40,KV42,KV44)</f>
        <v>18.782</v>
      </c>
      <c r="KW33" s="225">
        <f>SUM(KW37,KW40,KW42,KW44)</f>
        <v>0.5484</v>
      </c>
      <c r="KX33" s="802">
        <v>1E-3</v>
      </c>
      <c r="KY33" s="803">
        <v>0.53600000000000003</v>
      </c>
      <c r="KZ33" s="294">
        <v>0.02</v>
      </c>
      <c r="LA33" s="294">
        <v>0.5</v>
      </c>
      <c r="LB33" s="294">
        <f>SUM(LB37,LB40,LB42,LB44)</f>
        <v>3.5860000000000003E-2</v>
      </c>
      <c r="LC33" s="294">
        <v>0.23</v>
      </c>
      <c r="LD33" s="294">
        <v>1.4999999999999999E-2</v>
      </c>
      <c r="LE33" s="294">
        <v>6.5000000000000002E-2</v>
      </c>
      <c r="LF33" s="294">
        <v>2.5000000000000001E-2</v>
      </c>
      <c r="LG33" s="294">
        <v>2.9000000000000001E-2</v>
      </c>
      <c r="LH33" s="294">
        <v>2.4E-2</v>
      </c>
      <c r="LI33" s="294">
        <f>SUM(LI37,LI40,LI42,LI44)</f>
        <v>2</v>
      </c>
      <c r="LJ33" s="294">
        <v>8.3000000000000004E-2</v>
      </c>
      <c r="LK33" s="225">
        <f>SUM(LK37,LK40,LK42,LK44)</f>
        <v>0.2293</v>
      </c>
      <c r="LL33" s="225">
        <f>SUM(LL37,LL40,LL42,LL44)</f>
        <v>10.051113599207534</v>
      </c>
      <c r="LM33" s="226"/>
      <c r="LN33" s="225">
        <v>0.32500000000000001</v>
      </c>
      <c r="LO33" s="225">
        <f>SUM(LO37,LO40,LO42,LO44)</f>
        <v>5.9850000000000003</v>
      </c>
      <c r="LP33" s="225">
        <v>2.2349999999999999</v>
      </c>
      <c r="LQ33" s="225">
        <v>29.38</v>
      </c>
      <c r="LR33" s="225">
        <v>1.141</v>
      </c>
      <c r="LS33" s="225">
        <v>21.51</v>
      </c>
      <c r="LT33" s="293">
        <v>31.992000000000001</v>
      </c>
      <c r="LU33" s="225">
        <v>48.051600000000001</v>
      </c>
      <c r="LV33" s="225">
        <f>SUM(LV37,LV40,LV42,LV44)</f>
        <v>3.6049999999999995</v>
      </c>
      <c r="LW33" s="225">
        <f>SUM(LW37,LW40,LW42,LW44)</f>
        <v>9.6599999999999984</v>
      </c>
      <c r="LX33" s="225">
        <f>SUM(LX37,LX40,LX42)</f>
        <v>10.350000000000001</v>
      </c>
      <c r="LY33" s="225">
        <f>SUM(LY37,LY40,LY42,LY44)</f>
        <v>9.7025999999999986</v>
      </c>
      <c r="LZ33" s="225">
        <f>SUM(LZ37,LZ40,LZ44,LZ42)</f>
        <v>11.25</v>
      </c>
      <c r="MA33" s="225">
        <f>SUM(MA37,MA40,MA41,MA43,MA44)</f>
        <v>2.3969999999999994</v>
      </c>
      <c r="MB33" s="225">
        <v>1.087</v>
      </c>
      <c r="MC33" s="225">
        <v>8.9329999999999998</v>
      </c>
      <c r="MD33" s="225">
        <v>21.411000000000001</v>
      </c>
      <c r="ME33" s="225">
        <v>2.1059999999999999</v>
      </c>
      <c r="MF33" s="225">
        <v>13.835000000000001</v>
      </c>
      <c r="MG33" s="226"/>
      <c r="MH33" s="226"/>
      <c r="MI33" s="226"/>
      <c r="MJ33" s="225">
        <f>SUM(MJ37,MJ40,MJ42,MJ44)</f>
        <v>10.384</v>
      </c>
      <c r="MK33" s="225"/>
      <c r="ML33" s="225">
        <f>SUM(ML37,ML40,ML42,ML44)</f>
        <v>20.61777038</v>
      </c>
      <c r="MM33" s="225">
        <v>13.146000000000001</v>
      </c>
      <c r="MN33" s="225">
        <f>SUM(MN37,MN40,MN42,MN44)</f>
        <v>65.557999999999993</v>
      </c>
      <c r="MO33" s="225">
        <f>SUM(MO37,MO40,MO42,MO44)</f>
        <v>30.762</v>
      </c>
      <c r="MP33" s="225">
        <f>SUM(MP37,MP40,MP42,MP44)</f>
        <v>5.3023639999999999</v>
      </c>
      <c r="MQ33" s="225">
        <f>SUM(MQ37,MQ40,MQ42,MQ44)</f>
        <v>23.412553730000003</v>
      </c>
      <c r="MR33" s="225">
        <f>SUM(MR37,MR40,MR42,MR44)</f>
        <v>7.2720000000000002</v>
      </c>
      <c r="MS33" s="225">
        <f>SUM(MS37,MS40,MS42)</f>
        <v>4.5459999999999994</v>
      </c>
      <c r="MT33" s="225">
        <v>14.76</v>
      </c>
      <c r="MU33" s="225">
        <f>SUM(MU37,MU40,MU42,MU44)</f>
        <v>13.773</v>
      </c>
      <c r="MV33" s="225">
        <f>SUM(MV37,MV40,MV42,MV44)</f>
        <v>49.669000000000004</v>
      </c>
      <c r="MW33" s="225">
        <f>SUM(MW37,MW40,MW42,MW44)</f>
        <v>1.986</v>
      </c>
      <c r="MX33" s="226"/>
      <c r="MY33" s="226"/>
      <c r="MZ33" s="226"/>
      <c r="NA33" s="226"/>
    </row>
    <row r="34" spans="1:365" s="796" customFormat="1" x14ac:dyDescent="0.2">
      <c r="A34" s="208"/>
      <c r="B34" s="205"/>
      <c r="C34" s="206"/>
      <c r="D34" s="210"/>
      <c r="E34" s="225"/>
      <c r="F34" s="225"/>
      <c r="G34" s="225"/>
      <c r="H34" s="225"/>
      <c r="I34" s="225"/>
      <c r="J34" s="225"/>
      <c r="K34" s="225"/>
      <c r="L34" s="225"/>
      <c r="M34" s="225"/>
      <c r="N34" s="225"/>
      <c r="O34" s="225"/>
      <c r="P34" s="402"/>
      <c r="Q34" s="225"/>
      <c r="R34" s="225"/>
      <c r="S34" s="225"/>
      <c r="T34" s="225"/>
      <c r="U34" s="225"/>
      <c r="V34" s="225"/>
      <c r="W34" s="226"/>
      <c r="X34" s="226"/>
      <c r="Y34" s="226"/>
      <c r="Z34" s="226"/>
      <c r="AA34" s="226"/>
      <c r="AB34" s="226"/>
      <c r="AC34" s="226"/>
      <c r="AD34" s="226"/>
      <c r="AE34" s="226"/>
      <c r="AF34" s="225"/>
      <c r="AG34" s="225"/>
      <c r="AH34" s="226"/>
      <c r="AI34" s="225"/>
      <c r="AJ34" s="225"/>
      <c r="AK34" s="225"/>
      <c r="AL34" s="225"/>
      <c r="AM34" s="226"/>
      <c r="AN34" s="226"/>
      <c r="AO34" s="226"/>
      <c r="AP34" s="226"/>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6"/>
      <c r="BO34" s="225"/>
      <c r="BP34" s="225"/>
      <c r="BQ34" s="225"/>
      <c r="BR34" s="436"/>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4"/>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6"/>
      <c r="DS34" s="225"/>
      <c r="DT34" s="225"/>
      <c r="DU34" s="225"/>
      <c r="DV34" s="225"/>
      <c r="DW34" s="225"/>
      <c r="DX34" s="225"/>
      <c r="DY34" s="225"/>
      <c r="DZ34" s="225"/>
      <c r="EA34" s="225"/>
      <c r="EB34" s="225"/>
      <c r="EC34" s="226"/>
      <c r="ED34" s="225"/>
      <c r="EE34" s="225"/>
      <c r="EF34" s="225"/>
      <c r="EG34" s="226"/>
      <c r="EH34" s="225"/>
      <c r="EI34" s="225"/>
      <c r="EJ34" s="226"/>
      <c r="EK34" s="226"/>
      <c r="EL34" s="226"/>
      <c r="EM34" s="226"/>
      <c r="EN34" s="226"/>
      <c r="EO34" s="226"/>
      <c r="EP34" s="226"/>
      <c r="EQ34" s="226"/>
      <c r="ER34" s="225"/>
      <c r="ES34" s="225"/>
      <c r="ET34" s="225"/>
      <c r="EU34" s="225"/>
      <c r="EV34" s="225"/>
      <c r="EW34" s="225"/>
      <c r="EX34" s="225"/>
      <c r="EY34" s="225"/>
      <c r="EZ34" s="225"/>
      <c r="FA34" s="225"/>
      <c r="FB34" s="225"/>
      <c r="FC34" s="225"/>
      <c r="FD34" s="226"/>
      <c r="FE34" s="225"/>
      <c r="FF34" s="225"/>
      <c r="FG34" s="225"/>
      <c r="FH34" s="224"/>
      <c r="FI34" s="225"/>
      <c r="FJ34" s="225"/>
      <c r="FK34" s="225"/>
      <c r="FL34" s="225"/>
      <c r="FM34" s="225"/>
      <c r="FN34" s="225"/>
      <c r="FO34" s="225"/>
      <c r="FP34" s="225"/>
      <c r="FQ34" s="225"/>
      <c r="FR34" s="225"/>
      <c r="FS34" s="225"/>
      <c r="FT34" s="225"/>
      <c r="FU34" s="226"/>
      <c r="FV34" s="225"/>
      <c r="FW34" s="225"/>
      <c r="FX34" s="225"/>
      <c r="FY34" s="226"/>
      <c r="FZ34" s="225"/>
      <c r="GA34" s="225"/>
      <c r="GB34" s="225"/>
      <c r="GC34" s="225"/>
      <c r="GD34" s="225"/>
      <c r="GE34" s="225"/>
      <c r="GF34" s="225"/>
      <c r="GG34" s="225"/>
      <c r="GH34" s="225"/>
      <c r="GI34" s="226"/>
      <c r="GJ34" s="225"/>
      <c r="GK34" s="225"/>
      <c r="GL34" s="225"/>
      <c r="GM34" s="225"/>
      <c r="GN34" s="225"/>
      <c r="GO34" s="226"/>
      <c r="GP34" s="225"/>
      <c r="GQ34" s="226"/>
      <c r="GR34" s="225"/>
      <c r="GS34" s="225"/>
      <c r="GT34" s="225"/>
      <c r="GU34" s="225"/>
      <c r="GV34" s="225"/>
      <c r="GW34" s="226"/>
      <c r="GX34" s="225"/>
      <c r="GY34" s="225"/>
      <c r="GZ34" s="225"/>
      <c r="HA34" s="225"/>
      <c r="HB34" s="225"/>
      <c r="HC34" s="225"/>
      <c r="HD34" s="225"/>
      <c r="HE34" s="225"/>
      <c r="HF34" s="226"/>
      <c r="HG34" s="226"/>
      <c r="HH34" s="226"/>
      <c r="HI34" s="226"/>
      <c r="HJ34" s="225"/>
      <c r="HK34" s="225"/>
      <c r="HL34" s="226"/>
      <c r="HM34" s="225"/>
      <c r="HN34" s="226"/>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c r="IU34" s="225"/>
      <c r="IV34" s="225"/>
      <c r="IW34" s="225"/>
      <c r="IX34" s="225"/>
      <c r="IY34" s="225"/>
      <c r="IZ34" s="225"/>
      <c r="JA34" s="225"/>
      <c r="JB34" s="225"/>
      <c r="JC34" s="225"/>
      <c r="JD34" s="225"/>
      <c r="JE34" s="226"/>
      <c r="JF34" s="226"/>
      <c r="JG34" s="226"/>
      <c r="JH34" s="225"/>
      <c r="JI34" s="225"/>
      <c r="JJ34" s="225"/>
      <c r="JK34" s="225"/>
      <c r="JL34" s="225"/>
      <c r="JM34" s="225"/>
      <c r="JN34" s="226"/>
      <c r="JO34" s="226"/>
      <c r="JP34" s="226"/>
      <c r="JQ34" s="225"/>
      <c r="JR34" s="225"/>
      <c r="JS34" s="225"/>
      <c r="JT34" s="225"/>
      <c r="JU34" s="225"/>
      <c r="JV34" s="225"/>
      <c r="JW34" s="225"/>
      <c r="JX34" s="225"/>
      <c r="JY34" s="225"/>
      <c r="JZ34" s="225"/>
      <c r="KA34" s="225"/>
      <c r="KB34" s="225"/>
      <c r="KC34" s="225"/>
      <c r="KD34" s="225"/>
      <c r="KE34" s="225"/>
      <c r="KF34" s="225"/>
      <c r="KG34" s="225"/>
      <c r="KH34" s="225"/>
      <c r="KI34" s="225"/>
      <c r="KJ34" s="225"/>
      <c r="KK34" s="225"/>
      <c r="KL34" s="225"/>
      <c r="KM34" s="225"/>
      <c r="KN34" s="225"/>
      <c r="KO34" s="225"/>
      <c r="KP34" s="225"/>
      <c r="KQ34" s="226"/>
      <c r="KR34" s="226"/>
      <c r="KS34" s="226"/>
      <c r="KT34" s="226"/>
      <c r="KU34" s="226"/>
      <c r="KV34" s="225"/>
      <c r="KW34" s="225"/>
      <c r="KX34" s="802"/>
      <c r="KY34" s="803"/>
      <c r="KZ34" s="294"/>
      <c r="LA34" s="294"/>
      <c r="LB34" s="294"/>
      <c r="LC34" s="294"/>
      <c r="LD34" s="294"/>
      <c r="LE34" s="294"/>
      <c r="LF34" s="294"/>
      <c r="LG34" s="294"/>
      <c r="LH34" s="294"/>
      <c r="LI34" s="294"/>
      <c r="LJ34" s="294"/>
      <c r="LK34" s="225"/>
      <c r="LL34" s="225"/>
      <c r="LM34" s="226"/>
      <c r="LN34" s="225"/>
      <c r="LO34" s="225"/>
      <c r="LP34" s="225"/>
      <c r="LQ34" s="225"/>
      <c r="LR34" s="225"/>
      <c r="LS34" s="225"/>
      <c r="LT34" s="293"/>
      <c r="LU34" s="225"/>
      <c r="LV34" s="225"/>
      <c r="LW34" s="225"/>
      <c r="LX34" s="225"/>
      <c r="LY34" s="225"/>
      <c r="LZ34" s="225"/>
      <c r="MA34" s="225"/>
      <c r="MB34" s="225"/>
      <c r="MC34" s="225"/>
      <c r="MD34" s="225"/>
      <c r="ME34" s="225"/>
      <c r="MF34" s="225"/>
      <c r="MG34" s="226"/>
      <c r="MH34" s="226"/>
      <c r="MI34" s="226"/>
      <c r="MJ34" s="225"/>
      <c r="MK34" s="225"/>
      <c r="ML34" s="225"/>
      <c r="MM34" s="225"/>
      <c r="MN34" s="225"/>
      <c r="MO34" s="225"/>
      <c r="MP34" s="225"/>
      <c r="MQ34" s="225"/>
      <c r="MR34" s="225"/>
      <c r="MS34" s="225"/>
      <c r="MT34" s="225"/>
      <c r="MU34" s="225"/>
      <c r="MV34" s="225"/>
      <c r="MW34" s="225"/>
      <c r="MX34" s="226"/>
      <c r="MY34" s="226"/>
      <c r="MZ34" s="226"/>
      <c r="NA34" s="226"/>
    </row>
    <row r="35" spans="1:365" s="796" customFormat="1" x14ac:dyDescent="0.2">
      <c r="A35" s="208"/>
      <c r="B35" s="205"/>
      <c r="C35" s="206"/>
      <c r="D35" s="210"/>
      <c r="E35" s="225"/>
      <c r="F35" s="225"/>
      <c r="G35" s="225"/>
      <c r="H35" s="225"/>
      <c r="I35" s="225"/>
      <c r="J35" s="225"/>
      <c r="K35" s="225"/>
      <c r="L35" s="225"/>
      <c r="M35" s="225"/>
      <c r="N35" s="225"/>
      <c r="O35" s="225"/>
      <c r="P35" s="402"/>
      <c r="Q35" s="225"/>
      <c r="R35" s="225"/>
      <c r="S35" s="225"/>
      <c r="T35" s="225"/>
      <c r="U35" s="225"/>
      <c r="V35" s="225"/>
      <c r="W35" s="226"/>
      <c r="X35" s="226"/>
      <c r="Y35" s="226"/>
      <c r="Z35" s="226"/>
      <c r="AA35" s="226"/>
      <c r="AB35" s="226"/>
      <c r="AC35" s="226"/>
      <c r="AD35" s="226"/>
      <c r="AE35" s="226"/>
      <c r="AF35" s="225"/>
      <c r="AG35" s="225"/>
      <c r="AH35" s="226"/>
      <c r="AI35" s="225"/>
      <c r="AJ35" s="225"/>
      <c r="AK35" s="225"/>
      <c r="AL35" s="225"/>
      <c r="AM35" s="226"/>
      <c r="AN35" s="226"/>
      <c r="AO35" s="226"/>
      <c r="AP35" s="226"/>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6"/>
      <c r="BO35" s="225"/>
      <c r="BP35" s="225"/>
      <c r="BQ35" s="225"/>
      <c r="BR35" s="436"/>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4"/>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6"/>
      <c r="DS35" s="225"/>
      <c r="DT35" s="225"/>
      <c r="DU35" s="225"/>
      <c r="DV35" s="225"/>
      <c r="DW35" s="225"/>
      <c r="DX35" s="225"/>
      <c r="DY35" s="225"/>
      <c r="DZ35" s="225"/>
      <c r="EA35" s="225"/>
      <c r="EB35" s="225"/>
      <c r="EC35" s="226"/>
      <c r="ED35" s="225"/>
      <c r="EE35" s="225"/>
      <c r="EF35" s="225"/>
      <c r="EG35" s="226"/>
      <c r="EH35" s="225"/>
      <c r="EI35" s="225"/>
      <c r="EJ35" s="226"/>
      <c r="EK35" s="226"/>
      <c r="EL35" s="226"/>
      <c r="EM35" s="226"/>
      <c r="EN35" s="226"/>
      <c r="EO35" s="226"/>
      <c r="EP35" s="226"/>
      <c r="EQ35" s="226"/>
      <c r="ER35" s="225"/>
      <c r="ES35" s="225"/>
      <c r="ET35" s="225"/>
      <c r="EU35" s="225"/>
      <c r="EV35" s="225"/>
      <c r="EW35" s="225"/>
      <c r="EX35" s="225"/>
      <c r="EY35" s="225"/>
      <c r="EZ35" s="225"/>
      <c r="FA35" s="225"/>
      <c r="FB35" s="225"/>
      <c r="FC35" s="225"/>
      <c r="FD35" s="226"/>
      <c r="FE35" s="225"/>
      <c r="FF35" s="225"/>
      <c r="FG35" s="225"/>
      <c r="FH35" s="224"/>
      <c r="FI35" s="225"/>
      <c r="FJ35" s="225"/>
      <c r="FK35" s="225"/>
      <c r="FL35" s="225"/>
      <c r="FM35" s="225"/>
      <c r="FN35" s="225"/>
      <c r="FO35" s="225"/>
      <c r="FP35" s="225"/>
      <c r="FQ35" s="225"/>
      <c r="FR35" s="225"/>
      <c r="FS35" s="225"/>
      <c r="FT35" s="225"/>
      <c r="FU35" s="226"/>
      <c r="FV35" s="225"/>
      <c r="FW35" s="225"/>
      <c r="FX35" s="225"/>
      <c r="FY35" s="226"/>
      <c r="FZ35" s="225"/>
      <c r="GA35" s="225"/>
      <c r="GB35" s="225"/>
      <c r="GC35" s="225"/>
      <c r="GD35" s="225"/>
      <c r="GE35" s="225"/>
      <c r="GF35" s="225"/>
      <c r="GG35" s="225"/>
      <c r="GH35" s="225"/>
      <c r="GI35" s="226"/>
      <c r="GJ35" s="225"/>
      <c r="GK35" s="225"/>
      <c r="GL35" s="225"/>
      <c r="GM35" s="225"/>
      <c r="GN35" s="225"/>
      <c r="GO35" s="226"/>
      <c r="GP35" s="225"/>
      <c r="GQ35" s="226"/>
      <c r="GR35" s="225"/>
      <c r="GS35" s="225"/>
      <c r="GT35" s="225"/>
      <c r="GU35" s="225"/>
      <c r="GV35" s="225"/>
      <c r="GW35" s="226"/>
      <c r="GX35" s="225"/>
      <c r="GY35" s="225"/>
      <c r="GZ35" s="225"/>
      <c r="HA35" s="225"/>
      <c r="HB35" s="225"/>
      <c r="HC35" s="225"/>
      <c r="HD35" s="225"/>
      <c r="HE35" s="225"/>
      <c r="HF35" s="226"/>
      <c r="HG35" s="226"/>
      <c r="HH35" s="226"/>
      <c r="HI35" s="226"/>
      <c r="HJ35" s="225"/>
      <c r="HK35" s="225"/>
      <c r="HL35" s="226"/>
      <c r="HM35" s="225"/>
      <c r="HN35" s="226"/>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c r="IP35" s="225"/>
      <c r="IQ35" s="225"/>
      <c r="IR35" s="225"/>
      <c r="IS35" s="225"/>
      <c r="IT35" s="225"/>
      <c r="IU35" s="225"/>
      <c r="IV35" s="225"/>
      <c r="IW35" s="225"/>
      <c r="IX35" s="225"/>
      <c r="IY35" s="225"/>
      <c r="IZ35" s="225"/>
      <c r="JA35" s="225"/>
      <c r="JB35" s="225"/>
      <c r="JC35" s="225"/>
      <c r="JD35" s="225"/>
      <c r="JE35" s="226"/>
      <c r="JF35" s="226"/>
      <c r="JG35" s="226"/>
      <c r="JH35" s="225"/>
      <c r="JI35" s="225"/>
      <c r="JJ35" s="225"/>
      <c r="JK35" s="225"/>
      <c r="JL35" s="225"/>
      <c r="JM35" s="225"/>
      <c r="JN35" s="226"/>
      <c r="JO35" s="226"/>
      <c r="JP35" s="226"/>
      <c r="JQ35" s="225"/>
      <c r="JR35" s="225"/>
      <c r="JS35" s="225"/>
      <c r="JT35" s="225"/>
      <c r="JU35" s="225"/>
      <c r="JV35" s="225"/>
      <c r="JW35" s="225"/>
      <c r="JX35" s="225"/>
      <c r="JY35" s="225"/>
      <c r="JZ35" s="225"/>
      <c r="KA35" s="225"/>
      <c r="KB35" s="225"/>
      <c r="KC35" s="225"/>
      <c r="KD35" s="225"/>
      <c r="KE35" s="225"/>
      <c r="KF35" s="225"/>
      <c r="KG35" s="225"/>
      <c r="KH35" s="225"/>
      <c r="KI35" s="225"/>
      <c r="KJ35" s="225"/>
      <c r="KK35" s="225"/>
      <c r="KL35" s="225"/>
      <c r="KM35" s="225"/>
      <c r="KN35" s="225"/>
      <c r="KO35" s="225"/>
      <c r="KP35" s="225"/>
      <c r="KQ35" s="226"/>
      <c r="KR35" s="226"/>
      <c r="KS35" s="226"/>
      <c r="KT35" s="226"/>
      <c r="KU35" s="226"/>
      <c r="KV35" s="225"/>
      <c r="KW35" s="225"/>
      <c r="KX35" s="802"/>
      <c r="KY35" s="803"/>
      <c r="KZ35" s="294"/>
      <c r="LA35" s="294"/>
      <c r="LB35" s="294"/>
      <c r="LC35" s="294"/>
      <c r="LD35" s="294"/>
      <c r="LE35" s="294"/>
      <c r="LF35" s="294"/>
      <c r="LG35" s="294"/>
      <c r="LH35" s="294"/>
      <c r="LI35" s="294"/>
      <c r="LJ35" s="294"/>
      <c r="LK35" s="225"/>
      <c r="LL35" s="225"/>
      <c r="LM35" s="226"/>
      <c r="LN35" s="225"/>
      <c r="LO35" s="225"/>
      <c r="LP35" s="225"/>
      <c r="LQ35" s="225"/>
      <c r="LR35" s="225"/>
      <c r="LS35" s="225"/>
      <c r="LT35" s="293"/>
      <c r="LU35" s="225"/>
      <c r="LV35" s="225"/>
      <c r="LW35" s="225"/>
      <c r="LX35" s="225"/>
      <c r="LY35" s="225"/>
      <c r="LZ35" s="225"/>
      <c r="MA35" s="225"/>
      <c r="MB35" s="225"/>
      <c r="MC35" s="225"/>
      <c r="MD35" s="225"/>
      <c r="ME35" s="225"/>
      <c r="MF35" s="225"/>
      <c r="MG35" s="226"/>
      <c r="MH35" s="226"/>
      <c r="MI35" s="226"/>
      <c r="MJ35" s="225"/>
      <c r="MK35" s="225"/>
      <c r="ML35" s="225"/>
      <c r="MM35" s="225"/>
      <c r="MN35" s="225"/>
      <c r="MO35" s="225"/>
      <c r="MP35" s="225"/>
      <c r="MQ35" s="225"/>
      <c r="MR35" s="225"/>
      <c r="MS35" s="225"/>
      <c r="MT35" s="225"/>
      <c r="MU35" s="225"/>
      <c r="MV35" s="225"/>
      <c r="MW35" s="225"/>
      <c r="MX35" s="226"/>
      <c r="MY35" s="226"/>
      <c r="MZ35" s="226"/>
      <c r="NA35" s="226"/>
    </row>
    <row r="36" spans="1:365" s="796" customFormat="1" x14ac:dyDescent="0.2">
      <c r="A36" s="208"/>
      <c r="B36" s="205"/>
      <c r="C36" s="206"/>
      <c r="D36" s="210"/>
      <c r="E36" s="225"/>
      <c r="F36" s="225"/>
      <c r="G36" s="225"/>
      <c r="H36" s="225"/>
      <c r="I36" s="225"/>
      <c r="J36" s="225"/>
      <c r="K36" s="225"/>
      <c r="L36" s="225"/>
      <c r="M36" s="225"/>
      <c r="N36" s="225"/>
      <c r="O36" s="225"/>
      <c r="P36" s="402"/>
      <c r="Q36" s="225"/>
      <c r="R36" s="225"/>
      <c r="S36" s="225"/>
      <c r="T36" s="225"/>
      <c r="U36" s="225"/>
      <c r="V36" s="225"/>
      <c r="W36" s="226"/>
      <c r="X36" s="226"/>
      <c r="Y36" s="226"/>
      <c r="Z36" s="226"/>
      <c r="AA36" s="226"/>
      <c r="AB36" s="226"/>
      <c r="AC36" s="226"/>
      <c r="AD36" s="226"/>
      <c r="AE36" s="226"/>
      <c r="AF36" s="225"/>
      <c r="AG36" s="225"/>
      <c r="AH36" s="226"/>
      <c r="AI36" s="225"/>
      <c r="AJ36" s="225"/>
      <c r="AK36" s="225"/>
      <c r="AL36" s="225"/>
      <c r="AM36" s="226"/>
      <c r="AN36" s="226"/>
      <c r="AO36" s="226"/>
      <c r="AP36" s="226"/>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6"/>
      <c r="BO36" s="225"/>
      <c r="BP36" s="225"/>
      <c r="BQ36" s="225"/>
      <c r="BR36" s="436"/>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4"/>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6"/>
      <c r="DS36" s="225"/>
      <c r="DT36" s="225"/>
      <c r="DU36" s="225"/>
      <c r="DV36" s="225"/>
      <c r="DW36" s="225"/>
      <c r="DX36" s="225"/>
      <c r="DY36" s="225"/>
      <c r="DZ36" s="225"/>
      <c r="EA36" s="225"/>
      <c r="EB36" s="225"/>
      <c r="EC36" s="226"/>
      <c r="ED36" s="225"/>
      <c r="EE36" s="225"/>
      <c r="EF36" s="225"/>
      <c r="EG36" s="226"/>
      <c r="EH36" s="225"/>
      <c r="EI36" s="225"/>
      <c r="EJ36" s="226"/>
      <c r="EK36" s="226"/>
      <c r="EL36" s="226"/>
      <c r="EM36" s="226"/>
      <c r="EN36" s="226"/>
      <c r="EO36" s="226"/>
      <c r="EP36" s="226"/>
      <c r="EQ36" s="226"/>
      <c r="ER36" s="225"/>
      <c r="ES36" s="225"/>
      <c r="ET36" s="225"/>
      <c r="EU36" s="225"/>
      <c r="EV36" s="225"/>
      <c r="EW36" s="225"/>
      <c r="EX36" s="225"/>
      <c r="EY36" s="225"/>
      <c r="EZ36" s="225"/>
      <c r="FA36" s="225"/>
      <c r="FB36" s="225"/>
      <c r="FC36" s="225"/>
      <c r="FD36" s="226"/>
      <c r="FE36" s="225"/>
      <c r="FF36" s="225"/>
      <c r="FG36" s="225"/>
      <c r="FH36" s="224"/>
      <c r="FI36" s="225"/>
      <c r="FJ36" s="225"/>
      <c r="FK36" s="225"/>
      <c r="FL36" s="225"/>
      <c r="FM36" s="225"/>
      <c r="FN36" s="225"/>
      <c r="FO36" s="225"/>
      <c r="FP36" s="225"/>
      <c r="FQ36" s="225"/>
      <c r="FR36" s="225"/>
      <c r="FS36" s="225"/>
      <c r="FT36" s="225"/>
      <c r="FU36" s="226"/>
      <c r="FV36" s="225"/>
      <c r="FW36" s="225"/>
      <c r="FX36" s="225"/>
      <c r="FY36" s="226"/>
      <c r="FZ36" s="225"/>
      <c r="GA36" s="225"/>
      <c r="GB36" s="225"/>
      <c r="GC36" s="225"/>
      <c r="GD36" s="225"/>
      <c r="GE36" s="225"/>
      <c r="GF36" s="225"/>
      <c r="GG36" s="225"/>
      <c r="GH36" s="225"/>
      <c r="GI36" s="226"/>
      <c r="GJ36" s="225"/>
      <c r="GK36" s="225"/>
      <c r="GL36" s="225"/>
      <c r="GM36" s="225"/>
      <c r="GN36" s="225"/>
      <c r="GO36" s="226"/>
      <c r="GP36" s="225"/>
      <c r="GQ36" s="226"/>
      <c r="GR36" s="225"/>
      <c r="GS36" s="225"/>
      <c r="GT36" s="225"/>
      <c r="GU36" s="225"/>
      <c r="GV36" s="225"/>
      <c r="GW36" s="226"/>
      <c r="GX36" s="225"/>
      <c r="GY36" s="225"/>
      <c r="GZ36" s="225"/>
      <c r="HA36" s="225"/>
      <c r="HB36" s="225"/>
      <c r="HC36" s="225"/>
      <c r="HD36" s="225"/>
      <c r="HE36" s="225"/>
      <c r="HF36" s="226"/>
      <c r="HG36" s="226"/>
      <c r="HH36" s="226"/>
      <c r="HI36" s="226"/>
      <c r="HJ36" s="225"/>
      <c r="HK36" s="225"/>
      <c r="HL36" s="226"/>
      <c r="HM36" s="225"/>
      <c r="HN36" s="226"/>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c r="IP36" s="225"/>
      <c r="IQ36" s="225"/>
      <c r="IR36" s="225"/>
      <c r="IS36" s="225"/>
      <c r="IT36" s="225"/>
      <c r="IU36" s="225"/>
      <c r="IV36" s="225"/>
      <c r="IW36" s="225"/>
      <c r="IX36" s="225"/>
      <c r="IY36" s="225"/>
      <c r="IZ36" s="225"/>
      <c r="JA36" s="225"/>
      <c r="JB36" s="225"/>
      <c r="JC36" s="225"/>
      <c r="JD36" s="225"/>
      <c r="JE36" s="226"/>
      <c r="JF36" s="226"/>
      <c r="JG36" s="226"/>
      <c r="JH36" s="225"/>
      <c r="JI36" s="225"/>
      <c r="JJ36" s="225"/>
      <c r="JK36" s="225"/>
      <c r="JL36" s="225"/>
      <c r="JM36" s="225"/>
      <c r="JN36" s="226"/>
      <c r="JO36" s="226"/>
      <c r="JP36" s="226"/>
      <c r="JQ36" s="225"/>
      <c r="JR36" s="225"/>
      <c r="JS36" s="225"/>
      <c r="JT36" s="225"/>
      <c r="JU36" s="225"/>
      <c r="JV36" s="225"/>
      <c r="JW36" s="225"/>
      <c r="JX36" s="225"/>
      <c r="JY36" s="225"/>
      <c r="JZ36" s="225"/>
      <c r="KA36" s="225"/>
      <c r="KB36" s="225"/>
      <c r="KC36" s="225"/>
      <c r="KD36" s="225"/>
      <c r="KE36" s="225"/>
      <c r="KF36" s="225"/>
      <c r="KG36" s="225"/>
      <c r="KH36" s="225"/>
      <c r="KI36" s="225"/>
      <c r="KJ36" s="225"/>
      <c r="KK36" s="225"/>
      <c r="KL36" s="225"/>
      <c r="KM36" s="225"/>
      <c r="KN36" s="225"/>
      <c r="KO36" s="225"/>
      <c r="KP36" s="225"/>
      <c r="KQ36" s="226"/>
      <c r="KR36" s="226"/>
      <c r="KS36" s="226"/>
      <c r="KT36" s="226"/>
      <c r="KU36" s="226"/>
      <c r="KV36" s="225"/>
      <c r="KW36" s="225"/>
      <c r="KX36" s="802"/>
      <c r="KY36" s="803"/>
      <c r="KZ36" s="294"/>
      <c r="LA36" s="294"/>
      <c r="LB36" s="294"/>
      <c r="LC36" s="294"/>
      <c r="LD36" s="294"/>
      <c r="LE36" s="294"/>
      <c r="LF36" s="294"/>
      <c r="LG36" s="294"/>
      <c r="LH36" s="294"/>
      <c r="LI36" s="294"/>
      <c r="LJ36" s="294"/>
      <c r="LK36" s="225"/>
      <c r="LL36" s="225"/>
      <c r="LM36" s="226"/>
      <c r="LN36" s="225"/>
      <c r="LO36" s="225"/>
      <c r="LP36" s="225"/>
      <c r="LQ36" s="225"/>
      <c r="LR36" s="225"/>
      <c r="LS36" s="225"/>
      <c r="LT36" s="293"/>
      <c r="LU36" s="225"/>
      <c r="LV36" s="225"/>
      <c r="LW36" s="225"/>
      <c r="LX36" s="225"/>
      <c r="LY36" s="225"/>
      <c r="LZ36" s="225"/>
      <c r="MA36" s="225"/>
      <c r="MB36" s="225"/>
      <c r="MC36" s="225"/>
      <c r="MD36" s="225"/>
      <c r="ME36" s="225"/>
      <c r="MF36" s="225"/>
      <c r="MG36" s="226"/>
      <c r="MH36" s="226"/>
      <c r="MI36" s="226"/>
      <c r="MJ36" s="225"/>
      <c r="MK36" s="225"/>
      <c r="ML36" s="225"/>
      <c r="MM36" s="225"/>
      <c r="MN36" s="225"/>
      <c r="MO36" s="225"/>
      <c r="MP36" s="225"/>
      <c r="MQ36" s="225"/>
      <c r="MR36" s="225"/>
      <c r="MS36" s="225"/>
      <c r="MT36" s="225"/>
      <c r="MU36" s="225"/>
      <c r="MV36" s="225"/>
      <c r="MW36" s="225"/>
      <c r="MX36" s="226"/>
      <c r="MY36" s="226"/>
      <c r="MZ36" s="226"/>
      <c r="NA36" s="226"/>
    </row>
    <row r="37" spans="1:365" ht="85" x14ac:dyDescent="0.2">
      <c r="A37" s="1216" t="s">
        <v>6357</v>
      </c>
      <c r="B37" s="201" t="s">
        <v>69</v>
      </c>
      <c r="C37" s="202" t="s">
        <v>6356</v>
      </c>
      <c r="D37" s="219" t="s">
        <v>57</v>
      </c>
      <c r="E37" s="294">
        <v>7.8419999999999996</v>
      </c>
      <c r="F37" s="294">
        <v>5.7329999999999997</v>
      </c>
      <c r="G37" s="294">
        <v>0.53800000000000003</v>
      </c>
      <c r="H37" s="294">
        <v>1.622115</v>
      </c>
      <c r="I37" s="299">
        <v>0.21</v>
      </c>
      <c r="J37" s="294">
        <v>0.23699999999999999</v>
      </c>
      <c r="K37" s="294">
        <v>0.4</v>
      </c>
      <c r="L37" s="294">
        <f>0.05+0.2+1+0.202+0.035+0.171</f>
        <v>1.6579999999999999</v>
      </c>
      <c r="M37" s="294">
        <v>0.4975</v>
      </c>
      <c r="N37" s="294">
        <v>0.32400000000000001</v>
      </c>
      <c r="O37" s="294">
        <v>3.2872140000000001</v>
      </c>
      <c r="P37" s="437">
        <v>0.30000000000000004</v>
      </c>
      <c r="Q37" s="294">
        <v>0.45</v>
      </c>
      <c r="R37" s="294">
        <v>0.59152000000000005</v>
      </c>
      <c r="S37" s="294">
        <v>0.36</v>
      </c>
      <c r="T37" s="294">
        <v>0.19864299999999999</v>
      </c>
      <c r="U37" s="294">
        <v>0.49031639999999999</v>
      </c>
      <c r="V37" s="294">
        <f>210.714+17.47+78.25+23.17</f>
        <v>329.60399999999998</v>
      </c>
      <c r="W37" s="226"/>
      <c r="X37" s="226"/>
      <c r="Y37" s="226"/>
      <c r="Z37" s="226"/>
      <c r="AA37" s="226"/>
      <c r="AB37" s="226"/>
      <c r="AC37" s="226"/>
      <c r="AD37" s="226"/>
      <c r="AE37" s="226"/>
      <c r="AF37" s="294">
        <v>8.1580999999999992</v>
      </c>
      <c r="AG37" s="225">
        <v>1</v>
      </c>
      <c r="AH37" s="226"/>
      <c r="AI37" s="294">
        <v>0.2</v>
      </c>
      <c r="AJ37" s="294">
        <v>0.57899999999999996</v>
      </c>
      <c r="AK37" s="296">
        <v>7.5220000000000002</v>
      </c>
      <c r="AL37" s="294">
        <v>4.5999999999999996</v>
      </c>
      <c r="AM37" s="226"/>
      <c r="AN37" s="226"/>
      <c r="AO37" s="226"/>
      <c r="AP37" s="226"/>
      <c r="AQ37" s="294">
        <v>1.1870000000000001</v>
      </c>
      <c r="AR37" s="294">
        <v>5.6790000000000003</v>
      </c>
      <c r="AS37" s="294">
        <v>0.9</v>
      </c>
      <c r="AT37" s="294">
        <v>4.3488905300000003</v>
      </c>
      <c r="AU37" s="294">
        <v>3.05274</v>
      </c>
      <c r="AV37" s="294">
        <v>3.76268</v>
      </c>
      <c r="AW37" s="294">
        <v>3.76268</v>
      </c>
      <c r="AX37" s="294">
        <v>3.7629999999999999</v>
      </c>
      <c r="AY37" s="296" t="s">
        <v>2234</v>
      </c>
      <c r="AZ37" s="294">
        <f>AZ33</f>
        <v>3.05274</v>
      </c>
      <c r="BA37" s="294">
        <v>3.76</v>
      </c>
      <c r="BB37" s="294">
        <v>3.05274</v>
      </c>
      <c r="BC37" s="294">
        <v>2.9820000000000002</v>
      </c>
      <c r="BD37" s="294">
        <v>3.762</v>
      </c>
      <c r="BE37" s="296">
        <v>3.7629999999999999</v>
      </c>
      <c r="BF37" s="225">
        <v>2.0005799999999998</v>
      </c>
      <c r="BG37" s="294">
        <v>3.7629999999999999</v>
      </c>
      <c r="BH37" s="294">
        <v>3.7629999999999999</v>
      </c>
      <c r="BI37" s="294">
        <v>3.7629999999999999</v>
      </c>
      <c r="BJ37" s="294">
        <v>3.7629999999999999</v>
      </c>
      <c r="BK37" s="294">
        <v>2.3719999999999999</v>
      </c>
      <c r="BL37" s="294">
        <v>3.56</v>
      </c>
      <c r="BM37" s="310">
        <v>3.1532300000000002</v>
      </c>
      <c r="BN37" s="226"/>
      <c r="BO37" s="294">
        <v>0.24269542</v>
      </c>
      <c r="BP37" s="294">
        <v>1</v>
      </c>
      <c r="BQ37" s="294">
        <v>4.4074</v>
      </c>
      <c r="BR37" s="225">
        <v>0.7</v>
      </c>
      <c r="BS37" s="294">
        <v>0.20430000000000001</v>
      </c>
      <c r="BT37" s="294">
        <v>2.859</v>
      </c>
      <c r="BU37" s="294">
        <v>0.18</v>
      </c>
      <c r="BV37" s="294">
        <v>3.6999999999999998E-2</v>
      </c>
      <c r="BW37" s="294"/>
      <c r="BX37" s="294">
        <v>0.1</v>
      </c>
      <c r="BY37" s="294">
        <v>0</v>
      </c>
      <c r="BZ37" s="294">
        <v>1.59</v>
      </c>
      <c r="CA37" s="294">
        <v>0</v>
      </c>
      <c r="CB37" s="294">
        <v>0</v>
      </c>
      <c r="CC37" s="294">
        <v>1.0329999999999999</v>
      </c>
      <c r="CD37" s="296"/>
      <c r="CE37" s="296">
        <v>1.4999999999999999E-2</v>
      </c>
      <c r="CF37" s="296">
        <v>0.02</v>
      </c>
      <c r="CG37" s="296">
        <v>0.11</v>
      </c>
      <c r="CH37" s="296">
        <v>0.59530000000000005</v>
      </c>
      <c r="CI37" s="296">
        <v>0.48799999999999999</v>
      </c>
      <c r="CJ37" s="296">
        <v>4.3999999999999997E-2</v>
      </c>
      <c r="CK37" s="296">
        <v>0.02</v>
      </c>
      <c r="CL37" s="296">
        <v>2.3E-2</v>
      </c>
      <c r="CM37" s="296">
        <v>0.15</v>
      </c>
      <c r="CN37" s="294">
        <v>1.1359999999999999</v>
      </c>
      <c r="CO37" s="294">
        <v>0.5</v>
      </c>
      <c r="CP37" s="225">
        <v>5.5163000000000002</v>
      </c>
      <c r="CQ37" s="438">
        <v>0.1</v>
      </c>
      <c r="CR37" s="439">
        <v>27.5</v>
      </c>
      <c r="CS37" s="294">
        <v>0.59</v>
      </c>
      <c r="CT37" s="294">
        <v>0.42199999999999999</v>
      </c>
      <c r="CU37" s="294">
        <v>0.64400000000000002</v>
      </c>
      <c r="CV37" s="294">
        <v>0.8</v>
      </c>
      <c r="CW37" s="294">
        <v>0.45600000000000002</v>
      </c>
      <c r="CX37" s="294">
        <v>6.3</v>
      </c>
      <c r="CY37" s="294">
        <v>1.2</v>
      </c>
      <c r="CZ37" s="294">
        <v>1</v>
      </c>
      <c r="DA37" s="294">
        <f>974.36716+2.2</f>
        <v>976.56716000000006</v>
      </c>
      <c r="DB37" s="294">
        <v>0.112</v>
      </c>
      <c r="DC37" s="294">
        <v>0.96</v>
      </c>
      <c r="DD37" s="294">
        <v>0.27800000000000002</v>
      </c>
      <c r="DE37" s="224">
        <v>0.52800000000000002</v>
      </c>
      <c r="DF37" s="294">
        <v>31.8</v>
      </c>
      <c r="DG37" s="294">
        <v>4.2430000000000003</v>
      </c>
      <c r="DH37" s="294">
        <v>0.85699999999999998</v>
      </c>
      <c r="DI37" s="294">
        <v>0.84899999999999998</v>
      </c>
      <c r="DJ37" s="294">
        <v>3.2149999999999999</v>
      </c>
      <c r="DK37" s="294">
        <v>1.4177031899999999</v>
      </c>
      <c r="DL37" s="294">
        <v>0.93300000000000005</v>
      </c>
      <c r="DM37" s="294"/>
      <c r="DN37" s="294">
        <v>0.48599999999999999</v>
      </c>
      <c r="DO37" s="294"/>
      <c r="DP37" s="294">
        <v>0.59599999999999997</v>
      </c>
      <c r="DQ37" s="294">
        <v>0.37</v>
      </c>
      <c r="DR37" s="226">
        <v>4.7</v>
      </c>
      <c r="DS37" s="294">
        <v>0.185</v>
      </c>
      <c r="DT37" s="294">
        <v>0.17299999999999999</v>
      </c>
      <c r="DU37" s="294">
        <v>0.02</v>
      </c>
      <c r="DV37" s="294">
        <v>0.5</v>
      </c>
      <c r="DW37" s="294">
        <v>0.439</v>
      </c>
      <c r="DX37" s="294">
        <v>1</v>
      </c>
      <c r="DY37" s="294">
        <v>36.814999999999998</v>
      </c>
      <c r="DZ37" s="294">
        <v>10.763999999999999</v>
      </c>
      <c r="EA37" s="294">
        <v>1.6359999999999999</v>
      </c>
      <c r="EB37" s="294">
        <v>0.40500000000000003</v>
      </c>
      <c r="EC37" s="226"/>
      <c r="ED37" s="294">
        <v>2</v>
      </c>
      <c r="EE37" s="294">
        <v>4.0709999999999997</v>
      </c>
      <c r="EF37" s="294">
        <v>1.8089999999999999</v>
      </c>
      <c r="EG37" s="226"/>
      <c r="EH37" s="294">
        <f>411874/1000000</f>
        <v>0.41187400000000002</v>
      </c>
      <c r="EI37" s="294">
        <f>341670/1000000</f>
        <v>0.34166999999999997</v>
      </c>
      <c r="EJ37" s="226"/>
      <c r="EK37" s="226"/>
      <c r="EL37" s="226"/>
      <c r="EM37" s="226"/>
      <c r="EN37" s="226"/>
      <c r="EO37" s="226"/>
      <c r="EP37" s="226"/>
      <c r="EQ37" s="226"/>
      <c r="ER37" s="294">
        <v>40</v>
      </c>
      <c r="ES37" s="294">
        <v>1.12205179</v>
      </c>
      <c r="ET37" s="294">
        <v>10.896000000000001</v>
      </c>
      <c r="EU37" s="294">
        <v>0.53500000000000003</v>
      </c>
      <c r="EV37" s="294">
        <v>0.371</v>
      </c>
      <c r="EW37" s="294">
        <v>3</v>
      </c>
      <c r="EX37" s="294">
        <v>8.6</v>
      </c>
      <c r="EY37" s="294">
        <v>0.1</v>
      </c>
      <c r="EZ37" s="296">
        <v>1</v>
      </c>
      <c r="FA37" s="294">
        <v>0.1</v>
      </c>
      <c r="FB37" s="294">
        <v>0.1</v>
      </c>
      <c r="FC37" s="294">
        <v>0.1</v>
      </c>
      <c r="FD37" s="226"/>
      <c r="FE37" s="440">
        <v>0.191</v>
      </c>
      <c r="FF37" s="294">
        <v>0.06</v>
      </c>
      <c r="FG37" s="294">
        <f>1.229+2+1.369</f>
        <v>4.5979999999999999</v>
      </c>
      <c r="FH37" s="294">
        <v>9.5324209999999994</v>
      </c>
      <c r="FI37" s="439">
        <v>2.85</v>
      </c>
      <c r="FJ37" s="439">
        <v>1.1000000000000001</v>
      </c>
      <c r="FK37" s="439"/>
      <c r="FL37" s="439">
        <v>1.6</v>
      </c>
      <c r="FM37" s="294">
        <v>0.5</v>
      </c>
      <c r="FN37" s="294"/>
      <c r="FO37" s="439">
        <v>0.5</v>
      </c>
      <c r="FP37" s="439"/>
      <c r="FQ37" s="439">
        <f>(497244.21+198897.69+497473.64+198989.46+497000+199000)/1000000</f>
        <v>2.0886049999999998</v>
      </c>
      <c r="FR37" s="439">
        <v>0.30149999999999999</v>
      </c>
      <c r="FS37" s="439"/>
      <c r="FT37" s="439">
        <v>0.15</v>
      </c>
      <c r="FU37" s="226"/>
      <c r="FV37" s="439">
        <v>0</v>
      </c>
      <c r="FW37" s="439">
        <v>0.9</v>
      </c>
      <c r="FX37" s="439">
        <v>0.5</v>
      </c>
      <c r="FY37" s="226"/>
      <c r="FZ37" s="439">
        <v>0.5151</v>
      </c>
      <c r="GA37" s="439">
        <v>0.45</v>
      </c>
      <c r="GB37" s="439">
        <v>0.5</v>
      </c>
      <c r="GC37" s="439"/>
      <c r="GD37" s="439">
        <v>0.56157500000000005</v>
      </c>
      <c r="GE37" s="439">
        <v>0.8</v>
      </c>
      <c r="GF37" s="439">
        <v>1.4</v>
      </c>
      <c r="GG37" s="439">
        <v>1.0767</v>
      </c>
      <c r="GH37" s="439">
        <v>0.9</v>
      </c>
      <c r="GI37" s="226"/>
      <c r="GJ37" s="439">
        <v>0.3</v>
      </c>
      <c r="GK37" s="439">
        <v>2.0870000000000002</v>
      </c>
      <c r="GL37" s="439">
        <v>0.44600000000000001</v>
      </c>
      <c r="GM37" s="439">
        <v>3.77</v>
      </c>
      <c r="GN37" s="439">
        <v>1</v>
      </c>
      <c r="GO37" s="226"/>
      <c r="GP37" s="439">
        <v>0.1</v>
      </c>
      <c r="GQ37" s="226"/>
      <c r="GR37" s="439">
        <v>0.28599999999999998</v>
      </c>
      <c r="GS37" s="439">
        <v>0.05</v>
      </c>
      <c r="GT37" s="439"/>
      <c r="GU37" s="439">
        <v>1.048</v>
      </c>
      <c r="GV37" s="439">
        <v>0.2</v>
      </c>
      <c r="GW37" s="226"/>
      <c r="GX37" s="294">
        <v>0.1</v>
      </c>
      <c r="GY37" s="294">
        <v>0.23499999999999999</v>
      </c>
      <c r="GZ37" s="441">
        <v>8.3299999999999999E-2</v>
      </c>
      <c r="HA37" s="294">
        <v>17.027000000000001</v>
      </c>
      <c r="HB37" s="294">
        <v>0.98976799999999998</v>
      </c>
      <c r="HC37" s="294">
        <v>0.96799999999999997</v>
      </c>
      <c r="HD37" s="294">
        <v>0.2050786</v>
      </c>
      <c r="HE37" s="294">
        <f>0.016+17.8</f>
        <v>17.815999999999999</v>
      </c>
      <c r="HF37" s="226"/>
      <c r="HG37" s="295">
        <v>5.5627732999999999</v>
      </c>
      <c r="HH37" s="295">
        <v>0.496</v>
      </c>
      <c r="HI37" s="295">
        <v>0.8</v>
      </c>
      <c r="HJ37" s="294">
        <v>0.95</v>
      </c>
      <c r="HK37" s="295">
        <v>10.6</v>
      </c>
      <c r="HL37" s="226"/>
      <c r="HM37" s="294">
        <v>311.23</v>
      </c>
      <c r="HN37" s="226"/>
      <c r="HO37" s="294">
        <v>1.8440000000000001</v>
      </c>
      <c r="HP37" s="294">
        <v>0.372</v>
      </c>
      <c r="HQ37" s="294">
        <v>2.6</v>
      </c>
      <c r="HR37" s="294">
        <v>2.1</v>
      </c>
      <c r="HS37" s="294">
        <v>0.435</v>
      </c>
      <c r="HT37" s="294">
        <v>5.0777000000000001</v>
      </c>
      <c r="HU37" s="294">
        <v>2.1959113299999999</v>
      </c>
      <c r="HV37" s="294">
        <v>8.8000000000000007</v>
      </c>
      <c r="HW37" s="294">
        <v>0.6</v>
      </c>
      <c r="HX37" s="294">
        <v>2.4</v>
      </c>
      <c r="HY37" s="294">
        <v>8.6029999999999998</v>
      </c>
      <c r="HZ37" s="294">
        <v>0</v>
      </c>
      <c r="IA37" s="294">
        <v>0.01</v>
      </c>
      <c r="IB37" s="294">
        <v>4.0000000000000001E-3</v>
      </c>
      <c r="IC37" s="294">
        <v>0.1</v>
      </c>
      <c r="ID37" s="294">
        <v>0.114</v>
      </c>
      <c r="IE37" s="294">
        <v>5.5E-2</v>
      </c>
      <c r="IF37" s="294">
        <v>0.14499999999999999</v>
      </c>
      <c r="IG37" s="294">
        <v>0.05</v>
      </c>
      <c r="IH37" s="296">
        <v>4.4999999999999998E-2</v>
      </c>
      <c r="II37" s="294">
        <v>1.7999999999999999E-2</v>
      </c>
      <c r="IJ37" s="294">
        <v>0.01</v>
      </c>
      <c r="IK37" s="294">
        <v>1.2E-2</v>
      </c>
      <c r="IL37" s="294">
        <v>0.08</v>
      </c>
      <c r="IM37" s="294">
        <v>3.2000000000000001E-2</v>
      </c>
      <c r="IN37" s="297">
        <v>4.7500000000000001E-2</v>
      </c>
      <c r="IO37" s="294">
        <v>4.7500000000000001E-2</v>
      </c>
      <c r="IP37" s="294">
        <v>4.7500000000000001E-2</v>
      </c>
      <c r="IQ37" s="294">
        <v>5.2249999999999998E-2</v>
      </c>
      <c r="IR37" s="294">
        <v>0.05</v>
      </c>
      <c r="IS37" s="294">
        <v>0.05</v>
      </c>
      <c r="IT37" s="294">
        <v>4.8000000000000001E-2</v>
      </c>
      <c r="IU37" s="294">
        <v>4.9000000000000002E-2</v>
      </c>
      <c r="IV37" s="294">
        <v>4.7E-2</v>
      </c>
      <c r="IW37" s="294">
        <v>2.8000000000000001E-2</v>
      </c>
      <c r="IX37" s="294">
        <v>0.47499999999999998</v>
      </c>
      <c r="IY37" s="294">
        <v>0.13900000000000001</v>
      </c>
      <c r="IZ37" s="294">
        <v>0.05</v>
      </c>
      <c r="JA37" s="294"/>
      <c r="JB37" s="294">
        <v>1</v>
      </c>
      <c r="JC37" s="294">
        <v>0.97499999999999998</v>
      </c>
      <c r="JD37" s="294">
        <v>13.4</v>
      </c>
      <c r="JE37" s="226"/>
      <c r="JF37" s="226"/>
      <c r="JG37" s="226"/>
      <c r="JH37" s="294">
        <v>2.238</v>
      </c>
      <c r="JI37" s="294">
        <v>5.7149999999999999</v>
      </c>
      <c r="JJ37" s="294">
        <v>10.978999999999999</v>
      </c>
      <c r="JK37" s="298">
        <v>0.5</v>
      </c>
      <c r="JL37" s="294">
        <v>11.058</v>
      </c>
      <c r="JM37" s="294">
        <v>1.08</v>
      </c>
      <c r="JN37" s="226"/>
      <c r="JO37" s="226"/>
      <c r="JP37" s="226"/>
      <c r="JQ37" s="294">
        <v>3.36</v>
      </c>
      <c r="JR37" s="294">
        <v>4.9089999999999998</v>
      </c>
      <c r="JS37" s="294">
        <v>3.766</v>
      </c>
      <c r="JT37" s="294">
        <v>4.9109999999999996</v>
      </c>
      <c r="JU37" s="294">
        <v>11.525</v>
      </c>
      <c r="JV37" s="294">
        <v>11.031000000000001</v>
      </c>
      <c r="JW37" s="294">
        <v>0.85</v>
      </c>
      <c r="JX37" s="294">
        <v>7.43</v>
      </c>
      <c r="JY37" s="294">
        <v>11.659000000000001</v>
      </c>
      <c r="JZ37" s="294">
        <v>2.6640000000000001</v>
      </c>
      <c r="KA37" s="294">
        <v>2.7280000000000002</v>
      </c>
      <c r="KB37" s="294">
        <v>0.748</v>
      </c>
      <c r="KC37" s="294">
        <v>2.7530000000000001</v>
      </c>
      <c r="KD37" s="294">
        <v>12.36</v>
      </c>
      <c r="KE37" s="299">
        <v>2.7679999999999998</v>
      </c>
      <c r="KF37" s="294">
        <v>17.847000000000001</v>
      </c>
      <c r="KG37" s="294">
        <v>2.1549999999999998</v>
      </c>
      <c r="KH37" s="294">
        <v>1.4333777599999999</v>
      </c>
      <c r="KI37" s="294">
        <v>0.183</v>
      </c>
      <c r="KJ37" s="294">
        <v>17.791</v>
      </c>
      <c r="KK37" s="294">
        <v>0.4</v>
      </c>
      <c r="KL37" s="294">
        <v>2.7719999999999998</v>
      </c>
      <c r="KM37" s="294">
        <v>0.44900000000000001</v>
      </c>
      <c r="KN37" s="300">
        <v>1.1599999999999999</v>
      </c>
      <c r="KO37" s="294">
        <v>0.57199999999999995</v>
      </c>
      <c r="KP37" s="294">
        <f>0.446+0.001</f>
        <v>0.44700000000000001</v>
      </c>
      <c r="KQ37" s="226"/>
      <c r="KR37" s="226"/>
      <c r="KS37" s="226"/>
      <c r="KT37" s="226"/>
      <c r="KU37" s="226"/>
      <c r="KV37" s="294">
        <v>17.689</v>
      </c>
      <c r="KW37" s="294">
        <f>182800/1000000</f>
        <v>0.18279999999999999</v>
      </c>
      <c r="KX37" s="802">
        <v>1E-3</v>
      </c>
      <c r="KY37" s="803">
        <v>0.53600000000000003</v>
      </c>
      <c r="KZ37" s="294">
        <v>0.02</v>
      </c>
      <c r="LA37" s="294">
        <v>0.5</v>
      </c>
      <c r="LB37" s="294">
        <v>3.5860000000000003E-2</v>
      </c>
      <c r="LC37" s="294">
        <v>0.23</v>
      </c>
      <c r="LD37" s="294">
        <v>1.4999999999999999E-2</v>
      </c>
      <c r="LE37" s="294">
        <v>6.5000000000000002E-2</v>
      </c>
      <c r="LF37" s="294">
        <v>2.5000000000000001E-2</v>
      </c>
      <c r="LG37" s="294">
        <v>2.9000000000000001E-2</v>
      </c>
      <c r="LH37" s="294">
        <v>2.4E-2</v>
      </c>
      <c r="LI37" s="294">
        <v>2</v>
      </c>
      <c r="LJ37" s="294">
        <v>8.3000000000000004E-2</v>
      </c>
      <c r="LK37" s="294">
        <v>0.1686</v>
      </c>
      <c r="LL37" s="301">
        <v>10</v>
      </c>
      <c r="LM37" s="226"/>
      <c r="LN37" s="294">
        <v>0.32500000000000001</v>
      </c>
      <c r="LO37" s="294">
        <v>5.9850000000000003</v>
      </c>
      <c r="LP37" s="294">
        <v>2.1230000000000002</v>
      </c>
      <c r="LQ37" s="294">
        <v>27.84</v>
      </c>
      <c r="LR37" s="294">
        <v>1.141</v>
      </c>
      <c r="LS37" s="294">
        <v>21.48</v>
      </c>
      <c r="LT37" s="302">
        <v>30.199000000000002</v>
      </c>
      <c r="LU37" s="294">
        <v>47.854999999999997</v>
      </c>
      <c r="LV37" s="294">
        <f>0.8+2.8</f>
        <v>3.5999999999999996</v>
      </c>
      <c r="LW37" s="294">
        <v>9.6199999999999992</v>
      </c>
      <c r="LX37" s="294">
        <v>10.3</v>
      </c>
      <c r="LY37" s="294">
        <v>9.6329999999999991</v>
      </c>
      <c r="LZ37" s="294">
        <v>11.23</v>
      </c>
      <c r="MA37" s="294">
        <v>2.3849999999999998</v>
      </c>
      <c r="MB37" s="294">
        <v>1.087</v>
      </c>
      <c r="MC37" s="294">
        <v>8.923</v>
      </c>
      <c r="MD37" s="294">
        <v>21.411000000000001</v>
      </c>
      <c r="ME37" s="294">
        <v>2.1059999999999999</v>
      </c>
      <c r="MF37" s="294">
        <v>5.9286000000000003</v>
      </c>
      <c r="MG37" s="226"/>
      <c r="MH37" s="226"/>
      <c r="MI37" s="226"/>
      <c r="MJ37" s="303">
        <v>10.384</v>
      </c>
      <c r="MK37" s="303"/>
      <c r="ML37" s="303">
        <v>19.882000000000001</v>
      </c>
      <c r="MM37" s="303">
        <v>13.146000000000001</v>
      </c>
      <c r="MN37" s="304">
        <v>65.491</v>
      </c>
      <c r="MO37" s="304">
        <v>29.603999999999999</v>
      </c>
      <c r="MP37" s="304">
        <v>2.1003639999999999</v>
      </c>
      <c r="MQ37" s="304">
        <f>18.012554+5.39999973</f>
        <v>23.412553730000003</v>
      </c>
      <c r="MR37" s="304">
        <v>7.2320000000000002</v>
      </c>
      <c r="MS37" s="304">
        <v>4.375</v>
      </c>
      <c r="MT37" s="303">
        <v>14.76</v>
      </c>
      <c r="MU37" s="304">
        <v>13.773</v>
      </c>
      <c r="MV37" s="303">
        <v>49.664000000000001</v>
      </c>
      <c r="MW37" s="303">
        <v>1.9830000000000001</v>
      </c>
      <c r="MX37" s="226"/>
      <c r="MY37" s="226"/>
      <c r="MZ37" s="226"/>
      <c r="NA37" s="226"/>
    </row>
    <row r="38" spans="1:365" ht="34" x14ac:dyDescent="0.2">
      <c r="A38" s="1216"/>
      <c r="B38" s="201" t="s">
        <v>71</v>
      </c>
      <c r="C38" s="202" t="s">
        <v>63</v>
      </c>
      <c r="D38" s="215" t="s">
        <v>64</v>
      </c>
      <c r="E38" s="305">
        <v>0.94</v>
      </c>
      <c r="F38" s="305">
        <v>1</v>
      </c>
      <c r="G38" s="305">
        <f>G37/G33</f>
        <v>0.5</v>
      </c>
      <c r="H38" s="305">
        <f>H37/H33</f>
        <v>0.81576938396176313</v>
      </c>
      <c r="I38" s="305">
        <f>I37/I33</f>
        <v>0.56756756756756754</v>
      </c>
      <c r="J38" s="305">
        <f>J37/J33</f>
        <v>0.71601208459214494</v>
      </c>
      <c r="K38" s="305">
        <v>1</v>
      </c>
      <c r="L38" s="305">
        <v>1</v>
      </c>
      <c r="M38" s="305">
        <f>0.498/0.498*100%</f>
        <v>1</v>
      </c>
      <c r="N38" s="305">
        <f>0.324/0.324*100%</f>
        <v>1</v>
      </c>
      <c r="O38" s="305">
        <f>O37/O33*100%</f>
        <v>0.85003046153623374</v>
      </c>
      <c r="P38" s="442">
        <v>0.91739999999999999</v>
      </c>
      <c r="Q38" s="305">
        <v>1</v>
      </c>
      <c r="R38" s="305">
        <f>R37/R33</f>
        <v>0.65891824320847026</v>
      </c>
      <c r="S38" s="305">
        <v>1</v>
      </c>
      <c r="T38" s="305">
        <v>0.97</v>
      </c>
      <c r="U38" s="305">
        <v>1</v>
      </c>
      <c r="V38" s="305">
        <v>1</v>
      </c>
      <c r="W38" s="226"/>
      <c r="X38" s="226"/>
      <c r="Y38" s="226"/>
      <c r="Z38" s="226"/>
      <c r="AA38" s="226"/>
      <c r="AB38" s="226"/>
      <c r="AC38" s="226"/>
      <c r="AD38" s="226"/>
      <c r="AE38" s="226"/>
      <c r="AF38" s="305">
        <f>AF37/AF33</f>
        <v>0.95000040757056492</v>
      </c>
      <c r="AG38" s="305">
        <f>AG37/AG33</f>
        <v>0.98039215686274506</v>
      </c>
      <c r="AH38" s="226"/>
      <c r="AI38" s="305">
        <v>0.95</v>
      </c>
      <c r="AJ38" s="310">
        <v>54.5</v>
      </c>
      <c r="AK38" s="317">
        <v>0.80200000000000005</v>
      </c>
      <c r="AL38" s="305">
        <v>0.98839999999999995</v>
      </c>
      <c r="AM38" s="226"/>
      <c r="AN38" s="226"/>
      <c r="AO38" s="226"/>
      <c r="AP38" s="226"/>
      <c r="AQ38" s="305">
        <v>0.89580000000000004</v>
      </c>
      <c r="AR38" s="305">
        <v>1</v>
      </c>
      <c r="AS38" s="305">
        <v>0.99299999999999999</v>
      </c>
      <c r="AT38" s="305">
        <v>1</v>
      </c>
      <c r="AU38" s="305">
        <v>1</v>
      </c>
      <c r="AV38" s="305">
        <v>1</v>
      </c>
      <c r="AW38" s="305">
        <v>1</v>
      </c>
      <c r="AX38" s="305">
        <v>1</v>
      </c>
      <c r="AY38" s="317" t="s">
        <v>2234</v>
      </c>
      <c r="AZ38" s="305">
        <v>1</v>
      </c>
      <c r="BA38" s="305"/>
      <c r="BB38" s="305">
        <v>1</v>
      </c>
      <c r="BC38" s="305">
        <v>1</v>
      </c>
      <c r="BD38" s="305"/>
      <c r="BE38" s="317">
        <v>1</v>
      </c>
      <c r="BF38" s="305">
        <v>1</v>
      </c>
      <c r="BG38" s="305">
        <v>1</v>
      </c>
      <c r="BH38" s="305">
        <v>1</v>
      </c>
      <c r="BI38" s="305">
        <v>1</v>
      </c>
      <c r="BJ38" s="305">
        <v>1</v>
      </c>
      <c r="BK38" s="305">
        <v>8.7499999999999994E-2</v>
      </c>
      <c r="BL38" s="305"/>
      <c r="BM38" s="305"/>
      <c r="BN38" s="226"/>
      <c r="BO38" s="305">
        <v>0.24269542</v>
      </c>
      <c r="BP38" s="305">
        <v>0.8</v>
      </c>
      <c r="BQ38" s="305">
        <v>1</v>
      </c>
      <c r="BR38" s="443">
        <v>1</v>
      </c>
      <c r="BS38" s="305">
        <v>0.97</v>
      </c>
      <c r="BT38" s="305">
        <v>1</v>
      </c>
      <c r="BU38" s="305">
        <v>1</v>
      </c>
      <c r="BV38" s="305">
        <v>0.05</v>
      </c>
      <c r="BW38" s="305"/>
      <c r="BX38" s="305">
        <v>2.9999999999999997E-4</v>
      </c>
      <c r="BY38" s="305">
        <v>0</v>
      </c>
      <c r="BZ38" s="305">
        <v>1</v>
      </c>
      <c r="CA38" s="305">
        <v>0</v>
      </c>
      <c r="CB38" s="305">
        <v>0</v>
      </c>
      <c r="CC38" s="305">
        <v>1</v>
      </c>
      <c r="CD38" s="317"/>
      <c r="CE38" s="317">
        <v>1</v>
      </c>
      <c r="CF38" s="317">
        <v>1</v>
      </c>
      <c r="CG38" s="317">
        <v>1</v>
      </c>
      <c r="CH38" s="317">
        <v>0.99299999999999999</v>
      </c>
      <c r="CI38" s="317">
        <v>1</v>
      </c>
      <c r="CJ38" s="317">
        <v>1</v>
      </c>
      <c r="CK38" s="317">
        <v>1</v>
      </c>
      <c r="CL38" s="317">
        <v>0.02</v>
      </c>
      <c r="CM38" s="317">
        <v>1</v>
      </c>
      <c r="CN38" s="305">
        <v>1</v>
      </c>
      <c r="CO38" s="305">
        <v>1</v>
      </c>
      <c r="CP38" s="305">
        <v>1</v>
      </c>
      <c r="CQ38" s="444">
        <v>1</v>
      </c>
      <c r="CR38" s="445">
        <f>CR37/CR33</f>
        <v>0.9945750452079567</v>
      </c>
      <c r="CS38" s="305"/>
      <c r="CT38" s="305">
        <v>1</v>
      </c>
      <c r="CU38" s="305">
        <v>1</v>
      </c>
      <c r="CV38" s="305">
        <v>1</v>
      </c>
      <c r="CW38" s="305">
        <v>1</v>
      </c>
      <c r="CX38" s="305">
        <v>1</v>
      </c>
      <c r="CY38" s="305">
        <v>0.1</v>
      </c>
      <c r="CZ38" s="305">
        <v>1</v>
      </c>
      <c r="DA38" s="305">
        <v>0.73650000000000004</v>
      </c>
      <c r="DB38" s="305">
        <v>1</v>
      </c>
      <c r="DC38" s="305">
        <v>1</v>
      </c>
      <c r="DD38" s="305">
        <v>1</v>
      </c>
      <c r="DE38" s="305">
        <v>1</v>
      </c>
      <c r="DF38" s="305">
        <v>0.88600000000000001</v>
      </c>
      <c r="DG38" s="305">
        <v>0.81</v>
      </c>
      <c r="DH38" s="305">
        <v>1</v>
      </c>
      <c r="DI38" s="305">
        <v>1</v>
      </c>
      <c r="DJ38" s="305">
        <v>0.99839999999999995</v>
      </c>
      <c r="DK38" s="305">
        <v>1</v>
      </c>
      <c r="DL38" s="305">
        <v>1</v>
      </c>
      <c r="DM38" s="305"/>
      <c r="DN38" s="305">
        <v>0.96</v>
      </c>
      <c r="DO38" s="305"/>
      <c r="DP38" s="305">
        <v>1</v>
      </c>
      <c r="DQ38" s="305">
        <v>1</v>
      </c>
      <c r="DR38" s="305">
        <v>1</v>
      </c>
      <c r="DS38" s="305">
        <v>1</v>
      </c>
      <c r="DT38" s="305">
        <v>6.4799999999999996E-2</v>
      </c>
      <c r="DU38" s="305">
        <v>1</v>
      </c>
      <c r="DV38" s="305">
        <v>1</v>
      </c>
      <c r="DW38" s="305">
        <v>0.1</v>
      </c>
      <c r="DX38" s="305">
        <v>0.90900000000000003</v>
      </c>
      <c r="DY38" s="305">
        <v>0.80369999999999997</v>
      </c>
      <c r="DZ38" s="305">
        <v>0.9728</v>
      </c>
      <c r="EA38" s="305">
        <v>0.5</v>
      </c>
      <c r="EB38" s="305">
        <v>0.8</v>
      </c>
      <c r="EC38" s="226"/>
      <c r="ED38" s="305">
        <v>1</v>
      </c>
      <c r="EE38" s="305">
        <f>(4.071*100%)/4.389</f>
        <v>0.92754613807245379</v>
      </c>
      <c r="EF38" s="305">
        <v>0.97</v>
      </c>
      <c r="EG38" s="226"/>
      <c r="EH38" s="305">
        <v>0.66300000000000003</v>
      </c>
      <c r="EI38" s="305">
        <v>1</v>
      </c>
      <c r="EJ38" s="226"/>
      <c r="EK38" s="226"/>
      <c r="EL38" s="226"/>
      <c r="EM38" s="226"/>
      <c r="EN38" s="226"/>
      <c r="EO38" s="226"/>
      <c r="EP38" s="226"/>
      <c r="EQ38" s="226"/>
      <c r="ER38" s="305">
        <v>1</v>
      </c>
      <c r="ES38" s="305">
        <f>ES37/ES33</f>
        <v>0.75000000167104586</v>
      </c>
      <c r="ET38" s="305">
        <f>ET37/ET33</f>
        <v>0.77156210168531381</v>
      </c>
      <c r="EU38" s="305">
        <f>EU37/EU33</f>
        <v>0.76537911301859796</v>
      </c>
      <c r="EV38" s="305">
        <f>EV37/EV33</f>
        <v>0.7</v>
      </c>
      <c r="EW38" s="360">
        <v>1</v>
      </c>
      <c r="EX38" s="305">
        <v>0.80400000000000005</v>
      </c>
      <c r="EY38" s="305">
        <v>1</v>
      </c>
      <c r="EZ38" s="317">
        <v>1</v>
      </c>
      <c r="FA38" s="305">
        <v>1</v>
      </c>
      <c r="FB38" s="305">
        <v>1</v>
      </c>
      <c r="FC38" s="305">
        <v>1</v>
      </c>
      <c r="FD38" s="226"/>
      <c r="FE38" s="446" t="s">
        <v>6355</v>
      </c>
      <c r="FF38" s="305">
        <f>FF37/FF33</f>
        <v>0.4137931034482758</v>
      </c>
      <c r="FG38" s="305">
        <f>FG37/FG33</f>
        <v>0.95991649269311063</v>
      </c>
      <c r="FH38" s="305">
        <f>FH37/FH33</f>
        <v>0.9475029797016491</v>
      </c>
      <c r="FI38" s="445">
        <v>0.95</v>
      </c>
      <c r="FJ38" s="445">
        <v>1</v>
      </c>
      <c r="FK38" s="445"/>
      <c r="FL38" s="445">
        <v>0.75</v>
      </c>
      <c r="FM38" s="305">
        <v>1</v>
      </c>
      <c r="FN38" s="305"/>
      <c r="FO38" s="445">
        <v>1</v>
      </c>
      <c r="FP38" s="445"/>
      <c r="FQ38" s="445">
        <f>FQ37/FQ33</f>
        <v>0.78712801921061104</v>
      </c>
      <c r="FR38" s="445">
        <v>0.9</v>
      </c>
      <c r="FS38" s="445"/>
      <c r="FT38" s="445">
        <v>1</v>
      </c>
      <c r="FU38" s="226"/>
      <c r="FV38" s="445">
        <v>0</v>
      </c>
      <c r="FW38" s="445">
        <f>FW37/FW33</f>
        <v>0.80572963294538946</v>
      </c>
      <c r="FX38" s="445">
        <v>1</v>
      </c>
      <c r="FY38" s="226"/>
      <c r="FZ38" s="445">
        <v>0.82199999999999995</v>
      </c>
      <c r="GA38" s="445">
        <f>GA37/GA33</f>
        <v>0.93360995850622408</v>
      </c>
      <c r="GB38" s="445">
        <v>1</v>
      </c>
      <c r="GC38" s="445"/>
      <c r="GD38" s="445">
        <v>0.7903</v>
      </c>
      <c r="GE38" s="445">
        <f>GE37/GE33</f>
        <v>0.76117982873453849</v>
      </c>
      <c r="GF38" s="445">
        <v>1</v>
      </c>
      <c r="GG38" s="445">
        <f>GG37/GG33</f>
        <v>0.76280552603613183</v>
      </c>
      <c r="GH38" s="445">
        <v>1</v>
      </c>
      <c r="GI38" s="226"/>
      <c r="GJ38" s="445">
        <v>0.187</v>
      </c>
      <c r="GK38" s="445">
        <f>GK37/GK33</f>
        <v>0.87652246955060897</v>
      </c>
      <c r="GL38" s="445">
        <v>0.81100000000000005</v>
      </c>
      <c r="GM38" s="445">
        <f>GM37/GM33</f>
        <v>0.83777777777777773</v>
      </c>
      <c r="GN38" s="445">
        <v>1</v>
      </c>
      <c r="GO38" s="226"/>
      <c r="GP38" s="445">
        <v>1</v>
      </c>
      <c r="GQ38" s="226"/>
      <c r="GR38" s="445">
        <f>GR37/GR33</f>
        <v>0.89096573208722751</v>
      </c>
      <c r="GS38" s="445">
        <v>1</v>
      </c>
      <c r="GT38" s="445"/>
      <c r="GU38" s="445">
        <v>0.74060000000000004</v>
      </c>
      <c r="GV38" s="445">
        <v>1</v>
      </c>
      <c r="GW38" s="226"/>
      <c r="GX38" s="312">
        <f>GX37/GX33</f>
        <v>0.84745762711864403</v>
      </c>
      <c r="GY38" s="312">
        <f>GY37/GY33</f>
        <v>0.94</v>
      </c>
      <c r="GZ38" s="445">
        <v>0.90249999999999997</v>
      </c>
      <c r="HA38" s="305">
        <v>0.51</v>
      </c>
      <c r="HB38" s="305">
        <v>0.92500000000000004</v>
      </c>
      <c r="HC38" s="305">
        <v>0.94879999999999998</v>
      </c>
      <c r="HD38" s="305">
        <v>0.156</v>
      </c>
      <c r="HE38" s="305">
        <f>HE37/HE33</f>
        <v>0.86750742562204797</v>
      </c>
      <c r="HF38" s="226"/>
      <c r="HG38" s="306">
        <v>1</v>
      </c>
      <c r="HH38" s="306">
        <v>1</v>
      </c>
      <c r="HI38" s="306">
        <v>1</v>
      </c>
      <c r="HJ38" s="305">
        <v>3.4000000000000002E-2</v>
      </c>
      <c r="HK38" s="306">
        <f>HK37/HK33</f>
        <v>0.99717779868297274</v>
      </c>
      <c r="HL38" s="226"/>
      <c r="HM38" s="305">
        <v>0.92</v>
      </c>
      <c r="HN38" s="226"/>
      <c r="HO38" s="305">
        <f t="shared" ref="HO38:HY38" si="5">HO37/HO33</f>
        <v>1</v>
      </c>
      <c r="HP38" s="305">
        <f t="shared" si="5"/>
        <v>0.69683800389629857</v>
      </c>
      <c r="HQ38" s="305">
        <f t="shared" si="5"/>
        <v>1</v>
      </c>
      <c r="HR38" s="305">
        <f t="shared" si="5"/>
        <v>1</v>
      </c>
      <c r="HS38" s="305">
        <f t="shared" si="5"/>
        <v>0.435</v>
      </c>
      <c r="HT38" s="305">
        <f t="shared" si="5"/>
        <v>0.9846419360468498</v>
      </c>
      <c r="HU38" s="305">
        <f t="shared" si="5"/>
        <v>1</v>
      </c>
      <c r="HV38" s="305">
        <f t="shared" si="5"/>
        <v>1</v>
      </c>
      <c r="HW38" s="305">
        <f t="shared" si="5"/>
        <v>1</v>
      </c>
      <c r="HX38" s="305">
        <f t="shared" si="5"/>
        <v>1</v>
      </c>
      <c r="HY38" s="305">
        <f t="shared" si="5"/>
        <v>0.87929272281275561</v>
      </c>
      <c r="HZ38" s="305">
        <v>0</v>
      </c>
      <c r="IA38" s="305">
        <f t="shared" ref="IA38:IW38" si="6">IA37/IA33</f>
        <v>4.7619047619047616E-2</v>
      </c>
      <c r="IB38" s="305">
        <f t="shared" si="6"/>
        <v>1.1299435028248589E-2</v>
      </c>
      <c r="IC38" s="305">
        <f t="shared" si="6"/>
        <v>0.33333333333333337</v>
      </c>
      <c r="ID38" s="305">
        <f t="shared" si="6"/>
        <v>0.97435897435897434</v>
      </c>
      <c r="IE38" s="305">
        <f t="shared" si="6"/>
        <v>0.91666666666666674</v>
      </c>
      <c r="IF38" s="305">
        <f t="shared" si="6"/>
        <v>0.96666666666666667</v>
      </c>
      <c r="IG38" s="305">
        <f t="shared" si="6"/>
        <v>0.53191489361702127</v>
      </c>
      <c r="IH38" s="307">
        <f t="shared" si="6"/>
        <v>0.9</v>
      </c>
      <c r="II38" s="305">
        <f t="shared" si="6"/>
        <v>0.9</v>
      </c>
      <c r="IJ38" s="305">
        <f t="shared" si="6"/>
        <v>0.90909090909090917</v>
      </c>
      <c r="IK38" s="305">
        <f t="shared" si="6"/>
        <v>0.92307692307692302</v>
      </c>
      <c r="IL38" s="305">
        <f t="shared" si="6"/>
        <v>0.79999999999999993</v>
      </c>
      <c r="IM38" s="305">
        <f t="shared" si="6"/>
        <v>0.91428571428571426</v>
      </c>
      <c r="IN38" s="305">
        <f t="shared" si="6"/>
        <v>0.95</v>
      </c>
      <c r="IO38" s="305">
        <f t="shared" si="6"/>
        <v>0.95</v>
      </c>
      <c r="IP38" s="305">
        <f t="shared" si="6"/>
        <v>0.95</v>
      </c>
      <c r="IQ38" s="305">
        <f t="shared" si="6"/>
        <v>0.95</v>
      </c>
      <c r="IR38" s="305">
        <f t="shared" si="6"/>
        <v>1</v>
      </c>
      <c r="IS38" s="305">
        <f t="shared" si="6"/>
        <v>1</v>
      </c>
      <c r="IT38" s="305">
        <f t="shared" si="6"/>
        <v>0.96</v>
      </c>
      <c r="IU38" s="305">
        <f t="shared" si="6"/>
        <v>0.98</v>
      </c>
      <c r="IV38" s="305">
        <f t="shared" si="6"/>
        <v>0.94</v>
      </c>
      <c r="IW38" s="305">
        <f t="shared" si="6"/>
        <v>0.93333333333333335</v>
      </c>
      <c r="IX38" s="305">
        <v>0.74329999999999996</v>
      </c>
      <c r="IY38" s="305">
        <f>IY37/IY33</f>
        <v>0.55823293172690769</v>
      </c>
      <c r="IZ38" s="305">
        <f>IZ37/IZ33</f>
        <v>0.125</v>
      </c>
      <c r="JA38" s="305">
        <f>JA37/JA33</f>
        <v>0</v>
      </c>
      <c r="JB38" s="305">
        <f>JB37/JB33</f>
        <v>0.33333333333333331</v>
      </c>
      <c r="JC38" s="305">
        <f>JC37/JC33</f>
        <v>0.51424050632911389</v>
      </c>
      <c r="JD38" s="305">
        <v>1</v>
      </c>
      <c r="JE38" s="226"/>
      <c r="JF38" s="226"/>
      <c r="JG38" s="226"/>
      <c r="JH38" s="305">
        <v>0.85499999999999998</v>
      </c>
      <c r="JI38" s="305">
        <v>0.84230000000000005</v>
      </c>
      <c r="JJ38" s="308">
        <v>0.5</v>
      </c>
      <c r="JK38" s="309">
        <f>JK37/JK33</f>
        <v>0.55537043207819614</v>
      </c>
      <c r="JL38" s="305">
        <v>1</v>
      </c>
      <c r="JM38" s="305">
        <v>0.8</v>
      </c>
      <c r="JN38" s="226"/>
      <c r="JO38" s="226"/>
      <c r="JP38" s="226"/>
      <c r="JQ38" s="305">
        <f>JQ37/JQ33</f>
        <v>0.88281660535995787</v>
      </c>
      <c r="JR38" s="305">
        <v>0.83779999999999999</v>
      </c>
      <c r="JS38" s="305">
        <v>0.93379999999999996</v>
      </c>
      <c r="JT38" s="305">
        <v>0.95879999999999999</v>
      </c>
      <c r="JU38" s="305">
        <v>1</v>
      </c>
      <c r="JV38" s="305">
        <v>0.94199999999999995</v>
      </c>
      <c r="JW38" s="305">
        <v>0.94440000000000002</v>
      </c>
      <c r="JX38" s="305">
        <v>0.93200000000000005</v>
      </c>
      <c r="JY38" s="305">
        <f>JY37/JY33</f>
        <v>0.8860769113847089</v>
      </c>
      <c r="JZ38" s="305">
        <v>0.94769999999999999</v>
      </c>
      <c r="KA38" s="305">
        <v>0.90169999999999995</v>
      </c>
      <c r="KB38" s="305">
        <v>1</v>
      </c>
      <c r="KC38" s="305">
        <f>KC37/KC33</f>
        <v>0.55104083266613291</v>
      </c>
      <c r="KD38" s="305">
        <f>KD37/KD33</f>
        <v>0.92438860219878849</v>
      </c>
      <c r="KE38" s="310">
        <v>97.1</v>
      </c>
      <c r="KF38" s="305">
        <f>KF37/KF33</f>
        <v>0.97343732955165274</v>
      </c>
      <c r="KG38" s="305">
        <v>0.86719999999999997</v>
      </c>
      <c r="KH38" s="305">
        <v>0.86899999999999999</v>
      </c>
      <c r="KI38" s="305">
        <v>0.35399999999999998</v>
      </c>
      <c r="KJ38" s="305">
        <v>0.90800000000000003</v>
      </c>
      <c r="KK38" s="305">
        <v>0.8</v>
      </c>
      <c r="KL38" s="305">
        <v>0.95550000000000002</v>
      </c>
      <c r="KM38" s="305">
        <v>0.87019999999999997</v>
      </c>
      <c r="KN38" s="305">
        <v>0.98309999999999997</v>
      </c>
      <c r="KO38" s="305">
        <v>0.9879</v>
      </c>
      <c r="KP38" s="305">
        <v>0.34899999999999998</v>
      </c>
      <c r="KQ38" s="226"/>
      <c r="KR38" s="226"/>
      <c r="KS38" s="226"/>
      <c r="KT38" s="226"/>
      <c r="KU38" s="226"/>
      <c r="KV38" s="305">
        <f>KV37/KV33</f>
        <v>0.94180598445319985</v>
      </c>
      <c r="KW38" s="305">
        <f>KW37/KW33</f>
        <v>0.33333333333333331</v>
      </c>
      <c r="KX38" s="329">
        <v>1</v>
      </c>
      <c r="KY38" s="330">
        <v>1</v>
      </c>
      <c r="KZ38" s="305">
        <v>1</v>
      </c>
      <c r="LA38" s="305">
        <v>1</v>
      </c>
      <c r="LB38" s="305">
        <v>1</v>
      </c>
      <c r="LC38" s="305">
        <v>1</v>
      </c>
      <c r="LD38" s="305">
        <v>1</v>
      </c>
      <c r="LE38" s="305">
        <v>1</v>
      </c>
      <c r="LF38" s="305">
        <v>1</v>
      </c>
      <c r="LG38" s="305">
        <v>1</v>
      </c>
      <c r="LH38" s="305">
        <v>1</v>
      </c>
      <c r="LI38" s="305">
        <v>1</v>
      </c>
      <c r="LJ38" s="305">
        <v>1</v>
      </c>
      <c r="LK38" s="305">
        <v>0.74</v>
      </c>
      <c r="LL38" s="301">
        <v>10</v>
      </c>
      <c r="LM38" s="226"/>
      <c r="LN38" s="305">
        <f>LN37/LN33</f>
        <v>1</v>
      </c>
      <c r="LO38" s="305">
        <v>1</v>
      </c>
      <c r="LP38" s="305">
        <v>0.94989999999999997</v>
      </c>
      <c r="LQ38" s="305">
        <v>0.9476</v>
      </c>
      <c r="LR38" s="305">
        <v>0.41039999999999999</v>
      </c>
      <c r="LS38" s="305">
        <v>0.99860529986052993</v>
      </c>
      <c r="LT38" s="311">
        <v>0.94400000000000006</v>
      </c>
      <c r="LU38" s="305">
        <v>0.99590856495933533</v>
      </c>
      <c r="LV38" s="305">
        <v>0.29499999999999998</v>
      </c>
      <c r="LW38" s="305">
        <v>1</v>
      </c>
      <c r="LX38" s="305">
        <f>LX37/LX33</f>
        <v>0.99516908212560384</v>
      </c>
      <c r="LY38" s="305">
        <v>0.98699999999999999</v>
      </c>
      <c r="LZ38" s="305">
        <v>0.98819999999999997</v>
      </c>
      <c r="MA38" s="305">
        <v>0.995</v>
      </c>
      <c r="MB38" s="305">
        <v>1</v>
      </c>
      <c r="MC38" s="305">
        <v>0.99890000000000001</v>
      </c>
      <c r="MD38" s="305">
        <v>1</v>
      </c>
      <c r="ME38" s="312">
        <v>1</v>
      </c>
      <c r="MF38" s="305">
        <v>0.42852186483556198</v>
      </c>
      <c r="MG38" s="226"/>
      <c r="MH38" s="226"/>
      <c r="MI38" s="226"/>
      <c r="MJ38" s="313">
        <v>1</v>
      </c>
      <c r="MK38" s="313"/>
      <c r="ML38" s="313">
        <f>20684172.8/21485082.69</f>
        <v>0.96272251303120304</v>
      </c>
      <c r="MM38" s="313">
        <v>1</v>
      </c>
      <c r="MN38" s="314">
        <v>0.999</v>
      </c>
      <c r="MO38" s="314">
        <v>0.99980000000000002</v>
      </c>
      <c r="MP38" s="314">
        <v>1</v>
      </c>
      <c r="MQ38" s="314">
        <f>MQ37/MQ33</f>
        <v>1</v>
      </c>
      <c r="MR38" s="314">
        <f>MR37/MR33*100%</f>
        <v>0.99449944994499451</v>
      </c>
      <c r="MS38" s="314">
        <f>MS37/MS33</f>
        <v>0.96238451385833712</v>
      </c>
      <c r="MT38" s="313">
        <v>1</v>
      </c>
      <c r="MU38" s="314">
        <v>1</v>
      </c>
      <c r="MV38" s="313">
        <f>MV37/MV33*100%</f>
        <v>0.99989933358835481</v>
      </c>
      <c r="MW38" s="313">
        <f>MW37/MW33</f>
        <v>0.99848942598187318</v>
      </c>
      <c r="MX38" s="226"/>
      <c r="MY38" s="226"/>
      <c r="MZ38" s="226"/>
      <c r="NA38" s="226"/>
    </row>
    <row r="39" spans="1:365" ht="68" x14ac:dyDescent="0.2">
      <c r="A39" s="1216"/>
      <c r="B39" s="201" t="s">
        <v>6354</v>
      </c>
      <c r="C39" s="202" t="s">
        <v>6353</v>
      </c>
      <c r="D39" s="215" t="s">
        <v>64</v>
      </c>
      <c r="E39" s="305">
        <v>5.2599999999999999E-4</v>
      </c>
      <c r="F39" s="305">
        <v>3.8499999999999998E-4</v>
      </c>
      <c r="G39" s="305">
        <f>G37/941.16773802</f>
        <v>5.7163030378817284E-4</v>
      </c>
      <c r="H39" s="305">
        <f>H37/941.16773802</f>
        <v>1.7235131788649663E-3</v>
      </c>
      <c r="I39" s="299">
        <v>1E-3</v>
      </c>
      <c r="J39" s="305">
        <f>J37/941.16773802</f>
        <v>2.5181483642713187E-4</v>
      </c>
      <c r="K39" s="305">
        <f>(0.4/660.761)</f>
        <v>6.0536260463314273E-4</v>
      </c>
      <c r="L39" s="305">
        <f>1.658/789.8</f>
        <v>2.0992656368700939E-3</v>
      </c>
      <c r="M39" s="305">
        <f>0.498/789.802</f>
        <v>6.3053778035507626E-4</v>
      </c>
      <c r="N39" s="305">
        <f>0.324/789.802</f>
        <v>4.1022939926715809E-4</v>
      </c>
      <c r="O39" s="305">
        <f>3.287/3156.793</f>
        <v>1.0412466069203777E-3</v>
      </c>
      <c r="P39" s="442">
        <f>P37/670.194</f>
        <v>4.476315813033242E-4</v>
      </c>
      <c r="Q39" s="305">
        <f>Q37/1304.2</f>
        <v>3.4503910443183563E-4</v>
      </c>
      <c r="R39" s="305">
        <f>R33/687.2559918</f>
        <v>1.3062291354474591E-3</v>
      </c>
      <c r="S39" s="305">
        <v>2.0000000000000001E-4</v>
      </c>
      <c r="T39" s="305">
        <v>2.0000000000000001E-4</v>
      </c>
      <c r="U39" s="305">
        <v>1.7000000000000001E-4</v>
      </c>
      <c r="V39" s="305">
        <v>2.3800000000000002E-2</v>
      </c>
      <c r="W39" s="226"/>
      <c r="X39" s="226"/>
      <c r="Y39" s="226"/>
      <c r="Z39" s="226"/>
      <c r="AA39" s="226"/>
      <c r="AB39" s="226"/>
      <c r="AC39" s="226"/>
      <c r="AD39" s="226"/>
      <c r="AE39" s="226"/>
      <c r="AF39" s="305">
        <v>7.7000000000000002E-3</v>
      </c>
      <c r="AG39" s="305">
        <f>AG33/1382</f>
        <v>7.3806078147612157E-4</v>
      </c>
      <c r="AH39" s="226"/>
      <c r="AI39" s="305">
        <v>1E-4</v>
      </c>
      <c r="AJ39" s="254">
        <v>0.56000000000000005</v>
      </c>
      <c r="AK39" s="317">
        <v>4.0000000000000002E-4</v>
      </c>
      <c r="AL39" s="305">
        <v>2.7E-2</v>
      </c>
      <c r="AM39" s="226"/>
      <c r="AN39" s="226"/>
      <c r="AO39" s="226"/>
      <c r="AP39" s="226"/>
      <c r="AQ39" s="305">
        <v>1.8E-3</v>
      </c>
      <c r="AR39" s="305"/>
      <c r="AS39" s="305"/>
      <c r="AT39" s="305">
        <v>2.5999999999999999E-3</v>
      </c>
      <c r="AU39" s="305">
        <v>1E-3</v>
      </c>
      <c r="AV39" s="305">
        <v>4.3E-3</v>
      </c>
      <c r="AW39" s="305">
        <v>2.0000000000000002E-5</v>
      </c>
      <c r="AX39" s="305">
        <v>6.2899999999999996E-3</v>
      </c>
      <c r="AY39" s="317" t="s">
        <v>2234</v>
      </c>
      <c r="AZ39" s="305">
        <v>5.9999999999999995E-4</v>
      </c>
      <c r="BA39" s="305">
        <v>1</v>
      </c>
      <c r="BB39" s="305">
        <v>1.2999999999999999E-3</v>
      </c>
      <c r="BC39" s="305">
        <v>1.9E-3</v>
      </c>
      <c r="BD39" s="305"/>
      <c r="BE39" s="317">
        <v>1E-3</v>
      </c>
      <c r="BF39" s="305">
        <v>1</v>
      </c>
      <c r="BG39" s="305">
        <v>2.2000000000000001E-3</v>
      </c>
      <c r="BH39" s="305">
        <v>2.3E-3</v>
      </c>
      <c r="BI39" s="305">
        <v>3.0000000000000001E-3</v>
      </c>
      <c r="BJ39" s="305">
        <v>1</v>
      </c>
      <c r="BK39" s="305">
        <v>2.0999999999999999E-3</v>
      </c>
      <c r="BL39" s="305"/>
      <c r="BM39" s="305">
        <v>5.9999999999999995E-4</v>
      </c>
      <c r="BN39" s="226"/>
      <c r="BO39" s="305">
        <v>2.5000000000000001E-2</v>
      </c>
      <c r="BP39" s="305">
        <v>5.5E-2</v>
      </c>
      <c r="BQ39" s="305">
        <v>0.183</v>
      </c>
      <c r="BR39" s="443">
        <v>1</v>
      </c>
      <c r="BS39" s="305">
        <v>4.0000000000000003E-5</v>
      </c>
      <c r="BT39" s="305">
        <v>6.0699999999999997E-2</v>
      </c>
      <c r="BU39" s="305">
        <v>7.0000000000000001E-3</v>
      </c>
      <c r="BV39" s="305">
        <v>0.05</v>
      </c>
      <c r="BW39" s="305"/>
      <c r="BX39" s="305">
        <v>1E-4</v>
      </c>
      <c r="BY39" s="305">
        <v>0</v>
      </c>
      <c r="BZ39" s="305">
        <v>4.4999999999999998E-2</v>
      </c>
      <c r="CA39" s="305">
        <v>0</v>
      </c>
      <c r="CB39" s="305">
        <v>0</v>
      </c>
      <c r="CC39" s="305" t="s">
        <v>6352</v>
      </c>
      <c r="CD39" s="317"/>
      <c r="CE39" s="317">
        <v>5.0000000000000001E-4</v>
      </c>
      <c r="CF39" s="317">
        <v>8.0000000000000004E-4</v>
      </c>
      <c r="CG39" s="317">
        <v>1.2099999999999999E-3</v>
      </c>
      <c r="CH39" s="317">
        <v>3.5999999999999997E-2</v>
      </c>
      <c r="CI39" s="317">
        <v>1.0999999999999999E-2</v>
      </c>
      <c r="CJ39" s="317">
        <v>2.7999999999999998E-4</v>
      </c>
      <c r="CK39" s="317">
        <v>6.9999999999999999E-4</v>
      </c>
      <c r="CL39" s="317">
        <v>5.5E-2</v>
      </c>
      <c r="CM39" s="317">
        <v>3.5000000000000003E-2</v>
      </c>
      <c r="CN39" s="305">
        <v>6.7999999999999996E-3</v>
      </c>
      <c r="CO39" s="305">
        <v>1E-4</v>
      </c>
      <c r="CP39" s="305">
        <v>5.0999999999999997E-2</v>
      </c>
      <c r="CQ39" s="444">
        <v>1.6999999999999999E-3</v>
      </c>
      <c r="CR39" s="445">
        <f>CR37/49740.8</f>
        <v>5.5286605764282037E-4</v>
      </c>
      <c r="CS39" s="305"/>
      <c r="CT39" s="305">
        <v>1.3599999999999999E-2</v>
      </c>
      <c r="CU39" s="305">
        <v>0.11</v>
      </c>
      <c r="CV39" s="305">
        <v>5.1999999999999998E-2</v>
      </c>
      <c r="CW39" s="305">
        <v>8.0000000000000002E-3</v>
      </c>
      <c r="CX39" s="305">
        <v>9.2999999999999992E-3</v>
      </c>
      <c r="CY39" s="305">
        <v>1</v>
      </c>
      <c r="CZ39" s="305">
        <v>1.4E-3</v>
      </c>
      <c r="DA39" s="305">
        <v>7.0199999999999999E-2</v>
      </c>
      <c r="DB39" s="305">
        <v>5.0000000000000001E-4</v>
      </c>
      <c r="DC39" s="305">
        <v>2E-3</v>
      </c>
      <c r="DD39" s="305">
        <v>8.9999999999999993E-3</v>
      </c>
      <c r="DE39" s="305">
        <v>1.6E-2</v>
      </c>
      <c r="DF39" s="305">
        <v>1E-3</v>
      </c>
      <c r="DG39" s="305">
        <v>2E-3</v>
      </c>
      <c r="DH39" s="305">
        <v>1.84E-2</v>
      </c>
      <c r="DI39" s="305">
        <v>2.1299999999999999E-2</v>
      </c>
      <c r="DJ39" s="305">
        <v>7.0099999999999996E-2</v>
      </c>
      <c r="DK39" s="305">
        <v>3.6200000000000003E-2</v>
      </c>
      <c r="DL39" s="305">
        <v>6.4000000000000003E-3</v>
      </c>
      <c r="DM39" s="305"/>
      <c r="DN39" s="305">
        <v>5.1999999999999998E-3</v>
      </c>
      <c r="DO39" s="305"/>
      <c r="DP39" s="305">
        <v>1.5299999999999999E-2</v>
      </c>
      <c r="DQ39" s="305">
        <v>3.6900000000000002E-2</v>
      </c>
      <c r="DR39" s="305">
        <v>7.2099999999999997E-2</v>
      </c>
      <c r="DS39" s="305">
        <v>2.7000000000000001E-3</v>
      </c>
      <c r="DT39" s="305">
        <v>1.47E-2</v>
      </c>
      <c r="DU39" s="305">
        <v>8.0000000000000004E-4</v>
      </c>
      <c r="DV39" s="305">
        <v>3.5000000000000001E-3</v>
      </c>
      <c r="DW39" s="246" t="s">
        <v>2234</v>
      </c>
      <c r="DX39" s="305">
        <v>5.0000000000000001E-4</v>
      </c>
      <c r="DY39" s="305">
        <v>6.9999999999999999E-4</v>
      </c>
      <c r="DZ39" s="305">
        <v>2.66E-3</v>
      </c>
      <c r="EA39" s="305">
        <v>1.4E-3</v>
      </c>
      <c r="EB39" s="305">
        <v>4.0000000000000002E-4</v>
      </c>
      <c r="EC39" s="226"/>
      <c r="ED39" s="305">
        <v>1.7600000000000001E-3</v>
      </c>
      <c r="EE39" s="305">
        <f>(4.389*100%)/104.493</f>
        <v>4.2002813585599041E-2</v>
      </c>
      <c r="EF39" s="305">
        <v>1.5900000000000001E-3</v>
      </c>
      <c r="EG39" s="226"/>
      <c r="EH39" s="305"/>
      <c r="EI39" s="305"/>
      <c r="EJ39" s="226"/>
      <c r="EK39" s="226"/>
      <c r="EL39" s="226"/>
      <c r="EM39" s="226"/>
      <c r="EN39" s="226"/>
      <c r="EO39" s="226"/>
      <c r="EP39" s="226"/>
      <c r="EQ39" s="226"/>
      <c r="ER39" s="305">
        <v>4.7999999999999996E-3</v>
      </c>
      <c r="ES39" s="305">
        <v>1E-3</v>
      </c>
      <c r="ET39" s="305">
        <f>ET37/2272</f>
        <v>4.7957746478873246E-3</v>
      </c>
      <c r="EU39" s="305">
        <f>EU37/2272</f>
        <v>2.3547535211267606E-4</v>
      </c>
      <c r="EV39" s="305">
        <f>EV37/2272</f>
        <v>1.6329225352112675E-4</v>
      </c>
      <c r="EW39" s="359">
        <v>6.9999999999999999E-4</v>
      </c>
      <c r="EX39" s="305">
        <v>0.01</v>
      </c>
      <c r="EY39" s="305">
        <f>EY37/1625.15</f>
        <v>6.1532781589391752E-5</v>
      </c>
      <c r="EZ39" s="317">
        <v>1.2999999999999999E-4</v>
      </c>
      <c r="FA39" s="305">
        <v>2.0000000000000001E-4</v>
      </c>
      <c r="FB39" s="305">
        <v>4.0000000000000002E-4</v>
      </c>
      <c r="FC39" s="305">
        <v>1E-4</v>
      </c>
      <c r="FD39" s="226"/>
      <c r="FE39" s="446" t="s">
        <v>6343</v>
      </c>
      <c r="FF39" s="305">
        <v>0.2054</v>
      </c>
      <c r="FG39" s="305">
        <v>5.8900000000000003E-3</v>
      </c>
      <c r="FH39" s="305">
        <v>2.9999999999999997E-4</v>
      </c>
      <c r="FI39" s="445">
        <v>1E-3</v>
      </c>
      <c r="FJ39" s="445">
        <v>5.0000000000000001E-4</v>
      </c>
      <c r="FK39" s="445"/>
      <c r="FL39" s="445">
        <v>1E-3</v>
      </c>
      <c r="FM39" s="305">
        <v>1</v>
      </c>
      <c r="FN39" s="305"/>
      <c r="FO39" s="445">
        <v>1</v>
      </c>
      <c r="FP39" s="445"/>
      <c r="FQ39" s="445">
        <f>FQ37/(20493762381.98/1000000)</f>
        <v>1.0191418057215758E-4</v>
      </c>
      <c r="FR39" s="445">
        <v>2.0000000000000001E-4</v>
      </c>
      <c r="FS39" s="445"/>
      <c r="FT39" s="445">
        <v>1.8000000000000001E-4</v>
      </c>
      <c r="FU39" s="226"/>
      <c r="FV39" s="445">
        <v>0</v>
      </c>
      <c r="FW39" s="445">
        <v>1.1999999999999999E-3</v>
      </c>
      <c r="FX39" s="445">
        <v>6.8000000000000005E-4</v>
      </c>
      <c r="FY39" s="226"/>
      <c r="FZ39" s="445">
        <v>5.9999999999999995E-4</v>
      </c>
      <c r="GA39" s="445">
        <v>8.0000000000000004E-4</v>
      </c>
      <c r="GB39" s="445">
        <v>8.0000000000000004E-4</v>
      </c>
      <c r="GC39" s="445"/>
      <c r="GD39" s="445">
        <v>8.0000000000000004E-4</v>
      </c>
      <c r="GE39" s="445">
        <v>8.9999999999999998E-4</v>
      </c>
      <c r="GF39" s="445">
        <v>1.6000000000000001E-3</v>
      </c>
      <c r="GG39" s="445">
        <v>1.0500000000000001E-2</v>
      </c>
      <c r="GH39" s="445">
        <v>1</v>
      </c>
      <c r="GI39" s="226"/>
      <c r="GJ39" s="445">
        <v>5.0000000000000001E-4</v>
      </c>
      <c r="GK39" s="445">
        <v>2.7000000000000001E-3</v>
      </c>
      <c r="GL39" s="445">
        <v>2.9999999999999997E-4</v>
      </c>
      <c r="GM39" s="445">
        <v>1.4E-3</v>
      </c>
      <c r="GN39" s="445">
        <v>2.9999999999999997E-4</v>
      </c>
      <c r="GO39" s="226"/>
      <c r="GP39" s="445">
        <v>1</v>
      </c>
      <c r="GQ39" s="226"/>
      <c r="GR39" s="445">
        <v>1.7999999999999999E-2</v>
      </c>
      <c r="GS39" s="445">
        <v>1</v>
      </c>
      <c r="GT39" s="445"/>
      <c r="GU39" s="445">
        <v>1.6000000000000001E-3</v>
      </c>
      <c r="GV39" s="445">
        <v>1</v>
      </c>
      <c r="GW39" s="226"/>
      <c r="GX39" s="308">
        <v>3.5999999999999997E-2</v>
      </c>
      <c r="GY39" s="308">
        <v>4.0000000000000001E-3</v>
      </c>
      <c r="GZ39" s="445"/>
      <c r="HA39" s="305">
        <v>8.0000000000000004E-4</v>
      </c>
      <c r="HB39" s="305">
        <v>5.6999999999999998E-4</v>
      </c>
      <c r="HC39" s="305">
        <v>1E-4</v>
      </c>
      <c r="HD39" s="305">
        <v>1.8137735850000001E-4</v>
      </c>
      <c r="HE39" s="305">
        <f>HE37/26850.3</f>
        <v>6.6353076129503207E-4</v>
      </c>
      <c r="HF39" s="226"/>
      <c r="HG39" s="306">
        <f>HG37/5500.802</f>
        <v>1.0112658663227654E-3</v>
      </c>
      <c r="HH39" s="306">
        <v>2.9999999999999997E-4</v>
      </c>
      <c r="HI39" s="306">
        <v>1.4E-3</v>
      </c>
      <c r="HJ39" s="305">
        <v>5.9999999999999995E-4</v>
      </c>
      <c r="HK39" s="306">
        <v>2.5999999999999999E-3</v>
      </c>
      <c r="HL39" s="226"/>
      <c r="HM39" s="305">
        <v>0.11</v>
      </c>
      <c r="HN39" s="226"/>
      <c r="HO39" s="305">
        <v>2.8E-3</v>
      </c>
      <c r="HP39" s="305">
        <v>4.4999999999999999E-4</v>
      </c>
      <c r="HQ39" s="305">
        <v>7.0000000000000001E-3</v>
      </c>
      <c r="HR39" s="305">
        <v>6.0000000000000001E-3</v>
      </c>
      <c r="HS39" s="305">
        <v>2.3400000000000001E-3</v>
      </c>
      <c r="HT39" s="305">
        <v>2.7789999999999999E-2</v>
      </c>
      <c r="HU39" s="305">
        <v>1.1386945567708317E-2</v>
      </c>
      <c r="HV39" s="305">
        <f>HV37/392.8</f>
        <v>2.2403258655804482E-2</v>
      </c>
      <c r="HW39" s="305">
        <v>4.0000000000000001E-3</v>
      </c>
      <c r="HX39" s="305">
        <v>1.06E-2</v>
      </c>
      <c r="HY39" s="305"/>
      <c r="HZ39" s="305">
        <v>0</v>
      </c>
      <c r="IA39" s="305"/>
      <c r="IB39" s="315">
        <v>3.0000000000000001E-6</v>
      </c>
      <c r="IC39" s="305"/>
      <c r="ID39" s="316">
        <f>ID37/862.1</f>
        <v>1.3223523953137688E-4</v>
      </c>
      <c r="IE39" s="316">
        <f>IE37/862.1</f>
        <v>6.3797703282681819E-5</v>
      </c>
      <c r="IF39" s="316">
        <f>IF37/862.1</f>
        <v>1.6819394501797934E-4</v>
      </c>
      <c r="IG39" s="305">
        <f>IG37/8.816436</f>
        <v>5.6712258785749717E-3</v>
      </c>
      <c r="IH39" s="317">
        <f>IH37/7.946</f>
        <v>5.6632267807701989E-3</v>
      </c>
      <c r="II39" s="305">
        <f>II37/9.853</f>
        <v>1.8268547650461787E-3</v>
      </c>
      <c r="IJ39" s="305">
        <f>IJ33/13.467</f>
        <v>8.1681146506274588E-4</v>
      </c>
      <c r="IK39" s="305">
        <f>IK37/13.467</f>
        <v>8.9106705279572282E-4</v>
      </c>
      <c r="IL39" s="305">
        <f>IL33/218.249</f>
        <v>4.5819224830354326E-4</v>
      </c>
      <c r="IM39" s="316">
        <f>IM37/218.249</f>
        <v>1.4662151945713382E-4</v>
      </c>
      <c r="IN39" s="305">
        <v>6.1999999999999998E-3</v>
      </c>
      <c r="IO39" s="305">
        <v>1.9E-3</v>
      </c>
      <c r="IP39" s="305">
        <v>1.9E-3</v>
      </c>
      <c r="IQ39" s="305">
        <v>1.9E-3</v>
      </c>
      <c r="IR39" s="305">
        <v>4.0000000000000001E-3</v>
      </c>
      <c r="IS39" s="305">
        <v>6.0000000000000001E-3</v>
      </c>
      <c r="IT39" s="305">
        <f>IT37/30.873</f>
        <v>1.5547565834224078E-3</v>
      </c>
      <c r="IU39" s="305">
        <v>2.8E-3</v>
      </c>
      <c r="IV39" s="305">
        <f>IV37/27.719</f>
        <v>1.6955878639200548E-3</v>
      </c>
      <c r="IW39" s="305">
        <f>IW37/18.381</f>
        <v>1.5233121157717207E-3</v>
      </c>
      <c r="IX39" s="305">
        <v>2.0000000000000002E-5</v>
      </c>
      <c r="IY39" s="318">
        <v>1.4999999999999999E-2</v>
      </c>
      <c r="IZ39" s="305">
        <v>5.0000000000000001E-3</v>
      </c>
      <c r="JA39" s="305"/>
      <c r="JB39" s="305">
        <v>8.3000000000000004E-2</v>
      </c>
      <c r="JC39" s="305">
        <v>4.0000000000000001E-3</v>
      </c>
      <c r="JD39" s="305">
        <v>3.5999999999999999E-3</v>
      </c>
      <c r="JE39" s="226"/>
      <c r="JF39" s="226"/>
      <c r="JG39" s="226"/>
      <c r="JH39" s="305">
        <v>1.2999999999999999E-3</v>
      </c>
      <c r="JI39" s="305">
        <v>6.1999999999999998E-3</v>
      </c>
      <c r="JJ39" s="305">
        <v>2.0000000000000001E-4</v>
      </c>
      <c r="JK39" s="309">
        <v>2.5000000000000001E-4</v>
      </c>
      <c r="JL39" s="305">
        <v>8.0999999999999996E-3</v>
      </c>
      <c r="JM39" s="305">
        <v>0.8</v>
      </c>
      <c r="JN39" s="226"/>
      <c r="JO39" s="226"/>
      <c r="JP39" s="226"/>
      <c r="JQ39" s="305">
        <f>JQ37/1896.44</f>
        <v>1.771740735272405E-3</v>
      </c>
      <c r="JR39" s="305"/>
      <c r="JS39" s="305">
        <v>2.3E-3</v>
      </c>
      <c r="JT39" s="305">
        <v>1.9E-3</v>
      </c>
      <c r="JU39" s="305">
        <v>2.0999999999999999E-3</v>
      </c>
      <c r="JV39" s="305">
        <v>2E-3</v>
      </c>
      <c r="JW39" s="305">
        <v>5.1000000000000004E-4</v>
      </c>
      <c r="JX39" s="305">
        <v>2E-3</v>
      </c>
      <c r="JY39" s="305">
        <v>5.0000000000000001E-3</v>
      </c>
      <c r="JZ39" s="305">
        <v>6.4999999999999997E-4</v>
      </c>
      <c r="KA39" s="305">
        <v>5.0000000000000001E-4</v>
      </c>
      <c r="KB39" s="319">
        <v>2.0999999999999999E-5</v>
      </c>
      <c r="KC39" s="305">
        <v>1.6000000000000001E-3</v>
      </c>
      <c r="KD39" s="305">
        <v>5.1000000000000004E-3</v>
      </c>
      <c r="KE39" s="310">
        <v>0.26</v>
      </c>
      <c r="KF39" s="305">
        <v>1.41E-2</v>
      </c>
      <c r="KG39" s="305">
        <v>8.0000000000000004E-4</v>
      </c>
      <c r="KH39" s="305">
        <v>1.2999999999999999E-3</v>
      </c>
      <c r="KI39" s="305">
        <v>2.0000000000000001E-4</v>
      </c>
      <c r="KJ39" s="305">
        <v>6.1999999999999998E-3</v>
      </c>
      <c r="KK39" s="305">
        <v>1.3999999999999999E-4</v>
      </c>
      <c r="KL39" s="305">
        <v>6.4000000000000005E-4</v>
      </c>
      <c r="KM39" s="305">
        <v>6.9999999999999994E-5</v>
      </c>
      <c r="KN39" s="305">
        <v>2.3999999999999998E-3</v>
      </c>
      <c r="KO39" s="305">
        <f>KO33/1321.72</f>
        <v>4.3806555094876368E-4</v>
      </c>
      <c r="KP39" s="305">
        <v>4.0000000000000002E-4</v>
      </c>
      <c r="KQ39" s="226"/>
      <c r="KR39" s="226"/>
      <c r="KS39" s="226"/>
      <c r="KT39" s="226"/>
      <c r="KU39" s="226"/>
      <c r="KV39" s="305">
        <f>KV37/41824.653</f>
        <v>4.2293237914012104E-4</v>
      </c>
      <c r="KW39" s="305"/>
      <c r="KX39" s="329">
        <v>1E-4</v>
      </c>
      <c r="KY39" s="330">
        <v>2.1000000000000001E-2</v>
      </c>
      <c r="KZ39" s="305">
        <v>2.0000000000000001E-4</v>
      </c>
      <c r="LA39" s="305">
        <f>+LA37/1163.8</f>
        <v>4.296270836913559E-4</v>
      </c>
      <c r="LB39" s="305">
        <v>6.9999999999999999E-4</v>
      </c>
      <c r="LC39" s="318">
        <v>3.5999999999999999E-3</v>
      </c>
      <c r="LD39" s="305">
        <v>1E-4</v>
      </c>
      <c r="LE39" s="305">
        <v>1E-3</v>
      </c>
      <c r="LF39" s="305">
        <v>2.9999999999999997E-4</v>
      </c>
      <c r="LG39" s="305">
        <v>4.0000000000000002E-4</v>
      </c>
      <c r="LH39" s="305">
        <v>2.0000000000000001E-4</v>
      </c>
      <c r="LI39" s="305">
        <v>4.2000000000000003E-2</v>
      </c>
      <c r="LJ39" s="305">
        <v>4.7000000000000002E-3</v>
      </c>
      <c r="LK39" s="305">
        <v>3.8000000000000002E-4</v>
      </c>
      <c r="LL39" s="301">
        <v>100</v>
      </c>
      <c r="LM39" s="226"/>
      <c r="LN39" s="305">
        <f>LN37/4049.1*100%</f>
        <v>8.0264750191400567E-5</v>
      </c>
      <c r="LO39" s="305">
        <v>1</v>
      </c>
      <c r="LP39" s="305">
        <v>5.9999999999999995E-4</v>
      </c>
      <c r="LQ39" s="305">
        <v>4.1000000000000003E-3</v>
      </c>
      <c r="LR39" s="305">
        <v>8.8000000000000005E-3</v>
      </c>
      <c r="LS39" s="305">
        <v>5.8675715328812105E-4</v>
      </c>
      <c r="LT39" s="311">
        <v>1.2999999999999999E-3</v>
      </c>
      <c r="LU39" s="305"/>
      <c r="LV39" s="305">
        <v>1.7000000000000001E-2</v>
      </c>
      <c r="LW39" s="305">
        <v>9.4E-2</v>
      </c>
      <c r="LX39" s="305">
        <f>LX37/45.165</f>
        <v>0.228052695671427</v>
      </c>
      <c r="LY39" s="305">
        <v>0.29399999999999998</v>
      </c>
      <c r="LZ39" s="305">
        <v>1</v>
      </c>
      <c r="MA39" s="305">
        <v>0</v>
      </c>
      <c r="MB39" s="305">
        <v>1</v>
      </c>
      <c r="MC39" s="305">
        <v>1.6000000000000001E-3</v>
      </c>
      <c r="MD39" s="305">
        <v>1.4E-3</v>
      </c>
      <c r="ME39" s="305"/>
      <c r="MF39" s="305"/>
      <c r="MG39" s="226"/>
      <c r="MH39" s="226"/>
      <c r="MI39" s="226"/>
      <c r="MJ39" s="313">
        <v>8.0000000000000004E-4</v>
      </c>
      <c r="MK39" s="313"/>
      <c r="ML39" s="313">
        <f>20.6841728/4075.99976354</f>
        <v>5.074625613333163E-3</v>
      </c>
      <c r="MM39" s="313">
        <v>6.9999999999999999E-4</v>
      </c>
      <c r="MN39" s="314">
        <v>3.5999999999999999E-3</v>
      </c>
      <c r="MO39" s="314">
        <v>3.8E-3</v>
      </c>
      <c r="MP39" s="314">
        <v>0.16520000000000001</v>
      </c>
      <c r="MQ39" s="314">
        <f>MQ33/13020.530823</f>
        <v>1.7981259019519472E-3</v>
      </c>
      <c r="MR39" s="314">
        <v>3.5E-4</v>
      </c>
      <c r="MS39" s="314">
        <v>4.6999999999999999E-4</v>
      </c>
      <c r="MT39" s="313">
        <v>1.6999999999999999E-3</v>
      </c>
      <c r="MU39" s="314">
        <v>2.0999999999999999E-3</v>
      </c>
      <c r="MV39" s="313">
        <f>MV37/15418</f>
        <v>3.2211700609677003E-3</v>
      </c>
      <c r="MW39" s="313">
        <v>5.0000000000000001E-4</v>
      </c>
      <c r="MX39" s="226"/>
      <c r="MY39" s="226"/>
      <c r="MZ39" s="226"/>
      <c r="NA39" s="226"/>
    </row>
    <row r="40" spans="1:365" ht="85" x14ac:dyDescent="0.2">
      <c r="A40" s="1216" t="s">
        <v>73</v>
      </c>
      <c r="B40" s="201" t="s">
        <v>74</v>
      </c>
      <c r="C40" s="202" t="s">
        <v>75</v>
      </c>
      <c r="D40" s="219" t="s">
        <v>57</v>
      </c>
      <c r="E40" s="294">
        <v>0</v>
      </c>
      <c r="F40" s="294">
        <v>0</v>
      </c>
      <c r="G40" s="294">
        <v>0.26900000000000002</v>
      </c>
      <c r="H40" s="294">
        <v>0.15928500000000001</v>
      </c>
      <c r="I40" s="299">
        <v>0.08</v>
      </c>
      <c r="J40" s="294">
        <v>0.03</v>
      </c>
      <c r="K40" s="294">
        <v>0</v>
      </c>
      <c r="L40" s="294">
        <v>0</v>
      </c>
      <c r="M40" s="294">
        <v>0</v>
      </c>
      <c r="N40" s="294">
        <v>0</v>
      </c>
      <c r="O40" s="294">
        <v>0.57995799999999997</v>
      </c>
      <c r="P40" s="437">
        <v>2.7E-2</v>
      </c>
      <c r="Q40" s="294">
        <v>0</v>
      </c>
      <c r="R40" s="294">
        <v>5.3865999999999997E-2</v>
      </c>
      <c r="S40" s="294">
        <v>0</v>
      </c>
      <c r="T40" s="294">
        <v>6.1450000000000003E-3</v>
      </c>
      <c r="U40" s="294">
        <v>0</v>
      </c>
      <c r="V40" s="294" t="s">
        <v>6351</v>
      </c>
      <c r="W40" s="226"/>
      <c r="X40" s="226"/>
      <c r="Y40" s="226"/>
      <c r="Z40" s="226"/>
      <c r="AA40" s="226"/>
      <c r="AB40" s="226"/>
      <c r="AC40" s="226"/>
      <c r="AD40" s="226"/>
      <c r="AE40" s="226"/>
      <c r="AF40" s="294">
        <v>0.42936999999999997</v>
      </c>
      <c r="AG40" s="225"/>
      <c r="AH40" s="226"/>
      <c r="AI40" s="294">
        <v>0.01</v>
      </c>
      <c r="AJ40" s="294">
        <v>0.48399999999999999</v>
      </c>
      <c r="AK40" s="296">
        <v>0.46500000000000002</v>
      </c>
      <c r="AL40" s="294">
        <v>5.3999999999999999E-2</v>
      </c>
      <c r="AM40" s="226"/>
      <c r="AN40" s="226"/>
      <c r="AO40" s="226"/>
      <c r="AP40" s="226"/>
      <c r="AQ40" s="294">
        <v>0</v>
      </c>
      <c r="AR40" s="294">
        <v>0</v>
      </c>
      <c r="AS40" s="294">
        <v>6.0000000000000001E-3</v>
      </c>
      <c r="AT40" s="294">
        <v>0</v>
      </c>
      <c r="AU40" s="294">
        <v>0</v>
      </c>
      <c r="AV40" s="294">
        <v>0</v>
      </c>
      <c r="AW40" s="294">
        <v>0</v>
      </c>
      <c r="AX40" s="294"/>
      <c r="AY40" s="296" t="s">
        <v>2234</v>
      </c>
      <c r="AZ40" s="294">
        <v>0</v>
      </c>
      <c r="BA40" s="294"/>
      <c r="BB40" s="294">
        <v>0</v>
      </c>
      <c r="BC40" s="294">
        <v>0</v>
      </c>
      <c r="BD40" s="294"/>
      <c r="BE40" s="296">
        <v>0</v>
      </c>
      <c r="BF40" s="294">
        <v>0</v>
      </c>
      <c r="BG40" s="294"/>
      <c r="BH40" s="294">
        <v>0</v>
      </c>
      <c r="BI40" s="294" t="s">
        <v>656</v>
      </c>
      <c r="BJ40" s="294">
        <v>0</v>
      </c>
      <c r="BK40" s="294">
        <v>0.20300000000000001</v>
      </c>
      <c r="BL40" s="294">
        <v>0</v>
      </c>
      <c r="BM40" s="294">
        <v>0</v>
      </c>
      <c r="BN40" s="226"/>
      <c r="BO40" s="294">
        <v>0</v>
      </c>
      <c r="BP40" s="294">
        <v>0</v>
      </c>
      <c r="BQ40" s="294">
        <v>0</v>
      </c>
      <c r="BR40" s="294">
        <v>0</v>
      </c>
      <c r="BS40" s="294">
        <v>6.3E-3</v>
      </c>
      <c r="BT40" s="294"/>
      <c r="BU40" s="294">
        <v>0</v>
      </c>
      <c r="BV40" s="294">
        <v>0</v>
      </c>
      <c r="BW40" s="294">
        <v>0</v>
      </c>
      <c r="BX40" s="294">
        <v>0</v>
      </c>
      <c r="BY40" s="294">
        <v>0</v>
      </c>
      <c r="BZ40" s="294">
        <v>0</v>
      </c>
      <c r="CA40" s="294">
        <v>0</v>
      </c>
      <c r="CB40" s="294">
        <v>0</v>
      </c>
      <c r="CC40" s="294">
        <v>0</v>
      </c>
      <c r="CD40" s="296">
        <v>1E-3</v>
      </c>
      <c r="CE40" s="296">
        <v>0</v>
      </c>
      <c r="CF40" s="296"/>
      <c r="CG40" s="296">
        <v>0</v>
      </c>
      <c r="CH40" s="296"/>
      <c r="CI40" s="296">
        <v>0</v>
      </c>
      <c r="CJ40" s="296">
        <v>0</v>
      </c>
      <c r="CK40" s="296"/>
      <c r="CL40" s="296">
        <v>0</v>
      </c>
      <c r="CM40" s="296"/>
      <c r="CN40" s="294">
        <v>0.28599999999999998</v>
      </c>
      <c r="CO40" s="294" t="s">
        <v>656</v>
      </c>
      <c r="CP40" s="294">
        <v>0</v>
      </c>
      <c r="CQ40" s="438">
        <v>0.02</v>
      </c>
      <c r="CR40" s="439"/>
      <c r="CS40" s="294">
        <v>0</v>
      </c>
      <c r="CT40" s="294">
        <v>0</v>
      </c>
      <c r="CU40" s="294">
        <v>0</v>
      </c>
      <c r="CV40" s="294">
        <v>0</v>
      </c>
      <c r="CW40" s="294" t="s">
        <v>656</v>
      </c>
      <c r="CX40" s="294">
        <v>0.01</v>
      </c>
      <c r="CY40" s="294">
        <v>0</v>
      </c>
      <c r="CZ40" s="294">
        <v>0</v>
      </c>
      <c r="DA40" s="294">
        <v>103.97653</v>
      </c>
      <c r="DB40" s="294">
        <v>0</v>
      </c>
      <c r="DC40" s="294">
        <v>0</v>
      </c>
      <c r="DD40" s="294">
        <v>0</v>
      </c>
      <c r="DE40" s="294">
        <v>0</v>
      </c>
      <c r="DF40" s="294">
        <v>3.5</v>
      </c>
      <c r="DG40" s="294">
        <v>0</v>
      </c>
      <c r="DH40" s="294">
        <v>3.5000000000000003E-2</v>
      </c>
      <c r="DI40" s="294">
        <v>0</v>
      </c>
      <c r="DJ40" s="294">
        <v>0</v>
      </c>
      <c r="DK40" s="294">
        <v>0</v>
      </c>
      <c r="DL40" s="294">
        <v>0</v>
      </c>
      <c r="DM40" s="294"/>
      <c r="DN40" s="294"/>
      <c r="DO40" s="294"/>
      <c r="DP40" s="294">
        <v>0</v>
      </c>
      <c r="DQ40" s="294">
        <v>0</v>
      </c>
      <c r="DR40" s="294">
        <v>0</v>
      </c>
      <c r="DS40" s="294">
        <v>0</v>
      </c>
      <c r="DT40" s="294">
        <v>0</v>
      </c>
      <c r="DU40" s="294">
        <v>0</v>
      </c>
      <c r="DV40" s="294">
        <v>0</v>
      </c>
      <c r="DW40" s="246" t="s">
        <v>2234</v>
      </c>
      <c r="DX40" s="294">
        <v>0</v>
      </c>
      <c r="DY40" s="294">
        <v>1.7589999999999999</v>
      </c>
      <c r="DZ40" s="294">
        <v>0.30099999999999999</v>
      </c>
      <c r="EA40" s="294">
        <v>1.5860000000000001</v>
      </c>
      <c r="EB40" s="294"/>
      <c r="EC40" s="226"/>
      <c r="ED40" s="294">
        <v>0</v>
      </c>
      <c r="EE40" s="294">
        <v>0</v>
      </c>
      <c r="EF40" s="294">
        <v>5.6000000000000001E-2</v>
      </c>
      <c r="EG40" s="226"/>
      <c r="EH40" s="294"/>
      <c r="EI40" s="294">
        <f>0/1000000</f>
        <v>0</v>
      </c>
      <c r="EJ40" s="226"/>
      <c r="EK40" s="226"/>
      <c r="EL40" s="226"/>
      <c r="EM40" s="226"/>
      <c r="EN40" s="226"/>
      <c r="EO40" s="226"/>
      <c r="EP40" s="226"/>
      <c r="EQ40" s="226"/>
      <c r="ER40" s="294" t="s">
        <v>470</v>
      </c>
      <c r="ES40" s="294"/>
      <c r="ET40" s="294">
        <v>2.0920000000000001</v>
      </c>
      <c r="EU40" s="294">
        <v>0.108</v>
      </c>
      <c r="EV40" s="294">
        <v>0.159</v>
      </c>
      <c r="EW40" s="322">
        <v>0</v>
      </c>
      <c r="EX40" s="322">
        <v>0</v>
      </c>
      <c r="EY40" s="294">
        <v>0</v>
      </c>
      <c r="EZ40" s="296">
        <v>0</v>
      </c>
      <c r="FA40" s="294">
        <v>0</v>
      </c>
      <c r="FB40" s="294">
        <v>0</v>
      </c>
      <c r="FC40" s="294">
        <v>0</v>
      </c>
      <c r="FD40" s="226"/>
      <c r="FE40" s="440">
        <v>0</v>
      </c>
      <c r="FF40" s="294">
        <v>7.4999999999999997E-2</v>
      </c>
      <c r="FG40" s="294">
        <f>0.067+0.02+0.02</f>
        <v>0.10700000000000001</v>
      </c>
      <c r="FH40" s="294">
        <v>0.48</v>
      </c>
      <c r="FI40" s="439">
        <v>0.05</v>
      </c>
      <c r="FJ40" s="439">
        <v>0</v>
      </c>
      <c r="FK40" s="439"/>
      <c r="FL40" s="439">
        <v>0.52</v>
      </c>
      <c r="FM40" s="294">
        <v>0</v>
      </c>
      <c r="FN40" s="294"/>
      <c r="FO40" s="439"/>
      <c r="FP40" s="439"/>
      <c r="FQ40" s="439"/>
      <c r="FR40" s="439"/>
      <c r="FS40" s="439"/>
      <c r="FT40" s="439"/>
      <c r="FU40" s="226"/>
      <c r="FV40" s="439">
        <v>0.02</v>
      </c>
      <c r="FW40" s="439"/>
      <c r="FX40" s="439">
        <v>0</v>
      </c>
      <c r="FY40" s="226"/>
      <c r="FZ40" s="439">
        <v>5.7500000000000002E-2</v>
      </c>
      <c r="GA40" s="439"/>
      <c r="GB40" s="439"/>
      <c r="GC40" s="439"/>
      <c r="GD40" s="439">
        <v>2.8400000000000002E-2</v>
      </c>
      <c r="GE40" s="439"/>
      <c r="GF40" s="439"/>
      <c r="GG40" s="394" t="s">
        <v>4906</v>
      </c>
      <c r="GH40" s="394" t="s">
        <v>4906</v>
      </c>
      <c r="GI40" s="226"/>
      <c r="GJ40" s="439"/>
      <c r="GK40" s="439">
        <v>0.12</v>
      </c>
      <c r="GL40" s="439"/>
      <c r="GM40" s="439"/>
      <c r="GN40" s="439"/>
      <c r="GO40" s="226"/>
      <c r="GP40" s="439"/>
      <c r="GQ40" s="226"/>
      <c r="GR40" s="439"/>
      <c r="GS40" s="439"/>
      <c r="GT40" s="439"/>
      <c r="GU40" s="439"/>
      <c r="GV40" s="439"/>
      <c r="GW40" s="226"/>
      <c r="GX40" s="294">
        <v>1.7999999999999999E-2</v>
      </c>
      <c r="GY40" s="294"/>
      <c r="GZ40" s="439"/>
      <c r="HA40" s="294">
        <v>16.5</v>
      </c>
      <c r="HB40" s="294">
        <v>7.9920000000000005E-2</v>
      </c>
      <c r="HC40" s="294"/>
      <c r="HD40" s="294">
        <v>2.2786799999999999E-2</v>
      </c>
      <c r="HE40" s="294"/>
      <c r="HF40" s="226"/>
      <c r="HG40" s="295">
        <v>0</v>
      </c>
      <c r="HH40" s="295">
        <v>0</v>
      </c>
      <c r="HI40" s="295">
        <v>0</v>
      </c>
      <c r="HJ40" s="294">
        <v>0</v>
      </c>
      <c r="HK40" s="295" t="s">
        <v>656</v>
      </c>
      <c r="HL40" s="226"/>
      <c r="HM40" s="294">
        <v>6.9390000000000001</v>
      </c>
      <c r="HN40" s="226"/>
      <c r="HO40" s="294">
        <v>0</v>
      </c>
      <c r="HP40" s="294">
        <v>0</v>
      </c>
      <c r="HQ40" s="294">
        <v>0</v>
      </c>
      <c r="HR40" s="294">
        <v>0</v>
      </c>
      <c r="HS40" s="294">
        <v>0</v>
      </c>
      <c r="HT40" s="294">
        <v>0</v>
      </c>
      <c r="HU40" s="294">
        <v>0</v>
      </c>
      <c r="HV40" s="294">
        <v>0</v>
      </c>
      <c r="HW40" s="294">
        <v>0</v>
      </c>
      <c r="HX40" s="294">
        <v>0</v>
      </c>
      <c r="HY40" s="294"/>
      <c r="HZ40" s="294">
        <v>0</v>
      </c>
      <c r="IA40" s="294"/>
      <c r="IB40" s="294">
        <v>0</v>
      </c>
      <c r="IC40" s="294">
        <v>0</v>
      </c>
      <c r="ID40" s="294"/>
      <c r="IE40" s="294"/>
      <c r="IF40" s="294"/>
      <c r="IG40" s="294"/>
      <c r="IH40" s="296"/>
      <c r="II40" s="294"/>
      <c r="IJ40" s="294"/>
      <c r="IK40" s="294"/>
      <c r="IL40" s="294"/>
      <c r="IM40" s="294"/>
      <c r="IN40" s="294"/>
      <c r="IO40" s="294"/>
      <c r="IP40" s="294"/>
      <c r="IQ40" s="294"/>
      <c r="IR40" s="294">
        <v>0</v>
      </c>
      <c r="IS40" s="294"/>
      <c r="IT40" s="294"/>
      <c r="IU40" s="294"/>
      <c r="IV40" s="294"/>
      <c r="IW40" s="294"/>
      <c r="IX40" s="294">
        <v>0</v>
      </c>
      <c r="IY40" s="294">
        <v>0</v>
      </c>
      <c r="IZ40" s="294"/>
      <c r="JA40" s="294">
        <v>0.21</v>
      </c>
      <c r="JB40" s="294"/>
      <c r="JC40" s="294">
        <v>0.61199999999999999</v>
      </c>
      <c r="JD40" s="294">
        <v>0</v>
      </c>
      <c r="JE40" s="226"/>
      <c r="JF40" s="226"/>
      <c r="JG40" s="226"/>
      <c r="JH40" s="294">
        <v>8.1000000000000003E-2</v>
      </c>
      <c r="JI40" s="294">
        <v>0.39400000000000002</v>
      </c>
      <c r="JJ40" s="294">
        <v>5.6539999999999999</v>
      </c>
      <c r="JK40" s="298">
        <v>0.17630000000000001</v>
      </c>
      <c r="JL40" s="294">
        <v>0</v>
      </c>
      <c r="JM40" s="294">
        <v>0</v>
      </c>
      <c r="JN40" s="226"/>
      <c r="JO40" s="226"/>
      <c r="JP40" s="226"/>
      <c r="JQ40" s="294" t="s">
        <v>656</v>
      </c>
      <c r="JR40" s="294">
        <v>0</v>
      </c>
      <c r="JS40" s="294"/>
      <c r="JT40" s="294"/>
      <c r="JU40" s="294" t="s">
        <v>656</v>
      </c>
      <c r="JV40" s="294"/>
      <c r="JW40" s="294" t="s">
        <v>656</v>
      </c>
      <c r="JX40" s="294"/>
      <c r="JY40" s="294"/>
      <c r="JZ40" s="294">
        <v>0</v>
      </c>
      <c r="KA40" s="294"/>
      <c r="KB40" s="294">
        <v>0</v>
      </c>
      <c r="KC40" s="294"/>
      <c r="KD40" s="294"/>
      <c r="KE40" s="232"/>
      <c r="KF40" s="294"/>
      <c r="KG40" s="294" t="s">
        <v>656</v>
      </c>
      <c r="KH40" s="294"/>
      <c r="KI40" s="294"/>
      <c r="KJ40" s="294">
        <v>0.30199999999999999</v>
      </c>
      <c r="KK40" s="294"/>
      <c r="KL40" s="294"/>
      <c r="KM40" s="294"/>
      <c r="KN40" s="320"/>
      <c r="KO40" s="294"/>
      <c r="KP40" s="294">
        <f>0.446+0.388</f>
        <v>0.83400000000000007</v>
      </c>
      <c r="KQ40" s="226"/>
      <c r="KR40" s="226"/>
      <c r="KS40" s="226"/>
      <c r="KT40" s="226"/>
      <c r="KU40" s="226"/>
      <c r="KV40" s="294" t="s">
        <v>656</v>
      </c>
      <c r="KW40" s="294">
        <f>182800/1000000</f>
        <v>0.18279999999999999</v>
      </c>
      <c r="KX40" s="802"/>
      <c r="KY40" s="803"/>
      <c r="KZ40" s="294"/>
      <c r="LA40" s="294">
        <v>0</v>
      </c>
      <c r="LB40" s="294">
        <v>0</v>
      </c>
      <c r="LC40" s="294">
        <v>0</v>
      </c>
      <c r="LD40" s="294">
        <v>0</v>
      </c>
      <c r="LE40" s="294">
        <v>0</v>
      </c>
      <c r="LF40" s="294"/>
      <c r="LG40" s="294"/>
      <c r="LH40" s="294"/>
      <c r="LI40" s="294">
        <v>0</v>
      </c>
      <c r="LJ40" s="294">
        <v>0</v>
      </c>
      <c r="LK40" s="294">
        <v>6.0699999999999997E-2</v>
      </c>
      <c r="LL40" s="321">
        <f>10/19564.265*100</f>
        <v>5.1113599207534756E-2</v>
      </c>
      <c r="LM40" s="226"/>
      <c r="LN40" s="294">
        <v>0</v>
      </c>
      <c r="LO40" s="294">
        <v>0</v>
      </c>
      <c r="LP40" s="294">
        <v>0</v>
      </c>
      <c r="LQ40" s="294">
        <v>0.41899999999999998</v>
      </c>
      <c r="LR40" s="294">
        <v>0</v>
      </c>
      <c r="LS40" s="294">
        <v>0</v>
      </c>
      <c r="LT40" s="302">
        <v>0</v>
      </c>
      <c r="LU40" s="294">
        <v>8.8999999999999996E-2</v>
      </c>
      <c r="LV40" s="294">
        <v>0</v>
      </c>
      <c r="LW40" s="294"/>
      <c r="LX40" s="294">
        <v>0.05</v>
      </c>
      <c r="LY40" s="294">
        <v>3.9E-2</v>
      </c>
      <c r="LZ40" s="294"/>
      <c r="MA40" s="294"/>
      <c r="MB40" s="294">
        <v>0</v>
      </c>
      <c r="MC40" s="294">
        <v>0</v>
      </c>
      <c r="MD40" s="294">
        <v>0</v>
      </c>
      <c r="ME40" s="294">
        <v>0</v>
      </c>
      <c r="MF40" s="294">
        <v>0</v>
      </c>
      <c r="MG40" s="226"/>
      <c r="MH40" s="226"/>
      <c r="MI40" s="226"/>
      <c r="MJ40" s="303">
        <v>0</v>
      </c>
      <c r="MK40" s="303"/>
      <c r="ML40" s="303">
        <v>0.54177038</v>
      </c>
      <c r="MM40" s="303">
        <v>0</v>
      </c>
      <c r="MN40" s="304">
        <v>6.7000000000000004E-2</v>
      </c>
      <c r="MO40" s="304">
        <v>1.1579999999999999</v>
      </c>
      <c r="MP40" s="304">
        <v>0</v>
      </c>
      <c r="MQ40" s="304">
        <v>0</v>
      </c>
      <c r="MR40" s="304">
        <v>0.04</v>
      </c>
      <c r="MS40" s="304">
        <v>0.06</v>
      </c>
      <c r="MT40" s="303"/>
      <c r="MU40" s="304"/>
      <c r="MV40" s="303">
        <f>5000/1000000</f>
        <v>5.0000000000000001E-3</v>
      </c>
      <c r="MW40" s="303"/>
      <c r="MX40" s="226"/>
      <c r="MY40" s="226"/>
      <c r="MZ40" s="226"/>
      <c r="NA40" s="226"/>
    </row>
    <row r="41" spans="1:365" ht="221" x14ac:dyDescent="0.2">
      <c r="A41" s="1216"/>
      <c r="B41" s="201" t="s">
        <v>6350</v>
      </c>
      <c r="C41" s="202" t="s">
        <v>63</v>
      </c>
      <c r="D41" s="215" t="s">
        <v>64</v>
      </c>
      <c r="E41" s="305">
        <v>0</v>
      </c>
      <c r="F41" s="305">
        <v>0</v>
      </c>
      <c r="G41" s="305">
        <f>G40/G33</f>
        <v>0.25</v>
      </c>
      <c r="H41" s="305">
        <f>H40/H33</f>
        <v>8.0105187563366001E-2</v>
      </c>
      <c r="I41" s="305">
        <f>I40/I33</f>
        <v>0.21621621621621623</v>
      </c>
      <c r="J41" s="305">
        <f>J40/J33</f>
        <v>9.0634441087613288E-2</v>
      </c>
      <c r="K41" s="305">
        <v>0</v>
      </c>
      <c r="L41" s="305">
        <v>0</v>
      </c>
      <c r="M41" s="305">
        <v>0</v>
      </c>
      <c r="N41" s="305">
        <v>0</v>
      </c>
      <c r="O41" s="305">
        <f>O40/O33*100%</f>
        <v>0.14996953846376629</v>
      </c>
      <c r="P41" s="442">
        <v>8.2599999999999993E-2</v>
      </c>
      <c r="Q41" s="305">
        <v>0</v>
      </c>
      <c r="R41" s="305">
        <f>R40/R33</f>
        <v>6.0003533420116745E-2</v>
      </c>
      <c r="S41" s="305">
        <v>0</v>
      </c>
      <c r="T41" s="305">
        <v>0.03</v>
      </c>
      <c r="U41" s="305">
        <v>0</v>
      </c>
      <c r="V41" s="305">
        <v>0</v>
      </c>
      <c r="W41" s="226"/>
      <c r="X41" s="226"/>
      <c r="Y41" s="226"/>
      <c r="Z41" s="226"/>
      <c r="AA41" s="226"/>
      <c r="AB41" s="226"/>
      <c r="AC41" s="226"/>
      <c r="AD41" s="226"/>
      <c r="AE41" s="226"/>
      <c r="AF41" s="305">
        <f>AF40/AF33</f>
        <v>4.9999592429434976E-2</v>
      </c>
      <c r="AG41" s="225"/>
      <c r="AH41" s="226"/>
      <c r="AI41" s="305">
        <v>0.05</v>
      </c>
      <c r="AJ41" s="254">
        <v>45.5</v>
      </c>
      <c r="AK41" s="317">
        <v>4.9500000000000002E-2</v>
      </c>
      <c r="AL41" s="305">
        <v>1.1599999999999999E-2</v>
      </c>
      <c r="AM41" s="226"/>
      <c r="AN41" s="226"/>
      <c r="AO41" s="226"/>
      <c r="AP41" s="226"/>
      <c r="AQ41" s="305">
        <v>0</v>
      </c>
      <c r="AR41" s="305"/>
      <c r="AS41" s="305">
        <v>7.0000000000000001E-3</v>
      </c>
      <c r="AT41" s="305">
        <v>0</v>
      </c>
      <c r="AU41" s="305">
        <v>0</v>
      </c>
      <c r="AV41" s="305">
        <v>0</v>
      </c>
      <c r="AW41" s="305">
        <v>0</v>
      </c>
      <c r="AX41" s="305"/>
      <c r="AY41" s="317" t="s">
        <v>2234</v>
      </c>
      <c r="AZ41" s="305">
        <v>0</v>
      </c>
      <c r="BA41" s="305"/>
      <c r="BB41" s="305"/>
      <c r="BC41" s="305">
        <v>0</v>
      </c>
      <c r="BD41" s="305"/>
      <c r="BE41" s="317">
        <v>0</v>
      </c>
      <c r="BF41" s="305">
        <v>0</v>
      </c>
      <c r="BG41" s="305"/>
      <c r="BH41" s="305">
        <v>0</v>
      </c>
      <c r="BI41" s="305" t="s">
        <v>656</v>
      </c>
      <c r="BJ41" s="305">
        <v>0</v>
      </c>
      <c r="BK41" s="305">
        <v>7.4999999999999997E-3</v>
      </c>
      <c r="BL41" s="305">
        <v>0</v>
      </c>
      <c r="BM41" s="305"/>
      <c r="BN41" s="226"/>
      <c r="BO41" s="305">
        <v>0</v>
      </c>
      <c r="BP41" s="305">
        <v>0</v>
      </c>
      <c r="BQ41" s="305">
        <v>0</v>
      </c>
      <c r="BR41" s="443">
        <v>0</v>
      </c>
      <c r="BS41" s="305">
        <v>0.03</v>
      </c>
      <c r="BT41" s="305"/>
      <c r="BU41" s="305">
        <v>0</v>
      </c>
      <c r="BV41" s="305">
        <v>0</v>
      </c>
      <c r="BW41" s="305"/>
      <c r="BX41" s="305">
        <v>0</v>
      </c>
      <c r="BY41" s="305">
        <v>0</v>
      </c>
      <c r="BZ41" s="305">
        <v>0</v>
      </c>
      <c r="CA41" s="305">
        <v>0</v>
      </c>
      <c r="CB41" s="305">
        <v>0</v>
      </c>
      <c r="CC41" s="305">
        <v>1.0329999999999999</v>
      </c>
      <c r="CD41" s="317"/>
      <c r="CE41" s="317">
        <v>0</v>
      </c>
      <c r="CF41" s="317"/>
      <c r="CG41" s="317">
        <v>0</v>
      </c>
      <c r="CH41" s="317"/>
      <c r="CI41" s="317">
        <v>0</v>
      </c>
      <c r="CJ41" s="317">
        <v>0</v>
      </c>
      <c r="CK41" s="317"/>
      <c r="CL41" s="317">
        <v>0</v>
      </c>
      <c r="CM41" s="317"/>
      <c r="CN41" s="305">
        <v>0.20085500000000001</v>
      </c>
      <c r="CO41" s="305" t="s">
        <v>656</v>
      </c>
      <c r="CP41" s="305">
        <v>0</v>
      </c>
      <c r="CQ41" s="444">
        <v>0.2</v>
      </c>
      <c r="CR41" s="445"/>
      <c r="CS41" s="305"/>
      <c r="CT41" s="305">
        <v>0</v>
      </c>
      <c r="CU41" s="305">
        <v>0</v>
      </c>
      <c r="CV41" s="305">
        <v>0</v>
      </c>
      <c r="CW41" s="305" t="s">
        <v>656</v>
      </c>
      <c r="CX41" s="305">
        <v>1.5E-3</v>
      </c>
      <c r="CY41" s="305"/>
      <c r="CZ41" s="305">
        <v>0</v>
      </c>
      <c r="DA41" s="305">
        <v>7.85E-2</v>
      </c>
      <c r="DB41" s="305">
        <v>0</v>
      </c>
      <c r="DC41" s="305">
        <v>0</v>
      </c>
      <c r="DD41" s="305">
        <v>0</v>
      </c>
      <c r="DE41" s="305">
        <v>0</v>
      </c>
      <c r="DF41" s="305">
        <v>0.1</v>
      </c>
      <c r="DG41" s="305"/>
      <c r="DH41" s="305">
        <v>3.9E-2</v>
      </c>
      <c r="DI41" s="305">
        <v>0</v>
      </c>
      <c r="DJ41" s="305">
        <v>0</v>
      </c>
      <c r="DK41" s="305"/>
      <c r="DL41" s="305">
        <v>0</v>
      </c>
      <c r="DM41" s="305"/>
      <c r="DN41" s="305"/>
      <c r="DO41" s="305"/>
      <c r="DP41" s="305">
        <v>0</v>
      </c>
      <c r="DQ41" s="305">
        <v>0</v>
      </c>
      <c r="DR41" s="305">
        <v>0</v>
      </c>
      <c r="DS41" s="305">
        <v>0</v>
      </c>
      <c r="DT41" s="305">
        <v>0</v>
      </c>
      <c r="DU41" s="305">
        <v>0</v>
      </c>
      <c r="DV41" s="305">
        <v>0</v>
      </c>
      <c r="DW41" s="246" t="s">
        <v>2234</v>
      </c>
      <c r="DX41" s="305">
        <v>0</v>
      </c>
      <c r="DY41" s="305">
        <v>3.8399999999999997E-2</v>
      </c>
      <c r="DZ41" s="305">
        <v>2.7199999999999998E-2</v>
      </c>
      <c r="EA41" s="305">
        <v>0.48470000000000002</v>
      </c>
      <c r="EB41" s="305"/>
      <c r="EC41" s="226"/>
      <c r="ED41" s="305">
        <v>0</v>
      </c>
      <c r="EE41" s="305" t="s">
        <v>64</v>
      </c>
      <c r="EF41" s="305">
        <v>0.03</v>
      </c>
      <c r="EG41" s="226"/>
      <c r="EH41" s="305"/>
      <c r="EI41" s="305">
        <v>0</v>
      </c>
      <c r="EJ41" s="226"/>
      <c r="EK41" s="226"/>
      <c r="EL41" s="226"/>
      <c r="EM41" s="226"/>
      <c r="EN41" s="226"/>
      <c r="EO41" s="226"/>
      <c r="EP41" s="226"/>
      <c r="EQ41" s="226"/>
      <c r="ER41" s="305"/>
      <c r="ES41" s="305"/>
      <c r="ET41" s="305">
        <f>ET40/ET33</f>
        <v>0.14813765755558703</v>
      </c>
      <c r="EU41" s="305">
        <f>EU40/EU33</f>
        <v>0.15450643776824033</v>
      </c>
      <c r="EV41" s="305">
        <f>EV40/EV33</f>
        <v>0.3</v>
      </c>
      <c r="EW41" s="305"/>
      <c r="EX41" s="305"/>
      <c r="EY41" s="305"/>
      <c r="EZ41" s="317"/>
      <c r="FA41" s="305">
        <v>0</v>
      </c>
      <c r="FB41" s="305">
        <v>0</v>
      </c>
      <c r="FC41" s="305"/>
      <c r="FD41" s="226"/>
      <c r="FE41" s="446"/>
      <c r="FF41" s="305">
        <f>FF40/FF33</f>
        <v>0.51724137931034475</v>
      </c>
      <c r="FG41" s="305">
        <f>FG40/FG33</f>
        <v>2.2338204592901881E-2</v>
      </c>
      <c r="FH41" s="305">
        <f>FH40/FH33</f>
        <v>4.7711009643488428E-2</v>
      </c>
      <c r="FI41" s="445">
        <v>1.7000000000000001E-2</v>
      </c>
      <c r="FJ41" s="445">
        <v>0</v>
      </c>
      <c r="FK41" s="445"/>
      <c r="FL41" s="445">
        <v>0.25</v>
      </c>
      <c r="FM41" s="305">
        <v>0</v>
      </c>
      <c r="FN41" s="305"/>
      <c r="FO41" s="445"/>
      <c r="FP41" s="445"/>
      <c r="FQ41" s="445"/>
      <c r="FR41" s="445"/>
      <c r="FS41" s="445"/>
      <c r="FT41" s="445"/>
      <c r="FU41" s="226"/>
      <c r="FV41" s="445">
        <v>0.1</v>
      </c>
      <c r="FW41" s="445"/>
      <c r="FX41" s="445"/>
      <c r="FY41" s="226"/>
      <c r="FZ41" s="445">
        <v>9.1999999999999998E-2</v>
      </c>
      <c r="GA41" s="445"/>
      <c r="GB41" s="445"/>
      <c r="GC41" s="445"/>
      <c r="GD41" s="445">
        <v>0.04</v>
      </c>
      <c r="GE41" s="445"/>
      <c r="GF41" s="445"/>
      <c r="GG41" s="394" t="s">
        <v>4906</v>
      </c>
      <c r="GH41" s="394" t="s">
        <v>4906</v>
      </c>
      <c r="GI41" s="226"/>
      <c r="GJ41" s="445"/>
      <c r="GK41" s="445">
        <f>GK40/GK33</f>
        <v>5.0398992020159593E-2</v>
      </c>
      <c r="GL41" s="445"/>
      <c r="GM41" s="445"/>
      <c r="GN41" s="445"/>
      <c r="GO41" s="226"/>
      <c r="GP41" s="445"/>
      <c r="GQ41" s="226"/>
      <c r="GR41" s="445"/>
      <c r="GS41" s="445"/>
      <c r="GT41" s="445"/>
      <c r="GU41" s="445"/>
      <c r="GV41" s="445"/>
      <c r="GW41" s="226"/>
      <c r="GX41" s="305">
        <f>GX40/GX33</f>
        <v>0.15254237288135591</v>
      </c>
      <c r="GY41" s="312"/>
      <c r="GZ41" s="445"/>
      <c r="HA41" s="305">
        <v>0.49</v>
      </c>
      <c r="HB41" s="305">
        <v>7.4999999999999997E-2</v>
      </c>
      <c r="HC41" s="305"/>
      <c r="HD41" s="305">
        <v>1.7299999999999999E-2</v>
      </c>
      <c r="HE41" s="305"/>
      <c r="HF41" s="226"/>
      <c r="HG41" s="306" t="s">
        <v>656</v>
      </c>
      <c r="HH41" s="306">
        <v>0</v>
      </c>
      <c r="HI41" s="306">
        <v>0</v>
      </c>
      <c r="HJ41" s="305">
        <v>0</v>
      </c>
      <c r="HK41" s="306" t="s">
        <v>656</v>
      </c>
      <c r="HL41" s="226"/>
      <c r="HM41" s="305">
        <v>0.02</v>
      </c>
      <c r="HN41" s="226"/>
      <c r="HO41" s="305">
        <f t="shared" ref="HO41:HY41" si="7">HO40/HO33</f>
        <v>0</v>
      </c>
      <c r="HP41" s="305">
        <f t="shared" si="7"/>
        <v>0</v>
      </c>
      <c r="HQ41" s="305">
        <f t="shared" si="7"/>
        <v>0</v>
      </c>
      <c r="HR41" s="305">
        <f t="shared" si="7"/>
        <v>0</v>
      </c>
      <c r="HS41" s="305">
        <f t="shared" si="7"/>
        <v>0</v>
      </c>
      <c r="HT41" s="305">
        <f t="shared" si="7"/>
        <v>0</v>
      </c>
      <c r="HU41" s="305">
        <f t="shared" si="7"/>
        <v>0</v>
      </c>
      <c r="HV41" s="305">
        <f t="shared" si="7"/>
        <v>0</v>
      </c>
      <c r="HW41" s="305">
        <f t="shared" si="7"/>
        <v>0</v>
      </c>
      <c r="HX41" s="305">
        <f t="shared" si="7"/>
        <v>0</v>
      </c>
      <c r="HY41" s="305">
        <f t="shared" si="7"/>
        <v>0</v>
      </c>
      <c r="HZ41" s="305">
        <v>0</v>
      </c>
      <c r="IA41" s="305">
        <f>IA40/IA33</f>
        <v>0</v>
      </c>
      <c r="IB41" s="305">
        <f>IB40/IB33</f>
        <v>0</v>
      </c>
      <c r="IC41" s="305">
        <f>IC40/IC33</f>
        <v>0</v>
      </c>
      <c r="ID41" s="305">
        <f>ID40/ID33</f>
        <v>0</v>
      </c>
      <c r="IE41" s="305"/>
      <c r="IF41" s="305">
        <f>IF40/IF33</f>
        <v>0</v>
      </c>
      <c r="IG41" s="305"/>
      <c r="IH41" s="307"/>
      <c r="II41" s="305"/>
      <c r="IJ41" s="305"/>
      <c r="IK41" s="305"/>
      <c r="IL41" s="305"/>
      <c r="IM41" s="305"/>
      <c r="IN41" s="305">
        <f>IN40/IN33</f>
        <v>0</v>
      </c>
      <c r="IO41" s="305">
        <f>IO40/IO33</f>
        <v>0</v>
      </c>
      <c r="IP41" s="305">
        <f>IP40/IP33</f>
        <v>0</v>
      </c>
      <c r="IQ41" s="305">
        <f>IQ40/IQ33</f>
        <v>0</v>
      </c>
      <c r="IR41" s="305">
        <f>IR40/IR33</f>
        <v>0</v>
      </c>
      <c r="IS41" s="305"/>
      <c r="IT41" s="305">
        <f t="shared" ref="IT41:JC41" si="8">IT40/IT33</f>
        <v>0</v>
      </c>
      <c r="IU41" s="305">
        <f t="shared" si="8"/>
        <v>0</v>
      </c>
      <c r="IV41" s="305">
        <f t="shared" si="8"/>
        <v>0</v>
      </c>
      <c r="IW41" s="305">
        <f t="shared" si="8"/>
        <v>0</v>
      </c>
      <c r="IX41" s="305">
        <f t="shared" si="8"/>
        <v>0</v>
      </c>
      <c r="IY41" s="305">
        <f t="shared" si="8"/>
        <v>0</v>
      </c>
      <c r="IZ41" s="305">
        <f t="shared" si="8"/>
        <v>0</v>
      </c>
      <c r="JA41" s="305">
        <f t="shared" si="8"/>
        <v>0.74999999999999989</v>
      </c>
      <c r="JB41" s="305">
        <f t="shared" si="8"/>
        <v>0</v>
      </c>
      <c r="JC41" s="305">
        <f t="shared" si="8"/>
        <v>0.32278481012658228</v>
      </c>
      <c r="JD41" s="305">
        <v>0</v>
      </c>
      <c r="JE41" s="226"/>
      <c r="JF41" s="226"/>
      <c r="JG41" s="226"/>
      <c r="JH41" s="305">
        <v>3.1E-2</v>
      </c>
      <c r="JI41" s="305">
        <v>5.8099999999999999E-2</v>
      </c>
      <c r="JJ41" s="305">
        <v>0.25750000000000001</v>
      </c>
      <c r="JK41" s="309">
        <f>JK40/JK33</f>
        <v>0.19582361435077197</v>
      </c>
      <c r="JL41" s="305">
        <v>0</v>
      </c>
      <c r="JM41" s="305"/>
      <c r="JN41" s="226"/>
      <c r="JO41" s="226"/>
      <c r="JP41" s="226"/>
      <c r="JQ41" s="305" t="s">
        <v>656</v>
      </c>
      <c r="JR41" s="305">
        <v>4.0000000000000003E-5</v>
      </c>
      <c r="JS41" s="305"/>
      <c r="JT41" s="305"/>
      <c r="JU41" s="305"/>
      <c r="JV41" s="305"/>
      <c r="JW41" s="305" t="s">
        <v>656</v>
      </c>
      <c r="JX41" s="305"/>
      <c r="JY41" s="305"/>
      <c r="JZ41" s="305">
        <v>0</v>
      </c>
      <c r="KA41" s="305"/>
      <c r="KB41" s="305">
        <v>0</v>
      </c>
      <c r="KC41" s="305"/>
      <c r="KD41" s="305"/>
      <c r="KE41" s="232"/>
      <c r="KF41" s="305"/>
      <c r="KG41" s="305" t="s">
        <v>656</v>
      </c>
      <c r="KH41" s="305"/>
      <c r="KI41" s="305"/>
      <c r="KJ41" s="305">
        <v>1.5299999999999999E-2</v>
      </c>
      <c r="KK41" s="305"/>
      <c r="KL41" s="305"/>
      <c r="KM41" s="305"/>
      <c r="KN41" s="305"/>
      <c r="KO41" s="305"/>
      <c r="KP41" s="305">
        <v>0.65100000000000002</v>
      </c>
      <c r="KQ41" s="226"/>
      <c r="KR41" s="226"/>
      <c r="KS41" s="226"/>
      <c r="KT41" s="226"/>
      <c r="KU41" s="226"/>
      <c r="KV41" s="305" t="s">
        <v>656</v>
      </c>
      <c r="KW41" s="305"/>
      <c r="KX41" s="329"/>
      <c r="KY41" s="330"/>
      <c r="KZ41" s="305"/>
      <c r="LA41" s="305"/>
      <c r="LB41" s="305"/>
      <c r="LC41" s="305">
        <v>0</v>
      </c>
      <c r="LD41" s="305"/>
      <c r="LE41" s="305"/>
      <c r="LF41" s="305"/>
      <c r="LG41" s="305"/>
      <c r="LH41" s="305"/>
      <c r="LI41" s="305">
        <v>0</v>
      </c>
      <c r="LJ41" s="305">
        <v>0</v>
      </c>
      <c r="LK41" s="305">
        <v>0.26</v>
      </c>
      <c r="LL41" s="294" t="s">
        <v>6349</v>
      </c>
      <c r="LM41" s="226"/>
      <c r="LN41" s="305"/>
      <c r="LO41" s="294">
        <v>0</v>
      </c>
      <c r="LP41" s="305">
        <v>0</v>
      </c>
      <c r="LQ41" s="305">
        <v>1.43E-2</v>
      </c>
      <c r="LR41" s="294">
        <v>0</v>
      </c>
      <c r="LS41" s="305">
        <v>0</v>
      </c>
      <c r="LT41" s="311" t="s">
        <v>6345</v>
      </c>
      <c r="LU41" s="305">
        <v>1.852175577920402E-3</v>
      </c>
      <c r="LV41" s="305">
        <v>0</v>
      </c>
      <c r="LW41" s="305"/>
      <c r="LX41" s="305">
        <f>LX40/LX33</f>
        <v>4.830917874396135E-3</v>
      </c>
      <c r="LY41" s="305">
        <v>4.0000000000000001E-3</v>
      </c>
      <c r="LZ41" s="305"/>
      <c r="MA41" s="225">
        <v>2E-3</v>
      </c>
      <c r="MB41" s="305">
        <v>0</v>
      </c>
      <c r="MC41" s="305">
        <v>0</v>
      </c>
      <c r="MD41" s="305">
        <v>0</v>
      </c>
      <c r="ME41" s="305">
        <v>0</v>
      </c>
      <c r="MF41" s="305">
        <v>0</v>
      </c>
      <c r="MG41" s="226"/>
      <c r="MH41" s="226"/>
      <c r="MI41" s="226"/>
      <c r="MJ41" s="313">
        <v>0</v>
      </c>
      <c r="MK41" s="313"/>
      <c r="ML41" s="313">
        <f>ML40/20.6841728</f>
        <v>2.6192508892596372E-2</v>
      </c>
      <c r="MM41" s="313">
        <v>0</v>
      </c>
      <c r="MN41" s="314"/>
      <c r="MO41" s="314">
        <v>0</v>
      </c>
      <c r="MP41" s="314">
        <v>0</v>
      </c>
      <c r="MQ41" s="314">
        <v>0</v>
      </c>
      <c r="MR41" s="314">
        <f>MR40/MR33</f>
        <v>5.5005500550055009E-3</v>
      </c>
      <c r="MS41" s="314">
        <v>0.02</v>
      </c>
      <c r="MT41" s="313"/>
      <c r="MU41" s="314"/>
      <c r="MV41" s="313">
        <f>MV40/MV33*100%</f>
        <v>1.0066641164509049E-4</v>
      </c>
      <c r="MW41" s="313"/>
      <c r="MX41" s="226"/>
      <c r="MY41" s="226"/>
      <c r="MZ41" s="226"/>
      <c r="NA41" s="226"/>
    </row>
    <row r="42" spans="1:365" ht="409.6" x14ac:dyDescent="0.2">
      <c r="A42" s="1216" t="s">
        <v>6348</v>
      </c>
      <c r="B42" s="201" t="s">
        <v>79</v>
      </c>
      <c r="C42" s="202" t="s">
        <v>80</v>
      </c>
      <c r="D42" s="219" t="s">
        <v>57</v>
      </c>
      <c r="E42" s="299">
        <v>0.505</v>
      </c>
      <c r="F42" s="305">
        <v>0</v>
      </c>
      <c r="G42" s="294">
        <v>0.26900000000000002</v>
      </c>
      <c r="H42" s="294">
        <v>0.20704800000000001</v>
      </c>
      <c r="I42" s="447">
        <v>0.08</v>
      </c>
      <c r="J42" s="294">
        <v>6.4000000000000001E-2</v>
      </c>
      <c r="K42" s="294">
        <v>0</v>
      </c>
      <c r="L42" s="294">
        <v>0</v>
      </c>
      <c r="M42" s="294">
        <v>0</v>
      </c>
      <c r="N42" s="294">
        <v>0</v>
      </c>
      <c r="O42" s="294">
        <v>0</v>
      </c>
      <c r="P42" s="437">
        <v>0</v>
      </c>
      <c r="Q42" s="294">
        <v>0</v>
      </c>
      <c r="R42" s="294">
        <v>7.4740000000000001E-2</v>
      </c>
      <c r="S42" s="294">
        <v>0</v>
      </c>
      <c r="T42" s="294">
        <v>0</v>
      </c>
      <c r="U42" s="294">
        <v>0</v>
      </c>
      <c r="V42" s="294" t="s">
        <v>6347</v>
      </c>
      <c r="W42" s="226"/>
      <c r="X42" s="226"/>
      <c r="Y42" s="226"/>
      <c r="Z42" s="226"/>
      <c r="AA42" s="226"/>
      <c r="AB42" s="226"/>
      <c r="AC42" s="226"/>
      <c r="AD42" s="226"/>
      <c r="AE42" s="226"/>
      <c r="AF42" s="294">
        <v>0</v>
      </c>
      <c r="AG42" s="225"/>
      <c r="AH42" s="226"/>
      <c r="AI42" s="294">
        <v>0</v>
      </c>
      <c r="AJ42" s="294" t="s">
        <v>470</v>
      </c>
      <c r="AK42" s="296">
        <v>1.393</v>
      </c>
      <c r="AL42" s="294"/>
      <c r="AM42" s="226"/>
      <c r="AN42" s="226"/>
      <c r="AO42" s="226"/>
      <c r="AP42" s="226"/>
      <c r="AQ42" s="294">
        <v>0</v>
      </c>
      <c r="AR42" s="294">
        <v>0</v>
      </c>
      <c r="AS42" s="294"/>
      <c r="AT42" s="294">
        <v>0</v>
      </c>
      <c r="AU42" s="294">
        <v>0</v>
      </c>
      <c r="AV42" s="305">
        <v>0</v>
      </c>
      <c r="AW42" s="294">
        <v>0</v>
      </c>
      <c r="AX42" s="294"/>
      <c r="AY42" s="296" t="s">
        <v>2234</v>
      </c>
      <c r="AZ42" s="294">
        <v>0</v>
      </c>
      <c r="BA42" s="294"/>
      <c r="BB42" s="294">
        <v>0</v>
      </c>
      <c r="BC42" s="294">
        <v>0</v>
      </c>
      <c r="BD42" s="294"/>
      <c r="BE42" s="296">
        <v>0</v>
      </c>
      <c r="BF42" s="294">
        <v>0</v>
      </c>
      <c r="BG42" s="294"/>
      <c r="BH42" s="294">
        <v>0</v>
      </c>
      <c r="BI42" s="294" t="s">
        <v>656</v>
      </c>
      <c r="BJ42" s="294">
        <v>0</v>
      </c>
      <c r="BK42" s="294">
        <v>1.0640000000000001</v>
      </c>
      <c r="BL42" s="294">
        <v>0</v>
      </c>
      <c r="BM42" s="294">
        <v>0</v>
      </c>
      <c r="BN42" s="226"/>
      <c r="BO42" s="294">
        <v>0</v>
      </c>
      <c r="BP42" s="294">
        <v>0</v>
      </c>
      <c r="BQ42" s="294">
        <v>0</v>
      </c>
      <c r="BR42" s="294">
        <v>0</v>
      </c>
      <c r="BS42" s="294">
        <v>6.0000000000000001E-3</v>
      </c>
      <c r="BT42" s="294">
        <v>5.1999999999999998E-2</v>
      </c>
      <c r="BU42" s="294">
        <v>0</v>
      </c>
      <c r="BV42" s="294">
        <v>0</v>
      </c>
      <c r="BW42" s="294">
        <v>0</v>
      </c>
      <c r="BX42" s="294">
        <v>0</v>
      </c>
      <c r="BY42" s="294">
        <v>0</v>
      </c>
      <c r="BZ42" s="294"/>
      <c r="CA42" s="294">
        <v>0</v>
      </c>
      <c r="CB42" s="294">
        <v>0</v>
      </c>
      <c r="CC42" s="294">
        <v>0</v>
      </c>
      <c r="CD42" s="296"/>
      <c r="CE42" s="296">
        <v>0</v>
      </c>
      <c r="CF42" s="296"/>
      <c r="CG42" s="296">
        <v>0</v>
      </c>
      <c r="CH42" s="296"/>
      <c r="CI42" s="296">
        <v>0</v>
      </c>
      <c r="CJ42" s="296">
        <v>0</v>
      </c>
      <c r="CK42" s="296"/>
      <c r="CL42" s="296">
        <v>0</v>
      </c>
      <c r="CM42" s="296">
        <v>0</v>
      </c>
      <c r="CN42" s="294">
        <v>0</v>
      </c>
      <c r="CO42" s="294" t="s">
        <v>656</v>
      </c>
      <c r="CP42" s="294">
        <v>0</v>
      </c>
      <c r="CQ42" s="438">
        <v>0</v>
      </c>
      <c r="CR42" s="439"/>
      <c r="CS42" s="294">
        <v>0</v>
      </c>
      <c r="CT42" s="294">
        <v>0</v>
      </c>
      <c r="CU42" s="294">
        <v>0</v>
      </c>
      <c r="CV42" s="294">
        <v>0</v>
      </c>
      <c r="CW42" s="294" t="s">
        <v>656</v>
      </c>
      <c r="CX42" s="294"/>
      <c r="CY42" s="305"/>
      <c r="CZ42" s="294">
        <v>0</v>
      </c>
      <c r="DA42" s="294">
        <v>243.4281</v>
      </c>
      <c r="DB42" s="294">
        <v>0</v>
      </c>
      <c r="DC42" s="294">
        <v>0</v>
      </c>
      <c r="DD42" s="294">
        <v>0</v>
      </c>
      <c r="DE42" s="294">
        <v>0</v>
      </c>
      <c r="DF42" s="294">
        <v>0</v>
      </c>
      <c r="DG42" s="294">
        <v>0</v>
      </c>
      <c r="DH42" s="294">
        <v>0</v>
      </c>
      <c r="DI42" s="294">
        <v>0</v>
      </c>
      <c r="DJ42" s="294">
        <v>0</v>
      </c>
      <c r="DK42" s="294">
        <v>0</v>
      </c>
      <c r="DL42" s="294">
        <v>0</v>
      </c>
      <c r="DM42" s="294">
        <v>0.48599999999999999</v>
      </c>
      <c r="DN42" s="294"/>
      <c r="DO42" s="294"/>
      <c r="DP42" s="294">
        <v>0</v>
      </c>
      <c r="DQ42" s="294">
        <v>0</v>
      </c>
      <c r="DR42" s="294">
        <v>0</v>
      </c>
      <c r="DS42" s="294">
        <v>0</v>
      </c>
      <c r="DT42" s="294">
        <v>0</v>
      </c>
      <c r="DU42" s="294">
        <v>0</v>
      </c>
      <c r="DV42" s="294">
        <v>0</v>
      </c>
      <c r="DW42" s="246" t="s">
        <v>2234</v>
      </c>
      <c r="DX42" s="294">
        <v>0</v>
      </c>
      <c r="DY42" s="294">
        <v>7.2350000000000003</v>
      </c>
      <c r="DZ42" s="294">
        <v>0</v>
      </c>
      <c r="EA42" s="294">
        <v>0.05</v>
      </c>
      <c r="EB42" s="294">
        <v>0.1</v>
      </c>
      <c r="EC42" s="226"/>
      <c r="ED42" s="294">
        <v>0</v>
      </c>
      <c r="EE42" s="294">
        <v>0</v>
      </c>
      <c r="EF42" s="294">
        <v>0</v>
      </c>
      <c r="EG42" s="226"/>
      <c r="EH42" s="294"/>
      <c r="EI42" s="294">
        <v>0</v>
      </c>
      <c r="EJ42" s="226"/>
      <c r="EK42" s="226"/>
      <c r="EL42" s="226"/>
      <c r="EM42" s="226"/>
      <c r="EN42" s="226"/>
      <c r="EO42" s="226"/>
      <c r="EP42" s="226"/>
      <c r="EQ42" s="226"/>
      <c r="ER42" s="294" t="s">
        <v>470</v>
      </c>
      <c r="ES42" s="294"/>
      <c r="ET42" s="294">
        <v>0.76700000000000002</v>
      </c>
      <c r="EU42" s="294">
        <v>4.4999999999999998E-2</v>
      </c>
      <c r="EV42" s="294">
        <v>0</v>
      </c>
      <c r="EW42" s="322">
        <v>0</v>
      </c>
      <c r="EX42" s="322">
        <v>0</v>
      </c>
      <c r="EY42" s="294">
        <v>0</v>
      </c>
      <c r="EZ42" s="296">
        <v>0</v>
      </c>
      <c r="FA42" s="294">
        <v>0</v>
      </c>
      <c r="FB42" s="294">
        <v>0</v>
      </c>
      <c r="FC42" s="294">
        <v>0</v>
      </c>
      <c r="FD42" s="226"/>
      <c r="FE42" s="440">
        <v>0</v>
      </c>
      <c r="FF42" s="294">
        <v>0.01</v>
      </c>
      <c r="FG42" s="294">
        <f>0.004+0.066+0.015</f>
        <v>8.5000000000000006E-2</v>
      </c>
      <c r="FH42" s="294">
        <v>4.8149999999999998E-2</v>
      </c>
      <c r="FI42" s="439">
        <v>0.1</v>
      </c>
      <c r="FJ42" s="439">
        <v>0</v>
      </c>
      <c r="FK42" s="439"/>
      <c r="FL42" s="439"/>
      <c r="FM42" s="294">
        <v>0</v>
      </c>
      <c r="FN42" s="294"/>
      <c r="FO42" s="439"/>
      <c r="FP42" s="439"/>
      <c r="FQ42" s="439"/>
      <c r="FR42" s="439">
        <v>3.3500000000000002E-2</v>
      </c>
      <c r="FS42" s="439"/>
      <c r="FT42" s="439"/>
      <c r="FU42" s="226"/>
      <c r="FV42" s="439">
        <v>0.18</v>
      </c>
      <c r="FW42" s="439"/>
      <c r="FX42" s="439">
        <v>0</v>
      </c>
      <c r="FY42" s="226"/>
      <c r="FZ42" s="439"/>
      <c r="GA42" s="439"/>
      <c r="GB42" s="439"/>
      <c r="GC42" s="439"/>
      <c r="GD42" s="439">
        <v>0.1206</v>
      </c>
      <c r="GE42" s="439"/>
      <c r="GF42" s="439"/>
      <c r="GG42" s="394" t="s">
        <v>4906</v>
      </c>
      <c r="GH42" s="394" t="s">
        <v>4906</v>
      </c>
      <c r="GI42" s="226"/>
      <c r="GJ42" s="439"/>
      <c r="GK42" s="439">
        <v>0.17399999999999999</v>
      </c>
      <c r="GL42" s="439"/>
      <c r="GM42" s="439"/>
      <c r="GN42" s="439"/>
      <c r="GO42" s="226"/>
      <c r="GP42" s="439"/>
      <c r="GQ42" s="226"/>
      <c r="GR42" s="439">
        <v>3.5000000000000003E-2</v>
      </c>
      <c r="GS42" s="439"/>
      <c r="GT42" s="439"/>
      <c r="GU42" s="439"/>
      <c r="GV42" s="439"/>
      <c r="GW42" s="226"/>
      <c r="GX42" s="294"/>
      <c r="GY42" s="294"/>
      <c r="GZ42" s="439"/>
      <c r="HA42" s="294">
        <v>0</v>
      </c>
      <c r="HB42" s="294">
        <v>0</v>
      </c>
      <c r="HC42" s="294"/>
      <c r="HD42" s="294">
        <v>1.0860000000000001</v>
      </c>
      <c r="HE42" s="294" t="s">
        <v>6346</v>
      </c>
      <c r="HF42" s="226"/>
      <c r="HG42" s="295">
        <v>0</v>
      </c>
      <c r="HH42" s="295">
        <v>0</v>
      </c>
      <c r="HI42" s="295">
        <v>0</v>
      </c>
      <c r="HJ42" s="294">
        <v>0</v>
      </c>
      <c r="HK42" s="306" t="s">
        <v>656</v>
      </c>
      <c r="HL42" s="226"/>
      <c r="HM42" s="294">
        <v>20.818000000000001</v>
      </c>
      <c r="HN42" s="226"/>
      <c r="HO42" s="294">
        <v>0</v>
      </c>
      <c r="HP42" s="294">
        <v>3.8400000000000001E-3</v>
      </c>
      <c r="HQ42" s="294"/>
      <c r="HR42" s="294"/>
      <c r="HS42" s="294">
        <v>0</v>
      </c>
      <c r="HT42" s="294">
        <v>0</v>
      </c>
      <c r="HU42" s="294">
        <v>0</v>
      </c>
      <c r="HV42" s="294">
        <v>0</v>
      </c>
      <c r="HW42" s="294">
        <v>0</v>
      </c>
      <c r="HX42" s="294">
        <v>0</v>
      </c>
      <c r="HY42" s="294"/>
      <c r="HZ42" s="294">
        <v>0</v>
      </c>
      <c r="IA42" s="294"/>
      <c r="IB42" s="294">
        <v>0.35</v>
      </c>
      <c r="IC42" s="294">
        <v>0.2</v>
      </c>
      <c r="ID42" s="294">
        <v>0</v>
      </c>
      <c r="IE42" s="294"/>
      <c r="IF42" s="294"/>
      <c r="IG42" s="294"/>
      <c r="IH42" s="296"/>
      <c r="II42" s="294"/>
      <c r="IJ42" s="294"/>
      <c r="IK42" s="294"/>
      <c r="IL42" s="294"/>
      <c r="IM42" s="294"/>
      <c r="IN42" s="294"/>
      <c r="IO42" s="294"/>
      <c r="IP42" s="294"/>
      <c r="IQ42" s="294"/>
      <c r="IR42" s="294">
        <v>0</v>
      </c>
      <c r="IS42" s="294"/>
      <c r="IT42" s="294"/>
      <c r="IU42" s="294">
        <v>0</v>
      </c>
      <c r="IV42" s="294">
        <v>0</v>
      </c>
      <c r="IW42" s="294"/>
      <c r="IX42" s="294">
        <v>0</v>
      </c>
      <c r="IY42" s="294">
        <v>0</v>
      </c>
      <c r="IZ42" s="294">
        <v>0.05</v>
      </c>
      <c r="JA42" s="294"/>
      <c r="JB42" s="294">
        <v>0.5</v>
      </c>
      <c r="JC42" s="294">
        <v>0.309</v>
      </c>
      <c r="JD42" s="294">
        <v>0</v>
      </c>
      <c r="JE42" s="226"/>
      <c r="JF42" s="226"/>
      <c r="JG42" s="226"/>
      <c r="JH42" s="294">
        <v>0.3</v>
      </c>
      <c r="JI42" s="294">
        <v>0.67600000000000005</v>
      </c>
      <c r="JJ42" s="294">
        <v>5.3259999999999996</v>
      </c>
      <c r="JK42" s="298">
        <v>0.224</v>
      </c>
      <c r="JL42" s="294">
        <v>0</v>
      </c>
      <c r="JM42" s="294">
        <v>0.27</v>
      </c>
      <c r="JN42" s="226"/>
      <c r="JO42" s="226"/>
      <c r="JP42" s="226"/>
      <c r="JQ42" s="294" t="s">
        <v>656</v>
      </c>
      <c r="JR42" s="294">
        <v>0</v>
      </c>
      <c r="JS42" s="294"/>
      <c r="JT42" s="294"/>
      <c r="JU42" s="294" t="s">
        <v>656</v>
      </c>
      <c r="JV42" s="294"/>
      <c r="JW42" s="294" t="s">
        <v>656</v>
      </c>
      <c r="JX42" s="294"/>
      <c r="JY42" s="294"/>
      <c r="JZ42" s="294">
        <v>0</v>
      </c>
      <c r="KA42" s="294"/>
      <c r="KB42" s="294">
        <v>0</v>
      </c>
      <c r="KC42" s="294"/>
      <c r="KD42" s="294"/>
      <c r="KE42" s="232"/>
      <c r="KF42" s="294"/>
      <c r="KG42" s="294" t="s">
        <v>656</v>
      </c>
      <c r="KH42" s="294"/>
      <c r="KI42" s="294"/>
      <c r="KJ42" s="294">
        <v>1.4990000000000001</v>
      </c>
      <c r="KK42" s="294"/>
      <c r="KL42" s="294"/>
      <c r="KM42" s="294"/>
      <c r="KN42" s="294"/>
      <c r="KO42" s="294"/>
      <c r="KP42" s="294"/>
      <c r="KQ42" s="226"/>
      <c r="KR42" s="226"/>
      <c r="KS42" s="226"/>
      <c r="KT42" s="226"/>
      <c r="KU42" s="226"/>
      <c r="KV42" s="294" t="s">
        <v>656</v>
      </c>
      <c r="KW42" s="294">
        <v>0</v>
      </c>
      <c r="KX42" s="802"/>
      <c r="KY42" s="803"/>
      <c r="KZ42" s="294"/>
      <c r="LA42" s="294">
        <v>0</v>
      </c>
      <c r="LB42" s="294">
        <v>0</v>
      </c>
      <c r="LC42" s="294">
        <v>0</v>
      </c>
      <c r="LD42" s="294">
        <v>0</v>
      </c>
      <c r="LE42" s="294">
        <v>0</v>
      </c>
      <c r="LF42" s="294"/>
      <c r="LG42" s="294"/>
      <c r="LH42" s="294"/>
      <c r="LI42" s="294">
        <v>0</v>
      </c>
      <c r="LJ42" s="294">
        <v>0</v>
      </c>
      <c r="LK42" s="294">
        <v>0</v>
      </c>
      <c r="LL42" s="322">
        <v>0</v>
      </c>
      <c r="LM42" s="226"/>
      <c r="LN42" s="294">
        <v>0</v>
      </c>
      <c r="LO42" s="294">
        <v>0</v>
      </c>
      <c r="LP42" s="294">
        <v>0</v>
      </c>
      <c r="LQ42" s="294">
        <v>0.35099999999999998</v>
      </c>
      <c r="LR42" s="294">
        <v>0</v>
      </c>
      <c r="LS42" s="294">
        <v>0</v>
      </c>
      <c r="LT42" s="302">
        <v>0</v>
      </c>
      <c r="LU42" s="294">
        <v>3.0799999999999998E-2</v>
      </c>
      <c r="LV42" s="294">
        <v>0</v>
      </c>
      <c r="LW42" s="294"/>
      <c r="LX42" s="294">
        <v>0</v>
      </c>
      <c r="LY42" s="294">
        <v>0.03</v>
      </c>
      <c r="LZ42" s="294"/>
      <c r="MA42" s="305">
        <v>8.0000000000000004E-4</v>
      </c>
      <c r="MB42" s="305">
        <v>0</v>
      </c>
      <c r="MC42" s="294">
        <v>0</v>
      </c>
      <c r="MD42" s="294">
        <v>0</v>
      </c>
      <c r="ME42" s="294">
        <v>0</v>
      </c>
      <c r="MF42" s="294">
        <v>0</v>
      </c>
      <c r="MG42" s="226"/>
      <c r="MH42" s="226"/>
      <c r="MI42" s="226"/>
      <c r="MJ42" s="303">
        <v>0</v>
      </c>
      <c r="MK42" s="303"/>
      <c r="ML42" s="303">
        <v>0.19400000000000001</v>
      </c>
      <c r="MM42" s="303">
        <v>0</v>
      </c>
      <c r="MN42" s="304"/>
      <c r="MO42" s="304">
        <v>0</v>
      </c>
      <c r="MP42" s="304">
        <v>3.202</v>
      </c>
      <c r="MQ42" s="304">
        <v>0</v>
      </c>
      <c r="MR42" s="304" t="s">
        <v>1482</v>
      </c>
      <c r="MS42" s="304">
        <v>0.111</v>
      </c>
      <c r="MT42" s="303"/>
      <c r="MU42" s="304"/>
      <c r="MV42" s="303">
        <v>0</v>
      </c>
      <c r="MW42" s="303">
        <v>3.0000000000000001E-3</v>
      </c>
      <c r="MX42" s="226"/>
      <c r="MY42" s="226"/>
      <c r="MZ42" s="226"/>
      <c r="NA42" s="226"/>
    </row>
    <row r="43" spans="1:365" ht="68" customHeight="1" x14ac:dyDescent="0.2">
      <c r="A43" s="1216"/>
      <c r="B43" s="201" t="s">
        <v>81</v>
      </c>
      <c r="C43" s="202" t="s">
        <v>63</v>
      </c>
      <c r="D43" s="215" t="s">
        <v>64</v>
      </c>
      <c r="E43" s="305">
        <v>6.0499999999999998E-2</v>
      </c>
      <c r="F43" s="294">
        <v>0</v>
      </c>
      <c r="G43" s="305">
        <f>G42/G33</f>
        <v>0.25</v>
      </c>
      <c r="H43" s="305">
        <f>H42/H33</f>
        <v>0.10412542847487086</v>
      </c>
      <c r="I43" s="305">
        <f>I42/I33</f>
        <v>0.21621621621621623</v>
      </c>
      <c r="J43" s="305">
        <f>J42/J33</f>
        <v>0.19335347432024169</v>
      </c>
      <c r="K43" s="305">
        <v>0</v>
      </c>
      <c r="L43" s="305">
        <v>0</v>
      </c>
      <c r="M43" s="305">
        <v>0</v>
      </c>
      <c r="N43" s="305">
        <v>0</v>
      </c>
      <c r="O43" s="305">
        <v>0</v>
      </c>
      <c r="P43" s="442">
        <v>0</v>
      </c>
      <c r="Q43" s="305">
        <v>0</v>
      </c>
      <c r="R43" s="305">
        <f>R42/R33</f>
        <v>8.3255933015622577E-2</v>
      </c>
      <c r="S43" s="305">
        <v>0</v>
      </c>
      <c r="T43" s="305">
        <v>0</v>
      </c>
      <c r="U43" s="305">
        <v>0</v>
      </c>
      <c r="V43" s="305">
        <v>0</v>
      </c>
      <c r="W43" s="226"/>
      <c r="X43" s="226"/>
      <c r="Y43" s="226"/>
      <c r="Z43" s="226"/>
      <c r="AA43" s="226"/>
      <c r="AB43" s="226"/>
      <c r="AC43" s="226"/>
      <c r="AD43" s="226"/>
      <c r="AE43" s="226"/>
      <c r="AF43" s="305">
        <v>0</v>
      </c>
      <c r="AG43" s="225"/>
      <c r="AH43" s="226"/>
      <c r="AI43" s="305">
        <v>0</v>
      </c>
      <c r="AJ43" s="254" t="s">
        <v>470</v>
      </c>
      <c r="AK43" s="317">
        <v>0.14849999999999999</v>
      </c>
      <c r="AL43" s="305"/>
      <c r="AM43" s="226"/>
      <c r="AN43" s="226"/>
      <c r="AO43" s="226"/>
      <c r="AP43" s="226"/>
      <c r="AQ43" s="305">
        <v>0</v>
      </c>
      <c r="AR43" s="305"/>
      <c r="AS43" s="305"/>
      <c r="AT43" s="305">
        <v>0</v>
      </c>
      <c r="AU43" s="305">
        <v>0</v>
      </c>
      <c r="AV43" s="294">
        <v>0</v>
      </c>
      <c r="AW43" s="305">
        <v>0</v>
      </c>
      <c r="AX43" s="305"/>
      <c r="AY43" s="317" t="s">
        <v>2234</v>
      </c>
      <c r="AZ43" s="305">
        <v>0</v>
      </c>
      <c r="BA43" s="305"/>
      <c r="BB43" s="305"/>
      <c r="BC43" s="305">
        <v>0</v>
      </c>
      <c r="BD43" s="305"/>
      <c r="BE43" s="317">
        <v>0</v>
      </c>
      <c r="BF43" s="305">
        <v>0</v>
      </c>
      <c r="BG43" s="305"/>
      <c r="BH43" s="305">
        <v>0</v>
      </c>
      <c r="BI43" s="305" t="s">
        <v>656</v>
      </c>
      <c r="BJ43" s="305">
        <v>0</v>
      </c>
      <c r="BK43" s="305">
        <v>3.9E-2</v>
      </c>
      <c r="BL43" s="305">
        <v>0</v>
      </c>
      <c r="BM43" s="305">
        <v>0</v>
      </c>
      <c r="BN43" s="226"/>
      <c r="BO43" s="305">
        <v>0</v>
      </c>
      <c r="BP43" s="305">
        <v>0</v>
      </c>
      <c r="BQ43" s="305">
        <v>0</v>
      </c>
      <c r="BR43" s="443">
        <v>0</v>
      </c>
      <c r="BS43" s="305">
        <v>0.03</v>
      </c>
      <c r="BT43" s="305">
        <v>1.7999999999999999E-2</v>
      </c>
      <c r="BU43" s="305">
        <v>0</v>
      </c>
      <c r="BV43" s="305">
        <v>0</v>
      </c>
      <c r="BW43" s="305"/>
      <c r="BX43" s="305">
        <v>0</v>
      </c>
      <c r="BY43" s="305">
        <v>0</v>
      </c>
      <c r="BZ43" s="305"/>
      <c r="CA43" s="305">
        <v>0</v>
      </c>
      <c r="CB43" s="305">
        <v>0</v>
      </c>
      <c r="CC43" s="305">
        <v>0</v>
      </c>
      <c r="CD43" s="317"/>
      <c r="CE43" s="317">
        <v>0</v>
      </c>
      <c r="CF43" s="317"/>
      <c r="CG43" s="317">
        <v>0</v>
      </c>
      <c r="CH43" s="317"/>
      <c r="CI43" s="317">
        <v>0</v>
      </c>
      <c r="CJ43" s="317">
        <v>0</v>
      </c>
      <c r="CK43" s="317"/>
      <c r="CL43" s="317">
        <v>0</v>
      </c>
      <c r="CM43" s="317">
        <v>0</v>
      </c>
      <c r="CN43" s="305">
        <v>0</v>
      </c>
      <c r="CO43" s="305" t="s">
        <v>656</v>
      </c>
      <c r="CP43" s="305">
        <v>0</v>
      </c>
      <c r="CQ43" s="444">
        <v>0</v>
      </c>
      <c r="CR43" s="445"/>
      <c r="CS43" s="305"/>
      <c r="CT43" s="305">
        <v>0</v>
      </c>
      <c r="CU43" s="305">
        <v>0</v>
      </c>
      <c r="CV43" s="305">
        <v>0</v>
      </c>
      <c r="CW43" s="305" t="s">
        <v>656</v>
      </c>
      <c r="CX43" s="305"/>
      <c r="CY43" s="305"/>
      <c r="CZ43" s="305">
        <v>0</v>
      </c>
      <c r="DA43" s="305">
        <v>0.1847</v>
      </c>
      <c r="DB43" s="305">
        <v>0</v>
      </c>
      <c r="DC43" s="305">
        <v>0</v>
      </c>
      <c r="DD43" s="305">
        <v>0</v>
      </c>
      <c r="DE43" s="305">
        <v>0</v>
      </c>
      <c r="DF43" s="305">
        <v>0</v>
      </c>
      <c r="DG43" s="305"/>
      <c r="DH43" s="305">
        <v>0</v>
      </c>
      <c r="DI43" s="305">
        <v>0</v>
      </c>
      <c r="DJ43" s="305">
        <v>0</v>
      </c>
      <c r="DK43" s="305"/>
      <c r="DL43" s="305">
        <v>0</v>
      </c>
      <c r="DM43" s="312">
        <v>0.16</v>
      </c>
      <c r="DN43" s="305"/>
      <c r="DO43" s="305"/>
      <c r="DP43" s="305">
        <v>0</v>
      </c>
      <c r="DQ43" s="305">
        <v>0</v>
      </c>
      <c r="DR43" s="305">
        <v>0</v>
      </c>
      <c r="DS43" s="305">
        <v>0</v>
      </c>
      <c r="DT43" s="305">
        <v>0</v>
      </c>
      <c r="DU43" s="305">
        <v>0</v>
      </c>
      <c r="DV43" s="305">
        <v>0</v>
      </c>
      <c r="DW43" s="246" t="s">
        <v>2234</v>
      </c>
      <c r="DX43" s="305">
        <v>0</v>
      </c>
      <c r="DY43" s="305">
        <v>0.15790000000000001</v>
      </c>
      <c r="DZ43" s="305">
        <v>0</v>
      </c>
      <c r="EA43" s="305">
        <v>1.5299999999999999E-2</v>
      </c>
      <c r="EB43" s="305">
        <v>0.2</v>
      </c>
      <c r="EC43" s="226"/>
      <c r="ED43" s="305">
        <v>0</v>
      </c>
      <c r="EE43" s="305" t="s">
        <v>64</v>
      </c>
      <c r="EF43" s="305">
        <v>0</v>
      </c>
      <c r="EG43" s="226"/>
      <c r="EH43" s="305"/>
      <c r="EI43" s="305">
        <v>0</v>
      </c>
      <c r="EJ43" s="226"/>
      <c r="EK43" s="226"/>
      <c r="EL43" s="226"/>
      <c r="EM43" s="226"/>
      <c r="EN43" s="226"/>
      <c r="EO43" s="226"/>
      <c r="EP43" s="226"/>
      <c r="EQ43" s="226"/>
      <c r="ER43" s="305"/>
      <c r="ES43" s="305"/>
      <c r="ET43" s="305">
        <f>ET42/ET33</f>
        <v>5.4312420337062739E-2</v>
      </c>
      <c r="EU43" s="305">
        <f>EU42/EU33</f>
        <v>6.4377682403433473E-2</v>
      </c>
      <c r="EV43" s="305"/>
      <c r="EW43" s="305"/>
      <c r="EX43" s="305"/>
      <c r="EY43" s="305"/>
      <c r="EZ43" s="317"/>
      <c r="FA43" s="305">
        <v>0</v>
      </c>
      <c r="FB43" s="305">
        <v>0</v>
      </c>
      <c r="FC43" s="305"/>
      <c r="FD43" s="226"/>
      <c r="FE43" s="446"/>
      <c r="FF43" s="305">
        <f>FF42/FF33</f>
        <v>6.8965517241379309E-2</v>
      </c>
      <c r="FG43" s="305">
        <f>FG42/FG33</f>
        <v>1.7745302713987474E-2</v>
      </c>
      <c r="FH43" s="305">
        <f>FH42/FH33</f>
        <v>4.7860106548624328E-3</v>
      </c>
      <c r="FI43" s="445">
        <v>3.3000000000000002E-2</v>
      </c>
      <c r="FJ43" s="445">
        <v>0</v>
      </c>
      <c r="FK43" s="445"/>
      <c r="FL43" s="445"/>
      <c r="FM43" s="305">
        <v>0</v>
      </c>
      <c r="FN43" s="305"/>
      <c r="FO43" s="445"/>
      <c r="FP43" s="445"/>
      <c r="FQ43" s="445"/>
      <c r="FR43" s="445">
        <v>0.1</v>
      </c>
      <c r="FS43" s="445"/>
      <c r="FT43" s="445"/>
      <c r="FU43" s="226"/>
      <c r="FV43" s="445">
        <v>0.9</v>
      </c>
      <c r="FW43" s="445"/>
      <c r="FX43" s="445"/>
      <c r="FY43" s="226"/>
      <c r="FZ43" s="445"/>
      <c r="GA43" s="445"/>
      <c r="GB43" s="445"/>
      <c r="GC43" s="445"/>
      <c r="GD43" s="445">
        <v>0.16969999999999999</v>
      </c>
      <c r="GE43" s="445"/>
      <c r="GF43" s="445"/>
      <c r="GG43" s="394" t="s">
        <v>4906</v>
      </c>
      <c r="GH43" s="394" t="s">
        <v>4906</v>
      </c>
      <c r="GI43" s="226"/>
      <c r="GJ43" s="445"/>
      <c r="GK43" s="445">
        <f>GK42/GK33</f>
        <v>7.3078538429231399E-2</v>
      </c>
      <c r="GL43" s="445"/>
      <c r="GM43" s="445"/>
      <c r="GN43" s="445"/>
      <c r="GO43" s="226"/>
      <c r="GP43" s="445"/>
      <c r="GQ43" s="226"/>
      <c r="GR43" s="445">
        <f>GR42/GR33</f>
        <v>0.10903426791277261</v>
      </c>
      <c r="GS43" s="445"/>
      <c r="GT43" s="445"/>
      <c r="GU43" s="445"/>
      <c r="GV43" s="445"/>
      <c r="GW43" s="226"/>
      <c r="GX43" s="305"/>
      <c r="GY43" s="308"/>
      <c r="GZ43" s="445"/>
      <c r="HA43" s="305"/>
      <c r="HB43" s="305">
        <v>0</v>
      </c>
      <c r="HC43" s="305"/>
      <c r="HD43" s="305">
        <v>0.8266</v>
      </c>
      <c r="HE43" s="305" t="s">
        <v>6346</v>
      </c>
      <c r="HF43" s="226"/>
      <c r="HG43" s="306" t="s">
        <v>656</v>
      </c>
      <c r="HH43" s="306">
        <v>0</v>
      </c>
      <c r="HI43" s="306">
        <v>0</v>
      </c>
      <c r="HJ43" s="305">
        <v>0</v>
      </c>
      <c r="HK43" s="306" t="s">
        <v>656</v>
      </c>
      <c r="HL43" s="226"/>
      <c r="HM43" s="305">
        <v>0.06</v>
      </c>
      <c r="HN43" s="226"/>
      <c r="HO43" s="305">
        <f t="shared" ref="HO43:HY43" si="9">HO42/HO33</f>
        <v>0</v>
      </c>
      <c r="HP43" s="305">
        <f t="shared" si="9"/>
        <v>7.1931664918327594E-3</v>
      </c>
      <c r="HQ43" s="305">
        <f t="shared" si="9"/>
        <v>0</v>
      </c>
      <c r="HR43" s="305">
        <f t="shared" si="9"/>
        <v>0</v>
      </c>
      <c r="HS43" s="305">
        <f t="shared" si="9"/>
        <v>0</v>
      </c>
      <c r="HT43" s="305">
        <f t="shared" si="9"/>
        <v>0</v>
      </c>
      <c r="HU43" s="305">
        <f t="shared" si="9"/>
        <v>0</v>
      </c>
      <c r="HV43" s="305">
        <f t="shared" si="9"/>
        <v>0</v>
      </c>
      <c r="HW43" s="305">
        <f t="shared" si="9"/>
        <v>0</v>
      </c>
      <c r="HX43" s="305">
        <f t="shared" si="9"/>
        <v>0</v>
      </c>
      <c r="HY43" s="305">
        <f t="shared" si="9"/>
        <v>0</v>
      </c>
      <c r="HZ43" s="305">
        <v>0</v>
      </c>
      <c r="IA43" s="305">
        <f t="shared" ref="IA43:IF43" si="10">IA42/IA33</f>
        <v>0</v>
      </c>
      <c r="IB43" s="305">
        <f t="shared" si="10"/>
        <v>0.98870056497175141</v>
      </c>
      <c r="IC43" s="305">
        <f t="shared" si="10"/>
        <v>0.66666666666666674</v>
      </c>
      <c r="ID43" s="305">
        <f t="shared" si="10"/>
        <v>0</v>
      </c>
      <c r="IE43" s="305">
        <f t="shared" si="10"/>
        <v>0</v>
      </c>
      <c r="IF43" s="305">
        <f t="shared" si="10"/>
        <v>0</v>
      </c>
      <c r="IG43" s="305"/>
      <c r="IH43" s="307"/>
      <c r="II43" s="305"/>
      <c r="IJ43" s="305"/>
      <c r="IK43" s="305"/>
      <c r="IL43" s="305"/>
      <c r="IM43" s="305"/>
      <c r="IN43" s="305">
        <f>IN42/IN33</f>
        <v>0</v>
      </c>
      <c r="IO43" s="305">
        <f>IO42/IO33</f>
        <v>0</v>
      </c>
      <c r="IP43" s="305">
        <f>IP42/IP33</f>
        <v>0</v>
      </c>
      <c r="IQ43" s="305">
        <f>IQ42/IQ33</f>
        <v>0</v>
      </c>
      <c r="IR43" s="305">
        <f>IR42/IR33</f>
        <v>0</v>
      </c>
      <c r="IS43" s="305"/>
      <c r="IT43" s="305">
        <f t="shared" ref="IT43:JC43" si="11">IT42/IT33</f>
        <v>0</v>
      </c>
      <c r="IU43" s="305">
        <f t="shared" si="11"/>
        <v>0</v>
      </c>
      <c r="IV43" s="305">
        <f t="shared" si="11"/>
        <v>0</v>
      </c>
      <c r="IW43" s="305">
        <f t="shared" si="11"/>
        <v>0</v>
      </c>
      <c r="IX43" s="305">
        <f t="shared" si="11"/>
        <v>0</v>
      </c>
      <c r="IY43" s="318">
        <f t="shared" si="11"/>
        <v>0</v>
      </c>
      <c r="IZ43" s="305">
        <f t="shared" si="11"/>
        <v>0.125</v>
      </c>
      <c r="JA43" s="305">
        <f t="shared" si="11"/>
        <v>0</v>
      </c>
      <c r="JB43" s="305">
        <f t="shared" si="11"/>
        <v>0.16666666666666666</v>
      </c>
      <c r="JC43" s="305">
        <f t="shared" si="11"/>
        <v>0.16297468354430381</v>
      </c>
      <c r="JD43" s="305">
        <v>0</v>
      </c>
      <c r="JE43" s="226"/>
      <c r="JF43" s="226"/>
      <c r="JG43" s="226"/>
      <c r="JH43" s="305">
        <v>0.114</v>
      </c>
      <c r="JI43" s="305">
        <v>9.9599999999999994E-2</v>
      </c>
      <c r="JJ43" s="305">
        <v>0.24249999999999999</v>
      </c>
      <c r="JK43" s="309">
        <f>JK42/JK33</f>
        <v>0.24880595357103188</v>
      </c>
      <c r="JL43" s="305">
        <v>0</v>
      </c>
      <c r="JM43" s="305">
        <f>JM42/JM33</f>
        <v>0.2</v>
      </c>
      <c r="JN43" s="226"/>
      <c r="JO43" s="226"/>
      <c r="JP43" s="226"/>
      <c r="JQ43" s="305" t="s">
        <v>656</v>
      </c>
      <c r="JR43" s="305">
        <v>0</v>
      </c>
      <c r="JS43" s="305"/>
      <c r="JT43" s="305"/>
      <c r="JU43" s="305"/>
      <c r="JV43" s="305"/>
      <c r="JW43" s="305" t="s">
        <v>656</v>
      </c>
      <c r="JX43" s="305"/>
      <c r="JY43" s="305"/>
      <c r="JZ43" s="305">
        <v>0</v>
      </c>
      <c r="KA43" s="305"/>
      <c r="KB43" s="305">
        <v>0</v>
      </c>
      <c r="KC43" s="305"/>
      <c r="KD43" s="305"/>
      <c r="KE43" s="232"/>
      <c r="KF43" s="305"/>
      <c r="KG43" s="305" t="s">
        <v>656</v>
      </c>
      <c r="KH43" s="305"/>
      <c r="KI43" s="305"/>
      <c r="KJ43" s="305">
        <v>7.6499999999999999E-2</v>
      </c>
      <c r="KK43" s="305"/>
      <c r="KL43" s="305"/>
      <c r="KM43" s="305"/>
      <c r="KN43" s="305"/>
      <c r="KO43" s="305"/>
      <c r="KP43" s="305"/>
      <c r="KQ43" s="226"/>
      <c r="KR43" s="226"/>
      <c r="KS43" s="226"/>
      <c r="KT43" s="226"/>
      <c r="KU43" s="226"/>
      <c r="KV43" s="305" t="s">
        <v>656</v>
      </c>
      <c r="KW43" s="305"/>
      <c r="KX43" s="329"/>
      <c r="KY43" s="330"/>
      <c r="KZ43" s="305"/>
      <c r="LA43" s="305"/>
      <c r="LB43" s="305"/>
      <c r="LC43" s="305">
        <v>0</v>
      </c>
      <c r="LD43" s="305"/>
      <c r="LE43" s="305"/>
      <c r="LF43" s="305"/>
      <c r="LG43" s="305"/>
      <c r="LH43" s="305"/>
      <c r="LI43" s="305">
        <v>0</v>
      </c>
      <c r="LJ43" s="305">
        <v>0</v>
      </c>
      <c r="LK43" s="305">
        <v>0</v>
      </c>
      <c r="LL43" s="305"/>
      <c r="LM43" s="226"/>
      <c r="LN43" s="294">
        <v>0</v>
      </c>
      <c r="LO43" s="294">
        <v>0</v>
      </c>
      <c r="LP43" s="305">
        <v>0</v>
      </c>
      <c r="LQ43" s="305">
        <v>1.1900000000000001E-2</v>
      </c>
      <c r="LR43" s="294">
        <v>0</v>
      </c>
      <c r="LS43" s="305">
        <v>0</v>
      </c>
      <c r="LT43" s="311" t="s">
        <v>6345</v>
      </c>
      <c r="LU43" s="305">
        <v>6.4097761572975715E-4</v>
      </c>
      <c r="LV43" s="305">
        <v>0</v>
      </c>
      <c r="LW43" s="305"/>
      <c r="LX43" s="305">
        <v>0</v>
      </c>
      <c r="LY43" s="305">
        <v>3.0000000000000001E-3</v>
      </c>
      <c r="LZ43" s="305"/>
      <c r="MA43" s="294">
        <v>0</v>
      </c>
      <c r="MB43" s="294">
        <v>0</v>
      </c>
      <c r="MC43" s="305">
        <v>0</v>
      </c>
      <c r="MD43" s="305">
        <v>0</v>
      </c>
      <c r="ME43" s="305">
        <v>0</v>
      </c>
      <c r="MF43" s="305">
        <v>0</v>
      </c>
      <c r="MG43" s="226"/>
      <c r="MH43" s="226"/>
      <c r="MI43" s="226"/>
      <c r="MJ43" s="313">
        <v>0</v>
      </c>
      <c r="MK43" s="313"/>
      <c r="ML43" s="313"/>
      <c r="MM43" s="313">
        <v>0</v>
      </c>
      <c r="MN43" s="314"/>
      <c r="MO43" s="314">
        <v>0</v>
      </c>
      <c r="MP43" s="314">
        <v>0</v>
      </c>
      <c r="MQ43" s="314">
        <v>0</v>
      </c>
      <c r="MR43" s="314" t="s">
        <v>1482</v>
      </c>
      <c r="MS43" s="314">
        <v>0.05</v>
      </c>
      <c r="MT43" s="313"/>
      <c r="MU43" s="314"/>
      <c r="MV43" s="313">
        <f>MV42/MV33*100%</f>
        <v>0</v>
      </c>
      <c r="MW43" s="313">
        <f>MW42/MW33</f>
        <v>1.5105740181268882E-3</v>
      </c>
      <c r="MX43" s="226"/>
      <c r="MY43" s="226"/>
      <c r="MZ43" s="226"/>
      <c r="NA43" s="226"/>
    </row>
    <row r="44" spans="1:365" ht="204" x14ac:dyDescent="0.2">
      <c r="A44" s="1216" t="s">
        <v>83</v>
      </c>
      <c r="B44" s="201" t="s">
        <v>6344</v>
      </c>
      <c r="C44" s="202" t="s">
        <v>9559</v>
      </c>
      <c r="D44" s="219" t="s">
        <v>57</v>
      </c>
      <c r="E44" s="294">
        <v>0</v>
      </c>
      <c r="F44" s="294">
        <v>0</v>
      </c>
      <c r="G44" s="305" t="s">
        <v>656</v>
      </c>
      <c r="H44" s="305" t="s">
        <v>656</v>
      </c>
      <c r="I44" s="299">
        <v>0.16</v>
      </c>
      <c r="J44" s="225" t="s">
        <v>656</v>
      </c>
      <c r="K44" s="305">
        <v>0</v>
      </c>
      <c r="L44" s="305">
        <v>0</v>
      </c>
      <c r="M44" s="305">
        <v>0</v>
      </c>
      <c r="N44" s="305">
        <v>0</v>
      </c>
      <c r="O44" s="305">
        <v>0</v>
      </c>
      <c r="P44" s="442">
        <v>0</v>
      </c>
      <c r="Q44" s="305">
        <v>0</v>
      </c>
      <c r="R44" s="323">
        <v>0.23</v>
      </c>
      <c r="S44" s="305">
        <v>0</v>
      </c>
      <c r="T44" s="305"/>
      <c r="U44" s="305">
        <v>0</v>
      </c>
      <c r="V44" s="294">
        <v>0</v>
      </c>
      <c r="W44" s="226"/>
      <c r="X44" s="226"/>
      <c r="Y44" s="226"/>
      <c r="Z44" s="226"/>
      <c r="AA44" s="226"/>
      <c r="AB44" s="226"/>
      <c r="AC44" s="226"/>
      <c r="AD44" s="226"/>
      <c r="AE44" s="226"/>
      <c r="AF44" s="305">
        <v>0</v>
      </c>
      <c r="AG44" s="225">
        <v>0.02</v>
      </c>
      <c r="AH44" s="226"/>
      <c r="AI44" s="225">
        <v>0.01</v>
      </c>
      <c r="AJ44" s="254" t="s">
        <v>470</v>
      </c>
      <c r="AK44" s="317"/>
      <c r="AL44" s="305"/>
      <c r="AM44" s="226"/>
      <c r="AN44" s="226"/>
      <c r="AO44" s="226"/>
      <c r="AP44" s="226"/>
      <c r="AQ44" s="299">
        <v>0.13800000000000001</v>
      </c>
      <c r="AR44" s="305">
        <v>0</v>
      </c>
      <c r="AS44" s="305"/>
      <c r="AT44" s="305">
        <v>0</v>
      </c>
      <c r="AU44" s="305">
        <v>0</v>
      </c>
      <c r="AV44" s="294">
        <v>0</v>
      </c>
      <c r="AW44" s="305">
        <v>0</v>
      </c>
      <c r="AX44" s="305"/>
      <c r="AY44" s="317" t="s">
        <v>2234</v>
      </c>
      <c r="AZ44" s="305">
        <v>0</v>
      </c>
      <c r="BA44" s="305"/>
      <c r="BB44" s="305">
        <v>0</v>
      </c>
      <c r="BC44" s="305">
        <v>0</v>
      </c>
      <c r="BD44" s="305"/>
      <c r="BE44" s="317">
        <v>0</v>
      </c>
      <c r="BF44" s="305">
        <v>0</v>
      </c>
      <c r="BG44" s="305"/>
      <c r="BH44" s="305" t="s">
        <v>470</v>
      </c>
      <c r="BI44" s="305" t="s">
        <v>656</v>
      </c>
      <c r="BJ44" s="305">
        <v>0</v>
      </c>
      <c r="BK44" s="305">
        <v>0</v>
      </c>
      <c r="BL44" s="305"/>
      <c r="BM44" s="310">
        <v>0</v>
      </c>
      <c r="BN44" s="226"/>
      <c r="BO44" s="305"/>
      <c r="BP44" s="305">
        <v>0</v>
      </c>
      <c r="BQ44" s="305">
        <v>0</v>
      </c>
      <c r="BR44" s="305">
        <v>0</v>
      </c>
      <c r="BS44" s="305">
        <v>6.3E-3</v>
      </c>
      <c r="BT44" s="299">
        <v>1.9254E-2</v>
      </c>
      <c r="BU44" s="305">
        <v>0</v>
      </c>
      <c r="BV44" s="305">
        <v>0</v>
      </c>
      <c r="BW44" s="305">
        <v>0</v>
      </c>
      <c r="BX44" s="305">
        <v>0</v>
      </c>
      <c r="BY44" s="305">
        <v>0</v>
      </c>
      <c r="BZ44" s="305"/>
      <c r="CA44" s="305">
        <v>0</v>
      </c>
      <c r="CB44" s="305">
        <v>0</v>
      </c>
      <c r="CC44" s="305">
        <v>0</v>
      </c>
      <c r="CD44" s="317"/>
      <c r="CE44" s="317">
        <v>0</v>
      </c>
      <c r="CF44" s="317"/>
      <c r="CG44" s="317">
        <v>0</v>
      </c>
      <c r="CH44" s="296">
        <v>4.0000000000000001E-3</v>
      </c>
      <c r="CI44" s="317">
        <v>0</v>
      </c>
      <c r="CJ44" s="317">
        <v>0</v>
      </c>
      <c r="CK44" s="317"/>
      <c r="CL44" s="317"/>
      <c r="CM44" s="317">
        <v>0</v>
      </c>
      <c r="CN44" s="305">
        <v>2.8600000000000001E-3</v>
      </c>
      <c r="CO44" s="305" t="s">
        <v>656</v>
      </c>
      <c r="CP44" s="305">
        <v>0</v>
      </c>
      <c r="CQ44" s="444">
        <v>0</v>
      </c>
      <c r="CR44" s="448">
        <v>0.15</v>
      </c>
      <c r="CS44" s="305">
        <v>0</v>
      </c>
      <c r="CT44" s="305"/>
      <c r="CU44" s="305">
        <v>0</v>
      </c>
      <c r="CV44" s="305">
        <v>0</v>
      </c>
      <c r="CW44" s="305" t="s">
        <v>656</v>
      </c>
      <c r="CX44" s="305"/>
      <c r="CY44" s="305">
        <v>0</v>
      </c>
      <c r="CZ44" s="305">
        <v>0</v>
      </c>
      <c r="DA44" s="294">
        <v>1.1005</v>
      </c>
      <c r="DB44" s="305">
        <v>0</v>
      </c>
      <c r="DC44" s="305">
        <v>0</v>
      </c>
      <c r="DD44" s="305">
        <v>0</v>
      </c>
      <c r="DE44" s="305">
        <v>0</v>
      </c>
      <c r="DF44" s="310">
        <v>3.5</v>
      </c>
      <c r="DG44" s="305">
        <v>0</v>
      </c>
      <c r="DH44" s="305">
        <v>3.5E-4</v>
      </c>
      <c r="DI44" s="305">
        <v>0</v>
      </c>
      <c r="DJ44" s="299">
        <v>5.0000000000000001E-3</v>
      </c>
      <c r="DK44" s="305">
        <v>0</v>
      </c>
      <c r="DL44" s="305">
        <v>0</v>
      </c>
      <c r="DM44" s="305"/>
      <c r="DN44" s="310">
        <v>0.02</v>
      </c>
      <c r="DO44" s="305"/>
      <c r="DP44" s="299">
        <v>0</v>
      </c>
      <c r="DQ44" s="299">
        <v>0</v>
      </c>
      <c r="DR44" s="299">
        <v>0</v>
      </c>
      <c r="DS44" s="299">
        <v>0</v>
      </c>
      <c r="DT44" s="299">
        <v>0</v>
      </c>
      <c r="DU44" s="305">
        <v>0</v>
      </c>
      <c r="DV44" s="294">
        <v>0</v>
      </c>
      <c r="DW44" s="246" t="s">
        <v>2234</v>
      </c>
      <c r="DX44" s="323">
        <v>0.1</v>
      </c>
      <c r="DY44" s="299"/>
      <c r="DZ44" s="294">
        <v>0.30099999999999999</v>
      </c>
      <c r="EA44" s="305"/>
      <c r="EB44" s="305"/>
      <c r="EC44" s="226"/>
      <c r="ED44" s="305">
        <v>0</v>
      </c>
      <c r="EE44" s="294">
        <v>0.318</v>
      </c>
      <c r="EF44" s="305">
        <v>0</v>
      </c>
      <c r="EG44" s="226"/>
      <c r="EH44" s="294">
        <f>138834/1000000</f>
        <v>0.13883400000000001</v>
      </c>
      <c r="EI44" s="305">
        <v>0</v>
      </c>
      <c r="EJ44" s="226"/>
      <c r="EK44" s="226"/>
      <c r="EL44" s="226"/>
      <c r="EM44" s="226"/>
      <c r="EN44" s="226"/>
      <c r="EO44" s="226"/>
      <c r="EP44" s="226"/>
      <c r="EQ44" s="226"/>
      <c r="ER44" s="305" t="s">
        <v>470</v>
      </c>
      <c r="ES44" s="294">
        <v>0.37401726000000002</v>
      </c>
      <c r="ET44" s="294">
        <v>0.36699999999999999</v>
      </c>
      <c r="EU44" s="294">
        <v>1.0999999999999999E-2</v>
      </c>
      <c r="EV44" s="294">
        <v>0</v>
      </c>
      <c r="EW44" s="232">
        <v>0</v>
      </c>
      <c r="EX44" s="310">
        <v>2.1</v>
      </c>
      <c r="EY44" s="305">
        <v>0</v>
      </c>
      <c r="EZ44" s="317">
        <v>0</v>
      </c>
      <c r="FA44" s="305">
        <v>0</v>
      </c>
      <c r="FB44" s="305">
        <v>0</v>
      </c>
      <c r="FC44" s="305">
        <v>0</v>
      </c>
      <c r="FD44" s="226"/>
      <c r="FE44" s="440">
        <v>0.02</v>
      </c>
      <c r="FF44" s="294">
        <v>8.5000000000000006E-2</v>
      </c>
      <c r="FG44" s="225">
        <f>0.071+0.086+0.035</f>
        <v>0.19199999999999998</v>
      </c>
      <c r="FH44" s="449">
        <v>1</v>
      </c>
      <c r="FI44" s="445" t="s">
        <v>656</v>
      </c>
      <c r="FJ44" s="445">
        <v>0</v>
      </c>
      <c r="FK44" s="445"/>
      <c r="FL44" s="439"/>
      <c r="FM44" s="305">
        <v>0</v>
      </c>
      <c r="FN44" s="305"/>
      <c r="FO44" s="445"/>
      <c r="FP44" s="445"/>
      <c r="FQ44" s="450">
        <f>(206654.69+179090.51+179100)/1000000</f>
        <v>0.56484519999999994</v>
      </c>
      <c r="FR44" s="445"/>
      <c r="FS44" s="445"/>
      <c r="FT44" s="445"/>
      <c r="FU44" s="226"/>
      <c r="FV44" s="445">
        <v>0</v>
      </c>
      <c r="FW44" s="450">
        <v>0.217</v>
      </c>
      <c r="FX44" s="450">
        <v>0</v>
      </c>
      <c r="FY44" s="226"/>
      <c r="FZ44" s="445"/>
      <c r="GA44" s="450">
        <v>3.2000000000000001E-2</v>
      </c>
      <c r="GB44" s="445"/>
      <c r="GC44" s="445"/>
      <c r="GD44" s="445"/>
      <c r="GE44" s="450">
        <v>0.251</v>
      </c>
      <c r="GF44" s="450"/>
      <c r="GG44" s="439">
        <v>0.33479999999999999</v>
      </c>
      <c r="GH44" s="439">
        <v>0</v>
      </c>
      <c r="GI44" s="226"/>
      <c r="GJ44" s="439">
        <v>0.13</v>
      </c>
      <c r="GK44" s="445"/>
      <c r="GL44" s="394">
        <v>0.104</v>
      </c>
      <c r="GM44" s="451">
        <v>0.73</v>
      </c>
      <c r="GN44" s="452"/>
      <c r="GO44" s="226"/>
      <c r="GP44" s="445"/>
      <c r="GQ44" s="226"/>
      <c r="GR44" s="445"/>
      <c r="GS44" s="445"/>
      <c r="GT44" s="445"/>
      <c r="GU44" s="450">
        <v>0.36699999999999999</v>
      </c>
      <c r="GV44" s="445"/>
      <c r="GW44" s="226"/>
      <c r="GX44" s="305"/>
      <c r="GY44" s="299">
        <v>1.4999999999999999E-2</v>
      </c>
      <c r="GZ44" s="453">
        <v>8.9999999999999993E-3</v>
      </c>
      <c r="HA44" s="305">
        <v>0</v>
      </c>
      <c r="HB44" s="297">
        <v>0.08</v>
      </c>
      <c r="HC44" s="294">
        <v>5.1999999999999998E-2</v>
      </c>
      <c r="HD44" s="225">
        <v>0.56200000000000006</v>
      </c>
      <c r="HE44" s="323">
        <f>0.522+2.199</f>
        <v>2.7210000000000001</v>
      </c>
      <c r="HF44" s="226"/>
      <c r="HG44" s="306">
        <v>0</v>
      </c>
      <c r="HH44" s="306">
        <v>0</v>
      </c>
      <c r="HI44" s="306">
        <v>0</v>
      </c>
      <c r="HJ44" s="305">
        <v>0</v>
      </c>
      <c r="HK44" s="291">
        <v>0.03</v>
      </c>
      <c r="HL44" s="226"/>
      <c r="HM44" s="294">
        <v>8.5169999999999995</v>
      </c>
      <c r="HN44" s="226"/>
      <c r="HO44" s="294">
        <v>0</v>
      </c>
      <c r="HP44" s="294">
        <v>0.158</v>
      </c>
      <c r="HQ44" s="294"/>
      <c r="HR44" s="294"/>
      <c r="HS44" s="294">
        <v>0</v>
      </c>
      <c r="HT44" s="294">
        <v>0</v>
      </c>
      <c r="HU44" s="294">
        <v>0</v>
      </c>
      <c r="HV44" s="294">
        <v>0</v>
      </c>
      <c r="HW44" s="294">
        <v>0</v>
      </c>
      <c r="HX44" s="294">
        <v>0</v>
      </c>
      <c r="HY44" s="294">
        <v>1.181</v>
      </c>
      <c r="HZ44" s="294">
        <v>0</v>
      </c>
      <c r="IA44" s="294">
        <v>0.2</v>
      </c>
      <c r="IB44" s="294">
        <v>0</v>
      </c>
      <c r="IC44" s="294">
        <v>0</v>
      </c>
      <c r="ID44" s="294">
        <v>3.0000000000000001E-3</v>
      </c>
      <c r="IE44" s="294">
        <v>5.0000000000000001E-3</v>
      </c>
      <c r="IF44" s="294">
        <v>5.0000000000000001E-3</v>
      </c>
      <c r="IG44" s="294">
        <v>4.3999999999999997E-2</v>
      </c>
      <c r="IH44" s="296">
        <v>5.0000000000000001E-3</v>
      </c>
      <c r="II44" s="294">
        <v>2E-3</v>
      </c>
      <c r="IJ44" s="294">
        <v>1E-3</v>
      </c>
      <c r="IK44" s="294">
        <v>1E-3</v>
      </c>
      <c r="IL44" s="294">
        <v>0.02</v>
      </c>
      <c r="IM44" s="294">
        <v>3.0000000000000001E-3</v>
      </c>
      <c r="IN44" s="297">
        <v>2.5000000000000001E-3</v>
      </c>
      <c r="IO44" s="294">
        <v>2.5000000000000001E-3</v>
      </c>
      <c r="IP44" s="294">
        <v>2.5000000000000001E-3</v>
      </c>
      <c r="IQ44" s="294">
        <v>2.7499999999999998E-3</v>
      </c>
      <c r="IR44" s="294">
        <v>0</v>
      </c>
      <c r="IS44" s="294">
        <v>0</v>
      </c>
      <c r="IT44" s="294">
        <v>2E-3</v>
      </c>
      <c r="IU44" s="294">
        <v>1E-3</v>
      </c>
      <c r="IV44" s="294">
        <v>3.0000000000000001E-3</v>
      </c>
      <c r="IW44" s="294">
        <v>2E-3</v>
      </c>
      <c r="IX44" s="294">
        <v>0</v>
      </c>
      <c r="IY44" s="294">
        <v>0.11</v>
      </c>
      <c r="IZ44" s="294"/>
      <c r="JA44" s="294"/>
      <c r="JB44" s="294"/>
      <c r="JC44" s="294">
        <v>0</v>
      </c>
      <c r="JD44" s="305">
        <v>0</v>
      </c>
      <c r="JE44" s="226"/>
      <c r="JF44" s="226"/>
      <c r="JG44" s="226"/>
      <c r="JH44" s="310" t="s">
        <v>656</v>
      </c>
      <c r="JI44" s="294"/>
      <c r="JJ44" s="305" t="s">
        <v>656</v>
      </c>
      <c r="JK44" s="237"/>
      <c r="JL44" s="305">
        <v>0</v>
      </c>
      <c r="JM44" s="310">
        <v>0</v>
      </c>
      <c r="JN44" s="226"/>
      <c r="JO44" s="226"/>
      <c r="JP44" s="226"/>
      <c r="JQ44" s="294">
        <v>0.44600000000000001</v>
      </c>
      <c r="JR44" s="323">
        <v>0.95004</v>
      </c>
      <c r="JS44" s="310">
        <v>0.26700000000000002</v>
      </c>
      <c r="JT44" s="310">
        <v>0.21099999999999999</v>
      </c>
      <c r="JU44" s="305" t="s">
        <v>656</v>
      </c>
      <c r="JV44" s="299">
        <v>0.67800000000000005</v>
      </c>
      <c r="JW44" s="323">
        <v>0.05</v>
      </c>
      <c r="JX44" s="310">
        <v>0.54300000000000004</v>
      </c>
      <c r="JY44" s="294">
        <v>1.4990000000000001</v>
      </c>
      <c r="JZ44" s="299">
        <v>0.14699999999999999</v>
      </c>
      <c r="KA44" s="310">
        <v>0.31</v>
      </c>
      <c r="KB44" s="310">
        <v>0</v>
      </c>
      <c r="KC44" s="299">
        <v>2.2429999999999999</v>
      </c>
      <c r="KD44" s="299">
        <v>1.0109999999999999</v>
      </c>
      <c r="KE44" s="324">
        <v>8.2299999999999998E-2</v>
      </c>
      <c r="KF44" s="294">
        <v>0.48699999999999999</v>
      </c>
      <c r="KG44" s="294">
        <v>0.33</v>
      </c>
      <c r="KH44" s="299">
        <v>0.24909027</v>
      </c>
      <c r="KI44" s="294">
        <v>0.33400000000000002</v>
      </c>
      <c r="KJ44" s="299">
        <v>1.8009999999999999</v>
      </c>
      <c r="KK44" s="310">
        <v>0.1</v>
      </c>
      <c r="KL44" s="294">
        <v>0.129</v>
      </c>
      <c r="KM44" s="294">
        <v>6.7000000000000004E-2</v>
      </c>
      <c r="KN44" s="300" t="s">
        <v>6343</v>
      </c>
      <c r="KO44" s="294">
        <v>7.0000000000000001E-3</v>
      </c>
      <c r="KP44" s="305"/>
      <c r="KQ44" s="226"/>
      <c r="KR44" s="226"/>
      <c r="KS44" s="226"/>
      <c r="KT44" s="226"/>
      <c r="KU44" s="226"/>
      <c r="KV44" s="294">
        <v>1.093</v>
      </c>
      <c r="KW44" s="310">
        <f>182800/1000000</f>
        <v>0.18279999999999999</v>
      </c>
      <c r="KX44" s="329"/>
      <c r="KY44" s="330"/>
      <c r="KZ44" s="305"/>
      <c r="LA44" s="305">
        <v>0</v>
      </c>
      <c r="LB44" s="305">
        <v>0</v>
      </c>
      <c r="LC44" s="294">
        <v>0</v>
      </c>
      <c r="LD44" s="305"/>
      <c r="LE44" s="305">
        <v>0</v>
      </c>
      <c r="LF44" s="305"/>
      <c r="LG44" s="305"/>
      <c r="LH44" s="305"/>
      <c r="LI44" s="305">
        <v>0</v>
      </c>
      <c r="LJ44" s="305">
        <v>0</v>
      </c>
      <c r="LK44" s="305">
        <v>0</v>
      </c>
      <c r="LL44" s="232">
        <v>0</v>
      </c>
      <c r="LM44" s="226"/>
      <c r="LN44" s="294">
        <v>0</v>
      </c>
      <c r="LO44" s="294">
        <v>0</v>
      </c>
      <c r="LP44" s="305">
        <v>0.112</v>
      </c>
      <c r="LQ44" s="305">
        <v>0.77</v>
      </c>
      <c r="LR44" s="294">
        <v>0</v>
      </c>
      <c r="LS44" s="310">
        <v>0.03</v>
      </c>
      <c r="LT44" s="302">
        <v>1.7929999999999999</v>
      </c>
      <c r="LU44" s="294">
        <v>0.12560000000000002</v>
      </c>
      <c r="LV44" s="294">
        <v>5.0000000000000001E-3</v>
      </c>
      <c r="LW44" s="294">
        <v>0.04</v>
      </c>
      <c r="LX44" s="294">
        <v>0.05</v>
      </c>
      <c r="LY44" s="305">
        <v>5.9999999999999995E-4</v>
      </c>
      <c r="LZ44" s="294">
        <v>0.02</v>
      </c>
      <c r="MA44" s="323">
        <v>0.01</v>
      </c>
      <c r="MB44" s="294">
        <v>0</v>
      </c>
      <c r="MC44" s="299">
        <v>0.01</v>
      </c>
      <c r="MD44" s="305">
        <v>0</v>
      </c>
      <c r="ME44" s="305">
        <v>0</v>
      </c>
      <c r="MF44" s="299">
        <v>0.60728325999999999</v>
      </c>
      <c r="MG44" s="226"/>
      <c r="MH44" s="226"/>
      <c r="MI44" s="226"/>
      <c r="MJ44" s="325">
        <v>0</v>
      </c>
      <c r="MK44" s="325"/>
      <c r="ML44" s="326"/>
      <c r="MM44" s="313">
        <v>0</v>
      </c>
      <c r="MN44" s="304">
        <v>0</v>
      </c>
      <c r="MO44" s="327">
        <v>0</v>
      </c>
      <c r="MP44" s="314">
        <v>0</v>
      </c>
      <c r="MQ44" s="304">
        <v>0</v>
      </c>
      <c r="MR44" s="304">
        <v>0</v>
      </c>
      <c r="MS44" s="304">
        <v>0</v>
      </c>
      <c r="MT44" s="313"/>
      <c r="MU44" s="314"/>
      <c r="MV44" s="303">
        <v>0</v>
      </c>
      <c r="MW44" s="303">
        <v>0</v>
      </c>
      <c r="MX44" s="226"/>
      <c r="MY44" s="226"/>
      <c r="MZ44" s="226"/>
      <c r="NA44" s="226"/>
    </row>
    <row r="45" spans="1:365" ht="34" x14ac:dyDescent="0.2">
      <c r="A45" s="1216"/>
      <c r="B45" s="201" t="s">
        <v>6342</v>
      </c>
      <c r="C45" s="202" t="s">
        <v>63</v>
      </c>
      <c r="D45" s="215" t="s">
        <v>64</v>
      </c>
      <c r="E45" s="305">
        <v>0</v>
      </c>
      <c r="F45" s="305">
        <v>0</v>
      </c>
      <c r="G45" s="305" t="s">
        <v>656</v>
      </c>
      <c r="H45" s="305" t="s">
        <v>656</v>
      </c>
      <c r="I45" s="305">
        <f>I44/I33</f>
        <v>0.43243243243243246</v>
      </c>
      <c r="J45" s="225" t="s">
        <v>656</v>
      </c>
      <c r="K45" s="305">
        <v>0</v>
      </c>
      <c r="L45" s="305">
        <v>0</v>
      </c>
      <c r="M45" s="305">
        <v>0</v>
      </c>
      <c r="N45" s="305">
        <v>0</v>
      </c>
      <c r="O45" s="305">
        <v>0</v>
      </c>
      <c r="P45" s="442">
        <v>0</v>
      </c>
      <c r="Q45" s="305">
        <v>0</v>
      </c>
      <c r="R45" s="305">
        <f>R44/R33</f>
        <v>0.25620637668709118</v>
      </c>
      <c r="S45" s="305">
        <v>0</v>
      </c>
      <c r="T45" s="305"/>
      <c r="U45" s="305">
        <v>0</v>
      </c>
      <c r="V45" s="305">
        <v>0</v>
      </c>
      <c r="W45" s="226"/>
      <c r="X45" s="226"/>
      <c r="Y45" s="226"/>
      <c r="Z45" s="226"/>
      <c r="AA45" s="226"/>
      <c r="AB45" s="226"/>
      <c r="AC45" s="226"/>
      <c r="AD45" s="226"/>
      <c r="AE45" s="226"/>
      <c r="AF45" s="305">
        <v>0</v>
      </c>
      <c r="AG45" s="305">
        <f>AG44/AG33</f>
        <v>1.9607843137254902E-2</v>
      </c>
      <c r="AH45" s="226"/>
      <c r="AI45" s="305">
        <v>0.05</v>
      </c>
      <c r="AJ45" s="254"/>
      <c r="AK45" s="317"/>
      <c r="AL45" s="305"/>
      <c r="AM45" s="226"/>
      <c r="AN45" s="226"/>
      <c r="AO45" s="226"/>
      <c r="AP45" s="226"/>
      <c r="AQ45" s="305">
        <v>0.1042</v>
      </c>
      <c r="AR45" s="305"/>
      <c r="AS45" s="305"/>
      <c r="AT45" s="305">
        <v>0</v>
      </c>
      <c r="AU45" s="305">
        <v>0</v>
      </c>
      <c r="AV45" s="305">
        <v>0</v>
      </c>
      <c r="AW45" s="305">
        <v>0</v>
      </c>
      <c r="AX45" s="305"/>
      <c r="AY45" s="317" t="s">
        <v>2234</v>
      </c>
      <c r="AZ45" s="305">
        <v>0</v>
      </c>
      <c r="BA45" s="305"/>
      <c r="BB45" s="305"/>
      <c r="BC45" s="305">
        <v>0</v>
      </c>
      <c r="BD45" s="305"/>
      <c r="BE45" s="317">
        <v>0</v>
      </c>
      <c r="BF45" s="305">
        <v>0</v>
      </c>
      <c r="BG45" s="305"/>
      <c r="BH45" s="305" t="s">
        <v>470</v>
      </c>
      <c r="BI45" s="305" t="s">
        <v>656</v>
      </c>
      <c r="BJ45" s="305">
        <v>0</v>
      </c>
      <c r="BK45" s="305">
        <v>0</v>
      </c>
      <c r="BL45" s="305"/>
      <c r="BM45" s="305">
        <v>0</v>
      </c>
      <c r="BN45" s="226"/>
      <c r="BO45" s="305"/>
      <c r="BP45" s="305">
        <v>0</v>
      </c>
      <c r="BQ45" s="305">
        <v>0</v>
      </c>
      <c r="BR45" s="443">
        <v>0</v>
      </c>
      <c r="BS45" s="305">
        <v>0.03</v>
      </c>
      <c r="BT45" s="305">
        <v>6.4799999999999996E-3</v>
      </c>
      <c r="BU45" s="305">
        <v>0</v>
      </c>
      <c r="BV45" s="305">
        <v>0</v>
      </c>
      <c r="BW45" s="305"/>
      <c r="BX45" s="305">
        <v>0</v>
      </c>
      <c r="BY45" s="305">
        <v>0</v>
      </c>
      <c r="BZ45" s="305"/>
      <c r="CA45" s="305">
        <v>0</v>
      </c>
      <c r="CB45" s="305">
        <v>0</v>
      </c>
      <c r="CC45" s="305">
        <v>0</v>
      </c>
      <c r="CD45" s="317"/>
      <c r="CE45" s="317">
        <v>0</v>
      </c>
      <c r="CF45" s="317"/>
      <c r="CG45" s="317">
        <v>0</v>
      </c>
      <c r="CH45" s="317">
        <v>7.0000000000000001E-3</v>
      </c>
      <c r="CI45" s="317">
        <v>0</v>
      </c>
      <c r="CJ45" s="317">
        <v>0</v>
      </c>
      <c r="CK45" s="317"/>
      <c r="CL45" s="317"/>
      <c r="CM45" s="317">
        <v>0</v>
      </c>
      <c r="CN45" s="305">
        <v>0.2009</v>
      </c>
      <c r="CO45" s="305" t="s">
        <v>656</v>
      </c>
      <c r="CP45" s="305">
        <v>0</v>
      </c>
      <c r="CQ45" s="444">
        <v>0</v>
      </c>
      <c r="CR45" s="445">
        <f>CR44/CR33</f>
        <v>5.4249547920433997E-3</v>
      </c>
      <c r="CS45" s="305"/>
      <c r="CT45" s="305"/>
      <c r="CU45" s="305">
        <v>0</v>
      </c>
      <c r="CV45" s="305">
        <v>0</v>
      </c>
      <c r="CW45" s="305" t="s">
        <v>656</v>
      </c>
      <c r="CX45" s="305"/>
      <c r="CY45" s="305"/>
      <c r="CZ45" s="305">
        <v>0</v>
      </c>
      <c r="DA45" s="305">
        <v>0</v>
      </c>
      <c r="DB45" s="305">
        <v>0</v>
      </c>
      <c r="DC45" s="305">
        <v>0</v>
      </c>
      <c r="DD45" s="305">
        <v>0</v>
      </c>
      <c r="DE45" s="305">
        <v>0</v>
      </c>
      <c r="DF45" s="305">
        <v>0.1</v>
      </c>
      <c r="DG45" s="305"/>
      <c r="DH45" s="305">
        <v>3.9E-2</v>
      </c>
      <c r="DI45" s="305">
        <v>0</v>
      </c>
      <c r="DJ45" s="305">
        <v>1.6000000000000001E-3</v>
      </c>
      <c r="DK45" s="305"/>
      <c r="DL45" s="305">
        <v>0</v>
      </c>
      <c r="DM45" s="312">
        <v>0.08</v>
      </c>
      <c r="DN45" s="305">
        <v>0.04</v>
      </c>
      <c r="DO45" s="305"/>
      <c r="DP45" s="305">
        <v>0</v>
      </c>
      <c r="DQ45" s="305">
        <v>0</v>
      </c>
      <c r="DR45" s="305">
        <v>0</v>
      </c>
      <c r="DS45" s="305">
        <v>0</v>
      </c>
      <c r="DT45" s="305">
        <v>0</v>
      </c>
      <c r="DU45" s="305">
        <v>0</v>
      </c>
      <c r="DV45" s="305">
        <v>0</v>
      </c>
      <c r="DW45" s="246" t="s">
        <v>2234</v>
      </c>
      <c r="DX45" s="305">
        <v>9.0999999999999998E-2</v>
      </c>
      <c r="DY45" s="305"/>
      <c r="DZ45" s="305">
        <v>2.7199999999999998E-2</v>
      </c>
      <c r="EA45" s="305"/>
      <c r="EB45" s="305"/>
      <c r="EC45" s="226"/>
      <c r="ED45" s="305">
        <v>0</v>
      </c>
      <c r="EE45" s="305">
        <f>(0.318*100%)/4.389</f>
        <v>7.2453861927546132E-2</v>
      </c>
      <c r="EF45" s="305">
        <v>0</v>
      </c>
      <c r="EG45" s="226"/>
      <c r="EH45" s="305">
        <v>0.33700000000000002</v>
      </c>
      <c r="EI45" s="305">
        <v>0</v>
      </c>
      <c r="EJ45" s="226"/>
      <c r="EK45" s="226"/>
      <c r="EL45" s="226"/>
      <c r="EM45" s="226"/>
      <c r="EN45" s="226"/>
      <c r="EO45" s="226"/>
      <c r="EP45" s="226"/>
      <c r="EQ45" s="226"/>
      <c r="ER45" s="305"/>
      <c r="ES45" s="305">
        <f>ES44/ES33</f>
        <v>0.24999999832895414</v>
      </c>
      <c r="ET45" s="305">
        <f>ET44/ET33</f>
        <v>2.5987820422036539E-2</v>
      </c>
      <c r="EU45" s="305">
        <f>EU44/EU33</f>
        <v>1.573676680972818E-2</v>
      </c>
      <c r="EV45" s="305"/>
      <c r="EW45" s="310"/>
      <c r="EX45" s="305">
        <v>0.19600000000000001</v>
      </c>
      <c r="EY45" s="305"/>
      <c r="EZ45" s="317"/>
      <c r="FA45" s="305">
        <v>0</v>
      </c>
      <c r="FB45" s="305">
        <v>0</v>
      </c>
      <c r="FC45" s="305"/>
      <c r="FD45" s="226"/>
      <c r="FE45" s="446" t="s">
        <v>6341</v>
      </c>
      <c r="FF45" s="305">
        <f>FF44/FF33</f>
        <v>0.58620689655172409</v>
      </c>
      <c r="FG45" s="305">
        <f>FG44/FG33</f>
        <v>4.0083507306889345E-2</v>
      </c>
      <c r="FH45" s="305">
        <f>FH44/FH33</f>
        <v>9.939793675726756E-2</v>
      </c>
      <c r="FI45" s="445" t="s">
        <v>656</v>
      </c>
      <c r="FJ45" s="445">
        <v>0</v>
      </c>
      <c r="FK45" s="445"/>
      <c r="FL45" s="445"/>
      <c r="FM45" s="305">
        <v>0</v>
      </c>
      <c r="FN45" s="305"/>
      <c r="FO45" s="445"/>
      <c r="FP45" s="445"/>
      <c r="FQ45" s="445">
        <f>FQ44/FQ33</f>
        <v>0.21287198078938882</v>
      </c>
      <c r="FR45" s="445"/>
      <c r="FS45" s="445"/>
      <c r="FT45" s="445"/>
      <c r="FU45" s="226"/>
      <c r="FV45" s="445">
        <v>0</v>
      </c>
      <c r="FW45" s="445">
        <f>FW44/FW33</f>
        <v>0.19427036705461057</v>
      </c>
      <c r="FX45" s="445">
        <v>0</v>
      </c>
      <c r="FY45" s="226"/>
      <c r="FZ45" s="445"/>
      <c r="GA45" s="445">
        <f>GA44/GA33</f>
        <v>6.6390041493775934E-2</v>
      </c>
      <c r="GB45" s="445"/>
      <c r="GC45" s="445"/>
      <c r="GD45" s="445"/>
      <c r="GE45" s="445">
        <f>GE44/GE33</f>
        <v>0.23882017126546143</v>
      </c>
      <c r="GF45" s="445"/>
      <c r="GG45" s="445">
        <f>GG44/GG33</f>
        <v>0.23719447396386822</v>
      </c>
      <c r="GH45" s="445">
        <v>0</v>
      </c>
      <c r="GI45" s="226"/>
      <c r="GJ45" s="445">
        <v>7.9000000000000001E-2</v>
      </c>
      <c r="GK45" s="445"/>
      <c r="GL45" s="445">
        <v>0.189</v>
      </c>
      <c r="GM45" s="445">
        <f>GM44/GM33</f>
        <v>0.16222222222222221</v>
      </c>
      <c r="GN45" s="445"/>
      <c r="GO45" s="226"/>
      <c r="GP45" s="445"/>
      <c r="GQ45" s="226"/>
      <c r="GR45" s="445"/>
      <c r="GS45" s="445"/>
      <c r="GT45" s="445"/>
      <c r="GU45" s="445">
        <v>0.25940000000000002</v>
      </c>
      <c r="GV45" s="445"/>
      <c r="GW45" s="226"/>
      <c r="GX45" s="305"/>
      <c r="GY45" s="312">
        <f>GY44/GY33</f>
        <v>0.06</v>
      </c>
      <c r="GZ45" s="445">
        <v>9.7500000000000003E-2</v>
      </c>
      <c r="HA45" s="305"/>
      <c r="HB45" s="305">
        <v>7.4999999999999997E-2</v>
      </c>
      <c r="HC45" s="305">
        <v>5.1200000000000002E-2</v>
      </c>
      <c r="HD45" s="305">
        <v>0.1091</v>
      </c>
      <c r="HE45" s="305">
        <f>HE44/HE33</f>
        <v>0.132492574377952</v>
      </c>
      <c r="HF45" s="226"/>
      <c r="HG45" s="306" t="s">
        <v>656</v>
      </c>
      <c r="HH45" s="306">
        <v>0</v>
      </c>
      <c r="HI45" s="306">
        <v>0</v>
      </c>
      <c r="HJ45" s="305">
        <v>0</v>
      </c>
      <c r="HK45" s="306">
        <f>HK44/HK33</f>
        <v>2.8222013170272815E-3</v>
      </c>
      <c r="HL45" s="226"/>
      <c r="HM45" s="305">
        <v>0.02</v>
      </c>
      <c r="HN45" s="226"/>
      <c r="HO45" s="305">
        <f t="shared" ref="HO45:HY45" si="12">HO44/HO33</f>
        <v>0</v>
      </c>
      <c r="HP45" s="305">
        <f t="shared" si="12"/>
        <v>0.29596882961186871</v>
      </c>
      <c r="HQ45" s="305">
        <f t="shared" si="12"/>
        <v>0</v>
      </c>
      <c r="HR45" s="305">
        <f t="shared" si="12"/>
        <v>0</v>
      </c>
      <c r="HS45" s="305">
        <f t="shared" si="12"/>
        <v>0</v>
      </c>
      <c r="HT45" s="305">
        <f t="shared" si="12"/>
        <v>0</v>
      </c>
      <c r="HU45" s="305">
        <f t="shared" si="12"/>
        <v>0</v>
      </c>
      <c r="HV45" s="305">
        <f t="shared" si="12"/>
        <v>0</v>
      </c>
      <c r="HW45" s="305">
        <f t="shared" si="12"/>
        <v>0</v>
      </c>
      <c r="HX45" s="305">
        <f t="shared" si="12"/>
        <v>0</v>
      </c>
      <c r="HY45" s="305">
        <f t="shared" si="12"/>
        <v>0.1207072771872445</v>
      </c>
      <c r="HZ45" s="305">
        <v>0</v>
      </c>
      <c r="IA45" s="305">
        <f t="shared" ref="IA45:IW45" si="13">IA44/IA33</f>
        <v>0.95238095238095233</v>
      </c>
      <c r="IB45" s="305">
        <f t="shared" si="13"/>
        <v>0</v>
      </c>
      <c r="IC45" s="305">
        <f t="shared" si="13"/>
        <v>0</v>
      </c>
      <c r="ID45" s="305">
        <f t="shared" si="13"/>
        <v>2.564102564102564E-2</v>
      </c>
      <c r="IE45" s="305">
        <f t="shared" si="13"/>
        <v>8.3333333333333343E-2</v>
      </c>
      <c r="IF45" s="305">
        <f t="shared" si="13"/>
        <v>3.3333333333333333E-2</v>
      </c>
      <c r="IG45" s="305">
        <f t="shared" si="13"/>
        <v>0.46808510638297868</v>
      </c>
      <c r="IH45" s="307">
        <f t="shared" si="13"/>
        <v>0.1</v>
      </c>
      <c r="II45" s="305">
        <f t="shared" si="13"/>
        <v>0.10000000000000002</v>
      </c>
      <c r="IJ45" s="305">
        <f t="shared" si="13"/>
        <v>9.0909090909090912E-2</v>
      </c>
      <c r="IK45" s="305">
        <f t="shared" si="13"/>
        <v>7.6923076923076913E-2</v>
      </c>
      <c r="IL45" s="305">
        <f t="shared" si="13"/>
        <v>0.19999999999999998</v>
      </c>
      <c r="IM45" s="305">
        <f t="shared" si="13"/>
        <v>8.5714285714285701E-2</v>
      </c>
      <c r="IN45" s="305">
        <f t="shared" si="13"/>
        <v>4.9999999999999996E-2</v>
      </c>
      <c r="IO45" s="305">
        <f t="shared" si="13"/>
        <v>4.9999999999999996E-2</v>
      </c>
      <c r="IP45" s="305">
        <f t="shared" si="13"/>
        <v>4.9999999999999996E-2</v>
      </c>
      <c r="IQ45" s="305">
        <f t="shared" si="13"/>
        <v>4.9999999999999996E-2</v>
      </c>
      <c r="IR45" s="305">
        <f t="shared" si="13"/>
        <v>0</v>
      </c>
      <c r="IS45" s="305">
        <f t="shared" si="13"/>
        <v>0</v>
      </c>
      <c r="IT45" s="305">
        <f t="shared" si="13"/>
        <v>0.04</v>
      </c>
      <c r="IU45" s="305">
        <f t="shared" si="13"/>
        <v>0.02</v>
      </c>
      <c r="IV45" s="305">
        <f t="shared" si="13"/>
        <v>0.06</v>
      </c>
      <c r="IW45" s="305">
        <f t="shared" si="13"/>
        <v>6.6666666666666666E-2</v>
      </c>
      <c r="IX45" s="305">
        <v>0</v>
      </c>
      <c r="IY45" s="305">
        <f>IY44/IY33</f>
        <v>0.44176706827309237</v>
      </c>
      <c r="IZ45" s="305">
        <f>IZ44/IZ33</f>
        <v>0</v>
      </c>
      <c r="JA45" s="305">
        <f>JA44/JA33</f>
        <v>0</v>
      </c>
      <c r="JB45" s="305">
        <f>JB44/JB33</f>
        <v>0</v>
      </c>
      <c r="JC45" s="305">
        <f>JC44/JC33</f>
        <v>0</v>
      </c>
      <c r="JD45" s="305">
        <v>0</v>
      </c>
      <c r="JE45" s="226"/>
      <c r="JF45" s="226"/>
      <c r="JG45" s="226"/>
      <c r="JH45" s="305" t="s">
        <v>656</v>
      </c>
      <c r="JI45" s="305"/>
      <c r="JJ45" s="305">
        <v>0</v>
      </c>
      <c r="JK45" s="309"/>
      <c r="JL45" s="305">
        <v>0</v>
      </c>
      <c r="JM45" s="305">
        <v>0</v>
      </c>
      <c r="JN45" s="226"/>
      <c r="JO45" s="226"/>
      <c r="JP45" s="226"/>
      <c r="JQ45" s="305">
        <f>JQ44/JQ33</f>
        <v>0.11718339464004204</v>
      </c>
      <c r="JR45" s="305">
        <v>0.16209999999999999</v>
      </c>
      <c r="JS45" s="305">
        <v>6.6199999999999995E-2</v>
      </c>
      <c r="JT45" s="305">
        <v>4.1200000000000001E-2</v>
      </c>
      <c r="JU45" s="305"/>
      <c r="JV45" s="305">
        <v>5.8000000000000003E-2</v>
      </c>
      <c r="JW45" s="305">
        <v>5.5599999999999997E-2</v>
      </c>
      <c r="JX45" s="305">
        <v>6.8000000000000005E-2</v>
      </c>
      <c r="JY45" s="305">
        <v>0.1139</v>
      </c>
      <c r="JZ45" s="305">
        <v>5.2299999999999999E-2</v>
      </c>
      <c r="KA45" s="305">
        <v>0.10199999999999999</v>
      </c>
      <c r="KB45" s="305">
        <v>0</v>
      </c>
      <c r="KC45" s="305">
        <f>KC44/KC33</f>
        <v>0.44895916733386704</v>
      </c>
      <c r="KD45" s="305">
        <f>KD44/KD33</f>
        <v>7.561139780121158E-2</v>
      </c>
      <c r="KE45" s="310">
        <v>2.9</v>
      </c>
      <c r="KF45" s="305">
        <v>2.6599999999999999E-2</v>
      </c>
      <c r="KG45" s="305">
        <v>0.1328</v>
      </c>
      <c r="KH45" s="305">
        <v>0.16900000000000001</v>
      </c>
      <c r="KI45" s="305">
        <f>KI44/KI33</f>
        <v>0.64603481624758219</v>
      </c>
      <c r="KJ45" s="305">
        <v>9.1899999999999996E-2</v>
      </c>
      <c r="KK45" s="305">
        <v>0.2</v>
      </c>
      <c r="KL45" s="305">
        <v>4.4499999999999998E-2</v>
      </c>
      <c r="KM45" s="305">
        <v>0.1298</v>
      </c>
      <c r="KN45" s="305">
        <v>1.6899999999999998E-2</v>
      </c>
      <c r="KO45" s="305">
        <v>1.21E-2</v>
      </c>
      <c r="KP45" s="305"/>
      <c r="KQ45" s="226"/>
      <c r="KR45" s="226"/>
      <c r="KS45" s="226"/>
      <c r="KT45" s="226"/>
      <c r="KU45" s="226"/>
      <c r="KV45" s="305">
        <f>KV44/KV33</f>
        <v>5.8194015546800128E-2</v>
      </c>
      <c r="KW45" s="305"/>
      <c r="KX45" s="329"/>
      <c r="KY45" s="330"/>
      <c r="KZ45" s="305"/>
      <c r="LA45" s="305"/>
      <c r="LB45" s="305"/>
      <c r="LC45" s="305">
        <v>0</v>
      </c>
      <c r="LD45" s="305"/>
      <c r="LE45" s="305"/>
      <c r="LF45" s="305"/>
      <c r="LG45" s="305"/>
      <c r="LH45" s="305"/>
      <c r="LI45" s="305">
        <v>0</v>
      </c>
      <c r="LJ45" s="305">
        <v>0</v>
      </c>
      <c r="LK45" s="305">
        <v>0</v>
      </c>
      <c r="LL45" s="305"/>
      <c r="LM45" s="226"/>
      <c r="LN45" s="294">
        <v>0</v>
      </c>
      <c r="LO45" s="294">
        <v>0</v>
      </c>
      <c r="LP45" s="305">
        <v>5.0099999999999999E-2</v>
      </c>
      <c r="LQ45" s="305">
        <v>2.6200000000000001E-2</v>
      </c>
      <c r="LR45" s="294">
        <v>0</v>
      </c>
      <c r="LS45" s="305">
        <v>1.3947001394700139E-3</v>
      </c>
      <c r="LT45" s="311">
        <v>5.5999999999999994E-2</v>
      </c>
      <c r="LU45" s="305">
        <v>2.6138567706382311E-3</v>
      </c>
      <c r="LV45" s="305">
        <v>5.0000000000000001E-4</v>
      </c>
      <c r="LW45" s="305">
        <v>4.1999999999999997E-3</v>
      </c>
      <c r="LX45" s="305">
        <v>4.7999999999999996E-3</v>
      </c>
      <c r="LY45" s="305">
        <v>6.1999999999999998E-3</v>
      </c>
      <c r="LZ45" s="305">
        <v>1.8E-3</v>
      </c>
      <c r="MA45" s="305">
        <v>4.1999999999999997E-3</v>
      </c>
      <c r="MB45" s="305">
        <v>0</v>
      </c>
      <c r="MC45" s="305">
        <v>1.1000000000000001E-3</v>
      </c>
      <c r="MD45" s="305">
        <v>0</v>
      </c>
      <c r="ME45" s="305">
        <v>0</v>
      </c>
      <c r="MF45" s="305">
        <v>4.3894706179978316E-2</v>
      </c>
      <c r="MG45" s="226"/>
      <c r="MH45" s="226"/>
      <c r="MI45" s="226"/>
      <c r="MJ45" s="313">
        <v>0</v>
      </c>
      <c r="MK45" s="313"/>
      <c r="ML45" s="313">
        <f>ML44/20.6841728</f>
        <v>0</v>
      </c>
      <c r="MM45" s="313">
        <v>0</v>
      </c>
      <c r="MN45" s="328">
        <v>1E-4</v>
      </c>
      <c r="MO45" s="314">
        <v>1.8000000000000001E-4</v>
      </c>
      <c r="MP45" s="314">
        <v>0</v>
      </c>
      <c r="MQ45" s="314">
        <v>0</v>
      </c>
      <c r="MR45" s="314">
        <f>MR44/MR33*100%</f>
        <v>0</v>
      </c>
      <c r="MS45" s="314">
        <f>MS44/MS33*100%</f>
        <v>0</v>
      </c>
      <c r="MT45" s="313"/>
      <c r="MU45" s="314"/>
      <c r="MV45" s="313">
        <f>MV44/MV33*100%</f>
        <v>0</v>
      </c>
      <c r="MW45" s="313">
        <v>0</v>
      </c>
      <c r="MX45" s="226"/>
      <c r="MY45" s="226"/>
      <c r="MZ45" s="226"/>
      <c r="NA45" s="226"/>
    </row>
    <row r="46" spans="1:365" s="796" customFormat="1" x14ac:dyDescent="0.2">
      <c r="A46" s="208"/>
      <c r="B46" s="205"/>
      <c r="C46" s="206"/>
      <c r="D46" s="207"/>
      <c r="E46" s="305"/>
      <c r="F46" s="305"/>
      <c r="G46" s="305"/>
      <c r="H46" s="305"/>
      <c r="I46" s="305"/>
      <c r="J46" s="225"/>
      <c r="K46" s="305"/>
      <c r="L46" s="305"/>
      <c r="M46" s="305"/>
      <c r="N46" s="305"/>
      <c r="O46" s="305"/>
      <c r="P46" s="442"/>
      <c r="Q46" s="305"/>
      <c r="R46" s="305"/>
      <c r="S46" s="305"/>
      <c r="T46" s="305"/>
      <c r="U46" s="305"/>
      <c r="V46" s="305"/>
      <c r="W46" s="226"/>
      <c r="X46" s="226"/>
      <c r="Y46" s="226"/>
      <c r="Z46" s="226"/>
      <c r="AA46" s="226"/>
      <c r="AB46" s="226"/>
      <c r="AC46" s="226"/>
      <c r="AD46" s="226"/>
      <c r="AE46" s="226"/>
      <c r="AF46" s="305"/>
      <c r="AG46" s="305"/>
      <c r="AH46" s="226"/>
      <c r="AI46" s="305"/>
      <c r="AJ46" s="254"/>
      <c r="AK46" s="317"/>
      <c r="AL46" s="305"/>
      <c r="AM46" s="226"/>
      <c r="AN46" s="226"/>
      <c r="AO46" s="226"/>
      <c r="AP46" s="226"/>
      <c r="AQ46" s="305"/>
      <c r="AR46" s="305"/>
      <c r="AS46" s="305"/>
      <c r="AT46" s="305"/>
      <c r="AU46" s="305"/>
      <c r="AV46" s="305"/>
      <c r="AW46" s="305"/>
      <c r="AX46" s="305"/>
      <c r="AY46" s="317"/>
      <c r="AZ46" s="305"/>
      <c r="BA46" s="305"/>
      <c r="BB46" s="305"/>
      <c r="BC46" s="305"/>
      <c r="BD46" s="305"/>
      <c r="BE46" s="317"/>
      <c r="BF46" s="305"/>
      <c r="BG46" s="305"/>
      <c r="BH46" s="305"/>
      <c r="BI46" s="305"/>
      <c r="BJ46" s="305"/>
      <c r="BK46" s="305"/>
      <c r="BL46" s="305"/>
      <c r="BM46" s="305"/>
      <c r="BN46" s="226"/>
      <c r="BO46" s="305"/>
      <c r="BP46" s="305"/>
      <c r="BQ46" s="305"/>
      <c r="BR46" s="443"/>
      <c r="BS46" s="305"/>
      <c r="BT46" s="305"/>
      <c r="BU46" s="305"/>
      <c r="BV46" s="305"/>
      <c r="BW46" s="305"/>
      <c r="BX46" s="305"/>
      <c r="BY46" s="305"/>
      <c r="BZ46" s="305"/>
      <c r="CA46" s="305"/>
      <c r="CB46" s="305"/>
      <c r="CC46" s="305"/>
      <c r="CD46" s="317"/>
      <c r="CE46" s="317"/>
      <c r="CF46" s="317"/>
      <c r="CG46" s="317"/>
      <c r="CH46" s="317"/>
      <c r="CI46" s="317"/>
      <c r="CJ46" s="317"/>
      <c r="CK46" s="317"/>
      <c r="CL46" s="317"/>
      <c r="CM46" s="317"/>
      <c r="CN46" s="305"/>
      <c r="CO46" s="305"/>
      <c r="CP46" s="305"/>
      <c r="CQ46" s="444"/>
      <c r="CR46" s="445"/>
      <c r="CS46" s="305"/>
      <c r="CT46" s="305"/>
      <c r="CU46" s="305"/>
      <c r="CV46" s="305"/>
      <c r="CW46" s="305"/>
      <c r="CX46" s="305"/>
      <c r="CY46" s="305"/>
      <c r="CZ46" s="305"/>
      <c r="DA46" s="305"/>
      <c r="DB46" s="305"/>
      <c r="DC46" s="305"/>
      <c r="DD46" s="305"/>
      <c r="DE46" s="305"/>
      <c r="DF46" s="305"/>
      <c r="DG46" s="305"/>
      <c r="DH46" s="305"/>
      <c r="DI46" s="305"/>
      <c r="DJ46" s="305"/>
      <c r="DK46" s="305"/>
      <c r="DL46" s="305"/>
      <c r="DM46" s="312"/>
      <c r="DN46" s="305"/>
      <c r="DO46" s="305"/>
      <c r="DP46" s="305"/>
      <c r="DQ46" s="305"/>
      <c r="DR46" s="305"/>
      <c r="DS46" s="305"/>
      <c r="DT46" s="305"/>
      <c r="DU46" s="305"/>
      <c r="DV46" s="305"/>
      <c r="DW46" s="246"/>
      <c r="DX46" s="305"/>
      <c r="DY46" s="305"/>
      <c r="DZ46" s="305"/>
      <c r="EA46" s="305"/>
      <c r="EB46" s="305"/>
      <c r="EC46" s="226"/>
      <c r="ED46" s="305"/>
      <c r="EE46" s="305"/>
      <c r="EF46" s="305"/>
      <c r="EG46" s="226"/>
      <c r="EH46" s="305"/>
      <c r="EI46" s="305"/>
      <c r="EJ46" s="226"/>
      <c r="EK46" s="226"/>
      <c r="EL46" s="226"/>
      <c r="EM46" s="226"/>
      <c r="EN46" s="226"/>
      <c r="EO46" s="226"/>
      <c r="EP46" s="226"/>
      <c r="EQ46" s="226"/>
      <c r="ER46" s="305"/>
      <c r="ES46" s="305"/>
      <c r="ET46" s="305"/>
      <c r="EU46" s="305"/>
      <c r="EV46" s="305"/>
      <c r="EW46" s="310"/>
      <c r="EX46" s="305"/>
      <c r="EY46" s="305"/>
      <c r="EZ46" s="317"/>
      <c r="FA46" s="305"/>
      <c r="FB46" s="305"/>
      <c r="FC46" s="305"/>
      <c r="FD46" s="226"/>
      <c r="FE46" s="446"/>
      <c r="FF46" s="305"/>
      <c r="FG46" s="305"/>
      <c r="FH46" s="305"/>
      <c r="FI46" s="445"/>
      <c r="FJ46" s="445"/>
      <c r="FK46" s="445"/>
      <c r="FL46" s="445"/>
      <c r="FM46" s="305"/>
      <c r="FN46" s="305"/>
      <c r="FO46" s="445"/>
      <c r="FP46" s="445"/>
      <c r="FQ46" s="445"/>
      <c r="FR46" s="445"/>
      <c r="FS46" s="445"/>
      <c r="FT46" s="445"/>
      <c r="FU46" s="226"/>
      <c r="FV46" s="445"/>
      <c r="FW46" s="445"/>
      <c r="FX46" s="445"/>
      <c r="FY46" s="226"/>
      <c r="FZ46" s="445"/>
      <c r="GA46" s="445"/>
      <c r="GB46" s="445"/>
      <c r="GC46" s="445"/>
      <c r="GD46" s="445"/>
      <c r="GE46" s="445"/>
      <c r="GF46" s="445"/>
      <c r="GG46" s="445"/>
      <c r="GH46" s="445"/>
      <c r="GI46" s="226"/>
      <c r="GJ46" s="445"/>
      <c r="GK46" s="445"/>
      <c r="GL46" s="445"/>
      <c r="GM46" s="445"/>
      <c r="GN46" s="445"/>
      <c r="GO46" s="226"/>
      <c r="GP46" s="445"/>
      <c r="GQ46" s="226"/>
      <c r="GR46" s="445"/>
      <c r="GS46" s="445"/>
      <c r="GT46" s="445"/>
      <c r="GU46" s="445"/>
      <c r="GV46" s="445"/>
      <c r="GW46" s="226"/>
      <c r="GX46" s="305"/>
      <c r="GY46" s="312"/>
      <c r="GZ46" s="445"/>
      <c r="HA46" s="305"/>
      <c r="HB46" s="305"/>
      <c r="HC46" s="305"/>
      <c r="HD46" s="305"/>
      <c r="HE46" s="305"/>
      <c r="HF46" s="226"/>
      <c r="HG46" s="306"/>
      <c r="HH46" s="306"/>
      <c r="HI46" s="306"/>
      <c r="HJ46" s="305"/>
      <c r="HK46" s="306"/>
      <c r="HL46" s="226"/>
      <c r="HM46" s="305"/>
      <c r="HN46" s="226"/>
      <c r="HO46" s="305"/>
      <c r="HP46" s="305"/>
      <c r="HQ46" s="305"/>
      <c r="HR46" s="305"/>
      <c r="HS46" s="305"/>
      <c r="HT46" s="305"/>
      <c r="HU46" s="305"/>
      <c r="HV46" s="305"/>
      <c r="HW46" s="305"/>
      <c r="HX46" s="305"/>
      <c r="HY46" s="305"/>
      <c r="HZ46" s="305"/>
      <c r="IA46" s="305"/>
      <c r="IB46" s="305"/>
      <c r="IC46" s="305"/>
      <c r="ID46" s="305"/>
      <c r="IE46" s="305"/>
      <c r="IF46" s="305"/>
      <c r="IG46" s="305"/>
      <c r="IH46" s="307"/>
      <c r="II46" s="305"/>
      <c r="IJ46" s="305"/>
      <c r="IK46" s="305"/>
      <c r="IL46" s="305"/>
      <c r="IM46" s="305"/>
      <c r="IN46" s="305"/>
      <c r="IO46" s="305"/>
      <c r="IP46" s="305"/>
      <c r="IQ46" s="305"/>
      <c r="IR46" s="305"/>
      <c r="IS46" s="305"/>
      <c r="IT46" s="305"/>
      <c r="IU46" s="305"/>
      <c r="IV46" s="305"/>
      <c r="IW46" s="305"/>
      <c r="IX46" s="305"/>
      <c r="IY46" s="305"/>
      <c r="IZ46" s="305"/>
      <c r="JA46" s="305"/>
      <c r="JB46" s="305"/>
      <c r="JC46" s="305"/>
      <c r="JD46" s="305"/>
      <c r="JE46" s="226"/>
      <c r="JF46" s="226"/>
      <c r="JG46" s="226"/>
      <c r="JH46" s="305"/>
      <c r="JI46" s="305"/>
      <c r="JJ46" s="305"/>
      <c r="JK46" s="309"/>
      <c r="JL46" s="305"/>
      <c r="JM46" s="305"/>
      <c r="JN46" s="226"/>
      <c r="JO46" s="226"/>
      <c r="JP46" s="226"/>
      <c r="JQ46" s="305"/>
      <c r="JR46" s="305"/>
      <c r="JS46" s="305"/>
      <c r="JT46" s="305"/>
      <c r="JU46" s="305"/>
      <c r="JV46" s="305"/>
      <c r="JW46" s="305"/>
      <c r="JX46" s="305"/>
      <c r="JY46" s="305"/>
      <c r="JZ46" s="305"/>
      <c r="KA46" s="305"/>
      <c r="KB46" s="305"/>
      <c r="KC46" s="305"/>
      <c r="KD46" s="305"/>
      <c r="KE46" s="310"/>
      <c r="KF46" s="305"/>
      <c r="KG46" s="305"/>
      <c r="KH46" s="305"/>
      <c r="KI46" s="305"/>
      <c r="KJ46" s="305"/>
      <c r="KK46" s="305"/>
      <c r="KL46" s="305"/>
      <c r="KM46" s="305"/>
      <c r="KN46" s="305"/>
      <c r="KO46" s="305"/>
      <c r="KP46" s="305"/>
      <c r="KQ46" s="226"/>
      <c r="KR46" s="226"/>
      <c r="KS46" s="226"/>
      <c r="KT46" s="226"/>
      <c r="KU46" s="226"/>
      <c r="KV46" s="305"/>
      <c r="KW46" s="305"/>
      <c r="KX46" s="329"/>
      <c r="KY46" s="330"/>
      <c r="KZ46" s="305"/>
      <c r="LA46" s="305"/>
      <c r="LB46" s="305"/>
      <c r="LC46" s="305"/>
      <c r="LD46" s="305"/>
      <c r="LE46" s="305"/>
      <c r="LF46" s="305"/>
      <c r="LG46" s="305"/>
      <c r="LH46" s="305"/>
      <c r="LI46" s="305"/>
      <c r="LJ46" s="305"/>
      <c r="LK46" s="305"/>
      <c r="LL46" s="305"/>
      <c r="LM46" s="226"/>
      <c r="LN46" s="294"/>
      <c r="LO46" s="294"/>
      <c r="LP46" s="305"/>
      <c r="LQ46" s="305"/>
      <c r="LR46" s="294"/>
      <c r="LS46" s="305"/>
      <c r="LT46" s="311"/>
      <c r="LU46" s="305"/>
      <c r="LV46" s="305"/>
      <c r="LW46" s="305"/>
      <c r="LX46" s="305"/>
      <c r="LY46" s="305"/>
      <c r="LZ46" s="305"/>
      <c r="MA46" s="305"/>
      <c r="MB46" s="305"/>
      <c r="MC46" s="305"/>
      <c r="MD46" s="305"/>
      <c r="ME46" s="305"/>
      <c r="MF46" s="305"/>
      <c r="MG46" s="226"/>
      <c r="MH46" s="226"/>
      <c r="MI46" s="226"/>
      <c r="MJ46" s="313"/>
      <c r="MK46" s="313"/>
      <c r="ML46" s="313"/>
      <c r="MM46" s="313"/>
      <c r="MN46" s="328"/>
      <c r="MO46" s="314"/>
      <c r="MP46" s="314"/>
      <c r="MQ46" s="314"/>
      <c r="MR46" s="314"/>
      <c r="MS46" s="314"/>
      <c r="MT46" s="313"/>
      <c r="MU46" s="314"/>
      <c r="MV46" s="313"/>
      <c r="MW46" s="313"/>
      <c r="MX46" s="226"/>
      <c r="MY46" s="226"/>
      <c r="MZ46" s="226"/>
      <c r="NA46" s="226"/>
    </row>
    <row r="47" spans="1:365" s="796" customFormat="1" x14ac:dyDescent="0.2">
      <c r="A47" s="208"/>
      <c r="B47" s="205"/>
      <c r="C47" s="206"/>
      <c r="D47" s="207"/>
      <c r="E47" s="305"/>
      <c r="F47" s="305"/>
      <c r="G47" s="305"/>
      <c r="H47" s="305"/>
      <c r="I47" s="305"/>
      <c r="J47" s="225"/>
      <c r="K47" s="305"/>
      <c r="L47" s="305"/>
      <c r="M47" s="305"/>
      <c r="N47" s="305"/>
      <c r="O47" s="305"/>
      <c r="P47" s="442"/>
      <c r="Q47" s="305"/>
      <c r="R47" s="305"/>
      <c r="S47" s="305"/>
      <c r="T47" s="305"/>
      <c r="U47" s="305"/>
      <c r="V47" s="305"/>
      <c r="W47" s="226"/>
      <c r="X47" s="226"/>
      <c r="Y47" s="226"/>
      <c r="Z47" s="226"/>
      <c r="AA47" s="226"/>
      <c r="AB47" s="226"/>
      <c r="AC47" s="226"/>
      <c r="AD47" s="226"/>
      <c r="AE47" s="226"/>
      <c r="AF47" s="305"/>
      <c r="AG47" s="305"/>
      <c r="AH47" s="226"/>
      <c r="AI47" s="305"/>
      <c r="AJ47" s="254"/>
      <c r="AK47" s="317"/>
      <c r="AL47" s="305"/>
      <c r="AM47" s="226"/>
      <c r="AN47" s="226"/>
      <c r="AO47" s="226"/>
      <c r="AP47" s="226"/>
      <c r="AQ47" s="305"/>
      <c r="AR47" s="305"/>
      <c r="AS47" s="305"/>
      <c r="AT47" s="305"/>
      <c r="AU47" s="305"/>
      <c r="AV47" s="305"/>
      <c r="AW47" s="305"/>
      <c r="AX47" s="305"/>
      <c r="AY47" s="317"/>
      <c r="AZ47" s="305"/>
      <c r="BA47" s="305"/>
      <c r="BB47" s="305"/>
      <c r="BC47" s="305"/>
      <c r="BD47" s="305"/>
      <c r="BE47" s="317"/>
      <c r="BF47" s="305"/>
      <c r="BG47" s="305"/>
      <c r="BH47" s="305"/>
      <c r="BI47" s="305"/>
      <c r="BJ47" s="305"/>
      <c r="BK47" s="305"/>
      <c r="BL47" s="305"/>
      <c r="BM47" s="305"/>
      <c r="BN47" s="226"/>
      <c r="BO47" s="305"/>
      <c r="BP47" s="305"/>
      <c r="BQ47" s="305"/>
      <c r="BR47" s="443"/>
      <c r="BS47" s="305"/>
      <c r="BT47" s="305"/>
      <c r="BU47" s="305"/>
      <c r="BV47" s="305"/>
      <c r="BW47" s="305"/>
      <c r="BX47" s="305"/>
      <c r="BY47" s="305"/>
      <c r="BZ47" s="305"/>
      <c r="CA47" s="305"/>
      <c r="CB47" s="305"/>
      <c r="CC47" s="305"/>
      <c r="CD47" s="317"/>
      <c r="CE47" s="317"/>
      <c r="CF47" s="317"/>
      <c r="CG47" s="317"/>
      <c r="CH47" s="317"/>
      <c r="CI47" s="317"/>
      <c r="CJ47" s="317"/>
      <c r="CK47" s="317"/>
      <c r="CL47" s="317"/>
      <c r="CM47" s="317"/>
      <c r="CN47" s="305"/>
      <c r="CO47" s="305"/>
      <c r="CP47" s="305"/>
      <c r="CQ47" s="444"/>
      <c r="CR47" s="445"/>
      <c r="CS47" s="305"/>
      <c r="CT47" s="305"/>
      <c r="CU47" s="305"/>
      <c r="CV47" s="305"/>
      <c r="CW47" s="305"/>
      <c r="CX47" s="305"/>
      <c r="CY47" s="305"/>
      <c r="CZ47" s="305"/>
      <c r="DA47" s="305"/>
      <c r="DB47" s="305"/>
      <c r="DC47" s="305"/>
      <c r="DD47" s="305"/>
      <c r="DE47" s="305"/>
      <c r="DF47" s="305"/>
      <c r="DG47" s="305"/>
      <c r="DH47" s="305"/>
      <c r="DI47" s="305"/>
      <c r="DJ47" s="305"/>
      <c r="DK47" s="305"/>
      <c r="DL47" s="305"/>
      <c r="DM47" s="312"/>
      <c r="DN47" s="305"/>
      <c r="DO47" s="305"/>
      <c r="DP47" s="305"/>
      <c r="DQ47" s="305"/>
      <c r="DR47" s="305"/>
      <c r="DS47" s="305"/>
      <c r="DT47" s="305"/>
      <c r="DU47" s="305"/>
      <c r="DV47" s="305"/>
      <c r="DW47" s="246"/>
      <c r="DX47" s="305"/>
      <c r="DY47" s="305"/>
      <c r="DZ47" s="305"/>
      <c r="EA47" s="305"/>
      <c r="EB47" s="305"/>
      <c r="EC47" s="226"/>
      <c r="ED47" s="305"/>
      <c r="EE47" s="305"/>
      <c r="EF47" s="305"/>
      <c r="EG47" s="226"/>
      <c r="EH47" s="305"/>
      <c r="EI47" s="305"/>
      <c r="EJ47" s="226"/>
      <c r="EK47" s="226"/>
      <c r="EL47" s="226"/>
      <c r="EM47" s="226"/>
      <c r="EN47" s="226"/>
      <c r="EO47" s="226"/>
      <c r="EP47" s="226"/>
      <c r="EQ47" s="226"/>
      <c r="ER47" s="305"/>
      <c r="ES47" s="305"/>
      <c r="ET47" s="305"/>
      <c r="EU47" s="305"/>
      <c r="EV47" s="305"/>
      <c r="EW47" s="310"/>
      <c r="EX47" s="305"/>
      <c r="EY47" s="305"/>
      <c r="EZ47" s="317"/>
      <c r="FA47" s="305"/>
      <c r="FB47" s="305"/>
      <c r="FC47" s="305"/>
      <c r="FD47" s="226"/>
      <c r="FE47" s="446"/>
      <c r="FF47" s="305"/>
      <c r="FG47" s="305"/>
      <c r="FH47" s="305"/>
      <c r="FI47" s="445"/>
      <c r="FJ47" s="445"/>
      <c r="FK47" s="445"/>
      <c r="FL47" s="445"/>
      <c r="FM47" s="305"/>
      <c r="FN47" s="305"/>
      <c r="FO47" s="445"/>
      <c r="FP47" s="445"/>
      <c r="FQ47" s="445"/>
      <c r="FR47" s="445"/>
      <c r="FS47" s="445"/>
      <c r="FT47" s="445"/>
      <c r="FU47" s="226"/>
      <c r="FV47" s="445"/>
      <c r="FW47" s="445"/>
      <c r="FX47" s="445"/>
      <c r="FY47" s="226"/>
      <c r="FZ47" s="445"/>
      <c r="GA47" s="445"/>
      <c r="GB47" s="445"/>
      <c r="GC47" s="445"/>
      <c r="GD47" s="445"/>
      <c r="GE47" s="445"/>
      <c r="GF47" s="445"/>
      <c r="GG47" s="445"/>
      <c r="GH47" s="445"/>
      <c r="GI47" s="226"/>
      <c r="GJ47" s="445"/>
      <c r="GK47" s="445"/>
      <c r="GL47" s="445"/>
      <c r="GM47" s="445"/>
      <c r="GN47" s="445"/>
      <c r="GO47" s="226"/>
      <c r="GP47" s="445"/>
      <c r="GQ47" s="226"/>
      <c r="GR47" s="445"/>
      <c r="GS47" s="445"/>
      <c r="GT47" s="445"/>
      <c r="GU47" s="445"/>
      <c r="GV47" s="445"/>
      <c r="GW47" s="226"/>
      <c r="GX47" s="305"/>
      <c r="GY47" s="312"/>
      <c r="GZ47" s="445"/>
      <c r="HA47" s="305"/>
      <c r="HB47" s="305"/>
      <c r="HC47" s="305"/>
      <c r="HD47" s="305"/>
      <c r="HE47" s="305"/>
      <c r="HF47" s="226"/>
      <c r="HG47" s="306"/>
      <c r="HH47" s="306"/>
      <c r="HI47" s="306"/>
      <c r="HJ47" s="305"/>
      <c r="HK47" s="306"/>
      <c r="HL47" s="226"/>
      <c r="HM47" s="305"/>
      <c r="HN47" s="226"/>
      <c r="HO47" s="305"/>
      <c r="HP47" s="305"/>
      <c r="HQ47" s="305"/>
      <c r="HR47" s="305"/>
      <c r="HS47" s="305"/>
      <c r="HT47" s="305"/>
      <c r="HU47" s="305"/>
      <c r="HV47" s="305"/>
      <c r="HW47" s="305"/>
      <c r="HX47" s="305"/>
      <c r="HY47" s="305"/>
      <c r="HZ47" s="305"/>
      <c r="IA47" s="305"/>
      <c r="IB47" s="305"/>
      <c r="IC47" s="305"/>
      <c r="ID47" s="305"/>
      <c r="IE47" s="305"/>
      <c r="IF47" s="305"/>
      <c r="IG47" s="305"/>
      <c r="IH47" s="307"/>
      <c r="II47" s="305"/>
      <c r="IJ47" s="305"/>
      <c r="IK47" s="305"/>
      <c r="IL47" s="305"/>
      <c r="IM47" s="305"/>
      <c r="IN47" s="305"/>
      <c r="IO47" s="305"/>
      <c r="IP47" s="305"/>
      <c r="IQ47" s="305"/>
      <c r="IR47" s="305"/>
      <c r="IS47" s="305"/>
      <c r="IT47" s="305"/>
      <c r="IU47" s="305"/>
      <c r="IV47" s="305"/>
      <c r="IW47" s="305"/>
      <c r="IX47" s="305"/>
      <c r="IY47" s="305"/>
      <c r="IZ47" s="305"/>
      <c r="JA47" s="305"/>
      <c r="JB47" s="305"/>
      <c r="JC47" s="305"/>
      <c r="JD47" s="305"/>
      <c r="JE47" s="226"/>
      <c r="JF47" s="226"/>
      <c r="JG47" s="226"/>
      <c r="JH47" s="305"/>
      <c r="JI47" s="305"/>
      <c r="JJ47" s="305"/>
      <c r="JK47" s="309"/>
      <c r="JL47" s="305"/>
      <c r="JM47" s="305"/>
      <c r="JN47" s="226"/>
      <c r="JO47" s="226"/>
      <c r="JP47" s="226"/>
      <c r="JQ47" s="305"/>
      <c r="JR47" s="305"/>
      <c r="JS47" s="305"/>
      <c r="JT47" s="305"/>
      <c r="JU47" s="305"/>
      <c r="JV47" s="305"/>
      <c r="JW47" s="305"/>
      <c r="JX47" s="305"/>
      <c r="JY47" s="305"/>
      <c r="JZ47" s="305"/>
      <c r="KA47" s="305"/>
      <c r="KB47" s="305"/>
      <c r="KC47" s="305"/>
      <c r="KD47" s="305"/>
      <c r="KE47" s="310"/>
      <c r="KF47" s="305"/>
      <c r="KG47" s="305"/>
      <c r="KH47" s="305"/>
      <c r="KI47" s="305"/>
      <c r="KJ47" s="305"/>
      <c r="KK47" s="305"/>
      <c r="KL47" s="305"/>
      <c r="KM47" s="305"/>
      <c r="KN47" s="305"/>
      <c r="KO47" s="305"/>
      <c r="KP47" s="305"/>
      <c r="KQ47" s="226"/>
      <c r="KR47" s="226"/>
      <c r="KS47" s="226"/>
      <c r="KT47" s="226"/>
      <c r="KU47" s="226"/>
      <c r="KV47" s="305"/>
      <c r="KW47" s="305"/>
      <c r="KX47" s="329"/>
      <c r="KY47" s="330"/>
      <c r="KZ47" s="305"/>
      <c r="LA47" s="305"/>
      <c r="LB47" s="305"/>
      <c r="LC47" s="305"/>
      <c r="LD47" s="305"/>
      <c r="LE47" s="305"/>
      <c r="LF47" s="305"/>
      <c r="LG47" s="305"/>
      <c r="LH47" s="305"/>
      <c r="LI47" s="305"/>
      <c r="LJ47" s="305"/>
      <c r="LK47" s="305"/>
      <c r="LL47" s="305"/>
      <c r="LM47" s="226"/>
      <c r="LN47" s="294"/>
      <c r="LO47" s="294"/>
      <c r="LP47" s="305"/>
      <c r="LQ47" s="305"/>
      <c r="LR47" s="294"/>
      <c r="LS47" s="305"/>
      <c r="LT47" s="311"/>
      <c r="LU47" s="305"/>
      <c r="LV47" s="305"/>
      <c r="LW47" s="305"/>
      <c r="LX47" s="305"/>
      <c r="LY47" s="305"/>
      <c r="LZ47" s="305"/>
      <c r="MA47" s="305"/>
      <c r="MB47" s="305"/>
      <c r="MC47" s="305"/>
      <c r="MD47" s="305"/>
      <c r="ME47" s="305"/>
      <c r="MF47" s="305"/>
      <c r="MG47" s="226"/>
      <c r="MH47" s="226"/>
      <c r="MI47" s="226"/>
      <c r="MJ47" s="313"/>
      <c r="MK47" s="313"/>
      <c r="ML47" s="313"/>
      <c r="MM47" s="313"/>
      <c r="MN47" s="328"/>
      <c r="MO47" s="314"/>
      <c r="MP47" s="314"/>
      <c r="MQ47" s="314"/>
      <c r="MR47" s="314"/>
      <c r="MS47" s="314"/>
      <c r="MT47" s="313"/>
      <c r="MU47" s="314"/>
      <c r="MV47" s="313"/>
      <c r="MW47" s="313"/>
      <c r="MX47" s="226"/>
      <c r="MY47" s="226"/>
      <c r="MZ47" s="226"/>
      <c r="NA47" s="226"/>
    </row>
    <row r="48" spans="1:365" s="796" customFormat="1" x14ac:dyDescent="0.2">
      <c r="A48" s="208"/>
      <c r="B48" s="205"/>
      <c r="C48" s="206"/>
      <c r="D48" s="207"/>
      <c r="E48" s="305"/>
      <c r="F48" s="305"/>
      <c r="G48" s="305"/>
      <c r="H48" s="305"/>
      <c r="I48" s="305"/>
      <c r="J48" s="225"/>
      <c r="K48" s="305"/>
      <c r="L48" s="305"/>
      <c r="M48" s="305"/>
      <c r="N48" s="305"/>
      <c r="O48" s="305"/>
      <c r="P48" s="442"/>
      <c r="Q48" s="305"/>
      <c r="R48" s="305"/>
      <c r="S48" s="305"/>
      <c r="T48" s="305"/>
      <c r="U48" s="305"/>
      <c r="V48" s="305"/>
      <c r="W48" s="226"/>
      <c r="X48" s="226"/>
      <c r="Y48" s="226"/>
      <c r="Z48" s="226"/>
      <c r="AA48" s="226"/>
      <c r="AB48" s="226"/>
      <c r="AC48" s="226"/>
      <c r="AD48" s="226"/>
      <c r="AE48" s="226"/>
      <c r="AF48" s="305"/>
      <c r="AG48" s="305"/>
      <c r="AH48" s="226"/>
      <c r="AI48" s="305"/>
      <c r="AJ48" s="254"/>
      <c r="AK48" s="317"/>
      <c r="AL48" s="305"/>
      <c r="AM48" s="226"/>
      <c r="AN48" s="226"/>
      <c r="AO48" s="226"/>
      <c r="AP48" s="226"/>
      <c r="AQ48" s="305"/>
      <c r="AR48" s="305"/>
      <c r="AS48" s="305"/>
      <c r="AT48" s="305"/>
      <c r="AU48" s="305"/>
      <c r="AV48" s="305"/>
      <c r="AW48" s="305"/>
      <c r="AX48" s="305"/>
      <c r="AY48" s="317"/>
      <c r="AZ48" s="305"/>
      <c r="BA48" s="305"/>
      <c r="BB48" s="305"/>
      <c r="BC48" s="305"/>
      <c r="BD48" s="305"/>
      <c r="BE48" s="317"/>
      <c r="BF48" s="305"/>
      <c r="BG48" s="305"/>
      <c r="BH48" s="305"/>
      <c r="BI48" s="305"/>
      <c r="BJ48" s="305"/>
      <c r="BK48" s="305"/>
      <c r="BL48" s="305"/>
      <c r="BM48" s="305"/>
      <c r="BN48" s="226"/>
      <c r="BO48" s="305"/>
      <c r="BP48" s="305"/>
      <c r="BQ48" s="305"/>
      <c r="BR48" s="443"/>
      <c r="BS48" s="305"/>
      <c r="BT48" s="305"/>
      <c r="BU48" s="305"/>
      <c r="BV48" s="305"/>
      <c r="BW48" s="305"/>
      <c r="BX48" s="305"/>
      <c r="BY48" s="305"/>
      <c r="BZ48" s="305"/>
      <c r="CA48" s="305"/>
      <c r="CB48" s="305"/>
      <c r="CC48" s="305"/>
      <c r="CD48" s="317"/>
      <c r="CE48" s="317"/>
      <c r="CF48" s="317"/>
      <c r="CG48" s="317"/>
      <c r="CH48" s="317"/>
      <c r="CI48" s="317"/>
      <c r="CJ48" s="317"/>
      <c r="CK48" s="317"/>
      <c r="CL48" s="317"/>
      <c r="CM48" s="317"/>
      <c r="CN48" s="305"/>
      <c r="CO48" s="305"/>
      <c r="CP48" s="305"/>
      <c r="CQ48" s="444"/>
      <c r="CR48" s="445"/>
      <c r="CS48" s="305"/>
      <c r="CT48" s="305"/>
      <c r="CU48" s="305"/>
      <c r="CV48" s="305"/>
      <c r="CW48" s="305"/>
      <c r="CX48" s="305"/>
      <c r="CY48" s="305"/>
      <c r="CZ48" s="305"/>
      <c r="DA48" s="305"/>
      <c r="DB48" s="305"/>
      <c r="DC48" s="305"/>
      <c r="DD48" s="305"/>
      <c r="DE48" s="305"/>
      <c r="DF48" s="305"/>
      <c r="DG48" s="305"/>
      <c r="DH48" s="305"/>
      <c r="DI48" s="305"/>
      <c r="DJ48" s="305"/>
      <c r="DK48" s="305"/>
      <c r="DL48" s="305"/>
      <c r="DM48" s="312"/>
      <c r="DN48" s="305"/>
      <c r="DO48" s="305"/>
      <c r="DP48" s="305"/>
      <c r="DQ48" s="305"/>
      <c r="DR48" s="305"/>
      <c r="DS48" s="305"/>
      <c r="DT48" s="305"/>
      <c r="DU48" s="305"/>
      <c r="DV48" s="305"/>
      <c r="DW48" s="246"/>
      <c r="DX48" s="305"/>
      <c r="DY48" s="305"/>
      <c r="DZ48" s="305"/>
      <c r="EA48" s="305"/>
      <c r="EB48" s="305"/>
      <c r="EC48" s="226"/>
      <c r="ED48" s="305"/>
      <c r="EE48" s="305"/>
      <c r="EF48" s="305"/>
      <c r="EG48" s="226"/>
      <c r="EH48" s="305"/>
      <c r="EI48" s="305"/>
      <c r="EJ48" s="226"/>
      <c r="EK48" s="226"/>
      <c r="EL48" s="226"/>
      <c r="EM48" s="226"/>
      <c r="EN48" s="226"/>
      <c r="EO48" s="226"/>
      <c r="EP48" s="226"/>
      <c r="EQ48" s="226"/>
      <c r="ER48" s="305"/>
      <c r="ES48" s="305"/>
      <c r="ET48" s="305"/>
      <c r="EU48" s="305"/>
      <c r="EV48" s="305"/>
      <c r="EW48" s="310"/>
      <c r="EX48" s="305"/>
      <c r="EY48" s="305"/>
      <c r="EZ48" s="317"/>
      <c r="FA48" s="305"/>
      <c r="FB48" s="305"/>
      <c r="FC48" s="305"/>
      <c r="FD48" s="226"/>
      <c r="FE48" s="446"/>
      <c r="FF48" s="305"/>
      <c r="FG48" s="305"/>
      <c r="FH48" s="305"/>
      <c r="FI48" s="445"/>
      <c r="FJ48" s="445"/>
      <c r="FK48" s="445"/>
      <c r="FL48" s="445"/>
      <c r="FM48" s="305"/>
      <c r="FN48" s="305"/>
      <c r="FO48" s="445"/>
      <c r="FP48" s="445"/>
      <c r="FQ48" s="445"/>
      <c r="FR48" s="445"/>
      <c r="FS48" s="445"/>
      <c r="FT48" s="445"/>
      <c r="FU48" s="226"/>
      <c r="FV48" s="445"/>
      <c r="FW48" s="445"/>
      <c r="FX48" s="445"/>
      <c r="FY48" s="226"/>
      <c r="FZ48" s="445"/>
      <c r="GA48" s="445"/>
      <c r="GB48" s="445"/>
      <c r="GC48" s="445"/>
      <c r="GD48" s="445"/>
      <c r="GE48" s="445"/>
      <c r="GF48" s="445"/>
      <c r="GG48" s="445"/>
      <c r="GH48" s="445"/>
      <c r="GI48" s="226"/>
      <c r="GJ48" s="445"/>
      <c r="GK48" s="445"/>
      <c r="GL48" s="445"/>
      <c r="GM48" s="445"/>
      <c r="GN48" s="445"/>
      <c r="GO48" s="226"/>
      <c r="GP48" s="445"/>
      <c r="GQ48" s="226"/>
      <c r="GR48" s="445"/>
      <c r="GS48" s="445"/>
      <c r="GT48" s="445"/>
      <c r="GU48" s="445"/>
      <c r="GV48" s="445"/>
      <c r="GW48" s="226"/>
      <c r="GX48" s="305"/>
      <c r="GY48" s="312"/>
      <c r="GZ48" s="445"/>
      <c r="HA48" s="305"/>
      <c r="HB48" s="305"/>
      <c r="HC48" s="305"/>
      <c r="HD48" s="305"/>
      <c r="HE48" s="305"/>
      <c r="HF48" s="226"/>
      <c r="HG48" s="306"/>
      <c r="HH48" s="306"/>
      <c r="HI48" s="306"/>
      <c r="HJ48" s="305"/>
      <c r="HK48" s="306"/>
      <c r="HL48" s="226"/>
      <c r="HM48" s="305"/>
      <c r="HN48" s="226"/>
      <c r="HO48" s="305"/>
      <c r="HP48" s="305"/>
      <c r="HQ48" s="305"/>
      <c r="HR48" s="305"/>
      <c r="HS48" s="305"/>
      <c r="HT48" s="305"/>
      <c r="HU48" s="305"/>
      <c r="HV48" s="305"/>
      <c r="HW48" s="305"/>
      <c r="HX48" s="305"/>
      <c r="HY48" s="305"/>
      <c r="HZ48" s="305"/>
      <c r="IA48" s="305"/>
      <c r="IB48" s="305"/>
      <c r="IC48" s="305"/>
      <c r="ID48" s="305"/>
      <c r="IE48" s="305"/>
      <c r="IF48" s="305"/>
      <c r="IG48" s="305"/>
      <c r="IH48" s="307"/>
      <c r="II48" s="305"/>
      <c r="IJ48" s="305"/>
      <c r="IK48" s="305"/>
      <c r="IL48" s="305"/>
      <c r="IM48" s="305"/>
      <c r="IN48" s="305"/>
      <c r="IO48" s="305"/>
      <c r="IP48" s="305"/>
      <c r="IQ48" s="305"/>
      <c r="IR48" s="305"/>
      <c r="IS48" s="305"/>
      <c r="IT48" s="305"/>
      <c r="IU48" s="305"/>
      <c r="IV48" s="305"/>
      <c r="IW48" s="305"/>
      <c r="IX48" s="305"/>
      <c r="IY48" s="305"/>
      <c r="IZ48" s="305"/>
      <c r="JA48" s="305"/>
      <c r="JB48" s="305"/>
      <c r="JC48" s="305"/>
      <c r="JD48" s="305"/>
      <c r="JE48" s="226"/>
      <c r="JF48" s="226"/>
      <c r="JG48" s="226"/>
      <c r="JH48" s="305"/>
      <c r="JI48" s="305"/>
      <c r="JJ48" s="305"/>
      <c r="JK48" s="309"/>
      <c r="JL48" s="305"/>
      <c r="JM48" s="305"/>
      <c r="JN48" s="226"/>
      <c r="JO48" s="226"/>
      <c r="JP48" s="226"/>
      <c r="JQ48" s="305"/>
      <c r="JR48" s="305"/>
      <c r="JS48" s="305"/>
      <c r="JT48" s="305"/>
      <c r="JU48" s="305"/>
      <c r="JV48" s="305"/>
      <c r="JW48" s="305"/>
      <c r="JX48" s="305"/>
      <c r="JY48" s="305"/>
      <c r="JZ48" s="305"/>
      <c r="KA48" s="305"/>
      <c r="KB48" s="305"/>
      <c r="KC48" s="305"/>
      <c r="KD48" s="305"/>
      <c r="KE48" s="310"/>
      <c r="KF48" s="305"/>
      <c r="KG48" s="305"/>
      <c r="KH48" s="305"/>
      <c r="KI48" s="305"/>
      <c r="KJ48" s="305"/>
      <c r="KK48" s="305"/>
      <c r="KL48" s="305"/>
      <c r="KM48" s="305"/>
      <c r="KN48" s="305"/>
      <c r="KO48" s="305"/>
      <c r="KP48" s="305"/>
      <c r="KQ48" s="226"/>
      <c r="KR48" s="226"/>
      <c r="KS48" s="226"/>
      <c r="KT48" s="226"/>
      <c r="KU48" s="226"/>
      <c r="KV48" s="305"/>
      <c r="KW48" s="305"/>
      <c r="KX48" s="329"/>
      <c r="KY48" s="330"/>
      <c r="KZ48" s="305"/>
      <c r="LA48" s="305"/>
      <c r="LB48" s="305"/>
      <c r="LC48" s="305"/>
      <c r="LD48" s="305"/>
      <c r="LE48" s="305"/>
      <c r="LF48" s="305"/>
      <c r="LG48" s="305"/>
      <c r="LH48" s="305"/>
      <c r="LI48" s="305"/>
      <c r="LJ48" s="305"/>
      <c r="LK48" s="305"/>
      <c r="LL48" s="305"/>
      <c r="LM48" s="226"/>
      <c r="LN48" s="294"/>
      <c r="LO48" s="294"/>
      <c r="LP48" s="305"/>
      <c r="LQ48" s="305"/>
      <c r="LR48" s="294"/>
      <c r="LS48" s="305"/>
      <c r="LT48" s="311"/>
      <c r="LU48" s="305"/>
      <c r="LV48" s="305"/>
      <c r="LW48" s="305"/>
      <c r="LX48" s="305"/>
      <c r="LY48" s="305"/>
      <c r="LZ48" s="305"/>
      <c r="MA48" s="305"/>
      <c r="MB48" s="305"/>
      <c r="MC48" s="305"/>
      <c r="MD48" s="305"/>
      <c r="ME48" s="305"/>
      <c r="MF48" s="305"/>
      <c r="MG48" s="226"/>
      <c r="MH48" s="226"/>
      <c r="MI48" s="226"/>
      <c r="MJ48" s="313"/>
      <c r="MK48" s="313"/>
      <c r="ML48" s="313"/>
      <c r="MM48" s="313"/>
      <c r="MN48" s="328"/>
      <c r="MO48" s="314"/>
      <c r="MP48" s="314"/>
      <c r="MQ48" s="314"/>
      <c r="MR48" s="314"/>
      <c r="MS48" s="314"/>
      <c r="MT48" s="313"/>
      <c r="MU48" s="314"/>
      <c r="MV48" s="313"/>
      <c r="MW48" s="313"/>
      <c r="MX48" s="226"/>
      <c r="MY48" s="226"/>
      <c r="MZ48" s="226"/>
      <c r="NA48" s="226"/>
    </row>
    <row r="49" spans="1:365" s="796" customFormat="1" x14ac:dyDescent="0.2">
      <c r="A49" s="208"/>
      <c r="B49" s="205"/>
      <c r="C49" s="206"/>
      <c r="D49" s="207"/>
      <c r="E49" s="305"/>
      <c r="F49" s="305"/>
      <c r="G49" s="305"/>
      <c r="H49" s="305"/>
      <c r="I49" s="305"/>
      <c r="J49" s="225"/>
      <c r="K49" s="305"/>
      <c r="L49" s="305"/>
      <c r="M49" s="305"/>
      <c r="N49" s="305"/>
      <c r="O49" s="305"/>
      <c r="P49" s="442"/>
      <c r="Q49" s="305"/>
      <c r="R49" s="305"/>
      <c r="S49" s="305"/>
      <c r="T49" s="305"/>
      <c r="U49" s="305"/>
      <c r="V49" s="305"/>
      <c r="W49" s="226"/>
      <c r="X49" s="226"/>
      <c r="Y49" s="226"/>
      <c r="Z49" s="226"/>
      <c r="AA49" s="226"/>
      <c r="AB49" s="226"/>
      <c r="AC49" s="226"/>
      <c r="AD49" s="226"/>
      <c r="AE49" s="226"/>
      <c r="AF49" s="305"/>
      <c r="AG49" s="305"/>
      <c r="AH49" s="226"/>
      <c r="AI49" s="305"/>
      <c r="AJ49" s="254"/>
      <c r="AK49" s="317"/>
      <c r="AL49" s="305"/>
      <c r="AM49" s="226"/>
      <c r="AN49" s="226"/>
      <c r="AO49" s="226"/>
      <c r="AP49" s="226"/>
      <c r="AQ49" s="305"/>
      <c r="AR49" s="305"/>
      <c r="AS49" s="305"/>
      <c r="AT49" s="305"/>
      <c r="AU49" s="305"/>
      <c r="AV49" s="305"/>
      <c r="AW49" s="305"/>
      <c r="AX49" s="305"/>
      <c r="AY49" s="317"/>
      <c r="AZ49" s="305"/>
      <c r="BA49" s="305"/>
      <c r="BB49" s="305"/>
      <c r="BC49" s="305"/>
      <c r="BD49" s="305"/>
      <c r="BE49" s="317"/>
      <c r="BF49" s="305"/>
      <c r="BG49" s="305"/>
      <c r="BH49" s="305"/>
      <c r="BI49" s="305"/>
      <c r="BJ49" s="305"/>
      <c r="BK49" s="305"/>
      <c r="BL49" s="305"/>
      <c r="BM49" s="305"/>
      <c r="BN49" s="226"/>
      <c r="BO49" s="305"/>
      <c r="BP49" s="305"/>
      <c r="BQ49" s="305"/>
      <c r="BR49" s="443"/>
      <c r="BS49" s="305"/>
      <c r="BT49" s="305"/>
      <c r="BU49" s="305"/>
      <c r="BV49" s="305"/>
      <c r="BW49" s="305"/>
      <c r="BX49" s="305"/>
      <c r="BY49" s="305"/>
      <c r="BZ49" s="305"/>
      <c r="CA49" s="305"/>
      <c r="CB49" s="305"/>
      <c r="CC49" s="305"/>
      <c r="CD49" s="317"/>
      <c r="CE49" s="317"/>
      <c r="CF49" s="317"/>
      <c r="CG49" s="317"/>
      <c r="CH49" s="317"/>
      <c r="CI49" s="317"/>
      <c r="CJ49" s="317"/>
      <c r="CK49" s="317"/>
      <c r="CL49" s="317"/>
      <c r="CM49" s="317"/>
      <c r="CN49" s="305"/>
      <c r="CO49" s="305"/>
      <c r="CP49" s="305"/>
      <c r="CQ49" s="444"/>
      <c r="CR49" s="445"/>
      <c r="CS49" s="305"/>
      <c r="CT49" s="305"/>
      <c r="CU49" s="305"/>
      <c r="CV49" s="305"/>
      <c r="CW49" s="305"/>
      <c r="CX49" s="305"/>
      <c r="CY49" s="305"/>
      <c r="CZ49" s="305"/>
      <c r="DA49" s="305"/>
      <c r="DB49" s="305"/>
      <c r="DC49" s="305"/>
      <c r="DD49" s="305"/>
      <c r="DE49" s="305"/>
      <c r="DF49" s="305"/>
      <c r="DG49" s="305"/>
      <c r="DH49" s="305"/>
      <c r="DI49" s="305"/>
      <c r="DJ49" s="305"/>
      <c r="DK49" s="305"/>
      <c r="DL49" s="305"/>
      <c r="DM49" s="312"/>
      <c r="DN49" s="305"/>
      <c r="DO49" s="305"/>
      <c r="DP49" s="305"/>
      <c r="DQ49" s="305"/>
      <c r="DR49" s="305"/>
      <c r="DS49" s="305"/>
      <c r="DT49" s="305"/>
      <c r="DU49" s="305"/>
      <c r="DV49" s="305"/>
      <c r="DW49" s="246"/>
      <c r="DX49" s="305"/>
      <c r="DY49" s="305"/>
      <c r="DZ49" s="305"/>
      <c r="EA49" s="305"/>
      <c r="EB49" s="305"/>
      <c r="EC49" s="226"/>
      <c r="ED49" s="305"/>
      <c r="EE49" s="305"/>
      <c r="EF49" s="305"/>
      <c r="EG49" s="226"/>
      <c r="EH49" s="305"/>
      <c r="EI49" s="305"/>
      <c r="EJ49" s="226"/>
      <c r="EK49" s="226"/>
      <c r="EL49" s="226"/>
      <c r="EM49" s="226"/>
      <c r="EN49" s="226"/>
      <c r="EO49" s="226"/>
      <c r="EP49" s="226"/>
      <c r="EQ49" s="226"/>
      <c r="ER49" s="305"/>
      <c r="ES49" s="305"/>
      <c r="ET49" s="305"/>
      <c r="EU49" s="305"/>
      <c r="EV49" s="305"/>
      <c r="EW49" s="310"/>
      <c r="EX49" s="305"/>
      <c r="EY49" s="305"/>
      <c r="EZ49" s="317"/>
      <c r="FA49" s="305"/>
      <c r="FB49" s="305"/>
      <c r="FC49" s="305"/>
      <c r="FD49" s="226"/>
      <c r="FE49" s="446"/>
      <c r="FF49" s="305"/>
      <c r="FG49" s="305"/>
      <c r="FH49" s="305"/>
      <c r="FI49" s="445"/>
      <c r="FJ49" s="445"/>
      <c r="FK49" s="445"/>
      <c r="FL49" s="445"/>
      <c r="FM49" s="305"/>
      <c r="FN49" s="305"/>
      <c r="FO49" s="445"/>
      <c r="FP49" s="445"/>
      <c r="FQ49" s="445"/>
      <c r="FR49" s="445"/>
      <c r="FS49" s="445"/>
      <c r="FT49" s="445"/>
      <c r="FU49" s="226"/>
      <c r="FV49" s="445"/>
      <c r="FW49" s="445"/>
      <c r="FX49" s="445"/>
      <c r="FY49" s="226"/>
      <c r="FZ49" s="445"/>
      <c r="GA49" s="445"/>
      <c r="GB49" s="445"/>
      <c r="GC49" s="445"/>
      <c r="GD49" s="445"/>
      <c r="GE49" s="445"/>
      <c r="GF49" s="445"/>
      <c r="GG49" s="445"/>
      <c r="GH49" s="445"/>
      <c r="GI49" s="226"/>
      <c r="GJ49" s="445"/>
      <c r="GK49" s="445"/>
      <c r="GL49" s="445"/>
      <c r="GM49" s="445"/>
      <c r="GN49" s="445"/>
      <c r="GO49" s="226"/>
      <c r="GP49" s="445"/>
      <c r="GQ49" s="226"/>
      <c r="GR49" s="445"/>
      <c r="GS49" s="445"/>
      <c r="GT49" s="445"/>
      <c r="GU49" s="445"/>
      <c r="GV49" s="445"/>
      <c r="GW49" s="226"/>
      <c r="GX49" s="305"/>
      <c r="GY49" s="312"/>
      <c r="GZ49" s="445"/>
      <c r="HA49" s="305"/>
      <c r="HB49" s="305"/>
      <c r="HC49" s="305"/>
      <c r="HD49" s="305"/>
      <c r="HE49" s="305"/>
      <c r="HF49" s="226"/>
      <c r="HG49" s="306"/>
      <c r="HH49" s="306"/>
      <c r="HI49" s="306"/>
      <c r="HJ49" s="305"/>
      <c r="HK49" s="306"/>
      <c r="HL49" s="226"/>
      <c r="HM49" s="305"/>
      <c r="HN49" s="226"/>
      <c r="HO49" s="305"/>
      <c r="HP49" s="305"/>
      <c r="HQ49" s="305"/>
      <c r="HR49" s="305"/>
      <c r="HS49" s="305"/>
      <c r="HT49" s="305"/>
      <c r="HU49" s="305"/>
      <c r="HV49" s="305"/>
      <c r="HW49" s="305"/>
      <c r="HX49" s="305"/>
      <c r="HY49" s="305"/>
      <c r="HZ49" s="305"/>
      <c r="IA49" s="305"/>
      <c r="IB49" s="305"/>
      <c r="IC49" s="305"/>
      <c r="ID49" s="305"/>
      <c r="IE49" s="305"/>
      <c r="IF49" s="305"/>
      <c r="IG49" s="305"/>
      <c r="IH49" s="307"/>
      <c r="II49" s="305"/>
      <c r="IJ49" s="305"/>
      <c r="IK49" s="305"/>
      <c r="IL49" s="305"/>
      <c r="IM49" s="305"/>
      <c r="IN49" s="305"/>
      <c r="IO49" s="305"/>
      <c r="IP49" s="305"/>
      <c r="IQ49" s="305"/>
      <c r="IR49" s="305"/>
      <c r="IS49" s="305"/>
      <c r="IT49" s="305"/>
      <c r="IU49" s="305"/>
      <c r="IV49" s="305"/>
      <c r="IW49" s="305"/>
      <c r="IX49" s="305"/>
      <c r="IY49" s="305"/>
      <c r="IZ49" s="305"/>
      <c r="JA49" s="305"/>
      <c r="JB49" s="305"/>
      <c r="JC49" s="305"/>
      <c r="JD49" s="305"/>
      <c r="JE49" s="226"/>
      <c r="JF49" s="226"/>
      <c r="JG49" s="226"/>
      <c r="JH49" s="305"/>
      <c r="JI49" s="305"/>
      <c r="JJ49" s="305"/>
      <c r="JK49" s="309"/>
      <c r="JL49" s="305"/>
      <c r="JM49" s="305"/>
      <c r="JN49" s="226"/>
      <c r="JO49" s="226"/>
      <c r="JP49" s="226"/>
      <c r="JQ49" s="305"/>
      <c r="JR49" s="305"/>
      <c r="JS49" s="305"/>
      <c r="JT49" s="305"/>
      <c r="JU49" s="305"/>
      <c r="JV49" s="305"/>
      <c r="JW49" s="305"/>
      <c r="JX49" s="305"/>
      <c r="JY49" s="305"/>
      <c r="JZ49" s="305"/>
      <c r="KA49" s="305"/>
      <c r="KB49" s="305"/>
      <c r="KC49" s="305"/>
      <c r="KD49" s="305"/>
      <c r="KE49" s="310"/>
      <c r="KF49" s="305"/>
      <c r="KG49" s="305"/>
      <c r="KH49" s="305"/>
      <c r="KI49" s="305"/>
      <c r="KJ49" s="305"/>
      <c r="KK49" s="305"/>
      <c r="KL49" s="305"/>
      <c r="KM49" s="305"/>
      <c r="KN49" s="305"/>
      <c r="KO49" s="305"/>
      <c r="KP49" s="305"/>
      <c r="KQ49" s="226"/>
      <c r="KR49" s="226"/>
      <c r="KS49" s="226"/>
      <c r="KT49" s="226"/>
      <c r="KU49" s="226"/>
      <c r="KV49" s="305"/>
      <c r="KW49" s="305"/>
      <c r="KX49" s="329"/>
      <c r="KY49" s="330"/>
      <c r="KZ49" s="305"/>
      <c r="LA49" s="305"/>
      <c r="LB49" s="305"/>
      <c r="LC49" s="305"/>
      <c r="LD49" s="305"/>
      <c r="LE49" s="305"/>
      <c r="LF49" s="305"/>
      <c r="LG49" s="305"/>
      <c r="LH49" s="305"/>
      <c r="LI49" s="305"/>
      <c r="LJ49" s="305"/>
      <c r="LK49" s="305"/>
      <c r="LL49" s="305"/>
      <c r="LM49" s="226"/>
      <c r="LN49" s="294"/>
      <c r="LO49" s="294"/>
      <c r="LP49" s="305"/>
      <c r="LQ49" s="305"/>
      <c r="LR49" s="294"/>
      <c r="LS49" s="305"/>
      <c r="LT49" s="311"/>
      <c r="LU49" s="305"/>
      <c r="LV49" s="305"/>
      <c r="LW49" s="305"/>
      <c r="LX49" s="305"/>
      <c r="LY49" s="305"/>
      <c r="LZ49" s="305"/>
      <c r="MA49" s="305"/>
      <c r="MB49" s="305"/>
      <c r="MC49" s="305"/>
      <c r="MD49" s="305"/>
      <c r="ME49" s="305"/>
      <c r="MF49" s="305"/>
      <c r="MG49" s="226"/>
      <c r="MH49" s="226"/>
      <c r="MI49" s="226"/>
      <c r="MJ49" s="313"/>
      <c r="MK49" s="313"/>
      <c r="ML49" s="313"/>
      <c r="MM49" s="313"/>
      <c r="MN49" s="328"/>
      <c r="MO49" s="314"/>
      <c r="MP49" s="314"/>
      <c r="MQ49" s="314"/>
      <c r="MR49" s="314"/>
      <c r="MS49" s="314"/>
      <c r="MT49" s="313"/>
      <c r="MU49" s="314"/>
      <c r="MV49" s="313"/>
      <c r="MW49" s="313"/>
      <c r="MX49" s="226"/>
      <c r="MY49" s="226"/>
      <c r="MZ49" s="226"/>
      <c r="NA49" s="226"/>
    </row>
    <row r="50" spans="1:365" s="796" customFormat="1" x14ac:dyDescent="0.2">
      <c r="A50" s="208"/>
      <c r="B50" s="205"/>
      <c r="C50" s="206"/>
      <c r="D50" s="207"/>
      <c r="E50" s="305"/>
      <c r="F50" s="305"/>
      <c r="G50" s="305"/>
      <c r="H50" s="305"/>
      <c r="I50" s="305"/>
      <c r="J50" s="225"/>
      <c r="K50" s="305"/>
      <c r="L50" s="305"/>
      <c r="M50" s="305"/>
      <c r="N50" s="305"/>
      <c r="O50" s="305"/>
      <c r="P50" s="442"/>
      <c r="Q50" s="305"/>
      <c r="R50" s="305"/>
      <c r="S50" s="305"/>
      <c r="T50" s="305"/>
      <c r="U50" s="305"/>
      <c r="V50" s="305"/>
      <c r="W50" s="226"/>
      <c r="X50" s="226"/>
      <c r="Y50" s="226"/>
      <c r="Z50" s="226"/>
      <c r="AA50" s="226"/>
      <c r="AB50" s="226"/>
      <c r="AC50" s="226"/>
      <c r="AD50" s="226"/>
      <c r="AE50" s="226"/>
      <c r="AF50" s="305"/>
      <c r="AG50" s="305"/>
      <c r="AH50" s="226"/>
      <c r="AI50" s="305"/>
      <c r="AJ50" s="254"/>
      <c r="AK50" s="317"/>
      <c r="AL50" s="305"/>
      <c r="AM50" s="226"/>
      <c r="AN50" s="226"/>
      <c r="AO50" s="226"/>
      <c r="AP50" s="226"/>
      <c r="AQ50" s="305"/>
      <c r="AR50" s="305"/>
      <c r="AS50" s="305"/>
      <c r="AT50" s="305"/>
      <c r="AU50" s="305"/>
      <c r="AV50" s="305"/>
      <c r="AW50" s="305"/>
      <c r="AX50" s="305"/>
      <c r="AY50" s="317"/>
      <c r="AZ50" s="305"/>
      <c r="BA50" s="305"/>
      <c r="BB50" s="305"/>
      <c r="BC50" s="305"/>
      <c r="BD50" s="305"/>
      <c r="BE50" s="317"/>
      <c r="BF50" s="305"/>
      <c r="BG50" s="305"/>
      <c r="BH50" s="305"/>
      <c r="BI50" s="305"/>
      <c r="BJ50" s="305"/>
      <c r="BK50" s="305"/>
      <c r="BL50" s="305"/>
      <c r="BM50" s="305"/>
      <c r="BN50" s="226"/>
      <c r="BO50" s="305"/>
      <c r="BP50" s="305"/>
      <c r="BQ50" s="305"/>
      <c r="BR50" s="443"/>
      <c r="BS50" s="305"/>
      <c r="BT50" s="305"/>
      <c r="BU50" s="305"/>
      <c r="BV50" s="305"/>
      <c r="BW50" s="305"/>
      <c r="BX50" s="305"/>
      <c r="BY50" s="305"/>
      <c r="BZ50" s="305"/>
      <c r="CA50" s="305"/>
      <c r="CB50" s="305"/>
      <c r="CC50" s="305"/>
      <c r="CD50" s="317"/>
      <c r="CE50" s="317"/>
      <c r="CF50" s="317"/>
      <c r="CG50" s="317"/>
      <c r="CH50" s="317"/>
      <c r="CI50" s="317"/>
      <c r="CJ50" s="317"/>
      <c r="CK50" s="317"/>
      <c r="CL50" s="317"/>
      <c r="CM50" s="317"/>
      <c r="CN50" s="305"/>
      <c r="CO50" s="305"/>
      <c r="CP50" s="305"/>
      <c r="CQ50" s="444"/>
      <c r="CR50" s="445"/>
      <c r="CS50" s="305"/>
      <c r="CT50" s="305"/>
      <c r="CU50" s="305"/>
      <c r="CV50" s="305"/>
      <c r="CW50" s="305"/>
      <c r="CX50" s="305"/>
      <c r="CY50" s="305"/>
      <c r="CZ50" s="305"/>
      <c r="DA50" s="305"/>
      <c r="DB50" s="305"/>
      <c r="DC50" s="305"/>
      <c r="DD50" s="305"/>
      <c r="DE50" s="305"/>
      <c r="DF50" s="305"/>
      <c r="DG50" s="305"/>
      <c r="DH50" s="305"/>
      <c r="DI50" s="305"/>
      <c r="DJ50" s="305"/>
      <c r="DK50" s="305"/>
      <c r="DL50" s="305"/>
      <c r="DM50" s="312"/>
      <c r="DN50" s="305"/>
      <c r="DO50" s="305"/>
      <c r="DP50" s="305"/>
      <c r="DQ50" s="305"/>
      <c r="DR50" s="305"/>
      <c r="DS50" s="305"/>
      <c r="DT50" s="305"/>
      <c r="DU50" s="305"/>
      <c r="DV50" s="305"/>
      <c r="DW50" s="246"/>
      <c r="DX50" s="305"/>
      <c r="DY50" s="305"/>
      <c r="DZ50" s="305"/>
      <c r="EA50" s="305"/>
      <c r="EB50" s="305"/>
      <c r="EC50" s="226"/>
      <c r="ED50" s="305"/>
      <c r="EE50" s="305"/>
      <c r="EF50" s="305"/>
      <c r="EG50" s="226"/>
      <c r="EH50" s="305"/>
      <c r="EI50" s="305"/>
      <c r="EJ50" s="226"/>
      <c r="EK50" s="226"/>
      <c r="EL50" s="226"/>
      <c r="EM50" s="226"/>
      <c r="EN50" s="226"/>
      <c r="EO50" s="226"/>
      <c r="EP50" s="226"/>
      <c r="EQ50" s="226"/>
      <c r="ER50" s="305"/>
      <c r="ES50" s="305"/>
      <c r="ET50" s="305"/>
      <c r="EU50" s="305"/>
      <c r="EV50" s="305"/>
      <c r="EW50" s="310"/>
      <c r="EX50" s="305"/>
      <c r="EY50" s="305"/>
      <c r="EZ50" s="317"/>
      <c r="FA50" s="305"/>
      <c r="FB50" s="305"/>
      <c r="FC50" s="305"/>
      <c r="FD50" s="226"/>
      <c r="FE50" s="446"/>
      <c r="FF50" s="305"/>
      <c r="FG50" s="305"/>
      <c r="FH50" s="305"/>
      <c r="FI50" s="445"/>
      <c r="FJ50" s="445"/>
      <c r="FK50" s="445"/>
      <c r="FL50" s="445"/>
      <c r="FM50" s="305"/>
      <c r="FN50" s="305"/>
      <c r="FO50" s="445"/>
      <c r="FP50" s="445"/>
      <c r="FQ50" s="445"/>
      <c r="FR50" s="445"/>
      <c r="FS50" s="445"/>
      <c r="FT50" s="445"/>
      <c r="FU50" s="226"/>
      <c r="FV50" s="445"/>
      <c r="FW50" s="445"/>
      <c r="FX50" s="445"/>
      <c r="FY50" s="226"/>
      <c r="FZ50" s="445"/>
      <c r="GA50" s="445"/>
      <c r="GB50" s="445"/>
      <c r="GC50" s="445"/>
      <c r="GD50" s="445"/>
      <c r="GE50" s="445"/>
      <c r="GF50" s="445"/>
      <c r="GG50" s="445"/>
      <c r="GH50" s="445"/>
      <c r="GI50" s="226"/>
      <c r="GJ50" s="445"/>
      <c r="GK50" s="445"/>
      <c r="GL50" s="445"/>
      <c r="GM50" s="445"/>
      <c r="GN50" s="445"/>
      <c r="GO50" s="226"/>
      <c r="GP50" s="445"/>
      <c r="GQ50" s="226"/>
      <c r="GR50" s="445"/>
      <c r="GS50" s="445"/>
      <c r="GT50" s="445"/>
      <c r="GU50" s="445"/>
      <c r="GV50" s="445"/>
      <c r="GW50" s="226"/>
      <c r="GX50" s="305"/>
      <c r="GY50" s="312"/>
      <c r="GZ50" s="445"/>
      <c r="HA50" s="305"/>
      <c r="HB50" s="305"/>
      <c r="HC50" s="305"/>
      <c r="HD50" s="305"/>
      <c r="HE50" s="305"/>
      <c r="HF50" s="226"/>
      <c r="HG50" s="306"/>
      <c r="HH50" s="306"/>
      <c r="HI50" s="306"/>
      <c r="HJ50" s="305"/>
      <c r="HK50" s="306"/>
      <c r="HL50" s="226"/>
      <c r="HM50" s="305"/>
      <c r="HN50" s="226"/>
      <c r="HO50" s="305"/>
      <c r="HP50" s="305"/>
      <c r="HQ50" s="305"/>
      <c r="HR50" s="305"/>
      <c r="HS50" s="305"/>
      <c r="HT50" s="305"/>
      <c r="HU50" s="305"/>
      <c r="HV50" s="305"/>
      <c r="HW50" s="305"/>
      <c r="HX50" s="305"/>
      <c r="HY50" s="305"/>
      <c r="HZ50" s="305"/>
      <c r="IA50" s="305"/>
      <c r="IB50" s="305"/>
      <c r="IC50" s="305"/>
      <c r="ID50" s="305"/>
      <c r="IE50" s="305"/>
      <c r="IF50" s="305"/>
      <c r="IG50" s="305"/>
      <c r="IH50" s="307"/>
      <c r="II50" s="305"/>
      <c r="IJ50" s="305"/>
      <c r="IK50" s="305"/>
      <c r="IL50" s="305"/>
      <c r="IM50" s="305"/>
      <c r="IN50" s="305"/>
      <c r="IO50" s="305"/>
      <c r="IP50" s="305"/>
      <c r="IQ50" s="305"/>
      <c r="IR50" s="305"/>
      <c r="IS50" s="305"/>
      <c r="IT50" s="305"/>
      <c r="IU50" s="305"/>
      <c r="IV50" s="305"/>
      <c r="IW50" s="305"/>
      <c r="IX50" s="305"/>
      <c r="IY50" s="305"/>
      <c r="IZ50" s="305"/>
      <c r="JA50" s="305"/>
      <c r="JB50" s="305"/>
      <c r="JC50" s="305"/>
      <c r="JD50" s="305"/>
      <c r="JE50" s="226"/>
      <c r="JF50" s="226"/>
      <c r="JG50" s="226"/>
      <c r="JH50" s="305"/>
      <c r="JI50" s="305"/>
      <c r="JJ50" s="305"/>
      <c r="JK50" s="309"/>
      <c r="JL50" s="305"/>
      <c r="JM50" s="305"/>
      <c r="JN50" s="226"/>
      <c r="JO50" s="226"/>
      <c r="JP50" s="226"/>
      <c r="JQ50" s="305"/>
      <c r="JR50" s="305"/>
      <c r="JS50" s="305"/>
      <c r="JT50" s="305"/>
      <c r="JU50" s="305"/>
      <c r="JV50" s="305"/>
      <c r="JW50" s="305"/>
      <c r="JX50" s="305"/>
      <c r="JY50" s="305"/>
      <c r="JZ50" s="305"/>
      <c r="KA50" s="305"/>
      <c r="KB50" s="305"/>
      <c r="KC50" s="305"/>
      <c r="KD50" s="305"/>
      <c r="KE50" s="310"/>
      <c r="KF50" s="305"/>
      <c r="KG50" s="305"/>
      <c r="KH50" s="305"/>
      <c r="KI50" s="305"/>
      <c r="KJ50" s="305"/>
      <c r="KK50" s="305"/>
      <c r="KL50" s="305"/>
      <c r="KM50" s="305"/>
      <c r="KN50" s="305"/>
      <c r="KO50" s="305"/>
      <c r="KP50" s="305"/>
      <c r="KQ50" s="226"/>
      <c r="KR50" s="226"/>
      <c r="KS50" s="226"/>
      <c r="KT50" s="226"/>
      <c r="KU50" s="226"/>
      <c r="KV50" s="305"/>
      <c r="KW50" s="305"/>
      <c r="KX50" s="329"/>
      <c r="KY50" s="330"/>
      <c r="KZ50" s="305"/>
      <c r="LA50" s="305"/>
      <c r="LB50" s="305"/>
      <c r="LC50" s="305"/>
      <c r="LD50" s="305"/>
      <c r="LE50" s="305"/>
      <c r="LF50" s="305"/>
      <c r="LG50" s="305"/>
      <c r="LH50" s="305"/>
      <c r="LI50" s="305"/>
      <c r="LJ50" s="305"/>
      <c r="LK50" s="305"/>
      <c r="LL50" s="305"/>
      <c r="LM50" s="226"/>
      <c r="LN50" s="294"/>
      <c r="LO50" s="294"/>
      <c r="LP50" s="305"/>
      <c r="LQ50" s="305"/>
      <c r="LR50" s="294"/>
      <c r="LS50" s="305"/>
      <c r="LT50" s="311"/>
      <c r="LU50" s="305"/>
      <c r="LV50" s="305"/>
      <c r="LW50" s="305"/>
      <c r="LX50" s="305"/>
      <c r="LY50" s="305"/>
      <c r="LZ50" s="305"/>
      <c r="MA50" s="305"/>
      <c r="MB50" s="305"/>
      <c r="MC50" s="305"/>
      <c r="MD50" s="305"/>
      <c r="ME50" s="305"/>
      <c r="MF50" s="305"/>
      <c r="MG50" s="226"/>
      <c r="MH50" s="226"/>
      <c r="MI50" s="226"/>
      <c r="MJ50" s="313"/>
      <c r="MK50" s="313"/>
      <c r="ML50" s="313"/>
      <c r="MM50" s="313"/>
      <c r="MN50" s="328"/>
      <c r="MO50" s="314"/>
      <c r="MP50" s="314"/>
      <c r="MQ50" s="314"/>
      <c r="MR50" s="314"/>
      <c r="MS50" s="314"/>
      <c r="MT50" s="313"/>
      <c r="MU50" s="314"/>
      <c r="MV50" s="313"/>
      <c r="MW50" s="313"/>
      <c r="MX50" s="226"/>
      <c r="MY50" s="226"/>
      <c r="MZ50" s="226"/>
      <c r="NA50" s="226"/>
    </row>
    <row r="51" spans="1:365" ht="76" customHeight="1" x14ac:dyDescent="0.2">
      <c r="A51" s="1216" t="s">
        <v>99</v>
      </c>
      <c r="B51" s="201" t="s">
        <v>100</v>
      </c>
      <c r="C51" s="202" t="s">
        <v>6340</v>
      </c>
      <c r="D51" s="215" t="s">
        <v>102</v>
      </c>
      <c r="E51" s="305" t="s">
        <v>479</v>
      </c>
      <c r="F51" s="305" t="s">
        <v>479</v>
      </c>
      <c r="G51" s="305" t="s">
        <v>540</v>
      </c>
      <c r="H51" s="305" t="s">
        <v>540</v>
      </c>
      <c r="I51" s="305" t="s">
        <v>540</v>
      </c>
      <c r="J51" s="305" t="s">
        <v>540</v>
      </c>
      <c r="K51" s="305" t="s">
        <v>470</v>
      </c>
      <c r="L51" s="305" t="s">
        <v>470</v>
      </c>
      <c r="M51" s="305" t="s">
        <v>470</v>
      </c>
      <c r="N51" s="305" t="s">
        <v>470</v>
      </c>
      <c r="O51" s="305" t="s">
        <v>470</v>
      </c>
      <c r="P51" s="442" t="s">
        <v>470</v>
      </c>
      <c r="Q51" s="305" t="s">
        <v>470</v>
      </c>
      <c r="R51" s="305" t="s">
        <v>470</v>
      </c>
      <c r="S51" s="305" t="s">
        <v>470</v>
      </c>
      <c r="T51" s="305" t="s">
        <v>470</v>
      </c>
      <c r="U51" s="305" t="s">
        <v>479</v>
      </c>
      <c r="V51" s="305" t="s">
        <v>6339</v>
      </c>
      <c r="W51" s="226"/>
      <c r="X51" s="226"/>
      <c r="Y51" s="226"/>
      <c r="Z51" s="226"/>
      <c r="AA51" s="226"/>
      <c r="AB51" s="226"/>
      <c r="AC51" s="226"/>
      <c r="AD51" s="226"/>
      <c r="AE51" s="226"/>
      <c r="AF51" s="305" t="s">
        <v>470</v>
      </c>
      <c r="AG51" s="225" t="s">
        <v>479</v>
      </c>
      <c r="AH51" s="226"/>
      <c r="AI51" s="305" t="s">
        <v>479</v>
      </c>
      <c r="AJ51" s="305" t="s">
        <v>470</v>
      </c>
      <c r="AK51" s="317" t="s">
        <v>479</v>
      </c>
      <c r="AL51" s="305" t="s">
        <v>470</v>
      </c>
      <c r="AM51" s="226"/>
      <c r="AN51" s="226"/>
      <c r="AO51" s="226"/>
      <c r="AP51" s="226"/>
      <c r="AQ51" s="305" t="s">
        <v>479</v>
      </c>
      <c r="AR51" s="305" t="s">
        <v>470</v>
      </c>
      <c r="AS51" s="305" t="s">
        <v>470</v>
      </c>
      <c r="AT51" s="305" t="s">
        <v>470</v>
      </c>
      <c r="AU51" s="305" t="s">
        <v>470</v>
      </c>
      <c r="AV51" s="305" t="s">
        <v>470</v>
      </c>
      <c r="AW51" s="305" t="s">
        <v>470</v>
      </c>
      <c r="AX51" s="305"/>
      <c r="AY51" s="317" t="s">
        <v>2234</v>
      </c>
      <c r="AZ51" s="305" t="s">
        <v>470</v>
      </c>
      <c r="BA51" s="305"/>
      <c r="BB51" s="305" t="s">
        <v>470</v>
      </c>
      <c r="BC51" s="305" t="s">
        <v>470</v>
      </c>
      <c r="BD51" s="305"/>
      <c r="BE51" s="317" t="s">
        <v>470</v>
      </c>
      <c r="BF51" s="305" t="s">
        <v>470</v>
      </c>
      <c r="BG51" s="305" t="s">
        <v>470</v>
      </c>
      <c r="BH51" s="305" t="s">
        <v>470</v>
      </c>
      <c r="BI51" s="305" t="s">
        <v>656</v>
      </c>
      <c r="BJ51" s="305" t="s">
        <v>470</v>
      </c>
      <c r="BK51" s="305" t="s">
        <v>470</v>
      </c>
      <c r="BL51" s="305"/>
      <c r="BM51" s="305" t="s">
        <v>470</v>
      </c>
      <c r="BN51" s="226"/>
      <c r="BO51" s="305" t="s">
        <v>479</v>
      </c>
      <c r="BP51" s="305"/>
      <c r="BQ51" s="305" t="s">
        <v>479</v>
      </c>
      <c r="BR51" s="233" t="s">
        <v>470</v>
      </c>
      <c r="BS51" s="305" t="s">
        <v>873</v>
      </c>
      <c r="BT51" s="305" t="s">
        <v>479</v>
      </c>
      <c r="BU51" s="305" t="s">
        <v>470</v>
      </c>
      <c r="BV51" s="305" t="s">
        <v>470</v>
      </c>
      <c r="BW51" s="305" t="s">
        <v>470</v>
      </c>
      <c r="BX51" s="305" t="s">
        <v>470</v>
      </c>
      <c r="BY51" s="305" t="s">
        <v>470</v>
      </c>
      <c r="BZ51" s="305" t="s">
        <v>470</v>
      </c>
      <c r="CA51" s="305" t="s">
        <v>470</v>
      </c>
      <c r="CB51" s="305" t="s">
        <v>470</v>
      </c>
      <c r="CC51" s="305">
        <v>0</v>
      </c>
      <c r="CD51" s="317" t="s">
        <v>479</v>
      </c>
      <c r="CE51" s="317"/>
      <c r="CF51" s="317"/>
      <c r="CG51" s="317" t="s">
        <v>470</v>
      </c>
      <c r="CH51" s="317" t="s">
        <v>470</v>
      </c>
      <c r="CI51" s="317" t="s">
        <v>470</v>
      </c>
      <c r="CJ51" s="317" t="s">
        <v>470</v>
      </c>
      <c r="CK51" s="317" t="s">
        <v>470</v>
      </c>
      <c r="CL51" s="317" t="s">
        <v>470</v>
      </c>
      <c r="CM51" s="317" t="s">
        <v>470</v>
      </c>
      <c r="CN51" s="305" t="s">
        <v>470</v>
      </c>
      <c r="CO51" s="305" t="s">
        <v>479</v>
      </c>
      <c r="CP51" s="305" t="s">
        <v>479</v>
      </c>
      <c r="CQ51" s="444" t="s">
        <v>540</v>
      </c>
      <c r="CR51" s="445" t="s">
        <v>479</v>
      </c>
      <c r="CS51" s="305" t="s">
        <v>470</v>
      </c>
      <c r="CT51" s="305"/>
      <c r="CU51" s="305" t="s">
        <v>479</v>
      </c>
      <c r="CV51" s="305" t="s">
        <v>479</v>
      </c>
      <c r="CW51" s="305" t="s">
        <v>479</v>
      </c>
      <c r="CX51" s="305" t="s">
        <v>470</v>
      </c>
      <c r="CY51" s="454" t="s">
        <v>479</v>
      </c>
      <c r="CZ51" s="305" t="s">
        <v>470</v>
      </c>
      <c r="DA51" s="305" t="s">
        <v>479</v>
      </c>
      <c r="DB51" s="305" t="s">
        <v>540</v>
      </c>
      <c r="DC51" s="305" t="s">
        <v>479</v>
      </c>
      <c r="DD51" s="305" t="s">
        <v>470</v>
      </c>
      <c r="DE51" s="305" t="s">
        <v>470</v>
      </c>
      <c r="DF51" s="305" t="s">
        <v>479</v>
      </c>
      <c r="DG51" s="305" t="s">
        <v>479</v>
      </c>
      <c r="DH51" s="305" t="s">
        <v>479</v>
      </c>
      <c r="DI51" s="305" t="s">
        <v>470</v>
      </c>
      <c r="DJ51" s="305" t="s">
        <v>479</v>
      </c>
      <c r="DK51" s="305" t="s">
        <v>479</v>
      </c>
      <c r="DL51" s="305" t="s">
        <v>470</v>
      </c>
      <c r="DM51" s="305" t="s">
        <v>470</v>
      </c>
      <c r="DN51" s="305" t="s">
        <v>540</v>
      </c>
      <c r="DO51" s="305"/>
      <c r="DP51" s="305" t="s">
        <v>479</v>
      </c>
      <c r="DQ51" s="305" t="s">
        <v>479</v>
      </c>
      <c r="DR51" s="305" t="s">
        <v>479</v>
      </c>
      <c r="DS51" s="305" t="s">
        <v>479</v>
      </c>
      <c r="DT51" s="305" t="s">
        <v>479</v>
      </c>
      <c r="DU51" s="305" t="s">
        <v>470</v>
      </c>
      <c r="DV51" s="305" t="s">
        <v>470</v>
      </c>
      <c r="DW51" s="246" t="s">
        <v>2234</v>
      </c>
      <c r="DX51" s="305" t="s">
        <v>479</v>
      </c>
      <c r="DY51" s="305" t="s">
        <v>540</v>
      </c>
      <c r="DZ51" s="305" t="s">
        <v>470</v>
      </c>
      <c r="EA51" s="305" t="s">
        <v>470</v>
      </c>
      <c r="EB51" s="305" t="s">
        <v>479</v>
      </c>
      <c r="EC51" s="226"/>
      <c r="ED51" s="305" t="s">
        <v>470</v>
      </c>
      <c r="EE51" s="305" t="s">
        <v>479</v>
      </c>
      <c r="EF51" s="305" t="s">
        <v>470</v>
      </c>
      <c r="EG51" s="226"/>
      <c r="EH51" s="305" t="s">
        <v>470</v>
      </c>
      <c r="EI51" s="305" t="s">
        <v>470</v>
      </c>
      <c r="EJ51" s="226"/>
      <c r="EK51" s="226"/>
      <c r="EL51" s="226"/>
      <c r="EM51" s="226"/>
      <c r="EN51" s="226"/>
      <c r="EO51" s="226"/>
      <c r="EP51" s="226"/>
      <c r="EQ51" s="226"/>
      <c r="ER51" s="305" t="s">
        <v>470</v>
      </c>
      <c r="ES51" s="305" t="s">
        <v>470</v>
      </c>
      <c r="ET51" s="305" t="s">
        <v>470</v>
      </c>
      <c r="EU51" s="305" t="s">
        <v>470</v>
      </c>
      <c r="EV51" s="305" t="s">
        <v>470</v>
      </c>
      <c r="EW51" s="305" t="s">
        <v>470</v>
      </c>
      <c r="EX51" s="305" t="s">
        <v>479</v>
      </c>
      <c r="EY51" s="305" t="s">
        <v>479</v>
      </c>
      <c r="EZ51" s="317" t="s">
        <v>470</v>
      </c>
      <c r="FA51" s="305" t="s">
        <v>470</v>
      </c>
      <c r="FB51" s="305" t="s">
        <v>470</v>
      </c>
      <c r="FC51" s="305" t="s">
        <v>470</v>
      </c>
      <c r="FD51" s="226"/>
      <c r="FE51" s="446" t="s">
        <v>539</v>
      </c>
      <c r="FF51" s="305" t="s">
        <v>470</v>
      </c>
      <c r="FG51" s="305" t="s">
        <v>479</v>
      </c>
      <c r="FH51" s="305" t="s">
        <v>470</v>
      </c>
      <c r="FI51" s="445" t="s">
        <v>470</v>
      </c>
      <c r="FJ51" s="445" t="s">
        <v>470</v>
      </c>
      <c r="FK51" s="445"/>
      <c r="FL51" s="445" t="s">
        <v>470</v>
      </c>
      <c r="FM51" s="305" t="s">
        <v>470</v>
      </c>
      <c r="FN51" s="305"/>
      <c r="FO51" s="445" t="s">
        <v>470</v>
      </c>
      <c r="FP51" s="445"/>
      <c r="FQ51" s="445" t="s">
        <v>479</v>
      </c>
      <c r="FR51" s="445" t="s">
        <v>479</v>
      </c>
      <c r="FS51" s="445"/>
      <c r="FT51" s="445" t="s">
        <v>470</v>
      </c>
      <c r="FU51" s="226"/>
      <c r="FV51" s="445" t="s">
        <v>470</v>
      </c>
      <c r="FW51" s="445" t="s">
        <v>479</v>
      </c>
      <c r="FX51" s="445" t="s">
        <v>470</v>
      </c>
      <c r="FY51" s="226"/>
      <c r="FZ51" s="445" t="s">
        <v>470</v>
      </c>
      <c r="GA51" s="445" t="s">
        <v>479</v>
      </c>
      <c r="GB51" s="445" t="s">
        <v>470</v>
      </c>
      <c r="GC51" s="445"/>
      <c r="GD51" s="445" t="s">
        <v>470</v>
      </c>
      <c r="GE51" s="445" t="s">
        <v>470</v>
      </c>
      <c r="GF51" s="445" t="s">
        <v>470</v>
      </c>
      <c r="GG51" s="445" t="s">
        <v>479</v>
      </c>
      <c r="GH51" s="445" t="s">
        <v>470</v>
      </c>
      <c r="GI51" s="226"/>
      <c r="GJ51" s="445" t="s">
        <v>479</v>
      </c>
      <c r="GK51" s="445" t="s">
        <v>470</v>
      </c>
      <c r="GL51" s="445" t="s">
        <v>479</v>
      </c>
      <c r="GM51" s="445" t="s">
        <v>479</v>
      </c>
      <c r="GN51" s="445" t="s">
        <v>470</v>
      </c>
      <c r="GO51" s="226"/>
      <c r="GP51" s="445" t="s">
        <v>470</v>
      </c>
      <c r="GQ51" s="226"/>
      <c r="GR51" s="445" t="s">
        <v>470</v>
      </c>
      <c r="GS51" s="445" t="s">
        <v>470</v>
      </c>
      <c r="GT51" s="445"/>
      <c r="GU51" s="445" t="s">
        <v>479</v>
      </c>
      <c r="GV51" s="445" t="s">
        <v>470</v>
      </c>
      <c r="GW51" s="226"/>
      <c r="GX51" s="305" t="s">
        <v>479</v>
      </c>
      <c r="GY51" s="305"/>
      <c r="GZ51" s="445" t="s">
        <v>479</v>
      </c>
      <c r="HA51" s="305" t="s">
        <v>470</v>
      </c>
      <c r="HB51" s="305" t="s">
        <v>470</v>
      </c>
      <c r="HC51" s="305" t="s">
        <v>470</v>
      </c>
      <c r="HD51" s="305" t="s">
        <v>479</v>
      </c>
      <c r="HE51" s="305" t="s">
        <v>479</v>
      </c>
      <c r="HF51" s="226"/>
      <c r="HG51" s="306" t="s">
        <v>470</v>
      </c>
      <c r="HH51" s="306" t="s">
        <v>470</v>
      </c>
      <c r="HI51" s="306" t="s">
        <v>479</v>
      </c>
      <c r="HJ51" s="305" t="s">
        <v>470</v>
      </c>
      <c r="HK51" s="306" t="s">
        <v>689</v>
      </c>
      <c r="HL51" s="226"/>
      <c r="HM51" s="305" t="s">
        <v>479</v>
      </c>
      <c r="HN51" s="226"/>
      <c r="HO51" s="305" t="s">
        <v>470</v>
      </c>
      <c r="HP51" s="305" t="s">
        <v>479</v>
      </c>
      <c r="HQ51" s="305"/>
      <c r="HR51" s="305"/>
      <c r="HS51" s="305" t="s">
        <v>470</v>
      </c>
      <c r="HT51" s="305" t="s">
        <v>470</v>
      </c>
      <c r="HU51" s="305" t="s">
        <v>479</v>
      </c>
      <c r="HV51" s="305" t="s">
        <v>470</v>
      </c>
      <c r="HW51" s="305" t="s">
        <v>470</v>
      </c>
      <c r="HX51" s="305" t="s">
        <v>470</v>
      </c>
      <c r="HY51" s="305" t="s">
        <v>479</v>
      </c>
      <c r="HZ51" s="305"/>
      <c r="IA51" s="305" t="s">
        <v>479</v>
      </c>
      <c r="IB51" s="305" t="s">
        <v>470</v>
      </c>
      <c r="IC51" s="305" t="s">
        <v>470</v>
      </c>
      <c r="ID51" s="305" t="s">
        <v>470</v>
      </c>
      <c r="IE51" s="305" t="s">
        <v>470</v>
      </c>
      <c r="IF51" s="305" t="s">
        <v>470</v>
      </c>
      <c r="IG51" s="305" t="s">
        <v>470</v>
      </c>
      <c r="IH51" s="317" t="s">
        <v>470</v>
      </c>
      <c r="II51" s="305" t="s">
        <v>470</v>
      </c>
      <c r="IJ51" s="305" t="s">
        <v>470</v>
      </c>
      <c r="IK51" s="305" t="s">
        <v>470</v>
      </c>
      <c r="IL51" s="305" t="s">
        <v>539</v>
      </c>
      <c r="IM51" s="305" t="s">
        <v>539</v>
      </c>
      <c r="IN51" s="305" t="s">
        <v>470</v>
      </c>
      <c r="IO51" s="305" t="s">
        <v>470</v>
      </c>
      <c r="IP51" s="305" t="s">
        <v>470</v>
      </c>
      <c r="IQ51" s="305" t="s">
        <v>470</v>
      </c>
      <c r="IR51" s="305" t="s">
        <v>470</v>
      </c>
      <c r="IS51" s="305" t="s">
        <v>470</v>
      </c>
      <c r="IT51" s="305" t="s">
        <v>470</v>
      </c>
      <c r="IU51" s="305" t="s">
        <v>470</v>
      </c>
      <c r="IV51" s="305" t="s">
        <v>470</v>
      </c>
      <c r="IW51" s="305" t="s">
        <v>470</v>
      </c>
      <c r="IX51" s="305" t="s">
        <v>479</v>
      </c>
      <c r="IY51" s="305" t="s">
        <v>479</v>
      </c>
      <c r="IZ51" s="305" t="s">
        <v>470</v>
      </c>
      <c r="JA51" s="305" t="s">
        <v>479</v>
      </c>
      <c r="JB51" s="305" t="s">
        <v>470</v>
      </c>
      <c r="JC51" s="305" t="s">
        <v>470</v>
      </c>
      <c r="JD51" s="305" t="s">
        <v>470</v>
      </c>
      <c r="JE51" s="226"/>
      <c r="JF51" s="226"/>
      <c r="JG51" s="226"/>
      <c r="JH51" s="305" t="s">
        <v>470</v>
      </c>
      <c r="JI51" s="305" t="s">
        <v>470</v>
      </c>
      <c r="JJ51" s="305" t="s">
        <v>470</v>
      </c>
      <c r="JK51" s="309" t="s">
        <v>479</v>
      </c>
      <c r="JL51" s="305" t="s">
        <v>470</v>
      </c>
      <c r="JM51" s="305" t="s">
        <v>470</v>
      </c>
      <c r="JN51" s="226"/>
      <c r="JO51" s="226"/>
      <c r="JP51" s="226"/>
      <c r="JQ51" s="305" t="s">
        <v>479</v>
      </c>
      <c r="JR51" s="305" t="s">
        <v>479</v>
      </c>
      <c r="JS51" s="305" t="s">
        <v>479</v>
      </c>
      <c r="JT51" s="305" t="s">
        <v>479</v>
      </c>
      <c r="JU51" s="305" t="s">
        <v>470</v>
      </c>
      <c r="JV51" s="305" t="s">
        <v>479</v>
      </c>
      <c r="JW51" s="305" t="s">
        <v>479</v>
      </c>
      <c r="JX51" s="305" t="s">
        <v>470</v>
      </c>
      <c r="JY51" s="305" t="s">
        <v>470</v>
      </c>
      <c r="JZ51" s="305" t="s">
        <v>479</v>
      </c>
      <c r="KA51" s="305" t="s">
        <v>470</v>
      </c>
      <c r="KB51" s="305" t="s">
        <v>479</v>
      </c>
      <c r="KC51" s="305" t="s">
        <v>479</v>
      </c>
      <c r="KD51" s="305" t="s">
        <v>470</v>
      </c>
      <c r="KE51" s="232" t="s">
        <v>479</v>
      </c>
      <c r="KF51" s="294" t="s">
        <v>479</v>
      </c>
      <c r="KG51" s="305" t="s">
        <v>479</v>
      </c>
      <c r="KH51" s="305" t="s">
        <v>479</v>
      </c>
      <c r="KI51" s="305" t="s">
        <v>470</v>
      </c>
      <c r="KJ51" s="305" t="s">
        <v>479</v>
      </c>
      <c r="KK51" s="305" t="s">
        <v>470</v>
      </c>
      <c r="KL51" s="305" t="s">
        <v>479</v>
      </c>
      <c r="KM51" s="305" t="s">
        <v>470</v>
      </c>
      <c r="KN51" s="305" t="s">
        <v>479</v>
      </c>
      <c r="KO51" s="305" t="s">
        <v>479</v>
      </c>
      <c r="KP51" s="305" t="s">
        <v>470</v>
      </c>
      <c r="KQ51" s="226"/>
      <c r="KR51" s="226"/>
      <c r="KS51" s="226"/>
      <c r="KT51" s="226"/>
      <c r="KU51" s="226"/>
      <c r="KV51" s="305" t="s">
        <v>470</v>
      </c>
      <c r="KW51" s="305" t="s">
        <v>470</v>
      </c>
      <c r="KX51" s="329" t="s">
        <v>470</v>
      </c>
      <c r="KY51" s="330" t="s">
        <v>470</v>
      </c>
      <c r="KZ51" s="305" t="s">
        <v>470</v>
      </c>
      <c r="LA51" s="305" t="s">
        <v>470</v>
      </c>
      <c r="LB51" s="305" t="s">
        <v>470</v>
      </c>
      <c r="LC51" s="305" t="s">
        <v>470</v>
      </c>
      <c r="LD51" s="305" t="s">
        <v>470</v>
      </c>
      <c r="LE51" s="305" t="s">
        <v>873</v>
      </c>
      <c r="LF51" s="305" t="s">
        <v>470</v>
      </c>
      <c r="LG51" s="305" t="s">
        <v>470</v>
      </c>
      <c r="LH51" s="305" t="s">
        <v>470</v>
      </c>
      <c r="LI51" s="305" t="s">
        <v>470</v>
      </c>
      <c r="LJ51" s="305" t="s">
        <v>470</v>
      </c>
      <c r="LK51" s="305" t="s">
        <v>470</v>
      </c>
      <c r="LL51" s="305" t="s">
        <v>470</v>
      </c>
      <c r="LM51" s="226"/>
      <c r="LN51" s="305" t="s">
        <v>479</v>
      </c>
      <c r="LO51" s="305" t="s">
        <v>479</v>
      </c>
      <c r="LP51" s="305" t="s">
        <v>479</v>
      </c>
      <c r="LQ51" s="305" t="s">
        <v>479</v>
      </c>
      <c r="LR51" s="305"/>
      <c r="LS51" s="305" t="s">
        <v>479</v>
      </c>
      <c r="LT51" s="311" t="s">
        <v>479</v>
      </c>
      <c r="LU51" s="305"/>
      <c r="LV51" s="305" t="s">
        <v>479</v>
      </c>
      <c r="LW51" s="305" t="s">
        <v>479</v>
      </c>
      <c r="LX51" s="305" t="s">
        <v>479</v>
      </c>
      <c r="LY51" s="305" t="s">
        <v>479</v>
      </c>
      <c r="LZ51" s="305" t="s">
        <v>470</v>
      </c>
      <c r="MA51" s="305" t="s">
        <v>479</v>
      </c>
      <c r="MB51" s="305" t="s">
        <v>479</v>
      </c>
      <c r="MC51" s="305" t="s">
        <v>479</v>
      </c>
      <c r="MD51" s="305" t="s">
        <v>479</v>
      </c>
      <c r="ME51" s="305" t="s">
        <v>479</v>
      </c>
      <c r="MF51" s="305" t="s">
        <v>470</v>
      </c>
      <c r="MG51" s="226"/>
      <c r="MH51" s="226"/>
      <c r="MI51" s="226"/>
      <c r="MJ51" s="313" t="s">
        <v>470</v>
      </c>
      <c r="MK51" s="313"/>
      <c r="ML51" s="313" t="s">
        <v>479</v>
      </c>
      <c r="MM51" s="313" t="s">
        <v>479</v>
      </c>
      <c r="MN51" s="314" t="s">
        <v>479</v>
      </c>
      <c r="MO51" s="314"/>
      <c r="MP51" s="314" t="s">
        <v>479</v>
      </c>
      <c r="MQ51" s="314" t="s">
        <v>479</v>
      </c>
      <c r="MR51" s="314" t="s">
        <v>470</v>
      </c>
      <c r="MS51" s="314" t="s">
        <v>470</v>
      </c>
      <c r="MT51" s="313" t="s">
        <v>479</v>
      </c>
      <c r="MU51" s="314" t="s">
        <v>479</v>
      </c>
      <c r="MV51" s="313" t="s">
        <v>479</v>
      </c>
      <c r="MW51" s="313" t="s">
        <v>6338</v>
      </c>
      <c r="MX51" s="226"/>
      <c r="MY51" s="226"/>
      <c r="MZ51" s="226"/>
      <c r="NA51" s="226"/>
    </row>
    <row r="52" spans="1:365" ht="87" customHeight="1" x14ac:dyDescent="0.2">
      <c r="A52" s="1216"/>
      <c r="B52" s="1217" t="s">
        <v>103</v>
      </c>
      <c r="C52" s="1218" t="s">
        <v>104</v>
      </c>
      <c r="D52" s="215" t="s">
        <v>15</v>
      </c>
      <c r="E52" s="305" t="s">
        <v>6337</v>
      </c>
      <c r="F52" s="305" t="s">
        <v>6337</v>
      </c>
      <c r="G52" s="305" t="s">
        <v>6335</v>
      </c>
      <c r="H52" s="305" t="s">
        <v>6335</v>
      </c>
      <c r="I52" s="305" t="s">
        <v>6336</v>
      </c>
      <c r="J52" s="305" t="s">
        <v>6335</v>
      </c>
      <c r="K52" s="305" t="s">
        <v>1924</v>
      </c>
      <c r="L52" s="305" t="s">
        <v>1924</v>
      </c>
      <c r="M52" s="305" t="s">
        <v>1924</v>
      </c>
      <c r="N52" s="305" t="s">
        <v>1924</v>
      </c>
      <c r="O52" s="305" t="s">
        <v>1924</v>
      </c>
      <c r="P52" s="442" t="s">
        <v>1924</v>
      </c>
      <c r="Q52" s="305" t="s">
        <v>1924</v>
      </c>
      <c r="R52" s="305"/>
      <c r="S52" s="305"/>
      <c r="T52" s="305"/>
      <c r="U52" s="305" t="s">
        <v>956</v>
      </c>
      <c r="V52" s="305" t="s">
        <v>6334</v>
      </c>
      <c r="W52" s="226"/>
      <c r="X52" s="226"/>
      <c r="Y52" s="226"/>
      <c r="Z52" s="226"/>
      <c r="AA52" s="226"/>
      <c r="AB52" s="226"/>
      <c r="AC52" s="226"/>
      <c r="AD52" s="226"/>
      <c r="AE52" s="226"/>
      <c r="AF52" s="305" t="s">
        <v>470</v>
      </c>
      <c r="AG52" s="225" t="s">
        <v>6333</v>
      </c>
      <c r="AH52" s="226"/>
      <c r="AI52" s="305" t="s">
        <v>6332</v>
      </c>
      <c r="AJ52" s="305"/>
      <c r="AK52" s="344" t="s">
        <v>6251</v>
      </c>
      <c r="AL52" s="305"/>
      <c r="AM52" s="226"/>
      <c r="AN52" s="226"/>
      <c r="AO52" s="226"/>
      <c r="AP52" s="226"/>
      <c r="AQ52" s="305" t="s">
        <v>6331</v>
      </c>
      <c r="AR52" s="305"/>
      <c r="AS52" s="305"/>
      <c r="AT52" s="305" t="s">
        <v>470</v>
      </c>
      <c r="AU52" s="305" t="s">
        <v>656</v>
      </c>
      <c r="AV52" s="305"/>
      <c r="AW52" s="305">
        <v>0</v>
      </c>
      <c r="AX52" s="305"/>
      <c r="AY52" s="317" t="s">
        <v>2234</v>
      </c>
      <c r="AZ52" s="305"/>
      <c r="BA52" s="305"/>
      <c r="BB52" s="305"/>
      <c r="BC52" s="305"/>
      <c r="BD52" s="305"/>
      <c r="BE52" s="317"/>
      <c r="BF52" s="305"/>
      <c r="BG52" s="305"/>
      <c r="BH52" s="305" t="s">
        <v>470</v>
      </c>
      <c r="BI52" s="305" t="s">
        <v>656</v>
      </c>
      <c r="BJ52" s="305" t="s">
        <v>2654</v>
      </c>
      <c r="BK52" s="305"/>
      <c r="BL52" s="305"/>
      <c r="BM52" s="305"/>
      <c r="BN52" s="226"/>
      <c r="BO52" s="305" t="s">
        <v>6330</v>
      </c>
      <c r="BP52" s="305"/>
      <c r="BQ52" s="305" t="s">
        <v>6329</v>
      </c>
      <c r="BR52" s="233" t="s">
        <v>15</v>
      </c>
      <c r="BS52" s="305" t="s">
        <v>656</v>
      </c>
      <c r="BT52" s="305" t="s">
        <v>6328</v>
      </c>
      <c r="BU52" s="305"/>
      <c r="BV52" s="305"/>
      <c r="BW52" s="305"/>
      <c r="BX52" s="305"/>
      <c r="BY52" s="305"/>
      <c r="BZ52" s="305"/>
      <c r="CA52" s="305"/>
      <c r="CB52" s="305"/>
      <c r="CC52" s="305"/>
      <c r="CD52" s="317"/>
      <c r="CE52" s="317"/>
      <c r="CF52" s="317"/>
      <c r="CG52" s="317" t="s">
        <v>6327</v>
      </c>
      <c r="CH52" s="317"/>
      <c r="CI52" s="317">
        <v>0</v>
      </c>
      <c r="CJ52" s="317"/>
      <c r="CK52" s="317"/>
      <c r="CL52" s="317"/>
      <c r="CM52" s="317"/>
      <c r="CN52" s="305"/>
      <c r="CO52" s="225" t="s">
        <v>6326</v>
      </c>
      <c r="CP52" s="224" t="s">
        <v>9503</v>
      </c>
      <c r="CQ52" s="444" t="s">
        <v>6325</v>
      </c>
      <c r="CR52" s="445" t="s">
        <v>6324</v>
      </c>
      <c r="CS52" s="305">
        <v>0</v>
      </c>
      <c r="CT52" s="305"/>
      <c r="CU52" s="455" t="s">
        <v>6322</v>
      </c>
      <c r="CV52" s="305" t="s">
        <v>1111</v>
      </c>
      <c r="CW52" s="305" t="s">
        <v>6323</v>
      </c>
      <c r="CX52" s="305"/>
      <c r="CY52" s="454" t="s">
        <v>6322</v>
      </c>
      <c r="CZ52" s="305"/>
      <c r="DA52" s="305" t="s">
        <v>6321</v>
      </c>
      <c r="DB52" s="305" t="s">
        <v>6277</v>
      </c>
      <c r="DC52" s="305" t="s">
        <v>6320</v>
      </c>
      <c r="DD52" s="305"/>
      <c r="DE52" s="305"/>
      <c r="DF52" s="305" t="s">
        <v>6319</v>
      </c>
      <c r="DG52" s="305" t="s">
        <v>6318</v>
      </c>
      <c r="DH52" s="305" t="s">
        <v>6317</v>
      </c>
      <c r="DI52" s="305"/>
      <c r="DJ52" s="305" t="s">
        <v>656</v>
      </c>
      <c r="DK52" s="305" t="s">
        <v>1111</v>
      </c>
      <c r="DL52" s="305"/>
      <c r="DM52" s="305"/>
      <c r="DN52" s="305" t="s">
        <v>6316</v>
      </c>
      <c r="DO52" s="305"/>
      <c r="DP52" s="226" t="s">
        <v>6313</v>
      </c>
      <c r="DQ52" s="226" t="s">
        <v>6314</v>
      </c>
      <c r="DR52" s="226" t="s">
        <v>6315</v>
      </c>
      <c r="DS52" s="226" t="s">
        <v>6314</v>
      </c>
      <c r="DT52" s="226" t="s">
        <v>6313</v>
      </c>
      <c r="DU52" s="305" t="s">
        <v>470</v>
      </c>
      <c r="DV52" s="305"/>
      <c r="DW52" s="246" t="s">
        <v>2234</v>
      </c>
      <c r="DX52" s="305" t="s">
        <v>6312</v>
      </c>
      <c r="DY52" s="1219" t="s">
        <v>6311</v>
      </c>
      <c r="DZ52" s="305"/>
      <c r="EA52" s="305"/>
      <c r="EB52" s="305" t="s">
        <v>6310</v>
      </c>
      <c r="EC52" s="226"/>
      <c r="ED52" s="305"/>
      <c r="EE52" s="225" t="s">
        <v>6309</v>
      </c>
      <c r="EF52" s="305"/>
      <c r="EG52" s="226"/>
      <c r="EH52" s="305"/>
      <c r="EI52" s="305" t="s">
        <v>656</v>
      </c>
      <c r="EJ52" s="226"/>
      <c r="EK52" s="226"/>
      <c r="EL52" s="226"/>
      <c r="EM52" s="226"/>
      <c r="EN52" s="226"/>
      <c r="EO52" s="226"/>
      <c r="EP52" s="226"/>
      <c r="EQ52" s="226"/>
      <c r="ER52" s="305"/>
      <c r="ES52" s="305"/>
      <c r="ET52" s="305"/>
      <c r="EU52" s="305"/>
      <c r="EV52" s="305"/>
      <c r="EW52" s="305"/>
      <c r="EX52" s="305" t="s">
        <v>6308</v>
      </c>
      <c r="EY52" s="305" t="s">
        <v>6307</v>
      </c>
      <c r="EZ52" s="317"/>
      <c r="FA52" s="305"/>
      <c r="FB52" s="305"/>
      <c r="FC52" s="305"/>
      <c r="FD52" s="226"/>
      <c r="FE52" s="446"/>
      <c r="FF52" s="305" t="s">
        <v>470</v>
      </c>
      <c r="FG52" s="305" t="s">
        <v>6306</v>
      </c>
      <c r="FH52" s="225" t="s">
        <v>470</v>
      </c>
      <c r="FI52" s="445" t="s">
        <v>656</v>
      </c>
      <c r="FJ52" s="445" t="s">
        <v>656</v>
      </c>
      <c r="FK52" s="445"/>
      <c r="FL52" s="445" t="s">
        <v>656</v>
      </c>
      <c r="FM52" s="305"/>
      <c r="FN52" s="305"/>
      <c r="FO52" s="445" t="s">
        <v>470</v>
      </c>
      <c r="FP52" s="445"/>
      <c r="FQ52" s="445" t="s">
        <v>6305</v>
      </c>
      <c r="FR52" s="445" t="s">
        <v>6304</v>
      </c>
      <c r="FS52" s="445"/>
      <c r="FT52" s="445"/>
      <c r="FU52" s="226"/>
      <c r="FV52" s="445"/>
      <c r="FW52" s="445" t="s">
        <v>6303</v>
      </c>
      <c r="FX52" s="445"/>
      <c r="FY52" s="226"/>
      <c r="FZ52" s="445"/>
      <c r="GA52" s="445" t="s">
        <v>6302</v>
      </c>
      <c r="GB52" s="445"/>
      <c r="GC52" s="445"/>
      <c r="GD52" s="445"/>
      <c r="GE52" s="445"/>
      <c r="GF52" s="445"/>
      <c r="GG52" s="445" t="s">
        <v>6301</v>
      </c>
      <c r="GH52" s="394" t="s">
        <v>4906</v>
      </c>
      <c r="GI52" s="226"/>
      <c r="GJ52" s="445" t="s">
        <v>6300</v>
      </c>
      <c r="GK52" s="445"/>
      <c r="GL52" s="445" t="s">
        <v>6299</v>
      </c>
      <c r="GM52" s="445" t="s">
        <v>6298</v>
      </c>
      <c r="GN52" s="445"/>
      <c r="GO52" s="226"/>
      <c r="GP52" s="445"/>
      <c r="GQ52" s="226"/>
      <c r="GR52" s="445"/>
      <c r="GS52" s="445"/>
      <c r="GT52" s="445"/>
      <c r="GU52" s="445" t="s">
        <v>6297</v>
      </c>
      <c r="GV52" s="445"/>
      <c r="GW52" s="226"/>
      <c r="GX52" s="305" t="s">
        <v>6296</v>
      </c>
      <c r="GY52" s="305"/>
      <c r="GZ52" s="445" t="s">
        <v>6295</v>
      </c>
      <c r="HA52" s="305"/>
      <c r="HB52" s="305" t="s">
        <v>470</v>
      </c>
      <c r="HC52" s="305"/>
      <c r="HD52" s="305" t="s">
        <v>6294</v>
      </c>
      <c r="HE52" s="305" t="s">
        <v>6293</v>
      </c>
      <c r="HF52" s="226"/>
      <c r="HG52" s="306" t="s">
        <v>656</v>
      </c>
      <c r="HH52" s="306" t="s">
        <v>656</v>
      </c>
      <c r="HI52" s="306" t="s">
        <v>6292</v>
      </c>
      <c r="HJ52" s="305" t="s">
        <v>656</v>
      </c>
      <c r="HK52" s="306" t="s">
        <v>6291</v>
      </c>
      <c r="HL52" s="226"/>
      <c r="HM52" s="305"/>
      <c r="HN52" s="226"/>
      <c r="HO52" s="305"/>
      <c r="HP52" s="305" t="s">
        <v>6290</v>
      </c>
      <c r="HQ52" s="305"/>
      <c r="HR52" s="305"/>
      <c r="HS52" s="305"/>
      <c r="HT52" s="305"/>
      <c r="HU52" s="305" t="s">
        <v>1111</v>
      </c>
      <c r="HV52" s="305" t="s">
        <v>1111</v>
      </c>
      <c r="HW52" s="305"/>
      <c r="HX52" s="305"/>
      <c r="HY52" s="305" t="s">
        <v>6289</v>
      </c>
      <c r="HZ52" s="305"/>
      <c r="IA52" s="305" t="s">
        <v>6288</v>
      </c>
      <c r="IB52" s="305"/>
      <c r="IC52" s="305"/>
      <c r="ID52" s="305"/>
      <c r="IE52" s="305"/>
      <c r="IF52" s="305"/>
      <c r="IG52" s="305"/>
      <c r="IH52" s="317"/>
      <c r="II52" s="226"/>
      <c r="IJ52" s="305"/>
      <c r="IK52" s="305"/>
      <c r="IL52" s="305"/>
      <c r="IM52" s="305" t="s">
        <v>656</v>
      </c>
      <c r="IN52" s="305"/>
      <c r="IO52" s="305"/>
      <c r="IP52" s="305"/>
      <c r="IQ52" s="305"/>
      <c r="IR52" s="305"/>
      <c r="IS52" s="305"/>
      <c r="IT52" s="305"/>
      <c r="IU52" s="305"/>
      <c r="IV52" s="305"/>
      <c r="IW52" s="305"/>
      <c r="IX52" s="305" t="s">
        <v>6287</v>
      </c>
      <c r="IY52" s="305" t="s">
        <v>1111</v>
      </c>
      <c r="IZ52" s="305"/>
      <c r="JA52" s="226" t="s">
        <v>6286</v>
      </c>
      <c r="JB52" s="305"/>
      <c r="JC52" s="305" t="s">
        <v>656</v>
      </c>
      <c r="JD52" s="305"/>
      <c r="JE52" s="226"/>
      <c r="JF52" s="226"/>
      <c r="JG52" s="226"/>
      <c r="JH52" s="305" t="s">
        <v>656</v>
      </c>
      <c r="JI52" s="305"/>
      <c r="JJ52" s="305" t="s">
        <v>656</v>
      </c>
      <c r="JK52" s="309" t="s">
        <v>6285</v>
      </c>
      <c r="JL52" s="305" t="s">
        <v>656</v>
      </c>
      <c r="JM52" s="305"/>
      <c r="JN52" s="226"/>
      <c r="JO52" s="226"/>
      <c r="JP52" s="226"/>
      <c r="JQ52" s="305" t="s">
        <v>6284</v>
      </c>
      <c r="JR52" s="305" t="s">
        <v>6283</v>
      </c>
      <c r="JS52" s="305" t="s">
        <v>6282</v>
      </c>
      <c r="JT52" s="305" t="s">
        <v>6281</v>
      </c>
      <c r="JU52" s="305"/>
      <c r="JV52" s="305" t="s">
        <v>6280</v>
      </c>
      <c r="JW52" s="305" t="s">
        <v>6279</v>
      </c>
      <c r="JX52" s="305" t="s">
        <v>656</v>
      </c>
      <c r="JY52" s="305" t="s">
        <v>470</v>
      </c>
      <c r="JZ52" s="305" t="s">
        <v>6278</v>
      </c>
      <c r="KA52" s="305"/>
      <c r="KB52" s="305" t="s">
        <v>6277</v>
      </c>
      <c r="KC52" s="305" t="s">
        <v>6276</v>
      </c>
      <c r="KD52" s="305" t="s">
        <v>656</v>
      </c>
      <c r="KE52" s="232" t="s">
        <v>6275</v>
      </c>
      <c r="KF52" s="305" t="s">
        <v>6274</v>
      </c>
      <c r="KG52" s="305" t="s">
        <v>6273</v>
      </c>
      <c r="KH52" s="305" t="s">
        <v>6272</v>
      </c>
      <c r="KI52" s="305" t="s">
        <v>470</v>
      </c>
      <c r="KJ52" s="305" t="s">
        <v>6271</v>
      </c>
      <c r="KK52" s="305"/>
      <c r="KL52" s="305" t="s">
        <v>6270</v>
      </c>
      <c r="KM52" s="305"/>
      <c r="KN52" s="305"/>
      <c r="KO52" s="305" t="s">
        <v>6269</v>
      </c>
      <c r="KP52" s="305"/>
      <c r="KQ52" s="226"/>
      <c r="KR52" s="226"/>
      <c r="KS52" s="226"/>
      <c r="KT52" s="226"/>
      <c r="KU52" s="226"/>
      <c r="KV52" s="305" t="s">
        <v>656</v>
      </c>
      <c r="KW52" s="305"/>
      <c r="KX52" s="329"/>
      <c r="KY52" s="330"/>
      <c r="KZ52" s="305"/>
      <c r="LA52" s="305"/>
      <c r="LB52" s="305"/>
      <c r="LC52" s="305">
        <v>0</v>
      </c>
      <c r="LD52" s="305"/>
      <c r="LE52" s="305"/>
      <c r="LF52" s="305"/>
      <c r="LG52" s="305"/>
      <c r="LH52" s="305"/>
      <c r="LI52" s="305"/>
      <c r="LJ52" s="305"/>
      <c r="LK52" s="305"/>
      <c r="LL52" s="305"/>
      <c r="LM52" s="226"/>
      <c r="LN52" s="305" t="s">
        <v>6268</v>
      </c>
      <c r="LO52" s="305" t="s">
        <v>6267</v>
      </c>
      <c r="LP52" s="305" t="s">
        <v>6266</v>
      </c>
      <c r="LQ52" s="305" t="s">
        <v>6265</v>
      </c>
      <c r="LR52" s="305"/>
      <c r="LS52" s="305" t="s">
        <v>6264</v>
      </c>
      <c r="LT52" s="311" t="s">
        <v>6263</v>
      </c>
      <c r="LU52" s="305"/>
      <c r="LV52" s="305" t="s">
        <v>6262</v>
      </c>
      <c r="LW52" s="305" t="s">
        <v>6261</v>
      </c>
      <c r="LX52" s="305" t="s">
        <v>6260</v>
      </c>
      <c r="LY52" s="226" t="s">
        <v>6259</v>
      </c>
      <c r="LZ52" s="305"/>
      <c r="MA52" s="225" t="s">
        <v>6258</v>
      </c>
      <c r="MB52" s="305" t="s">
        <v>6257</v>
      </c>
      <c r="MC52" s="305" t="s">
        <v>6256</v>
      </c>
      <c r="MD52" s="305" t="s">
        <v>6255</v>
      </c>
      <c r="ME52" s="305" t="s">
        <v>6254</v>
      </c>
      <c r="MF52" s="305" t="s">
        <v>6253</v>
      </c>
      <c r="MG52" s="226"/>
      <c r="MH52" s="226"/>
      <c r="MI52" s="226"/>
      <c r="MJ52" s="313"/>
      <c r="MK52" s="313"/>
      <c r="ML52" s="313" t="s">
        <v>6252</v>
      </c>
      <c r="MM52" s="313" t="s">
        <v>6251</v>
      </c>
      <c r="MN52" s="314" t="s">
        <v>6250</v>
      </c>
      <c r="MO52" s="314"/>
      <c r="MP52" s="314" t="s">
        <v>6249</v>
      </c>
      <c r="MQ52" s="236" t="s">
        <v>6248</v>
      </c>
      <c r="MR52" s="314" t="s">
        <v>1482</v>
      </c>
      <c r="MS52" s="314"/>
      <c r="MT52" s="313" t="s">
        <v>6247</v>
      </c>
      <c r="MU52" s="314" t="s">
        <v>6246</v>
      </c>
      <c r="MV52" s="313" t="s">
        <v>6245</v>
      </c>
      <c r="MW52" s="313" t="s">
        <v>6244</v>
      </c>
      <c r="MX52" s="226"/>
      <c r="MY52" s="226"/>
      <c r="MZ52" s="226"/>
      <c r="NA52" s="226"/>
    </row>
    <row r="53" spans="1:365" ht="67" customHeight="1" x14ac:dyDescent="0.2">
      <c r="A53" s="1216"/>
      <c r="B53" s="1216"/>
      <c r="C53" s="1218"/>
      <c r="D53" s="215" t="s">
        <v>34</v>
      </c>
      <c r="E53" s="305"/>
      <c r="F53" s="305"/>
      <c r="G53" s="305" t="s">
        <v>656</v>
      </c>
      <c r="H53" s="305" t="s">
        <v>656</v>
      </c>
      <c r="I53" s="299" t="s">
        <v>1482</v>
      </c>
      <c r="J53" s="305" t="s">
        <v>656</v>
      </c>
      <c r="K53" s="305" t="s">
        <v>1924</v>
      </c>
      <c r="L53" s="305" t="s">
        <v>1924</v>
      </c>
      <c r="M53" s="305" t="s">
        <v>1924</v>
      </c>
      <c r="N53" s="305" t="s">
        <v>1924</v>
      </c>
      <c r="O53" s="305" t="s">
        <v>1924</v>
      </c>
      <c r="P53" s="442" t="s">
        <v>1924</v>
      </c>
      <c r="Q53" s="305" t="s">
        <v>1924</v>
      </c>
      <c r="R53" s="305"/>
      <c r="S53" s="305"/>
      <c r="T53" s="305"/>
      <c r="U53" s="305"/>
      <c r="V53" s="305" t="s">
        <v>6243</v>
      </c>
      <c r="W53" s="226"/>
      <c r="X53" s="226"/>
      <c r="Y53" s="226"/>
      <c r="Z53" s="226"/>
      <c r="AA53" s="226"/>
      <c r="AB53" s="226"/>
      <c r="AC53" s="226"/>
      <c r="AD53" s="226"/>
      <c r="AE53" s="226"/>
      <c r="AF53" s="305" t="s">
        <v>470</v>
      </c>
      <c r="AG53" s="225" t="s">
        <v>6242</v>
      </c>
      <c r="AH53" s="226"/>
      <c r="AI53" s="305" t="s">
        <v>470</v>
      </c>
      <c r="AJ53" s="305"/>
      <c r="AK53" s="456" t="s">
        <v>6002</v>
      </c>
      <c r="AL53" s="305"/>
      <c r="AM53" s="226"/>
      <c r="AN53" s="226"/>
      <c r="AO53" s="226"/>
      <c r="AP53" s="226"/>
      <c r="AQ53" s="305"/>
      <c r="AR53" s="305"/>
      <c r="AS53" s="305"/>
      <c r="AT53" s="305" t="s">
        <v>470</v>
      </c>
      <c r="AU53" s="305" t="s">
        <v>656</v>
      </c>
      <c r="AV53" s="305"/>
      <c r="AW53" s="305">
        <v>0</v>
      </c>
      <c r="AX53" s="305"/>
      <c r="AY53" s="317" t="s">
        <v>2234</v>
      </c>
      <c r="AZ53" s="305"/>
      <c r="BA53" s="305"/>
      <c r="BB53" s="305"/>
      <c r="BC53" s="305"/>
      <c r="BD53" s="305"/>
      <c r="BE53" s="317"/>
      <c r="BF53" s="305"/>
      <c r="BG53" s="305"/>
      <c r="BH53" s="305" t="s">
        <v>470</v>
      </c>
      <c r="BI53" s="305" t="s">
        <v>656</v>
      </c>
      <c r="BJ53" s="305"/>
      <c r="BK53" s="305"/>
      <c r="BL53" s="305"/>
      <c r="BM53" s="305"/>
      <c r="BN53" s="226"/>
      <c r="BO53" s="305"/>
      <c r="BP53" s="305"/>
      <c r="BQ53" s="264" t="s">
        <v>5169</v>
      </c>
      <c r="BR53" s="233" t="s">
        <v>34</v>
      </c>
      <c r="BS53" s="305" t="s">
        <v>656</v>
      </c>
      <c r="BT53" s="305"/>
      <c r="BU53" s="305"/>
      <c r="BV53" s="305"/>
      <c r="BW53" s="305"/>
      <c r="BX53" s="305"/>
      <c r="BY53" s="305"/>
      <c r="BZ53" s="305"/>
      <c r="CA53" s="305"/>
      <c r="CB53" s="305"/>
      <c r="CC53" s="305"/>
      <c r="CD53" s="317"/>
      <c r="CE53" s="317"/>
      <c r="CF53" s="317"/>
      <c r="CG53" s="317"/>
      <c r="CH53" s="317"/>
      <c r="CI53" s="317">
        <v>0</v>
      </c>
      <c r="CJ53" s="317"/>
      <c r="CK53" s="317"/>
      <c r="CL53" s="317"/>
      <c r="CM53" s="317"/>
      <c r="CN53" s="305"/>
      <c r="CO53" s="369" t="s">
        <v>6241</v>
      </c>
      <c r="CP53" s="225" t="s">
        <v>6240</v>
      </c>
      <c r="CQ53" s="406" t="s">
        <v>5998</v>
      </c>
      <c r="CR53" s="388" t="s">
        <v>6239</v>
      </c>
      <c r="CS53" s="305"/>
      <c r="CT53" s="305"/>
      <c r="CU53" s="455" t="s">
        <v>6238</v>
      </c>
      <c r="CV53" s="225" t="s">
        <v>5153</v>
      </c>
      <c r="CW53" s="305" t="s">
        <v>656</v>
      </c>
      <c r="CX53" s="305"/>
      <c r="CY53" s="305"/>
      <c r="CZ53" s="305"/>
      <c r="DA53" s="225" t="s">
        <v>1149</v>
      </c>
      <c r="DB53" s="305"/>
      <c r="DC53" s="305"/>
      <c r="DD53" s="305"/>
      <c r="DE53" s="305"/>
      <c r="DF53" s="305"/>
      <c r="DG53" s="305"/>
      <c r="DH53" s="305" t="s">
        <v>5145</v>
      </c>
      <c r="DI53" s="305"/>
      <c r="DJ53" s="305" t="s">
        <v>656</v>
      </c>
      <c r="DK53" s="305" t="s">
        <v>5642</v>
      </c>
      <c r="DL53" s="305"/>
      <c r="DM53" s="305"/>
      <c r="DN53" s="370" t="s">
        <v>5899</v>
      </c>
      <c r="DO53" s="305"/>
      <c r="DP53" s="305" t="s">
        <v>470</v>
      </c>
      <c r="DQ53" s="305" t="s">
        <v>470</v>
      </c>
      <c r="DR53" s="225" t="s">
        <v>6237</v>
      </c>
      <c r="DS53" s="305" t="s">
        <v>470</v>
      </c>
      <c r="DT53" s="305" t="s">
        <v>470</v>
      </c>
      <c r="DU53" s="305" t="s">
        <v>470</v>
      </c>
      <c r="DV53" s="305"/>
      <c r="DW53" s="246" t="s">
        <v>2234</v>
      </c>
      <c r="DX53" s="331" t="s">
        <v>6236</v>
      </c>
      <c r="DY53" s="1219"/>
      <c r="DZ53" s="305"/>
      <c r="EA53" s="305"/>
      <c r="EB53" s="305"/>
      <c r="EC53" s="226"/>
      <c r="ED53" s="305"/>
      <c r="EE53" s="263" t="s">
        <v>6235</v>
      </c>
      <c r="EF53" s="305"/>
      <c r="EG53" s="226"/>
      <c r="EH53" s="305"/>
      <c r="EI53" s="305" t="s">
        <v>656</v>
      </c>
      <c r="EJ53" s="226"/>
      <c r="EK53" s="226"/>
      <c r="EL53" s="226"/>
      <c r="EM53" s="226"/>
      <c r="EN53" s="226"/>
      <c r="EO53" s="226"/>
      <c r="EP53" s="226"/>
      <c r="EQ53" s="226"/>
      <c r="ER53" s="305"/>
      <c r="ES53" s="305"/>
      <c r="ET53" s="305"/>
      <c r="EU53" s="305"/>
      <c r="EV53" s="305"/>
      <c r="EW53" s="305"/>
      <c r="EX53" s="305"/>
      <c r="EY53" s="305" t="s">
        <v>873</v>
      </c>
      <c r="EZ53" s="317"/>
      <c r="FA53" s="305"/>
      <c r="FB53" s="305"/>
      <c r="FC53" s="305"/>
      <c r="FD53" s="226"/>
      <c r="FE53" s="446"/>
      <c r="FF53" s="305" t="s">
        <v>470</v>
      </c>
      <c r="FG53" s="369" t="s">
        <v>470</v>
      </c>
      <c r="FH53" s="225" t="s">
        <v>470</v>
      </c>
      <c r="FI53" s="445" t="s">
        <v>656</v>
      </c>
      <c r="FJ53" s="445" t="s">
        <v>656</v>
      </c>
      <c r="FK53" s="445"/>
      <c r="FL53" s="445" t="s">
        <v>656</v>
      </c>
      <c r="FM53" s="305"/>
      <c r="FN53" s="305"/>
      <c r="FO53" s="445"/>
      <c r="FP53" s="445"/>
      <c r="FQ53" s="388" t="s">
        <v>6234</v>
      </c>
      <c r="FR53" s="388" t="s">
        <v>4908</v>
      </c>
      <c r="FS53" s="388"/>
      <c r="FT53" s="445"/>
      <c r="FU53" s="226"/>
      <c r="FV53" s="445"/>
      <c r="FW53" s="457" t="s">
        <v>5992</v>
      </c>
      <c r="FX53" s="457"/>
      <c r="FY53" s="226"/>
      <c r="FZ53" s="445"/>
      <c r="GA53" s="445"/>
      <c r="GB53" s="445"/>
      <c r="GC53" s="445"/>
      <c r="GD53" s="445"/>
      <c r="GE53" s="445"/>
      <c r="GF53" s="445"/>
      <c r="GG53" s="457" t="s">
        <v>6233</v>
      </c>
      <c r="GH53" s="394" t="s">
        <v>4906</v>
      </c>
      <c r="GI53" s="226"/>
      <c r="GJ53" s="457" t="s">
        <v>6232</v>
      </c>
      <c r="GK53" s="445"/>
      <c r="GL53" s="457" t="s">
        <v>6231</v>
      </c>
      <c r="GM53" s="457" t="s">
        <v>6230</v>
      </c>
      <c r="GN53" s="457"/>
      <c r="GO53" s="226"/>
      <c r="GP53" s="445"/>
      <c r="GQ53" s="226"/>
      <c r="GR53" s="445"/>
      <c r="GS53" s="445"/>
      <c r="GT53" s="445"/>
      <c r="GU53" s="445"/>
      <c r="GV53" s="445"/>
      <c r="GW53" s="226"/>
      <c r="GX53" s="305"/>
      <c r="GY53" s="305"/>
      <c r="GZ53" s="445"/>
      <c r="HA53" s="305"/>
      <c r="HB53" s="305" t="s">
        <v>470</v>
      </c>
      <c r="HC53" s="305"/>
      <c r="HD53" s="305"/>
      <c r="HE53" s="305" t="s">
        <v>6229</v>
      </c>
      <c r="HF53" s="226"/>
      <c r="HG53" s="306" t="s">
        <v>656</v>
      </c>
      <c r="HH53" s="306" t="s">
        <v>656</v>
      </c>
      <c r="HI53" s="262" t="s">
        <v>6228</v>
      </c>
      <c r="HJ53" s="305" t="s">
        <v>656</v>
      </c>
      <c r="HK53" s="261" t="s">
        <v>6227</v>
      </c>
      <c r="HL53" s="226"/>
      <c r="HM53" s="305"/>
      <c r="HN53" s="226"/>
      <c r="HO53" s="305"/>
      <c r="HP53" s="331" t="s">
        <v>6226</v>
      </c>
      <c r="HQ53" s="305"/>
      <c r="HR53" s="305"/>
      <c r="HS53" s="305"/>
      <c r="HT53" s="305"/>
      <c r="HU53" s="332" t="s">
        <v>6225</v>
      </c>
      <c r="HV53" s="305"/>
      <c r="HW53" s="305"/>
      <c r="HX53" s="305"/>
      <c r="HY53" s="266" t="s">
        <v>5289</v>
      </c>
      <c r="HZ53" s="305"/>
      <c r="IA53" s="305"/>
      <c r="IB53" s="305"/>
      <c r="IC53" s="305"/>
      <c r="ID53" s="305"/>
      <c r="IE53" s="305"/>
      <c r="IF53" s="305"/>
      <c r="IG53" s="305"/>
      <c r="IH53" s="317"/>
      <c r="II53" s="226"/>
      <c r="IJ53" s="305"/>
      <c r="IK53" s="305"/>
      <c r="IL53" s="305"/>
      <c r="IM53" s="305" t="s">
        <v>656</v>
      </c>
      <c r="IN53" s="305"/>
      <c r="IO53" s="305"/>
      <c r="IP53" s="305"/>
      <c r="IQ53" s="305"/>
      <c r="IR53" s="305"/>
      <c r="IS53" s="260"/>
      <c r="IT53" s="305"/>
      <c r="IU53" s="305"/>
      <c r="IV53" s="305"/>
      <c r="IW53" s="305"/>
      <c r="IX53" s="305"/>
      <c r="IY53" s="332" t="s">
        <v>5975</v>
      </c>
      <c r="IZ53" s="305"/>
      <c r="JA53" s="305"/>
      <c r="JB53" s="305"/>
      <c r="JC53" s="305" t="s">
        <v>656</v>
      </c>
      <c r="JD53" s="305"/>
      <c r="JE53" s="226"/>
      <c r="JF53" s="226"/>
      <c r="JG53" s="226"/>
      <c r="JH53" s="305" t="s">
        <v>656</v>
      </c>
      <c r="JI53" s="305"/>
      <c r="JJ53" s="305" t="s">
        <v>656</v>
      </c>
      <c r="JK53" s="309"/>
      <c r="JL53" s="305" t="s">
        <v>656</v>
      </c>
      <c r="JM53" s="305"/>
      <c r="JN53" s="226"/>
      <c r="JO53" s="226"/>
      <c r="JP53" s="226"/>
      <c r="JQ53" s="305" t="s">
        <v>656</v>
      </c>
      <c r="JR53" s="260" t="s">
        <v>6224</v>
      </c>
      <c r="JS53" s="305"/>
      <c r="JT53" s="332" t="s">
        <v>5973</v>
      </c>
      <c r="JU53" s="305"/>
      <c r="JV53" s="332" t="s">
        <v>6223</v>
      </c>
      <c r="JW53" s="332" t="s">
        <v>6222</v>
      </c>
      <c r="JX53" s="305" t="s">
        <v>656</v>
      </c>
      <c r="JY53" s="305" t="s">
        <v>470</v>
      </c>
      <c r="JZ53" s="305" t="s">
        <v>470</v>
      </c>
      <c r="KA53" s="305"/>
      <c r="KB53" s="305"/>
      <c r="KC53" s="305" t="s">
        <v>6221</v>
      </c>
      <c r="KD53" s="305" t="s">
        <v>656</v>
      </c>
      <c r="KE53" s="232" t="s">
        <v>656</v>
      </c>
      <c r="KF53" s="305"/>
      <c r="KG53" s="332" t="s">
        <v>6220</v>
      </c>
      <c r="KH53" s="332" t="s">
        <v>5067</v>
      </c>
      <c r="KI53" s="305" t="s">
        <v>470</v>
      </c>
      <c r="KJ53" s="305"/>
      <c r="KK53" s="305"/>
      <c r="KL53" s="305" t="s">
        <v>656</v>
      </c>
      <c r="KM53" s="305"/>
      <c r="KN53" s="305"/>
      <c r="KO53" s="225" t="s">
        <v>6219</v>
      </c>
      <c r="KP53" s="305"/>
      <c r="KQ53" s="226"/>
      <c r="KR53" s="226"/>
      <c r="KS53" s="226"/>
      <c r="KT53" s="226"/>
      <c r="KU53" s="226"/>
      <c r="KV53" s="305" t="s">
        <v>656</v>
      </c>
      <c r="KW53" s="305"/>
      <c r="KX53" s="329"/>
      <c r="KY53" s="330"/>
      <c r="KZ53" s="305"/>
      <c r="LA53" s="305"/>
      <c r="LB53" s="305"/>
      <c r="LC53" s="305">
        <v>0</v>
      </c>
      <c r="LD53" s="305"/>
      <c r="LE53" s="305"/>
      <c r="LF53" s="305"/>
      <c r="LG53" s="305"/>
      <c r="LH53" s="305"/>
      <c r="LI53" s="305"/>
      <c r="LJ53" s="305"/>
      <c r="LK53" s="305"/>
      <c r="LL53" s="305"/>
      <c r="LM53" s="226"/>
      <c r="LN53" s="331" t="s">
        <v>6218</v>
      </c>
      <c r="LO53" s="305"/>
      <c r="LP53" s="305" t="s">
        <v>6217</v>
      </c>
      <c r="LQ53" s="305"/>
      <c r="LR53" s="305"/>
      <c r="LS53" s="305"/>
      <c r="LT53" s="333" t="s">
        <v>6216</v>
      </c>
      <c r="LU53" s="225"/>
      <c r="LV53" s="225" t="s">
        <v>5052</v>
      </c>
      <c r="LW53" s="305"/>
      <c r="LX53" s="305"/>
      <c r="LY53" s="260" t="s">
        <v>6215</v>
      </c>
      <c r="LZ53" s="305"/>
      <c r="MA53" s="264" t="s">
        <v>6214</v>
      </c>
      <c r="MB53" s="305"/>
      <c r="MC53" s="305"/>
      <c r="MD53" s="305" t="s">
        <v>470</v>
      </c>
      <c r="ME53" s="305"/>
      <c r="MF53" s="305"/>
      <c r="MG53" s="226"/>
      <c r="MH53" s="226"/>
      <c r="MI53" s="226"/>
      <c r="MJ53" s="313"/>
      <c r="MK53" s="313"/>
      <c r="ML53" s="334" t="s">
        <v>6213</v>
      </c>
      <c r="MM53" s="313" t="s">
        <v>6212</v>
      </c>
      <c r="MN53" s="314" t="s">
        <v>5775</v>
      </c>
      <c r="MO53" s="314"/>
      <c r="MP53" s="335" t="s">
        <v>5773</v>
      </c>
      <c r="MQ53" s="274" t="s">
        <v>5772</v>
      </c>
      <c r="MR53" s="314" t="s">
        <v>1482</v>
      </c>
      <c r="MS53" s="314"/>
      <c r="MT53" s="334" t="s">
        <v>6211</v>
      </c>
      <c r="MU53" s="236" t="s">
        <v>5769</v>
      </c>
      <c r="MV53" s="313" t="s">
        <v>6210</v>
      </c>
      <c r="MW53" s="313"/>
      <c r="MX53" s="226"/>
      <c r="MY53" s="226"/>
      <c r="MZ53" s="226"/>
      <c r="NA53" s="226"/>
    </row>
    <row r="54" spans="1:365" ht="107" customHeight="1" x14ac:dyDescent="0.2">
      <c r="A54" s="1216"/>
      <c r="B54" s="212" t="s">
        <v>105</v>
      </c>
      <c r="C54" s="202" t="s">
        <v>106</v>
      </c>
      <c r="D54" s="220" t="s">
        <v>57</v>
      </c>
      <c r="E54" s="305">
        <v>0</v>
      </c>
      <c r="F54" s="305">
        <v>0</v>
      </c>
      <c r="G54" s="305" t="s">
        <v>539</v>
      </c>
      <c r="H54" s="305" t="s">
        <v>656</v>
      </c>
      <c r="I54" s="294">
        <v>0.09</v>
      </c>
      <c r="J54" s="299" t="s">
        <v>656</v>
      </c>
      <c r="K54" s="299">
        <v>0</v>
      </c>
      <c r="L54" s="299">
        <v>0</v>
      </c>
      <c r="M54" s="299">
        <v>0</v>
      </c>
      <c r="N54" s="299">
        <v>0</v>
      </c>
      <c r="O54" s="299">
        <v>0</v>
      </c>
      <c r="P54" s="458">
        <v>0</v>
      </c>
      <c r="Q54" s="299">
        <v>0</v>
      </c>
      <c r="R54" s="299">
        <v>0</v>
      </c>
      <c r="S54" s="299"/>
      <c r="T54" s="299"/>
      <c r="U54" s="299">
        <v>0</v>
      </c>
      <c r="V54" s="299"/>
      <c r="W54" s="226"/>
      <c r="X54" s="226"/>
      <c r="Y54" s="226"/>
      <c r="Z54" s="226"/>
      <c r="AA54" s="226"/>
      <c r="AB54" s="226"/>
      <c r="AC54" s="226"/>
      <c r="AD54" s="226"/>
      <c r="AE54" s="226"/>
      <c r="AF54" s="299" t="s">
        <v>470</v>
      </c>
      <c r="AG54" s="225">
        <v>5.5E-2</v>
      </c>
      <c r="AH54" s="226"/>
      <c r="AI54" s="299" t="s">
        <v>470</v>
      </c>
      <c r="AJ54" s="299"/>
      <c r="AK54" s="317" t="s">
        <v>656</v>
      </c>
      <c r="AL54" s="299"/>
      <c r="AM54" s="226"/>
      <c r="AN54" s="226"/>
      <c r="AO54" s="226"/>
      <c r="AP54" s="226"/>
      <c r="AQ54" s="299">
        <v>3.1E-2</v>
      </c>
      <c r="AR54" s="299"/>
      <c r="AS54" s="299"/>
      <c r="AT54" s="299">
        <v>0</v>
      </c>
      <c r="AU54" s="299" t="s">
        <v>656</v>
      </c>
      <c r="AV54" s="305"/>
      <c r="AW54" s="299">
        <v>0</v>
      </c>
      <c r="AX54" s="299"/>
      <c r="AY54" s="337" t="s">
        <v>2234</v>
      </c>
      <c r="AZ54" s="299"/>
      <c r="BA54" s="299"/>
      <c r="BB54" s="299"/>
      <c r="BC54" s="299"/>
      <c r="BD54" s="299"/>
      <c r="BE54" s="337">
        <v>0</v>
      </c>
      <c r="BF54" s="299"/>
      <c r="BG54" s="299"/>
      <c r="BH54" s="299" t="s">
        <v>470</v>
      </c>
      <c r="BI54" s="299" t="s">
        <v>656</v>
      </c>
      <c r="BJ54" s="299">
        <v>0</v>
      </c>
      <c r="BK54" s="299">
        <v>0</v>
      </c>
      <c r="BL54" s="299"/>
      <c r="BM54" s="299"/>
      <c r="BN54" s="226"/>
      <c r="BO54" s="299" t="s">
        <v>470</v>
      </c>
      <c r="BP54" s="299"/>
      <c r="BQ54" s="299">
        <v>0</v>
      </c>
      <c r="BR54" s="436" t="s">
        <v>57</v>
      </c>
      <c r="BS54" s="299" t="s">
        <v>656</v>
      </c>
      <c r="BT54" s="299"/>
      <c r="BU54" s="299">
        <v>0</v>
      </c>
      <c r="BV54" s="299"/>
      <c r="BW54" s="299"/>
      <c r="BX54" s="299"/>
      <c r="BY54" s="299"/>
      <c r="BZ54" s="299"/>
      <c r="CA54" s="299"/>
      <c r="CB54" s="299"/>
      <c r="CC54" s="299">
        <v>0</v>
      </c>
      <c r="CD54" s="337"/>
      <c r="CE54" s="337"/>
      <c r="CF54" s="337"/>
      <c r="CG54" s="337">
        <v>0</v>
      </c>
      <c r="CH54" s="337"/>
      <c r="CI54" s="337">
        <v>0</v>
      </c>
      <c r="CJ54" s="337"/>
      <c r="CK54" s="337"/>
      <c r="CL54" s="337">
        <v>0</v>
      </c>
      <c r="CM54" s="337"/>
      <c r="CN54" s="299"/>
      <c r="CO54" s="299" t="s">
        <v>6209</v>
      </c>
      <c r="CP54" s="299">
        <v>0</v>
      </c>
      <c r="CQ54" s="459">
        <v>0.02</v>
      </c>
      <c r="CR54" s="450"/>
      <c r="CS54" s="299">
        <v>0</v>
      </c>
      <c r="CT54" s="299"/>
      <c r="CU54" s="299" t="s">
        <v>656</v>
      </c>
      <c r="CV54" s="299"/>
      <c r="CW54" s="299" t="s">
        <v>656</v>
      </c>
      <c r="CX54" s="299"/>
      <c r="CY54" s="299"/>
      <c r="CZ54" s="299">
        <v>0</v>
      </c>
      <c r="DA54" s="299" t="s">
        <v>470</v>
      </c>
      <c r="DB54" s="299"/>
      <c r="DC54" s="299"/>
      <c r="DD54" s="299"/>
      <c r="DE54" s="299"/>
      <c r="DF54" s="299" t="s">
        <v>470</v>
      </c>
      <c r="DG54" s="299"/>
      <c r="DH54" s="299" t="s">
        <v>489</v>
      </c>
      <c r="DI54" s="299"/>
      <c r="DJ54" s="299" t="s">
        <v>656</v>
      </c>
      <c r="DK54" s="299">
        <v>0</v>
      </c>
      <c r="DL54" s="299">
        <v>0</v>
      </c>
      <c r="DM54" s="299"/>
      <c r="DN54" s="299" t="s">
        <v>656</v>
      </c>
      <c r="DO54" s="299"/>
      <c r="DP54" s="299" t="s">
        <v>470</v>
      </c>
      <c r="DQ54" s="299" t="s">
        <v>470</v>
      </c>
      <c r="DR54" s="299">
        <v>0</v>
      </c>
      <c r="DS54" s="299">
        <v>0</v>
      </c>
      <c r="DT54" s="299" t="s">
        <v>470</v>
      </c>
      <c r="DU54" s="299" t="s">
        <v>470</v>
      </c>
      <c r="DV54" s="294">
        <v>0</v>
      </c>
      <c r="DW54" s="246" t="s">
        <v>2234</v>
      </c>
      <c r="DX54" s="299">
        <v>0</v>
      </c>
      <c r="DY54" s="299" t="s">
        <v>6208</v>
      </c>
      <c r="DZ54" s="299"/>
      <c r="EA54" s="299"/>
      <c r="EB54" s="299"/>
      <c r="EC54" s="226"/>
      <c r="ED54" s="299">
        <v>0</v>
      </c>
      <c r="EE54" s="299" t="s">
        <v>656</v>
      </c>
      <c r="EF54" s="299">
        <v>0</v>
      </c>
      <c r="EG54" s="226"/>
      <c r="EH54" s="299"/>
      <c r="EI54" s="299">
        <v>0</v>
      </c>
      <c r="EJ54" s="226"/>
      <c r="EK54" s="226"/>
      <c r="EL54" s="226"/>
      <c r="EM54" s="226"/>
      <c r="EN54" s="226"/>
      <c r="EO54" s="226"/>
      <c r="EP54" s="226"/>
      <c r="EQ54" s="226"/>
      <c r="ER54" s="299"/>
      <c r="ES54" s="299"/>
      <c r="ET54" s="299"/>
      <c r="EU54" s="305"/>
      <c r="EV54" s="305"/>
      <c r="EW54" s="299"/>
      <c r="EX54" s="299"/>
      <c r="EY54" s="299" t="s">
        <v>1482</v>
      </c>
      <c r="EZ54" s="337"/>
      <c r="FA54" s="299">
        <v>0</v>
      </c>
      <c r="FB54" s="299"/>
      <c r="FC54" s="299"/>
      <c r="FD54" s="226"/>
      <c r="FE54" s="446"/>
      <c r="FF54" s="305" t="s">
        <v>470</v>
      </c>
      <c r="FG54" s="299" t="s">
        <v>470</v>
      </c>
      <c r="FH54" s="225" t="s">
        <v>470</v>
      </c>
      <c r="FI54" s="450" t="s">
        <v>656</v>
      </c>
      <c r="FJ54" s="450" t="s">
        <v>656</v>
      </c>
      <c r="FK54" s="450"/>
      <c r="FL54" s="450" t="s">
        <v>656</v>
      </c>
      <c r="FM54" s="299"/>
      <c r="FN54" s="299"/>
      <c r="FO54" s="450">
        <v>0</v>
      </c>
      <c r="FP54" s="450"/>
      <c r="FQ54" s="445" t="s">
        <v>1511</v>
      </c>
      <c r="FR54" s="439">
        <v>0.02</v>
      </c>
      <c r="FS54" s="439"/>
      <c r="FT54" s="450"/>
      <c r="FU54" s="226"/>
      <c r="FV54" s="450"/>
      <c r="FW54" s="450">
        <v>0</v>
      </c>
      <c r="FX54" s="450">
        <v>0</v>
      </c>
      <c r="FY54" s="226"/>
      <c r="FZ54" s="450"/>
      <c r="GA54" s="450"/>
      <c r="GB54" s="450"/>
      <c r="GC54" s="450"/>
      <c r="GD54" s="450"/>
      <c r="GE54" s="450"/>
      <c r="GF54" s="450"/>
      <c r="GG54" s="394" t="s">
        <v>4906</v>
      </c>
      <c r="GH54" s="394" t="s">
        <v>4906</v>
      </c>
      <c r="GI54" s="226"/>
      <c r="GJ54" s="450"/>
      <c r="GK54" s="450"/>
      <c r="GL54" s="450"/>
      <c r="GM54" s="450">
        <v>0.5</v>
      </c>
      <c r="GN54" s="450"/>
      <c r="GO54" s="226"/>
      <c r="GP54" s="450"/>
      <c r="GQ54" s="226"/>
      <c r="GR54" s="450"/>
      <c r="GS54" s="450"/>
      <c r="GT54" s="450"/>
      <c r="GU54" s="450"/>
      <c r="GV54" s="450">
        <v>0</v>
      </c>
      <c r="GW54" s="226"/>
      <c r="GX54" s="299">
        <v>5</v>
      </c>
      <c r="GY54" s="299"/>
      <c r="GZ54" s="450"/>
      <c r="HA54" s="299"/>
      <c r="HB54" s="299" t="s">
        <v>470</v>
      </c>
      <c r="HC54" s="299"/>
      <c r="HD54" s="299"/>
      <c r="HE54" s="299">
        <f>1238/1000</f>
        <v>1.238</v>
      </c>
      <c r="HF54" s="226"/>
      <c r="HG54" s="336">
        <v>0</v>
      </c>
      <c r="HH54" s="336" t="s">
        <v>656</v>
      </c>
      <c r="HI54" s="336">
        <v>0</v>
      </c>
      <c r="HJ54" s="299">
        <v>0</v>
      </c>
      <c r="HK54" s="336" t="s">
        <v>656</v>
      </c>
      <c r="HL54" s="226"/>
      <c r="HM54" s="299"/>
      <c r="HN54" s="226"/>
      <c r="HO54" s="299"/>
      <c r="HP54" s="305" t="s">
        <v>3154</v>
      </c>
      <c r="HQ54" s="299"/>
      <c r="HR54" s="299"/>
      <c r="HS54" s="299"/>
      <c r="HT54" s="299"/>
      <c r="HU54" s="299" t="s">
        <v>489</v>
      </c>
      <c r="HV54" s="299">
        <v>0</v>
      </c>
      <c r="HW54" s="299">
        <v>0</v>
      </c>
      <c r="HX54" s="299"/>
      <c r="HY54" s="299"/>
      <c r="HZ54" s="299"/>
      <c r="IA54" s="299"/>
      <c r="IB54" s="299"/>
      <c r="IC54" s="299"/>
      <c r="ID54" s="299"/>
      <c r="IE54" s="299"/>
      <c r="IF54" s="299"/>
      <c r="IG54" s="299"/>
      <c r="IH54" s="337"/>
      <c r="II54" s="299"/>
      <c r="IJ54" s="299"/>
      <c r="IK54" s="299"/>
      <c r="IL54" s="299"/>
      <c r="IM54" s="299" t="s">
        <v>656</v>
      </c>
      <c r="IN54" s="299"/>
      <c r="IO54" s="299"/>
      <c r="IP54" s="299"/>
      <c r="IQ54" s="299"/>
      <c r="IR54" s="299">
        <v>0</v>
      </c>
      <c r="IS54" s="299"/>
      <c r="IT54" s="299"/>
      <c r="IU54" s="299"/>
      <c r="IV54" s="299">
        <v>0</v>
      </c>
      <c r="IW54" s="299"/>
      <c r="IX54" s="299">
        <v>0</v>
      </c>
      <c r="IY54" s="299">
        <v>0</v>
      </c>
      <c r="IZ54" s="299"/>
      <c r="JA54" s="299">
        <v>7.0000000000000007E-2</v>
      </c>
      <c r="JB54" s="299"/>
      <c r="JC54" s="299" t="s">
        <v>656</v>
      </c>
      <c r="JD54" s="299">
        <v>0</v>
      </c>
      <c r="JE54" s="226"/>
      <c r="JF54" s="226"/>
      <c r="JG54" s="226"/>
      <c r="JH54" s="305" t="s">
        <v>656</v>
      </c>
      <c r="JI54" s="299"/>
      <c r="JJ54" s="232">
        <v>0</v>
      </c>
      <c r="JK54" s="338">
        <v>0.3</v>
      </c>
      <c r="JL54" s="232">
        <v>0</v>
      </c>
      <c r="JM54" s="299"/>
      <c r="JN54" s="226"/>
      <c r="JO54" s="226"/>
      <c r="JP54" s="226"/>
      <c r="JQ54" s="299">
        <v>6.3899999999999998E-3</v>
      </c>
      <c r="JR54" s="299">
        <v>0.36599999999999999</v>
      </c>
      <c r="JS54" s="299">
        <v>0.37</v>
      </c>
      <c r="JT54" s="299">
        <v>0.188</v>
      </c>
      <c r="JU54" s="299"/>
      <c r="JV54" s="299"/>
      <c r="JW54" s="299" t="s">
        <v>656</v>
      </c>
      <c r="JX54" s="299" t="s">
        <v>656</v>
      </c>
      <c r="JY54" s="305" t="s">
        <v>470</v>
      </c>
      <c r="JZ54" s="299">
        <v>0.72</v>
      </c>
      <c r="KA54" s="299"/>
      <c r="KB54" s="299">
        <v>0</v>
      </c>
      <c r="KC54" s="299">
        <v>0</v>
      </c>
      <c r="KD54" s="299" t="s">
        <v>656</v>
      </c>
      <c r="KE54" s="232" t="s">
        <v>656</v>
      </c>
      <c r="KF54" s="299"/>
      <c r="KG54" s="299">
        <v>9.4E-2</v>
      </c>
      <c r="KH54" s="299">
        <v>0.09</v>
      </c>
      <c r="KI54" s="299" t="s">
        <v>470</v>
      </c>
      <c r="KJ54" s="299">
        <v>0.502</v>
      </c>
      <c r="KK54" s="299"/>
      <c r="KL54" s="299">
        <v>0</v>
      </c>
      <c r="KM54" s="299"/>
      <c r="KN54" s="299">
        <v>0</v>
      </c>
      <c r="KO54" s="299">
        <v>0</v>
      </c>
      <c r="KP54" s="299"/>
      <c r="KQ54" s="226"/>
      <c r="KR54" s="226"/>
      <c r="KS54" s="226"/>
      <c r="KT54" s="226"/>
      <c r="KU54" s="226"/>
      <c r="KV54" s="299" t="s">
        <v>656</v>
      </c>
      <c r="KW54" s="299"/>
      <c r="KX54" s="804"/>
      <c r="KY54" s="805"/>
      <c r="KZ54" s="299"/>
      <c r="LA54" s="299"/>
      <c r="LB54" s="299"/>
      <c r="LC54" s="299">
        <v>0</v>
      </c>
      <c r="LD54" s="299"/>
      <c r="LE54" s="299"/>
      <c r="LF54" s="299"/>
      <c r="LG54" s="299"/>
      <c r="LH54" s="299"/>
      <c r="LI54" s="299"/>
      <c r="LJ54" s="299"/>
      <c r="LK54" s="299"/>
      <c r="LL54" s="232">
        <v>0</v>
      </c>
      <c r="LM54" s="226"/>
      <c r="LN54" s="299">
        <v>0.25</v>
      </c>
      <c r="LO54" s="294">
        <v>0</v>
      </c>
      <c r="LP54" s="299">
        <v>0</v>
      </c>
      <c r="LQ54" s="299">
        <v>0</v>
      </c>
      <c r="LR54" s="299">
        <v>0</v>
      </c>
      <c r="LS54" s="299">
        <v>0</v>
      </c>
      <c r="LT54" s="339">
        <v>0</v>
      </c>
      <c r="LU54" s="294">
        <v>133.98500000000001</v>
      </c>
      <c r="LV54" s="299">
        <v>79.847999999999999</v>
      </c>
      <c r="LW54" s="299">
        <v>0.19900000000000001</v>
      </c>
      <c r="LX54" s="299">
        <v>53.87</v>
      </c>
      <c r="LY54" s="299"/>
      <c r="LZ54" s="299"/>
      <c r="MA54" s="225">
        <v>6.8000000000000005E-2</v>
      </c>
      <c r="MB54" s="305"/>
      <c r="MC54" s="305">
        <v>0</v>
      </c>
      <c r="MD54" s="299">
        <v>3.0000000000000001E-3</v>
      </c>
      <c r="ME54" s="299">
        <v>0</v>
      </c>
      <c r="MF54" s="299"/>
      <c r="MG54" s="226"/>
      <c r="MH54" s="226"/>
      <c r="MI54" s="226"/>
      <c r="MJ54" s="340"/>
      <c r="MK54" s="340"/>
      <c r="ML54" s="340">
        <v>0</v>
      </c>
      <c r="MM54" s="340">
        <v>0</v>
      </c>
      <c r="MN54" s="341">
        <v>6.0999999999999999E-2</v>
      </c>
      <c r="MO54" s="341"/>
      <c r="MP54" s="341">
        <v>3.202</v>
      </c>
      <c r="MQ54" s="341">
        <v>0</v>
      </c>
      <c r="MR54" s="341" t="s">
        <v>1482</v>
      </c>
      <c r="MS54" s="341"/>
      <c r="MT54" s="340">
        <v>0</v>
      </c>
      <c r="MU54" s="341">
        <v>2.4E-2</v>
      </c>
      <c r="MV54" s="340">
        <v>0</v>
      </c>
      <c r="MW54" s="340"/>
      <c r="MX54" s="226"/>
      <c r="MY54" s="226"/>
      <c r="MZ54" s="226"/>
      <c r="NA54" s="226"/>
    </row>
    <row r="55" spans="1:365" ht="119" x14ac:dyDescent="0.2">
      <c r="A55" s="1216" t="s">
        <v>6207</v>
      </c>
      <c r="B55" s="201" t="s">
        <v>109</v>
      </c>
      <c r="C55" s="202" t="s">
        <v>6206</v>
      </c>
      <c r="D55" s="219" t="s">
        <v>57</v>
      </c>
      <c r="E55" s="294">
        <v>10.577</v>
      </c>
      <c r="F55" s="294">
        <v>6.3967000000000001</v>
      </c>
      <c r="G55" s="294">
        <v>0.78500000000000003</v>
      </c>
      <c r="H55" s="294">
        <v>1.8</v>
      </c>
      <c r="I55" s="299">
        <v>0.2</v>
      </c>
      <c r="J55" s="294" t="s">
        <v>656</v>
      </c>
      <c r="K55" s="294">
        <v>0.4</v>
      </c>
      <c r="L55" s="294">
        <v>1.7350000000000001</v>
      </c>
      <c r="M55" s="294">
        <v>0.50900000000000001</v>
      </c>
      <c r="N55" s="294">
        <v>0.35</v>
      </c>
      <c r="O55" s="294">
        <v>5.5</v>
      </c>
      <c r="P55" s="437">
        <v>0.30000000000000004</v>
      </c>
      <c r="Q55" s="294">
        <v>0.45</v>
      </c>
      <c r="R55" s="294">
        <v>0.6</v>
      </c>
      <c r="S55" s="294">
        <v>0</v>
      </c>
      <c r="T55" s="294">
        <v>0</v>
      </c>
      <c r="U55" s="294">
        <v>0</v>
      </c>
      <c r="V55" s="294">
        <f>55.167+273.922</f>
        <v>329.08900000000006</v>
      </c>
      <c r="W55" s="226"/>
      <c r="X55" s="226"/>
      <c r="Y55" s="226"/>
      <c r="Z55" s="226"/>
      <c r="AA55" s="226"/>
      <c r="AB55" s="226"/>
      <c r="AC55" s="226"/>
      <c r="AD55" s="226"/>
      <c r="AE55" s="226"/>
      <c r="AF55" s="294">
        <v>0</v>
      </c>
      <c r="AG55" s="225">
        <v>1</v>
      </c>
      <c r="AH55" s="226"/>
      <c r="AI55" s="294">
        <v>0</v>
      </c>
      <c r="AJ55" s="294" t="s">
        <v>470</v>
      </c>
      <c r="AK55" s="296">
        <v>5</v>
      </c>
      <c r="AL55" s="294"/>
      <c r="AM55" s="226"/>
      <c r="AN55" s="226"/>
      <c r="AO55" s="226"/>
      <c r="AP55" s="226"/>
      <c r="AQ55" s="294">
        <v>0</v>
      </c>
      <c r="AR55" s="294">
        <v>2.1</v>
      </c>
      <c r="AS55" s="294">
        <v>0</v>
      </c>
      <c r="AT55" s="294">
        <v>3.7780999999999998</v>
      </c>
      <c r="AU55" s="294">
        <v>3.0651999999999999</v>
      </c>
      <c r="AV55" s="294">
        <v>3.778</v>
      </c>
      <c r="AW55" s="294">
        <v>3778057.6</v>
      </c>
      <c r="AX55" s="294">
        <v>3.7780999999999998</v>
      </c>
      <c r="AY55" s="296" t="s">
        <v>2234</v>
      </c>
      <c r="AZ55" s="294">
        <v>3.0651999999999999</v>
      </c>
      <c r="BA55" s="294">
        <v>3.78</v>
      </c>
      <c r="BB55" s="294">
        <v>3.778</v>
      </c>
      <c r="BC55" s="294">
        <v>3.778</v>
      </c>
      <c r="BD55" s="294">
        <v>3.778</v>
      </c>
      <c r="BE55" s="296">
        <v>2.778</v>
      </c>
      <c r="BF55" s="294">
        <v>0</v>
      </c>
      <c r="BG55" s="294">
        <v>3.778</v>
      </c>
      <c r="BH55" s="294">
        <v>3.778</v>
      </c>
      <c r="BI55" s="294">
        <v>3.778</v>
      </c>
      <c r="BJ55" s="294">
        <v>3.778</v>
      </c>
      <c r="BK55" s="294">
        <v>3.335</v>
      </c>
      <c r="BL55" s="294"/>
      <c r="BM55" s="225">
        <v>3.8187000000000002</v>
      </c>
      <c r="BN55" s="226"/>
      <c r="BO55" s="294">
        <v>0.2</v>
      </c>
      <c r="BP55" s="294">
        <v>1.2</v>
      </c>
      <c r="BQ55" s="294">
        <v>0</v>
      </c>
      <c r="BR55" s="436" t="s">
        <v>6205</v>
      </c>
      <c r="BS55" s="294">
        <v>1.3378000000000001</v>
      </c>
      <c r="BT55" s="294">
        <v>3.7309999999999999</v>
      </c>
      <c r="BU55" s="294">
        <v>0.2</v>
      </c>
      <c r="BV55" s="294">
        <v>0.4</v>
      </c>
      <c r="BW55" s="294"/>
      <c r="BX55" s="294">
        <v>0.3</v>
      </c>
      <c r="BY55" s="294">
        <v>0</v>
      </c>
      <c r="BZ55" s="294">
        <v>0.9</v>
      </c>
      <c r="CA55" s="294">
        <f>85000/1000000</f>
        <v>8.5000000000000006E-2</v>
      </c>
      <c r="CB55" s="294">
        <f>15000/1000000</f>
        <v>1.4999999999999999E-2</v>
      </c>
      <c r="CC55" s="460" t="s">
        <v>6204</v>
      </c>
      <c r="CD55" s="296">
        <v>1</v>
      </c>
      <c r="CE55" s="296">
        <v>0</v>
      </c>
      <c r="CF55" s="296"/>
      <c r="CG55" s="296">
        <v>0.1</v>
      </c>
      <c r="CH55" s="296"/>
      <c r="CI55" s="296">
        <v>0.16200000000000001</v>
      </c>
      <c r="CJ55" s="296"/>
      <c r="CK55" s="296"/>
      <c r="CL55" s="296">
        <v>0.254</v>
      </c>
      <c r="CM55" s="296">
        <v>0</v>
      </c>
      <c r="CN55" s="294"/>
      <c r="CO55" s="294">
        <v>2.2999999999999998</v>
      </c>
      <c r="CP55" s="294">
        <v>4500</v>
      </c>
      <c r="CQ55" s="438">
        <v>0.3</v>
      </c>
      <c r="CR55" s="439">
        <v>45</v>
      </c>
      <c r="CS55" s="294">
        <v>0</v>
      </c>
      <c r="CT55" s="294"/>
      <c r="CU55" s="294">
        <v>4.0209999999999999</v>
      </c>
      <c r="CV55" s="294">
        <v>0.3</v>
      </c>
      <c r="CW55" s="294">
        <v>0.2</v>
      </c>
      <c r="CX55" s="294"/>
      <c r="CY55" s="294"/>
      <c r="CZ55" s="294">
        <v>1</v>
      </c>
      <c r="DA55" s="294">
        <v>138.614</v>
      </c>
      <c r="DB55" s="294">
        <v>0.2</v>
      </c>
      <c r="DC55" s="294">
        <v>0</v>
      </c>
      <c r="DD55" s="294">
        <v>0.01</v>
      </c>
      <c r="DE55" s="294">
        <v>0.6</v>
      </c>
      <c r="DF55" s="294">
        <v>100</v>
      </c>
      <c r="DG55" s="294">
        <v>5</v>
      </c>
      <c r="DH55" s="294">
        <v>1.6</v>
      </c>
      <c r="DI55" s="294">
        <v>1</v>
      </c>
      <c r="DJ55" s="294">
        <v>0.4</v>
      </c>
      <c r="DK55" s="294"/>
      <c r="DL55" s="294">
        <v>3</v>
      </c>
      <c r="DM55" s="294">
        <v>3.895</v>
      </c>
      <c r="DN55" s="294" t="s">
        <v>656</v>
      </c>
      <c r="DO55" s="294"/>
      <c r="DP55" s="294">
        <v>5.4387650000000001</v>
      </c>
      <c r="DQ55" s="294">
        <v>0.3</v>
      </c>
      <c r="DR55" s="294">
        <v>0</v>
      </c>
      <c r="DS55" s="294">
        <v>0</v>
      </c>
      <c r="DT55" s="294">
        <v>0.05</v>
      </c>
      <c r="DU55" s="294">
        <v>0.01</v>
      </c>
      <c r="DV55" s="294">
        <v>0.5</v>
      </c>
      <c r="DW55" s="225">
        <v>0</v>
      </c>
      <c r="DX55" s="294">
        <v>1.03</v>
      </c>
      <c r="DY55" s="294">
        <v>76.186999999999998</v>
      </c>
      <c r="DZ55" s="294">
        <v>2.8260000000000001</v>
      </c>
      <c r="EA55" s="294">
        <v>1</v>
      </c>
      <c r="EB55" s="294">
        <v>0</v>
      </c>
      <c r="EC55" s="226"/>
      <c r="ED55" s="294">
        <v>2</v>
      </c>
      <c r="EE55" s="294">
        <v>0</v>
      </c>
      <c r="EF55" s="294">
        <v>0</v>
      </c>
      <c r="EG55" s="226"/>
      <c r="EH55" s="294">
        <f>2314114/1000000</f>
        <v>2.314114</v>
      </c>
      <c r="EI55" s="294">
        <v>0</v>
      </c>
      <c r="EJ55" s="226"/>
      <c r="EK55" s="226"/>
      <c r="EL55" s="226"/>
      <c r="EM55" s="226"/>
      <c r="EN55" s="226"/>
      <c r="EO55" s="226"/>
      <c r="EP55" s="226"/>
      <c r="EQ55" s="226"/>
      <c r="ER55" s="294">
        <v>40</v>
      </c>
      <c r="ES55" s="294">
        <v>3.5</v>
      </c>
      <c r="ET55" s="294">
        <v>8.1229999999999993</v>
      </c>
      <c r="EU55" s="294">
        <v>0.33700000000000002</v>
      </c>
      <c r="EV55" s="294">
        <v>0</v>
      </c>
      <c r="EW55" s="294">
        <v>3</v>
      </c>
      <c r="EX55" s="294">
        <v>20</v>
      </c>
      <c r="EY55" s="294">
        <v>0.1</v>
      </c>
      <c r="EZ55" s="296">
        <v>1</v>
      </c>
      <c r="FA55" s="294">
        <v>0</v>
      </c>
      <c r="FB55" s="294">
        <v>0</v>
      </c>
      <c r="FC55" s="294">
        <v>0.1</v>
      </c>
      <c r="FD55" s="226"/>
      <c r="FE55" s="440">
        <v>0.2</v>
      </c>
      <c r="FF55" s="294">
        <v>0</v>
      </c>
      <c r="FG55" s="294">
        <v>8</v>
      </c>
      <c r="FH55" s="294">
        <v>95</v>
      </c>
      <c r="FI55" s="439">
        <v>3</v>
      </c>
      <c r="FJ55" s="439">
        <v>1100</v>
      </c>
      <c r="FK55" s="439"/>
      <c r="FL55" s="439">
        <v>4.4000000000000004</v>
      </c>
      <c r="FM55" s="294">
        <v>0</v>
      </c>
      <c r="FN55" s="294"/>
      <c r="FO55" s="439">
        <v>0.5</v>
      </c>
      <c r="FP55" s="439"/>
      <c r="FQ55" s="439">
        <f>15581000/1000000</f>
        <v>15.581</v>
      </c>
      <c r="FR55" s="439">
        <v>0.5</v>
      </c>
      <c r="FS55" s="439"/>
      <c r="FT55" s="439">
        <v>0.15</v>
      </c>
      <c r="FU55" s="226"/>
      <c r="FV55" s="439"/>
      <c r="FW55" s="439">
        <v>0.5</v>
      </c>
      <c r="FX55" s="439">
        <v>0.5</v>
      </c>
      <c r="FY55" s="226"/>
      <c r="FZ55" s="439">
        <v>1469.2</v>
      </c>
      <c r="GA55" s="439">
        <v>0.4</v>
      </c>
      <c r="GB55" s="439">
        <v>0.5</v>
      </c>
      <c r="GC55" s="439"/>
      <c r="GD55" s="439">
        <v>0.2918</v>
      </c>
      <c r="GE55" s="439">
        <v>0.38800000000000001</v>
      </c>
      <c r="GF55" s="439">
        <v>1.2</v>
      </c>
      <c r="GG55" s="439">
        <v>3.0501</v>
      </c>
      <c r="GH55" s="439">
        <v>900</v>
      </c>
      <c r="GI55" s="226"/>
      <c r="GJ55" s="439">
        <v>0.2</v>
      </c>
      <c r="GK55" s="439">
        <v>1.5</v>
      </c>
      <c r="GL55" s="439">
        <v>0.3</v>
      </c>
      <c r="GM55" s="439">
        <v>2.5</v>
      </c>
      <c r="GN55" s="439">
        <v>0.5</v>
      </c>
      <c r="GO55" s="226"/>
      <c r="GP55" s="439">
        <v>0.1</v>
      </c>
      <c r="GQ55" s="226"/>
      <c r="GR55" s="439">
        <v>0</v>
      </c>
      <c r="GS55" s="439">
        <v>0.05</v>
      </c>
      <c r="GT55" s="439"/>
      <c r="GU55" s="439">
        <v>0.5</v>
      </c>
      <c r="GV55" s="439">
        <v>0.2</v>
      </c>
      <c r="GW55" s="226"/>
      <c r="GX55" s="294"/>
      <c r="GY55" s="294"/>
      <c r="GZ55" s="461">
        <v>0.125</v>
      </c>
      <c r="HA55" s="294">
        <v>16</v>
      </c>
      <c r="HB55" s="294">
        <v>1</v>
      </c>
      <c r="HC55" s="294">
        <v>1.8660000000000001</v>
      </c>
      <c r="HD55" s="294">
        <v>0</v>
      </c>
      <c r="HE55" s="294">
        <f>22+0.2</f>
        <v>22.2</v>
      </c>
      <c r="HF55" s="226"/>
      <c r="HG55" s="295">
        <v>0</v>
      </c>
      <c r="HH55" s="295">
        <v>0.6</v>
      </c>
      <c r="HI55" s="295">
        <v>1</v>
      </c>
      <c r="HJ55" s="294">
        <v>35.299999999999997</v>
      </c>
      <c r="HK55" s="295">
        <v>9.76</v>
      </c>
      <c r="HL55" s="226"/>
      <c r="HM55" s="294">
        <v>86.081000000000003</v>
      </c>
      <c r="HN55" s="226"/>
      <c r="HO55" s="294">
        <v>1.02</v>
      </c>
      <c r="HP55" s="294">
        <v>0.35</v>
      </c>
      <c r="HQ55" s="294">
        <v>5</v>
      </c>
      <c r="HR55" s="294">
        <v>2.8</v>
      </c>
      <c r="HS55" s="294">
        <v>1</v>
      </c>
      <c r="HT55" s="294">
        <v>3.5648970000000002</v>
      </c>
      <c r="HU55" s="294">
        <v>3.4536799999999999</v>
      </c>
      <c r="HV55" s="294">
        <v>9</v>
      </c>
      <c r="HW55" s="294">
        <v>0.6</v>
      </c>
      <c r="HX55" s="294">
        <v>2.5</v>
      </c>
      <c r="HY55" s="294">
        <v>8</v>
      </c>
      <c r="HZ55" s="294">
        <v>0</v>
      </c>
      <c r="IA55" s="294"/>
      <c r="IB55" s="294">
        <v>0</v>
      </c>
      <c r="IC55" s="294">
        <v>0</v>
      </c>
      <c r="ID55" s="294">
        <v>0</v>
      </c>
      <c r="IE55" s="294">
        <v>0</v>
      </c>
      <c r="IF55" s="294">
        <v>0</v>
      </c>
      <c r="IG55" s="294">
        <v>6.0000000000000001E-3</v>
      </c>
      <c r="IH55" s="296">
        <v>0.05</v>
      </c>
      <c r="II55" s="294">
        <v>0.1</v>
      </c>
      <c r="IJ55" s="294">
        <v>0.02</v>
      </c>
      <c r="IK55" s="294">
        <v>0.02</v>
      </c>
      <c r="IL55" s="294">
        <v>3.5000000000000003E-2</v>
      </c>
      <c r="IM55" s="294">
        <v>3.5000000000000003E-2</v>
      </c>
      <c r="IN55" s="294">
        <v>0.05</v>
      </c>
      <c r="IO55" s="294">
        <v>0.2</v>
      </c>
      <c r="IP55" s="294">
        <v>0.2</v>
      </c>
      <c r="IQ55" s="294">
        <v>0.2</v>
      </c>
      <c r="IR55" s="294">
        <v>0.06</v>
      </c>
      <c r="IS55" s="294">
        <v>0.1</v>
      </c>
      <c r="IT55" s="294">
        <v>0.05</v>
      </c>
      <c r="IU55" s="294">
        <v>0.05</v>
      </c>
      <c r="IV55" s="294">
        <v>7.4999999999999997E-2</v>
      </c>
      <c r="IW55" s="294">
        <v>0.05</v>
      </c>
      <c r="IX55" s="294">
        <v>0.56100000000000005</v>
      </c>
      <c r="IY55" s="294">
        <v>5.0000000000000001E-3</v>
      </c>
      <c r="IZ55" s="294">
        <v>0</v>
      </c>
      <c r="JA55" s="294"/>
      <c r="JB55" s="294">
        <v>0</v>
      </c>
      <c r="JC55" s="294">
        <v>2</v>
      </c>
      <c r="JD55" s="294">
        <v>19.5</v>
      </c>
      <c r="JE55" s="226"/>
      <c r="JF55" s="226"/>
      <c r="JG55" s="226"/>
      <c r="JH55" s="294">
        <v>2.2999999999999998</v>
      </c>
      <c r="JI55" s="294">
        <v>6.984</v>
      </c>
      <c r="JJ55" s="342">
        <v>20</v>
      </c>
      <c r="JK55" s="298">
        <v>0.74299999999999999</v>
      </c>
      <c r="JL55" s="294">
        <v>10.3</v>
      </c>
      <c r="JM55" s="322">
        <v>0</v>
      </c>
      <c r="JN55" s="226"/>
      <c r="JO55" s="226"/>
      <c r="JP55" s="226"/>
      <c r="JQ55" s="294">
        <v>0</v>
      </c>
      <c r="JR55" s="294">
        <v>5</v>
      </c>
      <c r="JS55" s="294">
        <v>2</v>
      </c>
      <c r="JT55" s="294">
        <v>16</v>
      </c>
      <c r="JU55" s="294">
        <v>10.227</v>
      </c>
      <c r="JV55" s="294">
        <v>20</v>
      </c>
      <c r="JW55" s="294" t="s">
        <v>656</v>
      </c>
      <c r="JX55" s="294">
        <v>11.8</v>
      </c>
      <c r="JY55" s="294">
        <v>12.712999999999999</v>
      </c>
      <c r="JZ55" s="294">
        <v>2.5150000000000001</v>
      </c>
      <c r="KA55" s="294">
        <v>3</v>
      </c>
      <c r="KB55" s="294">
        <v>0</v>
      </c>
      <c r="KC55" s="294">
        <v>3.093</v>
      </c>
      <c r="KD55" s="294">
        <v>0</v>
      </c>
      <c r="KE55" s="232">
        <v>2.7549999999999999</v>
      </c>
      <c r="KF55" s="294">
        <v>0</v>
      </c>
      <c r="KG55" s="294">
        <v>2.8957000000000002</v>
      </c>
      <c r="KH55" s="294">
        <v>10.8</v>
      </c>
      <c r="KI55" s="294">
        <v>17.260000000000002</v>
      </c>
      <c r="KJ55" s="294">
        <v>9.9339999999999993</v>
      </c>
      <c r="KK55" s="294">
        <v>0</v>
      </c>
      <c r="KL55" s="294">
        <v>3</v>
      </c>
      <c r="KM55" s="294">
        <v>0</v>
      </c>
      <c r="KN55" s="320">
        <v>3</v>
      </c>
      <c r="KO55" s="294">
        <v>2.11</v>
      </c>
      <c r="KP55" s="294">
        <f>5.25196+6.121</f>
        <v>11.372960000000001</v>
      </c>
      <c r="KQ55" s="226"/>
      <c r="KR55" s="226"/>
      <c r="KS55" s="226"/>
      <c r="KT55" s="226"/>
      <c r="KU55" s="226"/>
      <c r="KV55" s="294">
        <v>20</v>
      </c>
      <c r="KW55" s="299">
        <v>1</v>
      </c>
      <c r="KX55" s="802">
        <v>2.5000000000000001E-2</v>
      </c>
      <c r="KY55" s="803">
        <v>0.5</v>
      </c>
      <c r="KZ55" s="294">
        <v>0.02</v>
      </c>
      <c r="LA55" s="294">
        <v>0.5</v>
      </c>
      <c r="LB55" s="294">
        <v>0.5</v>
      </c>
      <c r="LC55" s="294">
        <v>0.3</v>
      </c>
      <c r="LD55" s="294">
        <v>1E-3</v>
      </c>
      <c r="LE55" s="294">
        <v>0.1</v>
      </c>
      <c r="LF55" s="294">
        <v>2.5000000000000001E-2</v>
      </c>
      <c r="LG55" s="294">
        <v>0.1</v>
      </c>
      <c r="LH55" s="294">
        <v>5.0000000000000001E-3</v>
      </c>
      <c r="LI55" s="294">
        <v>2</v>
      </c>
      <c r="LJ55" s="294">
        <v>0</v>
      </c>
      <c r="LK55" s="294">
        <v>0.19</v>
      </c>
      <c r="LL55" s="232">
        <v>10</v>
      </c>
      <c r="LM55" s="226"/>
      <c r="LN55" s="294">
        <v>0.32500000000000001</v>
      </c>
      <c r="LO55" s="294">
        <v>0</v>
      </c>
      <c r="LP55" s="294">
        <v>6.6559999999999997</v>
      </c>
      <c r="LQ55" s="294">
        <v>21.885999999999999</v>
      </c>
      <c r="LR55" s="294">
        <v>6.0629999999999997</v>
      </c>
      <c r="LS55" s="294">
        <v>45</v>
      </c>
      <c r="LT55" s="302">
        <v>29.95</v>
      </c>
      <c r="LU55" s="294" t="e">
        <v>#REF!</v>
      </c>
      <c r="LV55" s="294"/>
      <c r="LW55" s="294">
        <v>0</v>
      </c>
      <c r="LX55" s="294">
        <v>0</v>
      </c>
      <c r="LY55" s="294">
        <v>0</v>
      </c>
      <c r="LZ55" s="294">
        <v>0</v>
      </c>
      <c r="MA55" s="294">
        <v>0</v>
      </c>
      <c r="MB55" s="294">
        <v>0</v>
      </c>
      <c r="MC55" s="294">
        <v>8.1140000000000008</v>
      </c>
      <c r="MD55" s="294">
        <v>53.316000000000003</v>
      </c>
      <c r="ME55" s="299">
        <v>0</v>
      </c>
      <c r="MF55" s="294">
        <v>0</v>
      </c>
      <c r="MG55" s="226"/>
      <c r="MH55" s="226"/>
      <c r="MI55" s="226"/>
      <c r="MJ55" s="303">
        <v>17.286000000000001</v>
      </c>
      <c r="MK55" s="303"/>
      <c r="ML55" s="303">
        <v>9.3879999999999999</v>
      </c>
      <c r="MM55" s="340">
        <v>308.12299999999999</v>
      </c>
      <c r="MN55" s="304">
        <v>90.5</v>
      </c>
      <c r="MO55" s="304">
        <v>15.737</v>
      </c>
      <c r="MP55" s="304">
        <v>779.66899999999998</v>
      </c>
      <c r="MQ55" s="304">
        <f>25.733088+5.724</f>
        <v>31.457087999999999</v>
      </c>
      <c r="MR55" s="304">
        <f>7.564</f>
        <v>7.5640000000000001</v>
      </c>
      <c r="MS55" s="304">
        <v>5.0640000000000001</v>
      </c>
      <c r="MT55" s="303">
        <v>14.125</v>
      </c>
      <c r="MU55" s="304">
        <v>14</v>
      </c>
      <c r="MV55" s="303">
        <f>138.132+4.9</f>
        <v>143.03200000000001</v>
      </c>
      <c r="MW55" s="303">
        <f>5.419+1.027</f>
        <v>6.4459999999999997</v>
      </c>
      <c r="MX55" s="226"/>
      <c r="MY55" s="226"/>
      <c r="MZ55" s="226"/>
      <c r="NA55" s="226"/>
    </row>
    <row r="56" spans="1:365" ht="85" x14ac:dyDescent="0.2">
      <c r="A56" s="1216"/>
      <c r="B56" s="201" t="s">
        <v>111</v>
      </c>
      <c r="C56" s="202" t="s">
        <v>6203</v>
      </c>
      <c r="D56" s="215" t="s">
        <v>64</v>
      </c>
      <c r="E56" s="305">
        <v>6.9090000000000004E-4</v>
      </c>
      <c r="F56" s="305">
        <v>4.1800000000000002E-4</v>
      </c>
      <c r="G56" s="305">
        <f>G55/888.9834612</f>
        <v>8.8303105092682238E-4</v>
      </c>
      <c r="H56" s="305">
        <v>6.9999999999999999E-4</v>
      </c>
      <c r="I56" s="323">
        <v>0.1</v>
      </c>
      <c r="J56" s="305" t="s">
        <v>656</v>
      </c>
      <c r="K56" s="305">
        <f>0.4/639.816</f>
        <v>6.2517973917501277E-4</v>
      </c>
      <c r="L56" s="305">
        <f>1.735/792.75</f>
        <v>2.1885840428886786E-3</v>
      </c>
      <c r="M56" s="305">
        <f>0.509/792.751</f>
        <v>6.4206793810414619E-4</v>
      </c>
      <c r="N56" s="305">
        <f>0.35/792.75</f>
        <v>4.4150110375275933E-4</v>
      </c>
      <c r="O56" s="305">
        <f>O55/3293.9*100%</f>
        <v>1.6697531801208294E-3</v>
      </c>
      <c r="P56" s="442">
        <f>P55/680.761</f>
        <v>4.4068329413700266E-4</v>
      </c>
      <c r="Q56" s="305">
        <f>Q55/1392.549</f>
        <v>3.2314841344900614E-4</v>
      </c>
      <c r="R56" s="305">
        <f>R55/646.62800405</f>
        <v>9.2789052784915502E-4</v>
      </c>
      <c r="S56" s="305">
        <v>0</v>
      </c>
      <c r="T56" s="305">
        <v>0</v>
      </c>
      <c r="U56" s="305">
        <v>0</v>
      </c>
      <c r="V56" s="305">
        <v>2.2800000000000001E-2</v>
      </c>
      <c r="W56" s="226"/>
      <c r="X56" s="226"/>
      <c r="Y56" s="226"/>
      <c r="Z56" s="226"/>
      <c r="AA56" s="226"/>
      <c r="AB56" s="226"/>
      <c r="AC56" s="226"/>
      <c r="AD56" s="226"/>
      <c r="AE56" s="226"/>
      <c r="AF56" s="305">
        <v>0</v>
      </c>
      <c r="AG56" s="305">
        <f>AG55/1310</f>
        <v>7.6335877862595419E-4</v>
      </c>
      <c r="AH56" s="226"/>
      <c r="AI56" s="305">
        <v>0</v>
      </c>
      <c r="AJ56" s="305"/>
      <c r="AK56" s="317">
        <v>2.9999999999999997E-4</v>
      </c>
      <c r="AL56" s="305"/>
      <c r="AM56" s="226"/>
      <c r="AN56" s="226"/>
      <c r="AO56" s="226"/>
      <c r="AP56" s="226"/>
      <c r="AQ56" s="305">
        <v>0</v>
      </c>
      <c r="AR56" s="305">
        <v>9.6000000000000002E-5</v>
      </c>
      <c r="AS56" s="305">
        <v>0</v>
      </c>
      <c r="AT56" s="305">
        <v>2.2000000000000001E-3</v>
      </c>
      <c r="AU56" s="305">
        <v>2E-3</v>
      </c>
      <c r="AV56" s="305">
        <v>4.4999999999999997E-3</v>
      </c>
      <c r="AW56" s="305">
        <v>2.0000000000000002E-5</v>
      </c>
      <c r="AX56" s="305">
        <v>5.3E-3</v>
      </c>
      <c r="AY56" s="317" t="s">
        <v>2234</v>
      </c>
      <c r="AZ56" s="305">
        <v>6.9999999999999999E-4</v>
      </c>
      <c r="BA56" s="305">
        <v>3.0000000000000001E-3</v>
      </c>
      <c r="BB56" s="305">
        <v>1.6000000000000001E-3</v>
      </c>
      <c r="BC56" s="305">
        <v>2.7000000000000001E-3</v>
      </c>
      <c r="BD56" s="305">
        <v>4.5999999999999999E-3</v>
      </c>
      <c r="BE56" s="317">
        <v>6.9999999999999999E-4</v>
      </c>
      <c r="BF56" s="305">
        <v>0</v>
      </c>
      <c r="BG56" s="305">
        <v>2E-3</v>
      </c>
      <c r="BH56" s="305">
        <v>1.5E-3</v>
      </c>
      <c r="BI56" s="305">
        <v>3.2000000000000002E-3</v>
      </c>
      <c r="BJ56" s="305">
        <v>1</v>
      </c>
      <c r="BK56" s="305">
        <v>9.1999999999999998E-2</v>
      </c>
      <c r="BL56" s="305"/>
      <c r="BM56" s="305">
        <v>6.9999999999999999E-4</v>
      </c>
      <c r="BN56" s="226"/>
      <c r="BO56" s="305">
        <v>0.02</v>
      </c>
      <c r="BP56" s="305">
        <v>0.11</v>
      </c>
      <c r="BQ56" s="305">
        <v>0</v>
      </c>
      <c r="BR56" s="462">
        <v>0.113</v>
      </c>
      <c r="BS56" s="316">
        <v>2.5000000000000001E-4</v>
      </c>
      <c r="BT56" s="305">
        <v>8.8700000000000001E-2</v>
      </c>
      <c r="BU56" s="305">
        <v>1.04E-2</v>
      </c>
      <c r="BV56" s="305">
        <v>0.04</v>
      </c>
      <c r="BW56" s="305"/>
      <c r="BX56" s="305">
        <v>1E-4</v>
      </c>
      <c r="BY56" s="305">
        <v>0</v>
      </c>
      <c r="BZ56" s="305">
        <v>1.26E-2</v>
      </c>
      <c r="CA56" s="305">
        <f>0.085/40.362*100</f>
        <v>0.21059412318517418</v>
      </c>
      <c r="CB56" s="305">
        <f>0.015/40.362*100</f>
        <v>3.7163668797383677E-2</v>
      </c>
      <c r="CC56" s="305" t="s">
        <v>6202</v>
      </c>
      <c r="CD56" s="317"/>
      <c r="CE56" s="317">
        <v>0</v>
      </c>
      <c r="CF56" s="317"/>
      <c r="CG56" s="317">
        <v>3.8E-3</v>
      </c>
      <c r="CH56" s="317"/>
      <c r="CI56" s="317"/>
      <c r="CJ56" s="317"/>
      <c r="CK56" s="317"/>
      <c r="CL56" s="317">
        <v>1.7000000000000001E-2</v>
      </c>
      <c r="CM56" s="317">
        <v>0</v>
      </c>
      <c r="CN56" s="305"/>
      <c r="CO56" s="305">
        <v>6.8000000000000005E-2</v>
      </c>
      <c r="CP56" s="305">
        <v>7.4999999999999997E-2</v>
      </c>
      <c r="CQ56" s="444">
        <v>5.0000000000000001E-3</v>
      </c>
      <c r="CR56" s="445">
        <f>45/69844.6</f>
        <v>6.4428746102060852E-4</v>
      </c>
      <c r="CS56" s="305"/>
      <c r="CT56" s="305"/>
      <c r="CU56" s="305">
        <v>7.4999999999999997E-2</v>
      </c>
      <c r="CV56" s="305">
        <v>2.1000000000000001E-2</v>
      </c>
      <c r="CW56" s="305">
        <v>8.0000000000000002E-3</v>
      </c>
      <c r="CX56" s="305"/>
      <c r="CY56" s="305"/>
      <c r="CZ56" s="305">
        <v>1E-4</v>
      </c>
      <c r="DA56" s="305">
        <v>0.01</v>
      </c>
      <c r="DB56" s="305">
        <v>5.1000000000000004E-3</v>
      </c>
      <c r="DC56" s="305">
        <v>0</v>
      </c>
      <c r="DD56" s="305">
        <v>2.0000000000000001E-4</v>
      </c>
      <c r="DE56" s="305">
        <v>1.4999999999999999E-2</v>
      </c>
      <c r="DF56" s="305">
        <v>3.7000000000000002E-3</v>
      </c>
      <c r="DG56" s="305">
        <v>3.0000000000000001E-3</v>
      </c>
      <c r="DH56" s="305">
        <v>2.5000000000000001E-2</v>
      </c>
      <c r="DI56" s="305">
        <v>1.4999999999999999E-2</v>
      </c>
      <c r="DJ56" s="305">
        <v>6.6E-3</v>
      </c>
      <c r="DK56" s="305"/>
      <c r="DL56" s="305">
        <v>0</v>
      </c>
      <c r="DM56" s="305">
        <v>0.11890000000000001</v>
      </c>
      <c r="DN56" s="305" t="s">
        <v>656</v>
      </c>
      <c r="DO56" s="305"/>
      <c r="DP56" s="305">
        <v>0.1938</v>
      </c>
      <c r="DQ56" s="305">
        <v>3.27E-2</v>
      </c>
      <c r="DR56" s="305">
        <v>0</v>
      </c>
      <c r="DS56" s="305">
        <v>0</v>
      </c>
      <c r="DT56" s="305">
        <v>3.5999999999999999E-3</v>
      </c>
      <c r="DU56" s="305">
        <v>4.0000000000000002E-4</v>
      </c>
      <c r="DV56" s="305">
        <v>4.4999999999999997E-3</v>
      </c>
      <c r="DW56" s="246" t="s">
        <v>2234</v>
      </c>
      <c r="DX56" s="305">
        <v>5.9999999999999995E-4</v>
      </c>
      <c r="DY56" s="305">
        <v>1.5E-3</v>
      </c>
      <c r="DZ56" s="305">
        <v>8.1999999999999998E-4</v>
      </c>
      <c r="EA56" s="305">
        <v>8.5999999999999998E-4</v>
      </c>
      <c r="EB56" s="305"/>
      <c r="EC56" s="226"/>
      <c r="ED56" s="305">
        <v>2E-3</v>
      </c>
      <c r="EE56" s="305">
        <v>0</v>
      </c>
      <c r="EF56" s="305">
        <v>0</v>
      </c>
      <c r="EG56" s="226"/>
      <c r="EH56" s="305"/>
      <c r="EI56" s="305">
        <v>0</v>
      </c>
      <c r="EJ56" s="226"/>
      <c r="EK56" s="226"/>
      <c r="EL56" s="226"/>
      <c r="EM56" s="226"/>
      <c r="EN56" s="226"/>
      <c r="EO56" s="226"/>
      <c r="EP56" s="226"/>
      <c r="EQ56" s="226"/>
      <c r="ER56" s="305">
        <v>4.7999999999999996E-3</v>
      </c>
      <c r="ES56" s="305">
        <v>2.5999999999999999E-3</v>
      </c>
      <c r="ET56" s="305">
        <f>ET55/2433.6</f>
        <v>3.337853385930309E-3</v>
      </c>
      <c r="EU56" s="305">
        <f>EU55/2433.6</f>
        <v>1.3847797501643656E-4</v>
      </c>
      <c r="EV56" s="305"/>
      <c r="EW56" s="305">
        <v>1.2200000000000001E-2</v>
      </c>
      <c r="EX56" s="305">
        <v>1.7999999999999999E-2</v>
      </c>
      <c r="EY56" s="305">
        <f>EY55/1460</f>
        <v>6.8493150684931516E-5</v>
      </c>
      <c r="EZ56" s="317">
        <v>1.2999999999999999E-4</v>
      </c>
      <c r="FA56" s="305">
        <v>0</v>
      </c>
      <c r="FB56" s="305">
        <v>0</v>
      </c>
      <c r="FC56" s="305">
        <v>1E-4</v>
      </c>
      <c r="FD56" s="226"/>
      <c r="FE56" s="446" t="s">
        <v>6201</v>
      </c>
      <c r="FF56" s="305">
        <v>0</v>
      </c>
      <c r="FG56" s="305">
        <v>0.01</v>
      </c>
      <c r="FH56" s="305">
        <v>3.0000000000000001E-3</v>
      </c>
      <c r="FI56" s="445">
        <v>1E-3</v>
      </c>
      <c r="FJ56" s="445">
        <v>4.0000000000000002E-4</v>
      </c>
      <c r="FK56" s="445"/>
      <c r="FL56" s="445">
        <v>2E-3</v>
      </c>
      <c r="FM56" s="305">
        <v>0</v>
      </c>
      <c r="FN56" s="305"/>
      <c r="FO56" s="445">
        <v>4.0000000000000002E-4</v>
      </c>
      <c r="FP56" s="445"/>
      <c r="FQ56" s="445">
        <f>FQ55/(23783135185.79/1000000)</f>
        <v>6.5512809300724019E-4</v>
      </c>
      <c r="FR56" s="445">
        <v>4.0000000000000002E-4</v>
      </c>
      <c r="FS56" s="445"/>
      <c r="FT56" s="445">
        <v>1.7000000000000001E-4</v>
      </c>
      <c r="FU56" s="226"/>
      <c r="FV56" s="445"/>
      <c r="FW56" s="445">
        <v>6.7000000000000002E-4</v>
      </c>
      <c r="FX56" s="445">
        <v>6.7000000000000002E-4</v>
      </c>
      <c r="FY56" s="226"/>
      <c r="FZ56" s="445">
        <v>2E-3</v>
      </c>
      <c r="GA56" s="445">
        <v>6.9999999999999999E-4</v>
      </c>
      <c r="GB56" s="445">
        <v>8.0000000000000004E-4</v>
      </c>
      <c r="GC56" s="445"/>
      <c r="GD56" s="445">
        <v>7.4000000000000003E-3</v>
      </c>
      <c r="GE56" s="445">
        <v>4.0000000000000002E-4</v>
      </c>
      <c r="GF56" s="445">
        <v>1.1999999999999999E-3</v>
      </c>
      <c r="GG56" s="445">
        <v>2.0799999999999999E-2</v>
      </c>
      <c r="GH56" s="445">
        <v>6.9999999999999999E-4</v>
      </c>
      <c r="GI56" s="226"/>
      <c r="GJ56" s="445">
        <v>2.9999999999999997E-4</v>
      </c>
      <c r="GK56" s="445">
        <v>2E-3</v>
      </c>
      <c r="GL56" s="445">
        <v>4.0000000000000002E-4</v>
      </c>
      <c r="GM56" s="445">
        <v>5.9999999999999995E-4</v>
      </c>
      <c r="GN56" s="445">
        <v>1E-4</v>
      </c>
      <c r="GO56" s="226"/>
      <c r="GP56" s="445">
        <f>GP55/937.779%</f>
        <v>1.0663493211087048E-2</v>
      </c>
      <c r="GQ56" s="226"/>
      <c r="GR56" s="445">
        <v>0</v>
      </c>
      <c r="GS56" s="445">
        <f>GS55/842.986</f>
        <v>5.9312966051630758E-5</v>
      </c>
      <c r="GT56" s="445"/>
      <c r="GU56" s="445">
        <v>5.0000000000000001E-4</v>
      </c>
      <c r="GV56" s="445">
        <f>GV55/775.556</f>
        <v>2.5787950837850523E-4</v>
      </c>
      <c r="GW56" s="226"/>
      <c r="GX56" s="305"/>
      <c r="GY56" s="305"/>
      <c r="GZ56" s="445">
        <v>2.75E-2</v>
      </c>
      <c r="HA56" s="305">
        <v>8.1999999999999998E-4</v>
      </c>
      <c r="HB56" s="305">
        <v>5.9999999999999995E-4</v>
      </c>
      <c r="HC56" s="305">
        <v>2.9999999999999997E-4</v>
      </c>
      <c r="HD56" s="305">
        <v>0</v>
      </c>
      <c r="HE56" s="305">
        <f>HE55/28219.5</f>
        <v>7.8669005474937543E-4</v>
      </c>
      <c r="HF56" s="226"/>
      <c r="HG56" s="306" t="s">
        <v>656</v>
      </c>
      <c r="HH56" s="306">
        <v>4.0000000000000002E-4</v>
      </c>
      <c r="HI56" s="306">
        <v>1.8E-3</v>
      </c>
      <c r="HJ56" s="305">
        <v>2.4899999999999999E-2</v>
      </c>
      <c r="HK56" s="306">
        <v>3.0000000000000001E-3</v>
      </c>
      <c r="HL56" s="226"/>
      <c r="HM56" s="305">
        <v>0.03</v>
      </c>
      <c r="HN56" s="226"/>
      <c r="HO56" s="305">
        <v>1.5E-3</v>
      </c>
      <c r="HP56" s="305">
        <v>6.0999999999999997E-4</v>
      </c>
      <c r="HQ56" s="305">
        <v>1.2999999999999999E-2</v>
      </c>
      <c r="HR56" s="305">
        <v>7.0000000000000001E-3</v>
      </c>
      <c r="HS56" s="305">
        <v>3.8999999999999998E-3</v>
      </c>
      <c r="HT56" s="305">
        <v>1.3729999999999999E-2</v>
      </c>
      <c r="HU56" s="305">
        <v>1.7000000000000001E-2</v>
      </c>
      <c r="HV56" s="305">
        <f>9/287</f>
        <v>3.1358885017421602E-2</v>
      </c>
      <c r="HW56" s="305">
        <v>4.0000000000000001E-3</v>
      </c>
      <c r="HX56" s="305">
        <v>9.5999999999999992E-3</v>
      </c>
      <c r="HY56" s="305">
        <v>8.0000000000000004E-4</v>
      </c>
      <c r="HZ56" s="305">
        <v>0</v>
      </c>
      <c r="IA56" s="305"/>
      <c r="IB56" s="305">
        <v>0</v>
      </c>
      <c r="IC56" s="305">
        <v>0</v>
      </c>
      <c r="ID56" s="305"/>
      <c r="IE56" s="305"/>
      <c r="IF56" s="305"/>
      <c r="IG56" s="305">
        <f>IG55/8.393</f>
        <v>7.1488144882640291E-4</v>
      </c>
      <c r="IH56" s="317">
        <f>IH55/8.788</f>
        <v>5.6895766954938552E-3</v>
      </c>
      <c r="II56" s="305">
        <f>II55/13.653</f>
        <v>7.3243975683000076E-3</v>
      </c>
      <c r="IJ56" s="305">
        <f>IJ55/14.295</f>
        <v>1.3990905911157748E-3</v>
      </c>
      <c r="IK56" s="305">
        <f>IK55/14.295</f>
        <v>1.3990905911157748E-3</v>
      </c>
      <c r="IL56" s="305">
        <f>IL55/258.563</f>
        <v>1.3536352842440723E-4</v>
      </c>
      <c r="IM56" s="305">
        <f>IM55/258.563</f>
        <v>1.3536352842440723E-4</v>
      </c>
      <c r="IN56" s="305">
        <v>4.3E-3</v>
      </c>
      <c r="IO56" s="305">
        <v>5.7000000000000002E-3</v>
      </c>
      <c r="IP56" s="305">
        <v>5.7000000000000002E-3</v>
      </c>
      <c r="IQ56" s="305">
        <v>5.7000000000000002E-3</v>
      </c>
      <c r="IR56" s="305">
        <v>5.1999999999999998E-3</v>
      </c>
      <c r="IS56" s="305">
        <f>IS55/10.805</f>
        <v>9.2549745488199921E-3</v>
      </c>
      <c r="IT56" s="305">
        <f>IT55/34.656</f>
        <v>1.4427516158818099E-3</v>
      </c>
      <c r="IU56" s="316">
        <v>2.0000000000000002E-5</v>
      </c>
      <c r="IV56" s="316">
        <v>2.0000000000000002E-5</v>
      </c>
      <c r="IW56" s="316">
        <v>4.0000000000000003E-5</v>
      </c>
      <c r="IX56" s="305">
        <v>4.0000000000000003E-5</v>
      </c>
      <c r="IY56" s="305">
        <v>5.0000000000000001E-4</v>
      </c>
      <c r="IZ56" s="305"/>
      <c r="JA56" s="305"/>
      <c r="JB56" s="305"/>
      <c r="JC56" s="305">
        <v>8.0000000000000002E-3</v>
      </c>
      <c r="JD56" s="305">
        <v>6.3E-3</v>
      </c>
      <c r="JE56" s="226"/>
      <c r="JF56" s="226"/>
      <c r="JG56" s="226"/>
      <c r="JH56" s="305">
        <v>1.2999999999999999E-3</v>
      </c>
      <c r="JI56" s="305">
        <v>5.6299999999999996E-3</v>
      </c>
      <c r="JJ56" s="305">
        <v>2.9999999999999997E-4</v>
      </c>
      <c r="JK56" s="309">
        <f>JK55/2109.53</f>
        <v>3.5221115603949692E-4</v>
      </c>
      <c r="JL56" s="305">
        <v>7.0000000000000001E-3</v>
      </c>
      <c r="JM56" s="305">
        <v>0</v>
      </c>
      <c r="JN56" s="226"/>
      <c r="JO56" s="226"/>
      <c r="JP56" s="226"/>
      <c r="JQ56" s="305">
        <v>0</v>
      </c>
      <c r="JR56" s="305">
        <v>3.5000000000000001E-3</v>
      </c>
      <c r="JS56" s="305">
        <v>1.4E-3</v>
      </c>
      <c r="JT56" s="305">
        <v>7.3000000000000001E-3</v>
      </c>
      <c r="JU56" s="305">
        <v>1.6999999999999999E-3</v>
      </c>
      <c r="JV56" s="305">
        <v>3.0999999999999999E-3</v>
      </c>
      <c r="JW56" s="305" t="s">
        <v>656</v>
      </c>
      <c r="JX56" s="305">
        <v>4.0000000000000001E-3</v>
      </c>
      <c r="JY56" s="305">
        <v>5.4999999999999997E-3</v>
      </c>
      <c r="JZ56" s="305">
        <v>1E-4</v>
      </c>
      <c r="KA56" s="305">
        <v>2.0000000000000001E-4</v>
      </c>
      <c r="KB56" s="305">
        <v>0</v>
      </c>
      <c r="KC56" s="305">
        <v>1.9E-3</v>
      </c>
      <c r="KD56" s="305" t="s">
        <v>656</v>
      </c>
      <c r="KE56" s="232">
        <v>0.28999999999999998</v>
      </c>
      <c r="KF56" s="305"/>
      <c r="KG56" s="305">
        <v>1.2999999999999999E-3</v>
      </c>
      <c r="KH56" s="305">
        <v>3.8500000000000001E-3</v>
      </c>
      <c r="KI56" s="305">
        <v>1.15E-2</v>
      </c>
      <c r="KJ56" s="305">
        <v>4.0000000000000001E-3</v>
      </c>
      <c r="KK56" s="305"/>
      <c r="KL56" s="305">
        <v>6.9999999999999999E-4</v>
      </c>
      <c r="KM56" s="305"/>
      <c r="KN56" s="305">
        <v>2.3999999999999998E-3</v>
      </c>
      <c r="KO56" s="305">
        <v>1.5E-3</v>
      </c>
      <c r="KP56" s="305">
        <v>1.66E-2</v>
      </c>
      <c r="KQ56" s="226"/>
      <c r="KR56" s="226"/>
      <c r="KS56" s="226"/>
      <c r="KT56" s="226"/>
      <c r="KU56" s="226"/>
      <c r="KV56" s="305">
        <f>KV55/38078.849</f>
        <v>5.2522595942960351E-4</v>
      </c>
      <c r="KW56" s="305">
        <v>0</v>
      </c>
      <c r="KX56" s="329">
        <v>1E-4</v>
      </c>
      <c r="KY56" s="330">
        <v>1.8000000000000002E-2</v>
      </c>
      <c r="KZ56" s="305">
        <v>2.0000000000000001E-4</v>
      </c>
      <c r="LA56" s="305">
        <f>+LA55/869.4</f>
        <v>5.751092707614447E-4</v>
      </c>
      <c r="LB56" s="305">
        <v>7.0000000000000001E-3</v>
      </c>
      <c r="LC56" s="305">
        <v>1.6000000000000001E-3</v>
      </c>
      <c r="LD56" s="305">
        <v>1E-4</v>
      </c>
      <c r="LE56" s="305">
        <v>1.9E-3</v>
      </c>
      <c r="LF56" s="305">
        <v>1E-4</v>
      </c>
      <c r="LG56" s="305">
        <v>4.0000000000000002E-4</v>
      </c>
      <c r="LH56" s="305">
        <v>1E-4</v>
      </c>
      <c r="LI56" s="305">
        <v>0.04</v>
      </c>
      <c r="LJ56" s="305">
        <v>0</v>
      </c>
      <c r="LK56" s="305">
        <v>6.2E-4</v>
      </c>
      <c r="LL56" s="321">
        <f>10/19330.21498*100</f>
        <v>5.1732482077134143E-2</v>
      </c>
      <c r="LM56" s="226"/>
      <c r="LN56" s="305">
        <f>LN55/4273.6*100%</f>
        <v>7.6048296518157983E-5</v>
      </c>
      <c r="LO56" s="294">
        <v>0</v>
      </c>
      <c r="LP56" s="305">
        <v>1.8E-3</v>
      </c>
      <c r="LQ56" s="305">
        <v>4.1999999999999997E-3</v>
      </c>
      <c r="LR56" s="305">
        <v>2.0899999999999998E-2</v>
      </c>
      <c r="LS56" s="305">
        <v>8.6057908268121733E-4</v>
      </c>
      <c r="LT56" s="311">
        <v>1.2999999999999999E-3</v>
      </c>
      <c r="LU56" s="305">
        <v>0</v>
      </c>
      <c r="LV56" s="305"/>
      <c r="LW56" s="305">
        <v>0</v>
      </c>
      <c r="LX56" s="305"/>
      <c r="LY56" s="305">
        <v>0</v>
      </c>
      <c r="LZ56" s="305">
        <v>0</v>
      </c>
      <c r="MA56" s="305">
        <v>0</v>
      </c>
      <c r="MB56" s="305">
        <v>0</v>
      </c>
      <c r="MC56" s="305">
        <v>1.6000000000000001E-3</v>
      </c>
      <c r="MD56" s="305">
        <v>3.3999999999999998E-3</v>
      </c>
      <c r="ME56" s="299">
        <v>0</v>
      </c>
      <c r="MF56" s="305">
        <v>0</v>
      </c>
      <c r="MG56" s="226"/>
      <c r="MH56" s="226"/>
      <c r="MI56" s="226"/>
      <c r="MJ56" s="313">
        <v>1.4E-3</v>
      </c>
      <c r="MK56" s="313"/>
      <c r="ML56" s="313">
        <f>9193/4174817</f>
        <v>2.2020126870231677E-3</v>
      </c>
      <c r="MM56" s="340">
        <v>1.37E-2</v>
      </c>
      <c r="MN56" s="314">
        <v>1.1599999999999999E-2</v>
      </c>
      <c r="MO56" s="314">
        <v>2.3E-3</v>
      </c>
      <c r="MP56" s="314">
        <v>6.3E-2</v>
      </c>
      <c r="MQ56" s="314">
        <f>MQ55/13701.434756</f>
        <v>2.2958973684288511E-3</v>
      </c>
      <c r="MR56" s="314">
        <v>8.0000000000000004E-4</v>
      </c>
      <c r="MS56" s="314">
        <v>4.4999999999999999E-4</v>
      </c>
      <c r="MT56" s="313">
        <v>1.5E-3</v>
      </c>
      <c r="MU56" s="314">
        <v>2.3999999999999998E-3</v>
      </c>
      <c r="MV56" s="313">
        <f>MV55/18083*100%</f>
        <v>7.9097494884698347E-3</v>
      </c>
      <c r="MW56" s="313">
        <v>1.4E-3</v>
      </c>
      <c r="MX56" s="226"/>
      <c r="MY56" s="226"/>
      <c r="MZ56" s="226"/>
      <c r="NA56" s="226"/>
    </row>
    <row r="57" spans="1:365" ht="136" x14ac:dyDescent="0.2">
      <c r="A57" s="1216" t="s">
        <v>114</v>
      </c>
      <c r="B57" s="201" t="s">
        <v>115</v>
      </c>
      <c r="C57" s="202" t="s">
        <v>6200</v>
      </c>
      <c r="D57" s="215" t="s">
        <v>117</v>
      </c>
      <c r="E57" s="322" t="s">
        <v>6197</v>
      </c>
      <c r="F57" s="322" t="s">
        <v>6199</v>
      </c>
      <c r="G57" s="322">
        <v>5</v>
      </c>
      <c r="H57" s="322">
        <v>6</v>
      </c>
      <c r="I57" s="322">
        <v>2</v>
      </c>
      <c r="J57" s="322">
        <v>2</v>
      </c>
      <c r="K57" s="322">
        <v>21</v>
      </c>
      <c r="L57" s="322">
        <v>6</v>
      </c>
      <c r="M57" s="322">
        <v>24</v>
      </c>
      <c r="N57" s="322">
        <v>12</v>
      </c>
      <c r="O57" s="322">
        <v>26</v>
      </c>
      <c r="P57" s="463">
        <v>2</v>
      </c>
      <c r="Q57" s="322">
        <v>0</v>
      </c>
      <c r="R57" s="322"/>
      <c r="S57" s="322">
        <v>4</v>
      </c>
      <c r="T57" s="322">
        <v>1</v>
      </c>
      <c r="U57" s="322">
        <v>1</v>
      </c>
      <c r="V57" s="322">
        <v>27</v>
      </c>
      <c r="W57" s="226"/>
      <c r="X57" s="226"/>
      <c r="Y57" s="226"/>
      <c r="Z57" s="226"/>
      <c r="AA57" s="226"/>
      <c r="AB57" s="226"/>
      <c r="AC57" s="226"/>
      <c r="AD57" s="226"/>
      <c r="AE57" s="226"/>
      <c r="AF57" s="322">
        <v>27</v>
      </c>
      <c r="AG57" s="225">
        <v>4</v>
      </c>
      <c r="AH57" s="226"/>
      <c r="AI57" s="322">
        <v>7</v>
      </c>
      <c r="AJ57" s="322">
        <v>1</v>
      </c>
      <c r="AK57" s="344">
        <v>8</v>
      </c>
      <c r="AL57" s="322">
        <v>1</v>
      </c>
      <c r="AM57" s="226"/>
      <c r="AN57" s="226"/>
      <c r="AO57" s="226"/>
      <c r="AP57" s="226"/>
      <c r="AQ57" s="322">
        <v>9</v>
      </c>
      <c r="AR57" s="322">
        <v>24</v>
      </c>
      <c r="AS57" s="322">
        <v>21</v>
      </c>
      <c r="AT57" s="322">
        <v>11</v>
      </c>
      <c r="AU57" s="322">
        <v>29</v>
      </c>
      <c r="AV57" s="322">
        <v>11</v>
      </c>
      <c r="AW57" s="322">
        <v>19</v>
      </c>
      <c r="AX57" s="322"/>
      <c r="AY57" s="344">
        <v>20</v>
      </c>
      <c r="AZ57" s="322">
        <v>13</v>
      </c>
      <c r="BA57" s="322"/>
      <c r="BB57" s="322">
        <v>11</v>
      </c>
      <c r="BC57" s="322">
        <v>3</v>
      </c>
      <c r="BD57" s="322">
        <v>91</v>
      </c>
      <c r="BE57" s="344">
        <v>1</v>
      </c>
      <c r="BF57" s="322">
        <v>3</v>
      </c>
      <c r="BG57" s="322">
        <v>14</v>
      </c>
      <c r="BH57" s="322">
        <v>36</v>
      </c>
      <c r="BI57" s="322" t="s">
        <v>656</v>
      </c>
      <c r="BJ57" s="322">
        <v>21</v>
      </c>
      <c r="BK57" s="322">
        <v>96</v>
      </c>
      <c r="BL57" s="322"/>
      <c r="BM57" s="322">
        <v>1</v>
      </c>
      <c r="BN57" s="226"/>
      <c r="BO57" s="322">
        <v>3</v>
      </c>
      <c r="BP57" s="322">
        <v>3</v>
      </c>
      <c r="BQ57" s="460">
        <v>3</v>
      </c>
      <c r="BR57" s="233">
        <v>3</v>
      </c>
      <c r="BS57" s="322" t="s">
        <v>656</v>
      </c>
      <c r="BT57" s="322">
        <v>5</v>
      </c>
      <c r="BU57" s="322">
        <v>2</v>
      </c>
      <c r="BV57" s="322">
        <v>3</v>
      </c>
      <c r="BW57" s="322"/>
      <c r="BX57" s="322">
        <v>1</v>
      </c>
      <c r="BY57" s="322">
        <v>2</v>
      </c>
      <c r="BZ57" s="322">
        <v>2</v>
      </c>
      <c r="CA57" s="322">
        <v>2</v>
      </c>
      <c r="CB57" s="322" t="s">
        <v>5242</v>
      </c>
      <c r="CC57" s="322">
        <v>3</v>
      </c>
      <c r="CD57" s="344"/>
      <c r="CE57" s="344">
        <v>1</v>
      </c>
      <c r="CF57" s="344">
        <v>2</v>
      </c>
      <c r="CG57" s="344">
        <v>1</v>
      </c>
      <c r="CH57" s="344"/>
      <c r="CI57" s="344">
        <v>2</v>
      </c>
      <c r="CJ57" s="344">
        <v>1</v>
      </c>
      <c r="CK57" s="344">
        <v>1</v>
      </c>
      <c r="CL57" s="344">
        <v>2</v>
      </c>
      <c r="CM57" s="344">
        <v>2</v>
      </c>
      <c r="CN57" s="322"/>
      <c r="CO57" s="322">
        <v>3</v>
      </c>
      <c r="CP57" s="322">
        <v>3</v>
      </c>
      <c r="CQ57" s="464">
        <v>1</v>
      </c>
      <c r="CR57" s="465">
        <v>16</v>
      </c>
      <c r="CS57" s="322">
        <v>1</v>
      </c>
      <c r="CT57" s="322">
        <v>2</v>
      </c>
      <c r="CU57" s="322">
        <v>3</v>
      </c>
      <c r="CV57" s="322">
        <v>2</v>
      </c>
      <c r="CW57" s="322">
        <v>2</v>
      </c>
      <c r="CX57" s="322">
        <v>3</v>
      </c>
      <c r="CY57" s="322">
        <v>2</v>
      </c>
      <c r="CZ57" s="322">
        <v>6</v>
      </c>
      <c r="DA57" s="322">
        <v>577</v>
      </c>
      <c r="DB57" s="322">
        <v>1</v>
      </c>
      <c r="DC57" s="322">
        <v>1</v>
      </c>
      <c r="DD57" s="322"/>
      <c r="DE57" s="322">
        <v>2</v>
      </c>
      <c r="DF57" s="322">
        <v>5</v>
      </c>
      <c r="DG57" s="322">
        <v>1</v>
      </c>
      <c r="DH57" s="322">
        <v>2</v>
      </c>
      <c r="DI57" s="322">
        <v>1</v>
      </c>
      <c r="DJ57" s="322">
        <v>2</v>
      </c>
      <c r="DK57" s="322">
        <v>2</v>
      </c>
      <c r="DL57" s="322">
        <v>2</v>
      </c>
      <c r="DM57" s="322">
        <v>2</v>
      </c>
      <c r="DN57" s="322">
        <v>2</v>
      </c>
      <c r="DO57" s="322"/>
      <c r="DP57" s="322">
        <v>4</v>
      </c>
      <c r="DQ57" s="322">
        <v>4</v>
      </c>
      <c r="DR57" s="322">
        <v>4</v>
      </c>
      <c r="DS57" s="322">
        <v>4</v>
      </c>
      <c r="DT57" s="322">
        <v>4</v>
      </c>
      <c r="DU57" s="322">
        <v>0</v>
      </c>
      <c r="DV57" s="322">
        <v>1</v>
      </c>
      <c r="DW57" s="322">
        <v>3</v>
      </c>
      <c r="DX57" s="322">
        <v>2</v>
      </c>
      <c r="DY57" s="322">
        <v>12</v>
      </c>
      <c r="DZ57" s="322">
        <v>9</v>
      </c>
      <c r="EA57" s="322"/>
      <c r="EB57" s="322">
        <v>3</v>
      </c>
      <c r="EC57" s="226"/>
      <c r="ED57" s="322">
        <v>29</v>
      </c>
      <c r="EE57" s="322">
        <v>12</v>
      </c>
      <c r="EF57" s="322">
        <v>1</v>
      </c>
      <c r="EG57" s="226"/>
      <c r="EH57" s="322">
        <v>1</v>
      </c>
      <c r="EI57" s="322">
        <v>1</v>
      </c>
      <c r="EJ57" s="226"/>
      <c r="EK57" s="226"/>
      <c r="EL57" s="226"/>
      <c r="EM57" s="226"/>
      <c r="EN57" s="226"/>
      <c r="EO57" s="226"/>
      <c r="EP57" s="226"/>
      <c r="EQ57" s="226"/>
      <c r="ER57" s="322">
        <v>1</v>
      </c>
      <c r="ES57" s="322">
        <v>4</v>
      </c>
      <c r="ET57" s="322">
        <v>9</v>
      </c>
      <c r="EU57" s="232">
        <v>5</v>
      </c>
      <c r="EV57" s="232">
        <v>1</v>
      </c>
      <c r="EW57" s="322">
        <v>11</v>
      </c>
      <c r="EX57" s="322">
        <v>12</v>
      </c>
      <c r="EY57" s="322">
        <v>11</v>
      </c>
      <c r="EZ57" s="344">
        <v>24</v>
      </c>
      <c r="FA57" s="322">
        <v>0</v>
      </c>
      <c r="FB57" s="322">
        <v>7</v>
      </c>
      <c r="FC57" s="322">
        <v>5</v>
      </c>
      <c r="FD57" s="226"/>
      <c r="FE57" s="466">
        <v>1</v>
      </c>
      <c r="FF57" s="322">
        <v>1</v>
      </c>
      <c r="FG57" s="322">
        <v>3</v>
      </c>
      <c r="FH57" s="322">
        <v>12</v>
      </c>
      <c r="FI57" s="465">
        <v>26</v>
      </c>
      <c r="FJ57" s="465">
        <v>48</v>
      </c>
      <c r="FK57" s="465"/>
      <c r="FL57" s="465">
        <v>5</v>
      </c>
      <c r="FM57" s="322">
        <v>2</v>
      </c>
      <c r="FN57" s="322"/>
      <c r="FO57" s="465">
        <v>22</v>
      </c>
      <c r="FP57" s="465"/>
      <c r="FQ57" s="465" t="s">
        <v>3007</v>
      </c>
      <c r="FR57" s="465">
        <v>4</v>
      </c>
      <c r="FS57" s="465"/>
      <c r="FT57" s="465">
        <v>8</v>
      </c>
      <c r="FU57" s="226"/>
      <c r="FV57" s="465"/>
      <c r="FW57" s="465">
        <v>8</v>
      </c>
      <c r="FX57" s="465">
        <v>4</v>
      </c>
      <c r="FY57" s="226"/>
      <c r="FZ57" s="465">
        <v>3</v>
      </c>
      <c r="GA57" s="465">
        <v>2</v>
      </c>
      <c r="GB57" s="465">
        <v>3</v>
      </c>
      <c r="GC57" s="465"/>
      <c r="GD57" s="465">
        <v>1</v>
      </c>
      <c r="GE57" s="465">
        <v>4</v>
      </c>
      <c r="GF57" s="465">
        <v>12</v>
      </c>
      <c r="GG57" s="465">
        <v>16</v>
      </c>
      <c r="GH57" s="394">
        <v>1</v>
      </c>
      <c r="GI57" s="226"/>
      <c r="GJ57" s="465">
        <v>4</v>
      </c>
      <c r="GK57" s="465">
        <v>9</v>
      </c>
      <c r="GL57" s="465">
        <v>4</v>
      </c>
      <c r="GM57" s="465">
        <v>1</v>
      </c>
      <c r="GN57" s="465">
        <v>10</v>
      </c>
      <c r="GO57" s="226"/>
      <c r="GP57" s="465">
        <v>1</v>
      </c>
      <c r="GQ57" s="226"/>
      <c r="GR57" s="465">
        <v>1</v>
      </c>
      <c r="GS57" s="465">
        <v>3</v>
      </c>
      <c r="GT57" s="465"/>
      <c r="GU57" s="465">
        <v>11</v>
      </c>
      <c r="GV57" s="465">
        <v>3</v>
      </c>
      <c r="GW57" s="226"/>
      <c r="GX57" s="322">
        <v>1</v>
      </c>
      <c r="GY57" s="322">
        <v>1</v>
      </c>
      <c r="GZ57" s="465">
        <v>1</v>
      </c>
      <c r="HA57" s="322">
        <v>54</v>
      </c>
      <c r="HB57" s="322">
        <v>6</v>
      </c>
      <c r="HC57" s="322">
        <v>5</v>
      </c>
      <c r="HD57" s="322">
        <v>1</v>
      </c>
      <c r="HE57" s="322">
        <f>14+2</f>
        <v>16</v>
      </c>
      <c r="HF57" s="226"/>
      <c r="HG57" s="343" t="s">
        <v>6198</v>
      </c>
      <c r="HH57" s="343">
        <v>7</v>
      </c>
      <c r="HI57" s="343">
        <v>1</v>
      </c>
      <c r="HJ57" s="322">
        <v>63</v>
      </c>
      <c r="HK57" s="343">
        <v>5</v>
      </c>
      <c r="HL57" s="226"/>
      <c r="HM57" s="322">
        <v>135</v>
      </c>
      <c r="HN57" s="226"/>
      <c r="HO57" s="322">
        <v>32</v>
      </c>
      <c r="HP57" s="322">
        <v>6</v>
      </c>
      <c r="HQ57" s="322">
        <v>56</v>
      </c>
      <c r="HR57" s="322">
        <v>1</v>
      </c>
      <c r="HS57" s="322">
        <v>1</v>
      </c>
      <c r="HT57" s="322">
        <v>16</v>
      </c>
      <c r="HU57" s="322">
        <v>1</v>
      </c>
      <c r="HV57" s="322">
        <v>8</v>
      </c>
      <c r="HW57" s="322">
        <v>24</v>
      </c>
      <c r="HX57" s="322">
        <v>75</v>
      </c>
      <c r="HY57" s="322">
        <v>5</v>
      </c>
      <c r="HZ57" s="322">
        <v>0</v>
      </c>
      <c r="IA57" s="322"/>
      <c r="IB57" s="322">
        <v>1</v>
      </c>
      <c r="IC57" s="322">
        <v>1</v>
      </c>
      <c r="ID57" s="322">
        <v>1</v>
      </c>
      <c r="IE57" s="322">
        <v>1</v>
      </c>
      <c r="IF57" s="322">
        <v>1</v>
      </c>
      <c r="IG57" s="322">
        <v>1</v>
      </c>
      <c r="IH57" s="344">
        <v>1</v>
      </c>
      <c r="II57" s="322">
        <v>1</v>
      </c>
      <c r="IJ57" s="322">
        <v>1</v>
      </c>
      <c r="IK57" s="322">
        <v>1</v>
      </c>
      <c r="IL57" s="322">
        <v>1</v>
      </c>
      <c r="IM57" s="322">
        <v>1</v>
      </c>
      <c r="IN57" s="322">
        <v>1</v>
      </c>
      <c r="IO57" s="322">
        <v>1</v>
      </c>
      <c r="IP57" s="322">
        <v>1</v>
      </c>
      <c r="IQ57" s="322">
        <v>1</v>
      </c>
      <c r="IR57" s="322">
        <v>1</v>
      </c>
      <c r="IS57" s="322">
        <v>1</v>
      </c>
      <c r="IT57" s="322">
        <v>1</v>
      </c>
      <c r="IU57" s="322">
        <v>1</v>
      </c>
      <c r="IV57" s="322">
        <v>1</v>
      </c>
      <c r="IW57" s="322">
        <v>1</v>
      </c>
      <c r="IX57" s="322">
        <v>0</v>
      </c>
      <c r="IY57" s="322">
        <v>1</v>
      </c>
      <c r="IZ57" s="322">
        <v>1</v>
      </c>
      <c r="JA57" s="322">
        <v>1</v>
      </c>
      <c r="JB57" s="322">
        <v>1</v>
      </c>
      <c r="JC57" s="322">
        <v>12</v>
      </c>
      <c r="JD57" s="322">
        <v>15</v>
      </c>
      <c r="JE57" s="226"/>
      <c r="JF57" s="226"/>
      <c r="JG57" s="226"/>
      <c r="JH57" s="322"/>
      <c r="JI57" s="322">
        <v>4</v>
      </c>
      <c r="JJ57" s="322">
        <v>74</v>
      </c>
      <c r="JK57" s="345">
        <v>2</v>
      </c>
      <c r="JL57" s="322">
        <v>4</v>
      </c>
      <c r="JM57" s="322">
        <v>1</v>
      </c>
      <c r="JN57" s="226"/>
      <c r="JO57" s="226"/>
      <c r="JP57" s="226"/>
      <c r="JQ57" s="322">
        <v>2</v>
      </c>
      <c r="JR57" s="322">
        <v>14</v>
      </c>
      <c r="JS57" s="322">
        <v>5</v>
      </c>
      <c r="JT57" s="322">
        <v>15</v>
      </c>
      <c r="JU57" s="322">
        <v>32</v>
      </c>
      <c r="JV57" s="322">
        <v>72</v>
      </c>
      <c r="JW57" s="322">
        <v>2</v>
      </c>
      <c r="JX57" s="322">
        <v>10</v>
      </c>
      <c r="JY57" s="322">
        <v>24</v>
      </c>
      <c r="JZ57" s="322">
        <v>8</v>
      </c>
      <c r="KA57" s="322">
        <v>1</v>
      </c>
      <c r="KB57" s="322">
        <v>0</v>
      </c>
      <c r="KC57" s="322">
        <v>4</v>
      </c>
      <c r="KD57" s="322">
        <v>5</v>
      </c>
      <c r="KE57" s="232">
        <v>1</v>
      </c>
      <c r="KF57" s="322">
        <v>1</v>
      </c>
      <c r="KG57" s="322">
        <v>16</v>
      </c>
      <c r="KH57" s="322">
        <v>18</v>
      </c>
      <c r="KI57" s="322">
        <v>1</v>
      </c>
      <c r="KJ57" s="322">
        <v>13</v>
      </c>
      <c r="KK57" s="322">
        <v>6</v>
      </c>
      <c r="KL57" s="322">
        <v>3</v>
      </c>
      <c r="KM57" s="322">
        <v>1</v>
      </c>
      <c r="KN57" s="322">
        <v>1</v>
      </c>
      <c r="KO57" s="322">
        <v>1</v>
      </c>
      <c r="KP57" s="322">
        <v>6</v>
      </c>
      <c r="KQ57" s="226"/>
      <c r="KR57" s="226"/>
      <c r="KS57" s="226"/>
      <c r="KT57" s="226"/>
      <c r="KU57" s="226"/>
      <c r="KV57" s="322">
        <v>19</v>
      </c>
      <c r="KW57" s="322">
        <v>2</v>
      </c>
      <c r="KX57" s="383">
        <v>2</v>
      </c>
      <c r="KY57" s="386">
        <v>3</v>
      </c>
      <c r="KZ57" s="322">
        <v>2</v>
      </c>
      <c r="LA57" s="322">
        <v>3</v>
      </c>
      <c r="LB57" s="322">
        <v>1</v>
      </c>
      <c r="LC57" s="322">
        <v>5</v>
      </c>
      <c r="LD57" s="322">
        <v>3</v>
      </c>
      <c r="LE57" s="322">
        <v>1</v>
      </c>
      <c r="LF57" s="322">
        <v>2</v>
      </c>
      <c r="LG57" s="322">
        <v>3</v>
      </c>
      <c r="LH57" s="322">
        <v>2</v>
      </c>
      <c r="LI57" s="322">
        <v>4</v>
      </c>
      <c r="LJ57" s="322">
        <v>2</v>
      </c>
      <c r="LK57" s="322">
        <v>3</v>
      </c>
      <c r="LL57" s="322">
        <v>77</v>
      </c>
      <c r="LM57" s="226"/>
      <c r="LN57" s="322">
        <v>3</v>
      </c>
      <c r="LO57" s="322">
        <v>5</v>
      </c>
      <c r="LP57" s="322">
        <v>4</v>
      </c>
      <c r="LQ57" s="322">
        <v>21</v>
      </c>
      <c r="LR57" s="322">
        <v>4</v>
      </c>
      <c r="LS57" s="322">
        <v>13</v>
      </c>
      <c r="LT57" s="346">
        <v>25</v>
      </c>
      <c r="LU57" s="322">
        <v>12</v>
      </c>
      <c r="LV57" s="322">
        <v>5</v>
      </c>
      <c r="LW57" s="322"/>
      <c r="LX57" s="322">
        <v>1</v>
      </c>
      <c r="LY57" s="322">
        <v>1</v>
      </c>
      <c r="LZ57" s="322">
        <v>1</v>
      </c>
      <c r="MA57" s="322">
        <v>1</v>
      </c>
      <c r="MB57" s="322">
        <v>3</v>
      </c>
      <c r="MC57" s="322">
        <v>13</v>
      </c>
      <c r="MD57" s="322">
        <v>5</v>
      </c>
      <c r="ME57" s="322">
        <v>1</v>
      </c>
      <c r="MF57" s="322">
        <v>6</v>
      </c>
      <c r="MG57" s="226"/>
      <c r="MH57" s="226"/>
      <c r="MI57" s="226"/>
      <c r="MJ57" s="347">
        <f>38+18</f>
        <v>56</v>
      </c>
      <c r="MK57" s="347"/>
      <c r="ML57" s="347">
        <f>16+33</f>
        <v>49</v>
      </c>
      <c r="MM57" s="347">
        <f>91+16</f>
        <v>107</v>
      </c>
      <c r="MN57" s="348">
        <v>51</v>
      </c>
      <c r="MO57" s="348">
        <f>128+88</f>
        <v>216</v>
      </c>
      <c r="MP57" s="348">
        <v>94</v>
      </c>
      <c r="MQ57" s="348"/>
      <c r="MR57" s="348">
        <f>12+20</f>
        <v>32</v>
      </c>
      <c r="MS57" s="348">
        <v>42</v>
      </c>
      <c r="MT57" s="347">
        <v>128</v>
      </c>
      <c r="MU57" s="348">
        <v>50</v>
      </c>
      <c r="MV57" s="347">
        <v>42</v>
      </c>
      <c r="MW57" s="347">
        <v>15</v>
      </c>
      <c r="MX57" s="226"/>
      <c r="MY57" s="226"/>
      <c r="MZ57" s="226"/>
      <c r="NA57" s="226"/>
    </row>
    <row r="58" spans="1:365" ht="119" x14ac:dyDescent="0.2">
      <c r="A58" s="1216"/>
      <c r="B58" s="201" t="s">
        <v>118</v>
      </c>
      <c r="C58" s="202" t="s">
        <v>119</v>
      </c>
      <c r="D58" s="215" t="s">
        <v>117</v>
      </c>
      <c r="E58" s="322" t="s">
        <v>6197</v>
      </c>
      <c r="F58" s="322" t="s">
        <v>3250</v>
      </c>
      <c r="G58" s="322">
        <v>5</v>
      </c>
      <c r="H58" s="322">
        <v>6</v>
      </c>
      <c r="I58" s="322">
        <v>2</v>
      </c>
      <c r="J58" s="322">
        <v>2</v>
      </c>
      <c r="K58" s="322">
        <v>12</v>
      </c>
      <c r="L58" s="322">
        <v>6</v>
      </c>
      <c r="M58" s="322">
        <v>24</v>
      </c>
      <c r="N58" s="322">
        <v>12</v>
      </c>
      <c r="O58" s="322">
        <v>26</v>
      </c>
      <c r="P58" s="463">
        <v>2</v>
      </c>
      <c r="Q58" s="322">
        <v>0</v>
      </c>
      <c r="R58" s="322"/>
      <c r="S58" s="322">
        <v>4</v>
      </c>
      <c r="T58" s="322">
        <v>1</v>
      </c>
      <c r="U58" s="322">
        <v>1</v>
      </c>
      <c r="V58" s="322">
        <v>27</v>
      </c>
      <c r="W58" s="226"/>
      <c r="X58" s="226"/>
      <c r="Y58" s="226"/>
      <c r="Z58" s="226"/>
      <c r="AA58" s="226"/>
      <c r="AB58" s="226"/>
      <c r="AC58" s="226"/>
      <c r="AD58" s="226"/>
      <c r="AE58" s="226"/>
      <c r="AF58" s="322">
        <v>15</v>
      </c>
      <c r="AG58" s="225">
        <v>4</v>
      </c>
      <c r="AH58" s="226"/>
      <c r="AI58" s="322">
        <v>7</v>
      </c>
      <c r="AJ58" s="322">
        <v>1</v>
      </c>
      <c r="AK58" s="344">
        <v>8</v>
      </c>
      <c r="AL58" s="322">
        <v>1</v>
      </c>
      <c r="AM58" s="226"/>
      <c r="AN58" s="226"/>
      <c r="AO58" s="226"/>
      <c r="AP58" s="226"/>
      <c r="AQ58" s="322">
        <v>9</v>
      </c>
      <c r="AR58" s="322"/>
      <c r="AS58" s="322"/>
      <c r="AT58" s="322">
        <v>1244</v>
      </c>
      <c r="AU58" s="322" t="s">
        <v>6196</v>
      </c>
      <c r="AV58" s="322">
        <v>10</v>
      </c>
      <c r="AW58" s="322">
        <v>19</v>
      </c>
      <c r="AX58" s="322">
        <v>6</v>
      </c>
      <c r="AY58" s="344">
        <v>20</v>
      </c>
      <c r="AZ58" s="322">
        <v>13</v>
      </c>
      <c r="BA58" s="322">
        <v>10</v>
      </c>
      <c r="BB58" s="322">
        <v>11</v>
      </c>
      <c r="BC58" s="322">
        <v>3</v>
      </c>
      <c r="BD58" s="322">
        <v>91</v>
      </c>
      <c r="BE58" s="344">
        <v>1</v>
      </c>
      <c r="BF58" s="322">
        <v>3</v>
      </c>
      <c r="BG58" s="322">
        <v>14</v>
      </c>
      <c r="BH58" s="322">
        <v>36</v>
      </c>
      <c r="BI58" s="322">
        <v>8</v>
      </c>
      <c r="BJ58" s="322">
        <v>5</v>
      </c>
      <c r="BK58" s="322">
        <v>59</v>
      </c>
      <c r="BL58" s="322">
        <v>22</v>
      </c>
      <c r="BM58" s="322">
        <v>306</v>
      </c>
      <c r="BN58" s="226"/>
      <c r="BO58" s="322">
        <v>2</v>
      </c>
      <c r="BP58" s="322">
        <v>3</v>
      </c>
      <c r="BQ58" s="460">
        <v>1</v>
      </c>
      <c r="BR58" s="233">
        <v>3</v>
      </c>
      <c r="BS58" s="322" t="s">
        <v>656</v>
      </c>
      <c r="BT58" s="322">
        <v>5</v>
      </c>
      <c r="BU58" s="322">
        <v>2</v>
      </c>
      <c r="BV58" s="322">
        <v>3</v>
      </c>
      <c r="BW58" s="322"/>
      <c r="BX58" s="322"/>
      <c r="BY58" s="322">
        <v>2</v>
      </c>
      <c r="BZ58" s="322">
        <v>2</v>
      </c>
      <c r="CA58" s="322">
        <v>2</v>
      </c>
      <c r="CB58" s="322">
        <v>2</v>
      </c>
      <c r="CC58" s="322">
        <v>1</v>
      </c>
      <c r="CD58" s="344">
        <v>1</v>
      </c>
      <c r="CE58" s="344">
        <v>1</v>
      </c>
      <c r="CF58" s="344">
        <v>1</v>
      </c>
      <c r="CG58" s="344">
        <v>1</v>
      </c>
      <c r="CH58" s="344"/>
      <c r="CI58" s="344">
        <v>2</v>
      </c>
      <c r="CJ58" s="344">
        <v>1</v>
      </c>
      <c r="CK58" s="344">
        <v>1</v>
      </c>
      <c r="CL58" s="344">
        <v>2</v>
      </c>
      <c r="CM58" s="344">
        <v>2</v>
      </c>
      <c r="CN58" s="322"/>
      <c r="CO58" s="322">
        <v>3</v>
      </c>
      <c r="CP58" s="322">
        <v>3</v>
      </c>
      <c r="CQ58" s="464">
        <v>1</v>
      </c>
      <c r="CR58" s="465">
        <v>16</v>
      </c>
      <c r="CS58" s="322">
        <v>1</v>
      </c>
      <c r="CT58" s="322">
        <v>2</v>
      </c>
      <c r="CU58" s="322">
        <v>2</v>
      </c>
      <c r="CV58" s="322">
        <v>2</v>
      </c>
      <c r="CW58" s="322">
        <v>2</v>
      </c>
      <c r="CX58" s="322">
        <v>2</v>
      </c>
      <c r="CY58" s="322">
        <v>1</v>
      </c>
      <c r="CZ58" s="322">
        <v>6</v>
      </c>
      <c r="DA58" s="322">
        <v>577</v>
      </c>
      <c r="DB58" s="322">
        <v>1</v>
      </c>
      <c r="DC58" s="322">
        <v>1</v>
      </c>
      <c r="DD58" s="322">
        <v>5</v>
      </c>
      <c r="DE58" s="322">
        <v>2</v>
      </c>
      <c r="DF58" s="322">
        <v>5</v>
      </c>
      <c r="DG58" s="322">
        <v>1</v>
      </c>
      <c r="DH58" s="322">
        <v>2</v>
      </c>
      <c r="DI58" s="322">
        <v>1</v>
      </c>
      <c r="DJ58" s="322">
        <v>2</v>
      </c>
      <c r="DK58" s="322">
        <v>2</v>
      </c>
      <c r="DL58" s="322">
        <v>1</v>
      </c>
      <c r="DM58" s="322">
        <v>2</v>
      </c>
      <c r="DN58" s="322">
        <v>2</v>
      </c>
      <c r="DO58" s="322"/>
      <c r="DP58" s="322">
        <v>4</v>
      </c>
      <c r="DQ58" s="322">
        <v>4</v>
      </c>
      <c r="DR58" s="322">
        <v>4</v>
      </c>
      <c r="DS58" s="322">
        <v>2</v>
      </c>
      <c r="DT58" s="322">
        <v>4</v>
      </c>
      <c r="DU58" s="322">
        <v>0</v>
      </c>
      <c r="DV58" s="322">
        <v>1</v>
      </c>
      <c r="DW58" s="322">
        <v>3</v>
      </c>
      <c r="DX58" s="322">
        <v>2</v>
      </c>
      <c r="DY58" s="322">
        <v>9</v>
      </c>
      <c r="DZ58" s="322">
        <v>4</v>
      </c>
      <c r="EA58" s="322"/>
      <c r="EB58" s="322">
        <v>3</v>
      </c>
      <c r="EC58" s="226"/>
      <c r="ED58" s="322">
        <v>8</v>
      </c>
      <c r="EE58" s="322">
        <v>12</v>
      </c>
      <c r="EF58" s="322">
        <v>1</v>
      </c>
      <c r="EG58" s="226"/>
      <c r="EH58" s="322">
        <v>1</v>
      </c>
      <c r="EI58" s="322">
        <v>0</v>
      </c>
      <c r="EJ58" s="226"/>
      <c r="EK58" s="226"/>
      <c r="EL58" s="226"/>
      <c r="EM58" s="226"/>
      <c r="EN58" s="226"/>
      <c r="EO58" s="226"/>
      <c r="EP58" s="226"/>
      <c r="EQ58" s="226"/>
      <c r="ER58" s="322">
        <v>1</v>
      </c>
      <c r="ES58" s="322">
        <v>4</v>
      </c>
      <c r="ET58" s="322">
        <v>9</v>
      </c>
      <c r="EU58" s="232">
        <v>5</v>
      </c>
      <c r="EV58" s="232">
        <v>1</v>
      </c>
      <c r="EW58" s="322">
        <v>11</v>
      </c>
      <c r="EX58" s="322">
        <v>12</v>
      </c>
      <c r="EY58" s="322">
        <v>1</v>
      </c>
      <c r="EZ58" s="344">
        <v>24</v>
      </c>
      <c r="FA58" s="322">
        <v>0</v>
      </c>
      <c r="FB58" s="322"/>
      <c r="FC58" s="322">
        <v>3</v>
      </c>
      <c r="FD58" s="226"/>
      <c r="FE58" s="466">
        <v>1</v>
      </c>
      <c r="FF58" s="322">
        <v>1</v>
      </c>
      <c r="FG58" s="322">
        <v>3</v>
      </c>
      <c r="FH58" s="322">
        <v>5</v>
      </c>
      <c r="FI58" s="465">
        <v>3</v>
      </c>
      <c r="FJ58" s="465" t="s">
        <v>656</v>
      </c>
      <c r="FK58" s="465"/>
      <c r="FL58" s="465">
        <v>5</v>
      </c>
      <c r="FM58" s="322">
        <v>1</v>
      </c>
      <c r="FN58" s="322"/>
      <c r="FO58" s="465">
        <v>6</v>
      </c>
      <c r="FP58" s="465"/>
      <c r="FQ58" s="465" t="s">
        <v>3007</v>
      </c>
      <c r="FR58" s="465">
        <v>4</v>
      </c>
      <c r="FS58" s="465"/>
      <c r="FT58" s="465">
        <v>3</v>
      </c>
      <c r="FU58" s="226"/>
      <c r="FV58" s="465"/>
      <c r="FW58" s="465">
        <v>5</v>
      </c>
      <c r="FX58" s="465"/>
      <c r="FY58" s="226"/>
      <c r="FZ58" s="465">
        <v>3</v>
      </c>
      <c r="GA58" s="465">
        <v>2</v>
      </c>
      <c r="GB58" s="465">
        <v>3</v>
      </c>
      <c r="GC58" s="465"/>
      <c r="GD58" s="465">
        <v>1</v>
      </c>
      <c r="GE58" s="465">
        <v>4</v>
      </c>
      <c r="GF58" s="465">
        <v>12</v>
      </c>
      <c r="GG58" s="465">
        <v>8</v>
      </c>
      <c r="GH58" s="394">
        <v>1</v>
      </c>
      <c r="GI58" s="226"/>
      <c r="GJ58" s="465">
        <v>2</v>
      </c>
      <c r="GK58" s="465">
        <v>9</v>
      </c>
      <c r="GL58" s="465">
        <v>4</v>
      </c>
      <c r="GM58" s="465">
        <v>1</v>
      </c>
      <c r="GN58" s="465">
        <v>7</v>
      </c>
      <c r="GO58" s="226"/>
      <c r="GP58" s="465">
        <v>1</v>
      </c>
      <c r="GQ58" s="226"/>
      <c r="GR58" s="465">
        <v>1</v>
      </c>
      <c r="GS58" s="465">
        <v>3</v>
      </c>
      <c r="GT58" s="465"/>
      <c r="GU58" s="465">
        <v>11</v>
      </c>
      <c r="GV58" s="465">
        <v>3</v>
      </c>
      <c r="GW58" s="226"/>
      <c r="GX58" s="322">
        <v>1</v>
      </c>
      <c r="GY58" s="322">
        <v>1</v>
      </c>
      <c r="GZ58" s="465">
        <v>1</v>
      </c>
      <c r="HA58" s="322">
        <v>54</v>
      </c>
      <c r="HB58" s="322">
        <v>6</v>
      </c>
      <c r="HC58" s="322">
        <v>5</v>
      </c>
      <c r="HD58" s="322">
        <v>1</v>
      </c>
      <c r="HE58" s="322">
        <f>14+2</f>
        <v>16</v>
      </c>
      <c r="HF58" s="226"/>
      <c r="HG58" s="343">
        <v>143</v>
      </c>
      <c r="HH58" s="343">
        <v>5</v>
      </c>
      <c r="HI58" s="343">
        <v>1</v>
      </c>
      <c r="HJ58" s="322">
        <v>0</v>
      </c>
      <c r="HK58" s="343">
        <v>3</v>
      </c>
      <c r="HL58" s="226"/>
      <c r="HM58" s="322">
        <v>135</v>
      </c>
      <c r="HN58" s="226"/>
      <c r="HO58" s="322">
        <v>32</v>
      </c>
      <c r="HP58" s="322">
        <v>4</v>
      </c>
      <c r="HQ58" s="322">
        <v>56</v>
      </c>
      <c r="HR58" s="322">
        <v>1</v>
      </c>
      <c r="HS58" s="322">
        <v>1</v>
      </c>
      <c r="HT58" s="322">
        <v>16</v>
      </c>
      <c r="HU58" s="322">
        <v>1</v>
      </c>
      <c r="HV58" s="322">
        <v>8</v>
      </c>
      <c r="HW58" s="322">
        <v>24</v>
      </c>
      <c r="HX58" s="322">
        <v>75</v>
      </c>
      <c r="HY58" s="322">
        <v>5</v>
      </c>
      <c r="HZ58" s="322">
        <v>3</v>
      </c>
      <c r="IA58" s="322"/>
      <c r="IB58" s="322">
        <v>1</v>
      </c>
      <c r="IC58" s="322">
        <v>1</v>
      </c>
      <c r="ID58" s="322">
        <v>1</v>
      </c>
      <c r="IE58" s="322">
        <v>1</v>
      </c>
      <c r="IF58" s="322">
        <v>1</v>
      </c>
      <c r="IG58" s="322">
        <v>1</v>
      </c>
      <c r="IH58" s="344">
        <v>1</v>
      </c>
      <c r="II58" s="322">
        <v>1</v>
      </c>
      <c r="IJ58" s="322">
        <v>1</v>
      </c>
      <c r="IK58" s="322">
        <v>1</v>
      </c>
      <c r="IL58" s="322">
        <v>1</v>
      </c>
      <c r="IM58" s="322">
        <v>1</v>
      </c>
      <c r="IN58" s="322">
        <v>1</v>
      </c>
      <c r="IO58" s="322">
        <v>1</v>
      </c>
      <c r="IP58" s="322">
        <v>1</v>
      </c>
      <c r="IQ58" s="322">
        <v>1</v>
      </c>
      <c r="IR58" s="322">
        <v>1</v>
      </c>
      <c r="IS58" s="322">
        <v>1</v>
      </c>
      <c r="IT58" s="322">
        <v>1</v>
      </c>
      <c r="IU58" s="322">
        <v>1</v>
      </c>
      <c r="IV58" s="322">
        <v>1</v>
      </c>
      <c r="IW58" s="322">
        <v>1</v>
      </c>
      <c r="IX58" s="322">
        <v>0</v>
      </c>
      <c r="IY58" s="322">
        <v>1</v>
      </c>
      <c r="IZ58" s="322">
        <v>1</v>
      </c>
      <c r="JA58" s="322">
        <v>1</v>
      </c>
      <c r="JB58" s="322">
        <v>1</v>
      </c>
      <c r="JC58" s="322">
        <v>10</v>
      </c>
      <c r="JD58" s="322">
        <v>10</v>
      </c>
      <c r="JE58" s="226"/>
      <c r="JF58" s="226"/>
      <c r="JG58" s="226"/>
      <c r="JH58" s="322">
        <v>10</v>
      </c>
      <c r="JI58" s="322">
        <v>4</v>
      </c>
      <c r="JJ58" s="322">
        <v>70</v>
      </c>
      <c r="JK58" s="345">
        <v>2</v>
      </c>
      <c r="JL58" s="322">
        <v>4</v>
      </c>
      <c r="JM58" s="322">
        <v>1</v>
      </c>
      <c r="JN58" s="226"/>
      <c r="JO58" s="226"/>
      <c r="JP58" s="226"/>
      <c r="JQ58" s="322">
        <v>2</v>
      </c>
      <c r="JR58" s="322">
        <v>14</v>
      </c>
      <c r="JS58" s="322">
        <v>5</v>
      </c>
      <c r="JT58" s="322">
        <v>15</v>
      </c>
      <c r="JU58" s="322">
        <v>12</v>
      </c>
      <c r="JV58" s="322">
        <v>8</v>
      </c>
      <c r="JW58" s="322">
        <v>1</v>
      </c>
      <c r="JX58" s="322">
        <v>10</v>
      </c>
      <c r="JY58" s="322">
        <v>22</v>
      </c>
      <c r="JZ58" s="322">
        <v>8</v>
      </c>
      <c r="KA58" s="322">
        <v>1</v>
      </c>
      <c r="KB58" s="322">
        <v>0</v>
      </c>
      <c r="KC58" s="322">
        <v>4</v>
      </c>
      <c r="KD58" s="322">
        <v>5</v>
      </c>
      <c r="KE58" s="232">
        <v>1</v>
      </c>
      <c r="KF58" s="322">
        <v>1</v>
      </c>
      <c r="KG58" s="322">
        <v>16</v>
      </c>
      <c r="KH58" s="322">
        <v>18</v>
      </c>
      <c r="KI58" s="322">
        <v>1</v>
      </c>
      <c r="KJ58" s="322">
        <v>12</v>
      </c>
      <c r="KK58" s="322">
        <v>6</v>
      </c>
      <c r="KL58" s="322">
        <v>3</v>
      </c>
      <c r="KM58" s="322">
        <v>1</v>
      </c>
      <c r="KN58" s="322">
        <v>1</v>
      </c>
      <c r="KO58" s="322">
        <v>1</v>
      </c>
      <c r="KP58" s="322">
        <v>6</v>
      </c>
      <c r="KQ58" s="226"/>
      <c r="KR58" s="226"/>
      <c r="KS58" s="226"/>
      <c r="KT58" s="226"/>
      <c r="KU58" s="226"/>
      <c r="KV58" s="322">
        <v>15</v>
      </c>
      <c r="KW58" s="322">
        <v>2</v>
      </c>
      <c r="KX58" s="383">
        <v>1</v>
      </c>
      <c r="KY58" s="386">
        <v>3</v>
      </c>
      <c r="KZ58" s="322">
        <v>1</v>
      </c>
      <c r="LA58" s="322">
        <v>3</v>
      </c>
      <c r="LB58" s="322">
        <v>1</v>
      </c>
      <c r="LC58" s="322">
        <v>5</v>
      </c>
      <c r="LD58" s="322">
        <v>1</v>
      </c>
      <c r="LE58" s="322">
        <v>1</v>
      </c>
      <c r="LF58" s="322">
        <v>1</v>
      </c>
      <c r="LG58" s="322">
        <v>1</v>
      </c>
      <c r="LH58" s="322">
        <v>1</v>
      </c>
      <c r="LI58" s="322">
        <v>2</v>
      </c>
      <c r="LJ58" s="322">
        <v>2</v>
      </c>
      <c r="LK58" s="322">
        <v>3</v>
      </c>
      <c r="LL58" s="322">
        <v>77</v>
      </c>
      <c r="LM58" s="226"/>
      <c r="LN58" s="322">
        <v>3</v>
      </c>
      <c r="LO58" s="322">
        <v>5</v>
      </c>
      <c r="LP58" s="322">
        <v>4</v>
      </c>
      <c r="LQ58" s="322">
        <v>21</v>
      </c>
      <c r="LR58" s="322">
        <v>2</v>
      </c>
      <c r="LS58" s="322">
        <v>7</v>
      </c>
      <c r="LT58" s="346">
        <v>19</v>
      </c>
      <c r="LU58" s="322">
        <v>11</v>
      </c>
      <c r="LV58" s="322">
        <v>4</v>
      </c>
      <c r="LW58" s="322">
        <v>1</v>
      </c>
      <c r="LX58" s="322">
        <v>1</v>
      </c>
      <c r="LY58" s="322">
        <v>1</v>
      </c>
      <c r="LZ58" s="322">
        <v>1</v>
      </c>
      <c r="MA58" s="322">
        <v>1</v>
      </c>
      <c r="MB58" s="322">
        <v>2</v>
      </c>
      <c r="MC58" s="322">
        <v>11</v>
      </c>
      <c r="MD58" s="322">
        <v>5</v>
      </c>
      <c r="ME58" s="322">
        <v>1</v>
      </c>
      <c r="MF58" s="322">
        <v>6</v>
      </c>
      <c r="MG58" s="226"/>
      <c r="MH58" s="226"/>
      <c r="MI58" s="226"/>
      <c r="MJ58" s="347">
        <f>9+10</f>
        <v>19</v>
      </c>
      <c r="MK58" s="347"/>
      <c r="ML58" s="347">
        <f>16+7</f>
        <v>23</v>
      </c>
      <c r="MM58" s="347">
        <v>24</v>
      </c>
      <c r="MN58" s="348">
        <v>18</v>
      </c>
      <c r="MO58" s="348">
        <f>40+8</f>
        <v>48</v>
      </c>
      <c r="MP58" s="348">
        <v>62</v>
      </c>
      <c r="MQ58" s="348">
        <v>14</v>
      </c>
      <c r="MR58" s="348">
        <f>11+13</f>
        <v>24</v>
      </c>
      <c r="MS58" s="348">
        <v>9</v>
      </c>
      <c r="MT58" s="347">
        <v>41</v>
      </c>
      <c r="MU58" s="348">
        <v>34</v>
      </c>
      <c r="MV58" s="347">
        <v>35</v>
      </c>
      <c r="MW58" s="347">
        <v>13</v>
      </c>
      <c r="MX58" s="226"/>
      <c r="MY58" s="226"/>
      <c r="MZ58" s="226"/>
      <c r="NA58" s="226"/>
    </row>
    <row r="59" spans="1:365" ht="68" x14ac:dyDescent="0.2">
      <c r="A59" s="1216"/>
      <c r="B59" s="201" t="s">
        <v>120</v>
      </c>
      <c r="C59" s="202" t="s">
        <v>121</v>
      </c>
      <c r="D59" s="215" t="s">
        <v>117</v>
      </c>
      <c r="E59" s="322" t="s">
        <v>6195</v>
      </c>
      <c r="F59" s="322" t="s">
        <v>3250</v>
      </c>
      <c r="G59" s="322">
        <v>5</v>
      </c>
      <c r="H59" s="322">
        <v>6</v>
      </c>
      <c r="I59" s="322">
        <v>2</v>
      </c>
      <c r="J59" s="322">
        <v>2</v>
      </c>
      <c r="K59" s="322">
        <v>4</v>
      </c>
      <c r="L59" s="322">
        <v>6</v>
      </c>
      <c r="M59" s="322">
        <v>5</v>
      </c>
      <c r="N59" s="322">
        <v>6</v>
      </c>
      <c r="O59" s="322">
        <v>19</v>
      </c>
      <c r="P59" s="463">
        <v>2</v>
      </c>
      <c r="Q59" s="322">
        <v>6</v>
      </c>
      <c r="R59" s="322">
        <v>4</v>
      </c>
      <c r="S59" s="322">
        <v>4</v>
      </c>
      <c r="T59" s="322">
        <v>1</v>
      </c>
      <c r="U59" s="322">
        <v>1</v>
      </c>
      <c r="V59" s="322">
        <v>27</v>
      </c>
      <c r="W59" s="226"/>
      <c r="X59" s="226"/>
      <c r="Y59" s="226"/>
      <c r="Z59" s="226"/>
      <c r="AA59" s="226"/>
      <c r="AB59" s="226"/>
      <c r="AC59" s="226"/>
      <c r="AD59" s="226"/>
      <c r="AE59" s="226"/>
      <c r="AF59" s="322">
        <v>3</v>
      </c>
      <c r="AG59" s="225">
        <v>4</v>
      </c>
      <c r="AH59" s="226"/>
      <c r="AI59" s="322">
        <v>1</v>
      </c>
      <c r="AJ59" s="322">
        <v>1</v>
      </c>
      <c r="AK59" s="344">
        <v>6</v>
      </c>
      <c r="AL59" s="322">
        <v>1</v>
      </c>
      <c r="AM59" s="226"/>
      <c r="AN59" s="226"/>
      <c r="AO59" s="226"/>
      <c r="AP59" s="226"/>
      <c r="AQ59" s="322">
        <v>9</v>
      </c>
      <c r="AR59" s="322">
        <v>23</v>
      </c>
      <c r="AS59" s="322">
        <v>19</v>
      </c>
      <c r="AT59" s="322">
        <v>6</v>
      </c>
      <c r="AU59" s="322" t="s">
        <v>6194</v>
      </c>
      <c r="AV59" s="322">
        <v>10</v>
      </c>
      <c r="AW59" s="322">
        <v>6</v>
      </c>
      <c r="AX59" s="322">
        <v>1</v>
      </c>
      <c r="AY59" s="344">
        <v>7</v>
      </c>
      <c r="AZ59" s="322">
        <v>1</v>
      </c>
      <c r="BA59" s="322">
        <v>10</v>
      </c>
      <c r="BB59" s="322">
        <v>9</v>
      </c>
      <c r="BC59" s="322">
        <v>1</v>
      </c>
      <c r="BD59" s="322">
        <v>9</v>
      </c>
      <c r="BE59" s="344">
        <v>1</v>
      </c>
      <c r="BF59" s="322">
        <v>3</v>
      </c>
      <c r="BG59" s="322">
        <v>14</v>
      </c>
      <c r="BH59" s="322">
        <v>7</v>
      </c>
      <c r="BI59" s="322">
        <v>8</v>
      </c>
      <c r="BJ59" s="322">
        <v>5</v>
      </c>
      <c r="BK59" s="322">
        <v>29</v>
      </c>
      <c r="BL59" s="322">
        <v>22</v>
      </c>
      <c r="BM59" s="322">
        <v>1</v>
      </c>
      <c r="BN59" s="226"/>
      <c r="BO59" s="322">
        <v>1</v>
      </c>
      <c r="BP59" s="322">
        <v>2</v>
      </c>
      <c r="BQ59" s="460">
        <v>1</v>
      </c>
      <c r="BR59" s="233">
        <v>2</v>
      </c>
      <c r="BS59" s="322">
        <v>1</v>
      </c>
      <c r="BT59" s="322">
        <v>4</v>
      </c>
      <c r="BU59" s="322">
        <v>2</v>
      </c>
      <c r="BV59" s="322">
        <v>1</v>
      </c>
      <c r="BW59" s="322"/>
      <c r="BX59" s="322"/>
      <c r="BY59" s="322">
        <v>2</v>
      </c>
      <c r="BZ59" s="322">
        <v>2</v>
      </c>
      <c r="CA59" s="322">
        <v>2</v>
      </c>
      <c r="CB59" s="322">
        <v>2</v>
      </c>
      <c r="CC59" s="322">
        <v>2</v>
      </c>
      <c r="CD59" s="344">
        <v>1</v>
      </c>
      <c r="CE59" s="344">
        <v>1</v>
      </c>
      <c r="CF59" s="344">
        <v>1</v>
      </c>
      <c r="CG59" s="344">
        <v>1</v>
      </c>
      <c r="CH59" s="344"/>
      <c r="CI59" s="344">
        <v>1</v>
      </c>
      <c r="CJ59" s="344">
        <v>1</v>
      </c>
      <c r="CK59" s="344">
        <v>1</v>
      </c>
      <c r="CL59" s="344">
        <v>1</v>
      </c>
      <c r="CM59" s="344">
        <v>2</v>
      </c>
      <c r="CN59" s="322"/>
      <c r="CO59" s="322">
        <v>3</v>
      </c>
      <c r="CP59" s="322">
        <v>3</v>
      </c>
      <c r="CQ59" s="464">
        <v>1</v>
      </c>
      <c r="CR59" s="465">
        <v>3</v>
      </c>
      <c r="CS59" s="322">
        <v>1</v>
      </c>
      <c r="CT59" s="322">
        <v>1</v>
      </c>
      <c r="CU59" s="322">
        <v>1</v>
      </c>
      <c r="CV59" s="322">
        <v>2</v>
      </c>
      <c r="CW59" s="322">
        <v>1</v>
      </c>
      <c r="CX59" s="322">
        <v>2</v>
      </c>
      <c r="CY59" s="322">
        <v>1</v>
      </c>
      <c r="CZ59" s="322">
        <v>3</v>
      </c>
      <c r="DA59" s="322">
        <v>523</v>
      </c>
      <c r="DB59" s="322">
        <v>1</v>
      </c>
      <c r="DC59" s="322">
        <v>1</v>
      </c>
      <c r="DD59" s="322">
        <v>2</v>
      </c>
      <c r="DE59" s="322"/>
      <c r="DF59" s="322">
        <v>5</v>
      </c>
      <c r="DG59" s="322">
        <v>1</v>
      </c>
      <c r="DH59" s="322">
        <v>1</v>
      </c>
      <c r="DI59" s="322">
        <v>1</v>
      </c>
      <c r="DJ59" s="322">
        <v>2</v>
      </c>
      <c r="DK59" s="322">
        <v>1</v>
      </c>
      <c r="DL59" s="322">
        <v>1</v>
      </c>
      <c r="DM59" s="322">
        <v>1</v>
      </c>
      <c r="DN59" s="322">
        <v>2</v>
      </c>
      <c r="DO59" s="322"/>
      <c r="DP59" s="322">
        <v>1</v>
      </c>
      <c r="DQ59" s="322">
        <v>2</v>
      </c>
      <c r="DR59" s="322">
        <v>1</v>
      </c>
      <c r="DS59" s="322">
        <v>2</v>
      </c>
      <c r="DT59" s="322">
        <v>2</v>
      </c>
      <c r="DU59" s="322">
        <v>0</v>
      </c>
      <c r="DV59" s="322">
        <v>1</v>
      </c>
      <c r="DW59" s="322">
        <v>3</v>
      </c>
      <c r="DX59" s="322">
        <v>1</v>
      </c>
      <c r="DY59" s="322" t="s">
        <v>6193</v>
      </c>
      <c r="DZ59" s="322">
        <v>4</v>
      </c>
      <c r="EA59" s="322"/>
      <c r="EB59" s="322">
        <v>3</v>
      </c>
      <c r="EC59" s="226"/>
      <c r="ED59" s="322">
        <v>8</v>
      </c>
      <c r="EE59" s="322">
        <v>12</v>
      </c>
      <c r="EF59" s="322">
        <v>1</v>
      </c>
      <c r="EG59" s="226"/>
      <c r="EH59" s="322">
        <v>1</v>
      </c>
      <c r="EI59" s="322">
        <v>0</v>
      </c>
      <c r="EJ59" s="226"/>
      <c r="EK59" s="226"/>
      <c r="EL59" s="226"/>
      <c r="EM59" s="226"/>
      <c r="EN59" s="226"/>
      <c r="EO59" s="226"/>
      <c r="EP59" s="226"/>
      <c r="EQ59" s="226"/>
      <c r="ER59" s="322">
        <v>1</v>
      </c>
      <c r="ES59" s="322">
        <v>4</v>
      </c>
      <c r="ET59" s="322">
        <v>9</v>
      </c>
      <c r="EU59" s="232">
        <v>5</v>
      </c>
      <c r="EV59" s="232">
        <v>1</v>
      </c>
      <c r="EW59" s="322">
        <v>4</v>
      </c>
      <c r="EX59" s="322">
        <v>11</v>
      </c>
      <c r="EY59" s="322">
        <v>1</v>
      </c>
      <c r="EZ59" s="344">
        <v>5</v>
      </c>
      <c r="FA59" s="322">
        <v>0</v>
      </c>
      <c r="FB59" s="322">
        <v>4</v>
      </c>
      <c r="FC59" s="322">
        <v>1</v>
      </c>
      <c r="FD59" s="226"/>
      <c r="FE59" s="466">
        <v>1</v>
      </c>
      <c r="FF59" s="322">
        <v>1</v>
      </c>
      <c r="FG59" s="322">
        <v>3</v>
      </c>
      <c r="FH59" s="322">
        <v>5</v>
      </c>
      <c r="FI59" s="465">
        <v>3</v>
      </c>
      <c r="FJ59" s="465">
        <v>11</v>
      </c>
      <c r="FK59" s="465"/>
      <c r="FL59" s="465">
        <v>3</v>
      </c>
      <c r="FM59" s="322">
        <v>1</v>
      </c>
      <c r="FN59" s="322"/>
      <c r="FO59" s="465">
        <v>1</v>
      </c>
      <c r="FP59" s="465"/>
      <c r="FQ59" s="465">
        <v>4</v>
      </c>
      <c r="FR59" s="465">
        <v>1</v>
      </c>
      <c r="FS59" s="465"/>
      <c r="FT59" s="465">
        <v>1</v>
      </c>
      <c r="FU59" s="226"/>
      <c r="FV59" s="465"/>
      <c r="FW59" s="465">
        <v>4</v>
      </c>
      <c r="FX59" s="465">
        <v>1</v>
      </c>
      <c r="FY59" s="226"/>
      <c r="FZ59" s="465">
        <v>2</v>
      </c>
      <c r="GA59" s="465">
        <v>1</v>
      </c>
      <c r="GB59" s="465">
        <v>1</v>
      </c>
      <c r="GC59" s="465"/>
      <c r="GD59" s="465">
        <v>1</v>
      </c>
      <c r="GE59" s="465">
        <v>4</v>
      </c>
      <c r="GF59" s="465">
        <v>7</v>
      </c>
      <c r="GG59" s="465">
        <v>8</v>
      </c>
      <c r="GH59" s="394">
        <v>1</v>
      </c>
      <c r="GI59" s="226"/>
      <c r="GJ59" s="465">
        <v>2</v>
      </c>
      <c r="GK59" s="465">
        <v>9</v>
      </c>
      <c r="GL59" s="465">
        <v>4</v>
      </c>
      <c r="GM59" s="465">
        <v>1</v>
      </c>
      <c r="GN59" s="465">
        <v>3</v>
      </c>
      <c r="GO59" s="226"/>
      <c r="GP59" s="465">
        <v>1</v>
      </c>
      <c r="GQ59" s="226"/>
      <c r="GR59" s="465">
        <v>1</v>
      </c>
      <c r="GS59" s="465">
        <v>3</v>
      </c>
      <c r="GT59" s="465"/>
      <c r="GU59" s="465">
        <v>5</v>
      </c>
      <c r="GV59" s="465">
        <v>1</v>
      </c>
      <c r="GW59" s="226"/>
      <c r="GX59" s="322">
        <v>1</v>
      </c>
      <c r="GY59" s="322">
        <v>1</v>
      </c>
      <c r="GZ59" s="465">
        <v>1</v>
      </c>
      <c r="HA59" s="322">
        <v>30</v>
      </c>
      <c r="HB59" s="322">
        <v>4</v>
      </c>
      <c r="HC59" s="322">
        <v>5</v>
      </c>
      <c r="HD59" s="322">
        <v>1</v>
      </c>
      <c r="HE59" s="322">
        <f>13+2</f>
        <v>15</v>
      </c>
      <c r="HF59" s="226"/>
      <c r="HG59" s="343">
        <v>143</v>
      </c>
      <c r="HH59" s="343">
        <v>3</v>
      </c>
      <c r="HI59" s="343">
        <v>1</v>
      </c>
      <c r="HJ59" s="322">
        <v>3</v>
      </c>
      <c r="HK59" s="343">
        <v>3</v>
      </c>
      <c r="HL59" s="226"/>
      <c r="HM59" s="322">
        <v>135</v>
      </c>
      <c r="HN59" s="226"/>
      <c r="HO59" s="322">
        <v>22</v>
      </c>
      <c r="HP59" s="322">
        <v>4</v>
      </c>
      <c r="HQ59" s="322">
        <v>25</v>
      </c>
      <c r="HR59" s="322">
        <v>1</v>
      </c>
      <c r="HS59" s="322">
        <v>1</v>
      </c>
      <c r="HT59" s="322">
        <v>2</v>
      </c>
      <c r="HU59" s="322">
        <v>1</v>
      </c>
      <c r="HV59" s="322">
        <v>8</v>
      </c>
      <c r="HW59" s="322">
        <v>3</v>
      </c>
      <c r="HX59" s="322">
        <v>25</v>
      </c>
      <c r="HY59" s="322">
        <v>2</v>
      </c>
      <c r="HZ59" s="322">
        <v>3</v>
      </c>
      <c r="IA59" s="322"/>
      <c r="IB59" s="322">
        <v>1</v>
      </c>
      <c r="IC59" s="322">
        <v>1</v>
      </c>
      <c r="ID59" s="322">
        <v>1</v>
      </c>
      <c r="IE59" s="322">
        <v>1</v>
      </c>
      <c r="IF59" s="322">
        <v>1</v>
      </c>
      <c r="IG59" s="322">
        <v>1</v>
      </c>
      <c r="IH59" s="344">
        <v>1</v>
      </c>
      <c r="II59" s="322">
        <v>1</v>
      </c>
      <c r="IJ59" s="322">
        <v>1</v>
      </c>
      <c r="IK59" s="322">
        <v>1</v>
      </c>
      <c r="IL59" s="322">
        <v>1</v>
      </c>
      <c r="IM59" s="322">
        <v>1</v>
      </c>
      <c r="IN59" s="322">
        <v>1</v>
      </c>
      <c r="IO59" s="322">
        <v>1</v>
      </c>
      <c r="IP59" s="322">
        <v>1</v>
      </c>
      <c r="IQ59" s="322">
        <v>1</v>
      </c>
      <c r="IR59" s="322">
        <v>1</v>
      </c>
      <c r="IS59" s="322">
        <v>1</v>
      </c>
      <c r="IT59" s="322">
        <v>1</v>
      </c>
      <c r="IU59" s="322">
        <v>1</v>
      </c>
      <c r="IV59" s="322">
        <v>1</v>
      </c>
      <c r="IW59" s="322">
        <v>1</v>
      </c>
      <c r="IX59" s="322">
        <v>0</v>
      </c>
      <c r="IY59" s="322">
        <v>1</v>
      </c>
      <c r="IZ59" s="322">
        <v>1</v>
      </c>
      <c r="JA59" s="322">
        <v>1</v>
      </c>
      <c r="JB59" s="322">
        <v>1</v>
      </c>
      <c r="JC59" s="322">
        <v>10</v>
      </c>
      <c r="JD59" s="322">
        <v>5</v>
      </c>
      <c r="JE59" s="226"/>
      <c r="JF59" s="226"/>
      <c r="JG59" s="226"/>
      <c r="JH59" s="322">
        <v>10</v>
      </c>
      <c r="JI59" s="322">
        <v>4</v>
      </c>
      <c r="JJ59" s="322">
        <v>70</v>
      </c>
      <c r="JK59" s="345">
        <v>1</v>
      </c>
      <c r="JL59" s="322">
        <v>4</v>
      </c>
      <c r="JM59" s="322">
        <v>1</v>
      </c>
      <c r="JN59" s="226"/>
      <c r="JO59" s="226"/>
      <c r="JP59" s="226"/>
      <c r="JQ59" s="322">
        <v>2</v>
      </c>
      <c r="JR59" s="322">
        <v>12</v>
      </c>
      <c r="JS59" s="322">
        <v>3</v>
      </c>
      <c r="JT59" s="322">
        <v>12</v>
      </c>
      <c r="JU59" s="322">
        <v>12</v>
      </c>
      <c r="JV59" s="322">
        <v>8</v>
      </c>
      <c r="JW59" s="322">
        <v>1</v>
      </c>
      <c r="JX59" s="322">
        <v>9</v>
      </c>
      <c r="JY59" s="322">
        <v>22</v>
      </c>
      <c r="JZ59" s="322">
        <v>5</v>
      </c>
      <c r="KA59" s="322">
        <v>1</v>
      </c>
      <c r="KB59" s="322">
        <v>0</v>
      </c>
      <c r="KC59" s="322">
        <v>4</v>
      </c>
      <c r="KD59" s="322">
        <v>5</v>
      </c>
      <c r="KE59" s="232">
        <v>1</v>
      </c>
      <c r="KF59" s="322">
        <v>1</v>
      </c>
      <c r="KG59" s="322">
        <v>3</v>
      </c>
      <c r="KH59" s="322">
        <v>16</v>
      </c>
      <c r="KI59" s="322">
        <v>1</v>
      </c>
      <c r="KJ59" s="322">
        <v>8</v>
      </c>
      <c r="KK59" s="322">
        <v>6</v>
      </c>
      <c r="KL59" s="322">
        <v>3</v>
      </c>
      <c r="KM59" s="322">
        <v>1</v>
      </c>
      <c r="KN59" s="322">
        <v>1</v>
      </c>
      <c r="KO59" s="322">
        <v>1</v>
      </c>
      <c r="KP59" s="322">
        <v>6</v>
      </c>
      <c r="KQ59" s="226"/>
      <c r="KR59" s="226"/>
      <c r="KS59" s="226"/>
      <c r="KT59" s="226"/>
      <c r="KU59" s="226"/>
      <c r="KV59" s="322">
        <v>12</v>
      </c>
      <c r="KW59" s="322">
        <v>2</v>
      </c>
      <c r="KX59" s="383">
        <v>1</v>
      </c>
      <c r="KY59" s="386">
        <v>3</v>
      </c>
      <c r="KZ59" s="322">
        <v>1</v>
      </c>
      <c r="LA59" s="322">
        <v>1</v>
      </c>
      <c r="LB59" s="322">
        <v>1</v>
      </c>
      <c r="LC59" s="322">
        <v>1</v>
      </c>
      <c r="LD59" s="322">
        <v>1</v>
      </c>
      <c r="LE59" s="322">
        <v>1</v>
      </c>
      <c r="LF59" s="322">
        <v>1</v>
      </c>
      <c r="LG59" s="322">
        <v>1</v>
      </c>
      <c r="LH59" s="322">
        <v>1</v>
      </c>
      <c r="LI59" s="322">
        <v>2</v>
      </c>
      <c r="LJ59" s="322">
        <v>1</v>
      </c>
      <c r="LK59" s="322">
        <v>3</v>
      </c>
      <c r="LL59" s="322">
        <v>27</v>
      </c>
      <c r="LM59" s="226"/>
      <c r="LN59" s="322">
        <v>3</v>
      </c>
      <c r="LO59" s="322">
        <v>5</v>
      </c>
      <c r="LP59" s="322">
        <v>4</v>
      </c>
      <c r="LQ59" s="322">
        <v>21</v>
      </c>
      <c r="LR59" s="322">
        <v>1</v>
      </c>
      <c r="LS59" s="322">
        <v>7</v>
      </c>
      <c r="LT59" s="346">
        <v>4</v>
      </c>
      <c r="LU59" s="322">
        <v>10</v>
      </c>
      <c r="LV59" s="322">
        <v>3</v>
      </c>
      <c r="LW59" s="322">
        <v>1</v>
      </c>
      <c r="LX59" s="322">
        <v>1</v>
      </c>
      <c r="LY59" s="322">
        <v>1</v>
      </c>
      <c r="LZ59" s="322">
        <v>1</v>
      </c>
      <c r="MA59" s="322">
        <v>1</v>
      </c>
      <c r="MB59" s="322">
        <v>2</v>
      </c>
      <c r="MC59" s="322">
        <v>5</v>
      </c>
      <c r="MD59" s="322">
        <v>4</v>
      </c>
      <c r="ME59" s="322">
        <v>1</v>
      </c>
      <c r="MF59" s="322">
        <v>3</v>
      </c>
      <c r="MG59" s="226"/>
      <c r="MH59" s="226"/>
      <c r="MI59" s="226"/>
      <c r="MJ59" s="347">
        <f>2+10</f>
        <v>12</v>
      </c>
      <c r="MK59" s="347"/>
      <c r="ML59" s="347">
        <v>19</v>
      </c>
      <c r="MM59" s="347">
        <v>24</v>
      </c>
      <c r="MN59" s="348">
        <v>18</v>
      </c>
      <c r="MO59" s="348">
        <f>26+8</f>
        <v>34</v>
      </c>
      <c r="MP59" s="348">
        <v>41</v>
      </c>
      <c r="MQ59" s="348">
        <v>6</v>
      </c>
      <c r="MR59" s="348">
        <f>2+13</f>
        <v>15</v>
      </c>
      <c r="MS59" s="348">
        <v>16</v>
      </c>
      <c r="MT59" s="347">
        <v>25</v>
      </c>
      <c r="MU59" s="348">
        <v>12</v>
      </c>
      <c r="MV59" s="347">
        <v>30</v>
      </c>
      <c r="MW59" s="347">
        <v>9</v>
      </c>
      <c r="MX59" s="226"/>
      <c r="MY59" s="226"/>
      <c r="MZ59" s="226"/>
      <c r="NA59" s="226"/>
    </row>
    <row r="60" spans="1:365" ht="34" x14ac:dyDescent="0.2">
      <c r="A60" s="1216" t="s">
        <v>123</v>
      </c>
      <c r="B60" s="201" t="s">
        <v>124</v>
      </c>
      <c r="C60" s="202" t="s">
        <v>125</v>
      </c>
      <c r="D60" s="215" t="s">
        <v>117</v>
      </c>
      <c r="E60" s="322"/>
      <c r="F60" s="322"/>
      <c r="G60" s="305" t="s">
        <v>656</v>
      </c>
      <c r="H60" s="305" t="s">
        <v>656</v>
      </c>
      <c r="I60" s="322" t="s">
        <v>656</v>
      </c>
      <c r="J60" s="322" t="s">
        <v>656</v>
      </c>
      <c r="K60" s="322"/>
      <c r="L60" s="322">
        <v>1</v>
      </c>
      <c r="M60" s="467"/>
      <c r="N60" s="322"/>
      <c r="O60" s="322"/>
      <c r="P60" s="463"/>
      <c r="Q60" s="322"/>
      <c r="R60" s="322"/>
      <c r="S60" s="322">
        <v>1</v>
      </c>
      <c r="T60" s="322"/>
      <c r="U60" s="322">
        <v>1</v>
      </c>
      <c r="V60" s="322"/>
      <c r="W60" s="226"/>
      <c r="X60" s="226"/>
      <c r="Y60" s="226"/>
      <c r="Z60" s="226"/>
      <c r="AA60" s="226"/>
      <c r="AB60" s="226"/>
      <c r="AC60" s="226"/>
      <c r="AD60" s="226"/>
      <c r="AE60" s="226"/>
      <c r="AF60" s="322">
        <v>0</v>
      </c>
      <c r="AG60" s="225"/>
      <c r="AH60" s="226"/>
      <c r="AI60" s="322"/>
      <c r="AJ60" s="322"/>
      <c r="AK60" s="344"/>
      <c r="AL60" s="322">
        <v>1</v>
      </c>
      <c r="AM60" s="226"/>
      <c r="AN60" s="226"/>
      <c r="AO60" s="226"/>
      <c r="AP60" s="226"/>
      <c r="AQ60" s="322"/>
      <c r="AR60" s="322"/>
      <c r="AS60" s="322"/>
      <c r="AT60" s="322"/>
      <c r="AU60" s="322"/>
      <c r="AV60" s="322"/>
      <c r="AW60" s="322">
        <v>1</v>
      </c>
      <c r="AX60" s="322"/>
      <c r="AY60" s="344">
        <v>0</v>
      </c>
      <c r="AZ60" s="322">
        <v>0</v>
      </c>
      <c r="BA60" s="322">
        <v>2</v>
      </c>
      <c r="BB60" s="322"/>
      <c r="BC60" s="322"/>
      <c r="BD60" s="322">
        <v>2</v>
      </c>
      <c r="BE60" s="344"/>
      <c r="BF60" s="322"/>
      <c r="BG60" s="322">
        <v>2</v>
      </c>
      <c r="BH60" s="322" t="s">
        <v>470</v>
      </c>
      <c r="BI60" s="322">
        <v>1</v>
      </c>
      <c r="BJ60" s="322"/>
      <c r="BK60" s="322">
        <v>3</v>
      </c>
      <c r="BL60" s="322"/>
      <c r="BM60" s="322"/>
      <c r="BN60" s="226"/>
      <c r="BO60" s="322"/>
      <c r="BP60" s="322">
        <v>0</v>
      </c>
      <c r="BQ60" s="322"/>
      <c r="BR60" s="233" t="s">
        <v>117</v>
      </c>
      <c r="BS60" s="322" t="s">
        <v>656</v>
      </c>
      <c r="BT60" s="322"/>
      <c r="BU60" s="322">
        <v>0</v>
      </c>
      <c r="BV60" s="322"/>
      <c r="BW60" s="322">
        <v>0</v>
      </c>
      <c r="BX60" s="322"/>
      <c r="BY60" s="322"/>
      <c r="BZ60" s="322"/>
      <c r="CA60" s="322"/>
      <c r="CB60" s="322"/>
      <c r="CC60" s="322">
        <v>0</v>
      </c>
      <c r="CD60" s="344"/>
      <c r="CE60" s="344">
        <v>0</v>
      </c>
      <c r="CF60" s="344"/>
      <c r="CG60" s="344">
        <v>0</v>
      </c>
      <c r="CH60" s="344"/>
      <c r="CI60" s="344"/>
      <c r="CJ60" s="344">
        <v>0</v>
      </c>
      <c r="CK60" s="344"/>
      <c r="CL60" s="344"/>
      <c r="CM60" s="344"/>
      <c r="CN60" s="322"/>
      <c r="CO60" s="322">
        <v>2</v>
      </c>
      <c r="CP60" s="322"/>
      <c r="CQ60" s="464"/>
      <c r="CR60" s="465"/>
      <c r="CS60" s="322"/>
      <c r="CT60" s="322"/>
      <c r="CU60" s="322">
        <v>0</v>
      </c>
      <c r="CV60" s="322">
        <v>1</v>
      </c>
      <c r="CW60" s="322" t="s">
        <v>656</v>
      </c>
      <c r="CX60" s="322"/>
      <c r="CY60" s="322">
        <v>1</v>
      </c>
      <c r="CZ60" s="322">
        <v>0</v>
      </c>
      <c r="DA60" s="322">
        <v>3</v>
      </c>
      <c r="DB60" s="322"/>
      <c r="DC60" s="322">
        <v>1</v>
      </c>
      <c r="DD60" s="322"/>
      <c r="DE60" s="322">
        <v>1</v>
      </c>
      <c r="DF60" s="322">
        <v>0</v>
      </c>
      <c r="DG60" s="322">
        <v>0</v>
      </c>
      <c r="DH60" s="322">
        <v>0</v>
      </c>
      <c r="DI60" s="322">
        <v>0</v>
      </c>
      <c r="DJ60" s="322">
        <v>0</v>
      </c>
      <c r="DK60" s="322">
        <v>0</v>
      </c>
      <c r="DL60" s="322">
        <v>0</v>
      </c>
      <c r="DM60" s="322"/>
      <c r="DN60" s="322"/>
      <c r="DO60" s="322"/>
      <c r="DP60" s="322">
        <v>0</v>
      </c>
      <c r="DQ60" s="322">
        <v>0</v>
      </c>
      <c r="DR60" s="322">
        <v>0</v>
      </c>
      <c r="DS60" s="322">
        <v>0</v>
      </c>
      <c r="DT60" s="322">
        <v>0</v>
      </c>
      <c r="DU60" s="322">
        <v>0</v>
      </c>
      <c r="DV60" s="322">
        <v>0</v>
      </c>
      <c r="DW60" s="322">
        <v>0</v>
      </c>
      <c r="DX60" s="322"/>
      <c r="DY60" s="322"/>
      <c r="DZ60" s="322"/>
      <c r="EA60" s="322">
        <v>5</v>
      </c>
      <c r="EB60" s="322"/>
      <c r="EC60" s="226"/>
      <c r="ED60" s="322">
        <v>0</v>
      </c>
      <c r="EE60" s="322">
        <v>0</v>
      </c>
      <c r="EF60" s="322"/>
      <c r="EG60" s="226"/>
      <c r="EH60" s="322"/>
      <c r="EI60" s="322">
        <v>0</v>
      </c>
      <c r="EJ60" s="226"/>
      <c r="EK60" s="226"/>
      <c r="EL60" s="226"/>
      <c r="EM60" s="226"/>
      <c r="EN60" s="226"/>
      <c r="EO60" s="226"/>
      <c r="EP60" s="226"/>
      <c r="EQ60" s="226"/>
      <c r="ER60" s="322"/>
      <c r="ES60" s="322"/>
      <c r="ET60" s="322"/>
      <c r="EU60" s="322"/>
      <c r="EV60" s="322"/>
      <c r="EW60" s="322"/>
      <c r="EX60" s="322">
        <v>4</v>
      </c>
      <c r="EY60" s="322"/>
      <c r="EZ60" s="344"/>
      <c r="FA60" s="322">
        <v>0</v>
      </c>
      <c r="FB60" s="322"/>
      <c r="FC60" s="322"/>
      <c r="FD60" s="226"/>
      <c r="FE60" s="466"/>
      <c r="FF60" s="322">
        <v>0</v>
      </c>
      <c r="FG60" s="322">
        <v>0</v>
      </c>
      <c r="FH60" s="322">
        <v>0</v>
      </c>
      <c r="FI60" s="465" t="s">
        <v>656</v>
      </c>
      <c r="FJ60" s="465" t="s">
        <v>656</v>
      </c>
      <c r="FK60" s="465"/>
      <c r="FL60" s="465" t="s">
        <v>656</v>
      </c>
      <c r="FM60" s="322"/>
      <c r="FN60" s="322"/>
      <c r="FO60" s="465"/>
      <c r="FP60" s="465"/>
      <c r="FQ60" s="465"/>
      <c r="FR60" s="465"/>
      <c r="FS60" s="465"/>
      <c r="FT60" s="465"/>
      <c r="FU60" s="226"/>
      <c r="FV60" s="465"/>
      <c r="FW60" s="465">
        <v>3</v>
      </c>
      <c r="FX60" s="465"/>
      <c r="FY60" s="226"/>
      <c r="FZ60" s="465"/>
      <c r="GA60" s="465"/>
      <c r="GB60" s="465"/>
      <c r="GC60" s="465"/>
      <c r="GD60" s="465"/>
      <c r="GE60" s="465">
        <v>1</v>
      </c>
      <c r="GF60" s="465"/>
      <c r="GG60" s="465">
        <v>0</v>
      </c>
      <c r="GH60" s="465">
        <v>0</v>
      </c>
      <c r="GI60" s="226"/>
      <c r="GJ60" s="465"/>
      <c r="GK60" s="465">
        <v>2</v>
      </c>
      <c r="GL60" s="465">
        <v>2</v>
      </c>
      <c r="GM60" s="465"/>
      <c r="GN60" s="465"/>
      <c r="GO60" s="226"/>
      <c r="GP60" s="465"/>
      <c r="GQ60" s="226"/>
      <c r="GR60" s="465">
        <v>1</v>
      </c>
      <c r="GS60" s="465"/>
      <c r="GT60" s="465"/>
      <c r="GU60" s="465"/>
      <c r="GV60" s="465"/>
      <c r="GW60" s="226"/>
      <c r="GX60" s="322">
        <v>1</v>
      </c>
      <c r="GY60" s="322"/>
      <c r="GZ60" s="465"/>
      <c r="HA60" s="322">
        <v>3</v>
      </c>
      <c r="HB60" s="322">
        <v>1</v>
      </c>
      <c r="HC60" s="322"/>
      <c r="HD60" s="322"/>
      <c r="HE60" s="322">
        <v>0</v>
      </c>
      <c r="HF60" s="226"/>
      <c r="HG60" s="343" t="s">
        <v>656</v>
      </c>
      <c r="HH60" s="343" t="s">
        <v>656</v>
      </c>
      <c r="HI60" s="343" t="s">
        <v>656</v>
      </c>
      <c r="HJ60" s="322">
        <v>0</v>
      </c>
      <c r="HK60" s="343" t="s">
        <v>656</v>
      </c>
      <c r="HL60" s="226"/>
      <c r="HM60" s="322">
        <v>6</v>
      </c>
      <c r="HN60" s="226"/>
      <c r="HO60" s="322">
        <v>0</v>
      </c>
      <c r="HP60" s="322"/>
      <c r="HQ60" s="322"/>
      <c r="HR60" s="322"/>
      <c r="HS60" s="322"/>
      <c r="HT60" s="322"/>
      <c r="HU60" s="322"/>
      <c r="HV60" s="322"/>
      <c r="HW60" s="322">
        <v>0</v>
      </c>
      <c r="HX60" s="322"/>
      <c r="HY60" s="322"/>
      <c r="HZ60" s="322">
        <v>3</v>
      </c>
      <c r="IA60" s="322"/>
      <c r="IB60" s="322"/>
      <c r="IC60" s="322"/>
      <c r="ID60" s="322"/>
      <c r="IE60" s="322"/>
      <c r="IF60" s="322"/>
      <c r="IG60" s="322"/>
      <c r="IH60" s="344"/>
      <c r="II60" s="322"/>
      <c r="IJ60" s="322"/>
      <c r="IK60" s="322"/>
      <c r="IL60" s="322"/>
      <c r="IM60" s="322"/>
      <c r="IN60" s="322"/>
      <c r="IO60" s="322"/>
      <c r="IP60" s="322"/>
      <c r="IQ60" s="322"/>
      <c r="IR60" s="322">
        <v>0</v>
      </c>
      <c r="IS60" s="322"/>
      <c r="IT60" s="322"/>
      <c r="IU60" s="322"/>
      <c r="IV60" s="322"/>
      <c r="IW60" s="322"/>
      <c r="IX60" s="322"/>
      <c r="IY60" s="322">
        <v>0</v>
      </c>
      <c r="IZ60" s="322">
        <v>1</v>
      </c>
      <c r="JA60" s="322"/>
      <c r="JB60" s="322"/>
      <c r="JC60" s="322">
        <v>1</v>
      </c>
      <c r="JD60" s="322" t="s">
        <v>656</v>
      </c>
      <c r="JE60" s="226"/>
      <c r="JF60" s="226"/>
      <c r="JG60" s="226"/>
      <c r="JH60" s="322"/>
      <c r="JI60" s="322"/>
      <c r="JJ60" s="305" t="s">
        <v>656</v>
      </c>
      <c r="JK60" s="345"/>
      <c r="JL60" s="322"/>
      <c r="JM60" s="322">
        <v>0</v>
      </c>
      <c r="JN60" s="226"/>
      <c r="JO60" s="226"/>
      <c r="JP60" s="226"/>
      <c r="JQ60" s="322"/>
      <c r="JR60" s="322"/>
      <c r="JS60" s="322"/>
      <c r="JT60" s="322"/>
      <c r="JU60" s="322"/>
      <c r="JV60" s="322"/>
      <c r="JW60" s="322">
        <v>0</v>
      </c>
      <c r="JX60" s="322" t="s">
        <v>656</v>
      </c>
      <c r="JY60" s="322"/>
      <c r="JZ60" s="322">
        <v>0</v>
      </c>
      <c r="KA60" s="322"/>
      <c r="KB60" s="322"/>
      <c r="KC60" s="322"/>
      <c r="KD60" s="322"/>
      <c r="KE60" s="232"/>
      <c r="KF60" s="322"/>
      <c r="KG60" s="322" t="s">
        <v>470</v>
      </c>
      <c r="KH60" s="322">
        <v>0</v>
      </c>
      <c r="KI60" s="322">
        <v>0</v>
      </c>
      <c r="KJ60" s="322"/>
      <c r="KK60" s="322">
        <v>0</v>
      </c>
      <c r="KL60" s="322">
        <v>0</v>
      </c>
      <c r="KM60" s="322"/>
      <c r="KN60" s="322"/>
      <c r="KO60" s="322"/>
      <c r="KP60" s="322"/>
      <c r="KQ60" s="226"/>
      <c r="KR60" s="226"/>
      <c r="KS60" s="226"/>
      <c r="KT60" s="226"/>
      <c r="KU60" s="226"/>
      <c r="KV60" s="322" t="s">
        <v>656</v>
      </c>
      <c r="KW60" s="322"/>
      <c r="KX60" s="383"/>
      <c r="KY60" s="386"/>
      <c r="KZ60" s="322"/>
      <c r="LA60" s="322"/>
      <c r="LB60" s="322"/>
      <c r="LC60" s="322"/>
      <c r="LD60" s="322"/>
      <c r="LE60" s="322"/>
      <c r="LF60" s="322"/>
      <c r="LG60" s="322"/>
      <c r="LH60" s="322"/>
      <c r="LI60" s="322"/>
      <c r="LJ60" s="322"/>
      <c r="LK60" s="322"/>
      <c r="LL60" s="322"/>
      <c r="LM60" s="226"/>
      <c r="LN60" s="322">
        <v>0</v>
      </c>
      <c r="LO60" s="322">
        <v>0</v>
      </c>
      <c r="LP60" s="322">
        <v>0</v>
      </c>
      <c r="LQ60" s="322">
        <v>0</v>
      </c>
      <c r="LR60" s="322">
        <v>0</v>
      </c>
      <c r="LS60" s="322">
        <v>0</v>
      </c>
      <c r="LT60" s="346">
        <v>0</v>
      </c>
      <c r="LU60" s="322">
        <v>0</v>
      </c>
      <c r="LV60" s="322"/>
      <c r="LW60" s="322"/>
      <c r="LX60" s="322"/>
      <c r="LY60" s="322"/>
      <c r="LZ60" s="322"/>
      <c r="MA60" s="322"/>
      <c r="MB60" s="322"/>
      <c r="MC60" s="322">
        <v>0</v>
      </c>
      <c r="MD60" s="322">
        <v>0</v>
      </c>
      <c r="ME60" s="322">
        <v>0</v>
      </c>
      <c r="MF60" s="322">
        <v>0</v>
      </c>
      <c r="MG60" s="226"/>
      <c r="MH60" s="226"/>
      <c r="MI60" s="226"/>
      <c r="MJ60" s="347"/>
      <c r="MK60" s="347"/>
      <c r="ML60" s="347"/>
      <c r="MM60" s="347"/>
      <c r="MN60" s="348"/>
      <c r="MO60" s="348"/>
      <c r="MP60" s="348"/>
      <c r="MQ60" s="348"/>
      <c r="MR60" s="348"/>
      <c r="MS60" s="348"/>
      <c r="MT60" s="347"/>
      <c r="MU60" s="348"/>
      <c r="MV60" s="347"/>
      <c r="MW60" s="347"/>
      <c r="MX60" s="226"/>
      <c r="MY60" s="226"/>
      <c r="MZ60" s="226"/>
      <c r="NA60" s="226"/>
    </row>
    <row r="61" spans="1:365" ht="51" x14ac:dyDescent="0.2">
      <c r="A61" s="1216"/>
      <c r="B61" s="201" t="s">
        <v>126</v>
      </c>
      <c r="C61" s="202" t="s">
        <v>127</v>
      </c>
      <c r="D61" s="215" t="s">
        <v>117</v>
      </c>
      <c r="E61" s="322"/>
      <c r="F61" s="322">
        <v>1</v>
      </c>
      <c r="G61" s="305" t="s">
        <v>656</v>
      </c>
      <c r="H61" s="305" t="s">
        <v>656</v>
      </c>
      <c r="I61" s="322" t="s">
        <v>656</v>
      </c>
      <c r="J61" s="322" t="s">
        <v>656</v>
      </c>
      <c r="K61" s="322"/>
      <c r="L61" s="322"/>
      <c r="M61" s="467"/>
      <c r="N61" s="322"/>
      <c r="O61" s="322"/>
      <c r="P61" s="463"/>
      <c r="Q61" s="322"/>
      <c r="R61" s="322"/>
      <c r="S61" s="322"/>
      <c r="T61" s="322">
        <v>1</v>
      </c>
      <c r="U61" s="322"/>
      <c r="V61" s="322"/>
      <c r="W61" s="226"/>
      <c r="X61" s="226"/>
      <c r="Y61" s="226"/>
      <c r="Z61" s="226"/>
      <c r="AA61" s="226"/>
      <c r="AB61" s="226"/>
      <c r="AC61" s="226"/>
      <c r="AD61" s="226"/>
      <c r="AE61" s="226"/>
      <c r="AF61" s="322">
        <v>0</v>
      </c>
      <c r="AG61" s="225"/>
      <c r="AH61" s="226"/>
      <c r="AI61" s="322">
        <v>1</v>
      </c>
      <c r="AJ61" s="322">
        <v>1</v>
      </c>
      <c r="AK61" s="344">
        <v>1</v>
      </c>
      <c r="AL61" s="322"/>
      <c r="AM61" s="226"/>
      <c r="AN61" s="226"/>
      <c r="AO61" s="226"/>
      <c r="AP61" s="226"/>
      <c r="AQ61" s="322">
        <v>2</v>
      </c>
      <c r="AR61" s="322"/>
      <c r="AS61" s="322"/>
      <c r="AT61" s="322"/>
      <c r="AU61" s="322"/>
      <c r="AV61" s="322"/>
      <c r="AW61" s="322">
        <v>0</v>
      </c>
      <c r="AX61" s="322">
        <v>1</v>
      </c>
      <c r="AY61" s="344">
        <v>4</v>
      </c>
      <c r="AZ61" s="322">
        <v>3</v>
      </c>
      <c r="BA61" s="322">
        <v>2</v>
      </c>
      <c r="BB61" s="322"/>
      <c r="BC61" s="322">
        <v>1</v>
      </c>
      <c r="BD61" s="322"/>
      <c r="BE61" s="344">
        <v>1</v>
      </c>
      <c r="BF61" s="322"/>
      <c r="BG61" s="322"/>
      <c r="BH61" s="322">
        <v>1</v>
      </c>
      <c r="BI61" s="322">
        <v>5</v>
      </c>
      <c r="BJ61" s="322"/>
      <c r="BK61" s="322">
        <v>5</v>
      </c>
      <c r="BL61" s="322">
        <v>1</v>
      </c>
      <c r="BM61" s="322"/>
      <c r="BN61" s="226"/>
      <c r="BO61" s="322"/>
      <c r="BP61" s="322">
        <v>0</v>
      </c>
      <c r="BQ61" s="322"/>
      <c r="BR61" s="233">
        <v>1</v>
      </c>
      <c r="BS61" s="322">
        <v>1</v>
      </c>
      <c r="BT61" s="322"/>
      <c r="BU61" s="322">
        <v>1</v>
      </c>
      <c r="BV61" s="322"/>
      <c r="BW61" s="322">
        <v>0</v>
      </c>
      <c r="BX61" s="322"/>
      <c r="BY61" s="322">
        <v>2</v>
      </c>
      <c r="BZ61" s="322"/>
      <c r="CA61" s="322"/>
      <c r="CB61" s="322"/>
      <c r="CC61" s="322">
        <v>2</v>
      </c>
      <c r="CD61" s="344"/>
      <c r="CE61" s="344">
        <v>0</v>
      </c>
      <c r="CF61" s="344"/>
      <c r="CG61" s="344">
        <v>0</v>
      </c>
      <c r="CH61" s="344">
        <v>1</v>
      </c>
      <c r="CI61" s="344"/>
      <c r="CJ61" s="344">
        <v>0</v>
      </c>
      <c r="CK61" s="344"/>
      <c r="CL61" s="344"/>
      <c r="CM61" s="344"/>
      <c r="CN61" s="322">
        <v>1</v>
      </c>
      <c r="CO61" s="322">
        <v>0</v>
      </c>
      <c r="CP61" s="322"/>
      <c r="CQ61" s="464"/>
      <c r="CR61" s="465">
        <v>7</v>
      </c>
      <c r="CS61" s="322">
        <v>1</v>
      </c>
      <c r="CT61" s="322">
        <v>1</v>
      </c>
      <c r="CU61" s="322">
        <v>0</v>
      </c>
      <c r="CV61" s="322">
        <v>0</v>
      </c>
      <c r="CW61" s="322" t="s">
        <v>656</v>
      </c>
      <c r="CX61" s="322"/>
      <c r="CY61" s="322"/>
      <c r="CZ61" s="322">
        <v>0</v>
      </c>
      <c r="DA61" s="322">
        <v>212</v>
      </c>
      <c r="DB61" s="322"/>
      <c r="DC61" s="322">
        <v>0</v>
      </c>
      <c r="DD61" s="322"/>
      <c r="DE61" s="322"/>
      <c r="DF61" s="322">
        <v>0</v>
      </c>
      <c r="DG61" s="322">
        <v>0</v>
      </c>
      <c r="DH61" s="322">
        <v>1</v>
      </c>
      <c r="DI61" s="322">
        <v>0</v>
      </c>
      <c r="DJ61" s="322">
        <v>0</v>
      </c>
      <c r="DK61" s="322">
        <v>0</v>
      </c>
      <c r="DL61" s="322">
        <v>0</v>
      </c>
      <c r="DM61" s="322"/>
      <c r="DN61" s="322">
        <v>1</v>
      </c>
      <c r="DO61" s="322"/>
      <c r="DP61" s="322">
        <v>1</v>
      </c>
      <c r="DQ61" s="322">
        <v>1</v>
      </c>
      <c r="DR61" s="322">
        <v>0</v>
      </c>
      <c r="DS61" s="322">
        <v>0</v>
      </c>
      <c r="DT61" s="322">
        <v>0</v>
      </c>
      <c r="DU61" s="322">
        <v>0</v>
      </c>
      <c r="DV61" s="322">
        <v>0</v>
      </c>
      <c r="DW61" s="322">
        <v>0</v>
      </c>
      <c r="DX61" s="322"/>
      <c r="DY61" s="322"/>
      <c r="DZ61" s="322">
        <v>1</v>
      </c>
      <c r="EA61" s="322">
        <v>1</v>
      </c>
      <c r="EB61" s="322"/>
      <c r="EC61" s="226"/>
      <c r="ED61" s="322">
        <v>0</v>
      </c>
      <c r="EE61" s="322">
        <v>0</v>
      </c>
      <c r="EF61" s="322"/>
      <c r="EG61" s="226"/>
      <c r="EH61" s="322"/>
      <c r="EI61" s="322">
        <v>1</v>
      </c>
      <c r="EJ61" s="226"/>
      <c r="EK61" s="226"/>
      <c r="EL61" s="226"/>
      <c r="EM61" s="226"/>
      <c r="EN61" s="226"/>
      <c r="EO61" s="226"/>
      <c r="EP61" s="226"/>
      <c r="EQ61" s="226"/>
      <c r="ER61" s="322"/>
      <c r="ES61" s="322">
        <v>2</v>
      </c>
      <c r="ET61" s="322">
        <v>9</v>
      </c>
      <c r="EU61" s="322"/>
      <c r="EV61" s="322"/>
      <c r="EW61" s="322"/>
      <c r="EX61" s="322">
        <v>3</v>
      </c>
      <c r="EY61" s="322"/>
      <c r="EZ61" s="344"/>
      <c r="FA61" s="322">
        <v>0</v>
      </c>
      <c r="FB61" s="322"/>
      <c r="FC61" s="322"/>
      <c r="FD61" s="226"/>
      <c r="FE61" s="466"/>
      <c r="FF61" s="322">
        <v>0</v>
      </c>
      <c r="FG61" s="322">
        <v>0</v>
      </c>
      <c r="FH61" s="322">
        <v>0</v>
      </c>
      <c r="FI61" s="465">
        <v>1</v>
      </c>
      <c r="FJ61" s="465" t="s">
        <v>656</v>
      </c>
      <c r="FK61" s="465"/>
      <c r="FL61" s="465">
        <v>3</v>
      </c>
      <c r="FM61" s="322"/>
      <c r="FN61" s="322"/>
      <c r="FO61" s="465"/>
      <c r="FP61" s="465"/>
      <c r="FQ61" s="465">
        <v>3</v>
      </c>
      <c r="FR61" s="465"/>
      <c r="FS61" s="465"/>
      <c r="FT61" s="465"/>
      <c r="FU61" s="226"/>
      <c r="FV61" s="465"/>
      <c r="FW61" s="465"/>
      <c r="FX61" s="465"/>
      <c r="FY61" s="226"/>
      <c r="FZ61" s="465"/>
      <c r="GA61" s="465">
        <v>1</v>
      </c>
      <c r="GB61" s="465"/>
      <c r="GC61" s="465"/>
      <c r="GD61" s="465"/>
      <c r="GE61" s="465"/>
      <c r="GF61" s="465"/>
      <c r="GG61" s="465">
        <v>0</v>
      </c>
      <c r="GH61" s="465">
        <v>0</v>
      </c>
      <c r="GI61" s="226"/>
      <c r="GJ61" s="465"/>
      <c r="GK61" s="465"/>
      <c r="GL61" s="465">
        <v>1</v>
      </c>
      <c r="GM61" s="465"/>
      <c r="GN61" s="465"/>
      <c r="GO61" s="226"/>
      <c r="GP61" s="465"/>
      <c r="GQ61" s="226"/>
      <c r="GR61" s="465"/>
      <c r="GS61" s="465"/>
      <c r="GT61" s="465"/>
      <c r="GU61" s="465">
        <v>1</v>
      </c>
      <c r="GV61" s="465"/>
      <c r="GW61" s="226"/>
      <c r="GX61" s="322"/>
      <c r="GY61" s="322">
        <v>1</v>
      </c>
      <c r="GZ61" s="465"/>
      <c r="HA61" s="322">
        <v>2</v>
      </c>
      <c r="HB61" s="322"/>
      <c r="HC61" s="322"/>
      <c r="HD61" s="322"/>
      <c r="HE61" s="322">
        <v>0</v>
      </c>
      <c r="HF61" s="226"/>
      <c r="HG61" s="343" t="s">
        <v>656</v>
      </c>
      <c r="HH61" s="343">
        <v>1</v>
      </c>
      <c r="HI61" s="343" t="s">
        <v>656</v>
      </c>
      <c r="HJ61" s="322">
        <v>0</v>
      </c>
      <c r="HK61" s="343" t="s">
        <v>656</v>
      </c>
      <c r="HL61" s="226"/>
      <c r="HM61" s="322">
        <v>33</v>
      </c>
      <c r="HN61" s="226"/>
      <c r="HO61" s="322">
        <v>0</v>
      </c>
      <c r="HP61" s="322"/>
      <c r="HQ61" s="322"/>
      <c r="HR61" s="322">
        <v>1</v>
      </c>
      <c r="HS61" s="322"/>
      <c r="HT61" s="322"/>
      <c r="HU61" s="322"/>
      <c r="HV61" s="322"/>
      <c r="HW61" s="322">
        <v>0</v>
      </c>
      <c r="HX61" s="322"/>
      <c r="HY61" s="322"/>
      <c r="HZ61" s="322"/>
      <c r="IA61" s="322"/>
      <c r="IB61" s="322"/>
      <c r="IC61" s="322"/>
      <c r="ID61" s="322"/>
      <c r="IE61" s="322"/>
      <c r="IF61" s="322"/>
      <c r="IG61" s="322"/>
      <c r="IH61" s="344"/>
      <c r="II61" s="322"/>
      <c r="IJ61" s="322"/>
      <c r="IK61" s="322"/>
      <c r="IL61" s="322"/>
      <c r="IM61" s="322"/>
      <c r="IN61" s="322"/>
      <c r="IO61" s="322"/>
      <c r="IP61" s="322"/>
      <c r="IQ61" s="322"/>
      <c r="IR61" s="322">
        <v>0</v>
      </c>
      <c r="IS61" s="322"/>
      <c r="IT61" s="322"/>
      <c r="IU61" s="322"/>
      <c r="IV61" s="322"/>
      <c r="IW61" s="322"/>
      <c r="IX61" s="322"/>
      <c r="IY61" s="322">
        <v>0</v>
      </c>
      <c r="IZ61" s="322"/>
      <c r="JA61" s="322"/>
      <c r="JB61" s="322"/>
      <c r="JC61" s="322" t="s">
        <v>656</v>
      </c>
      <c r="JD61" s="322">
        <v>1</v>
      </c>
      <c r="JE61" s="226"/>
      <c r="JF61" s="226"/>
      <c r="JG61" s="226"/>
      <c r="JH61" s="322"/>
      <c r="JI61" s="322"/>
      <c r="JJ61" s="305" t="s">
        <v>656</v>
      </c>
      <c r="JK61" s="345"/>
      <c r="JL61" s="322"/>
      <c r="JM61" s="322">
        <v>0</v>
      </c>
      <c r="JN61" s="226"/>
      <c r="JO61" s="226"/>
      <c r="JP61" s="226"/>
      <c r="JQ61" s="322"/>
      <c r="JR61" s="322">
        <v>2</v>
      </c>
      <c r="JS61" s="322">
        <v>1</v>
      </c>
      <c r="JT61" s="322">
        <v>5</v>
      </c>
      <c r="JU61" s="322">
        <v>2</v>
      </c>
      <c r="JV61" s="322">
        <v>3</v>
      </c>
      <c r="JW61" s="322">
        <v>0</v>
      </c>
      <c r="JX61" s="322">
        <v>2</v>
      </c>
      <c r="JY61" s="322">
        <v>17</v>
      </c>
      <c r="JZ61" s="322">
        <v>1</v>
      </c>
      <c r="KA61" s="322"/>
      <c r="KB61" s="322"/>
      <c r="KC61" s="322">
        <v>2</v>
      </c>
      <c r="KD61" s="322">
        <v>1</v>
      </c>
      <c r="KE61" s="232"/>
      <c r="KF61" s="322"/>
      <c r="KG61" s="322" t="s">
        <v>470</v>
      </c>
      <c r="KH61" s="322">
        <v>2</v>
      </c>
      <c r="KI61" s="322">
        <v>0</v>
      </c>
      <c r="KJ61" s="322">
        <v>2</v>
      </c>
      <c r="KK61" s="322">
        <v>6</v>
      </c>
      <c r="KL61" s="322">
        <v>0</v>
      </c>
      <c r="KM61" s="322"/>
      <c r="KN61" s="322"/>
      <c r="KO61" s="322"/>
      <c r="KP61" s="322"/>
      <c r="KQ61" s="226"/>
      <c r="KR61" s="226"/>
      <c r="KS61" s="226"/>
      <c r="KT61" s="226"/>
      <c r="KU61" s="226"/>
      <c r="KV61" s="322" t="s">
        <v>656</v>
      </c>
      <c r="KW61" s="322">
        <v>1</v>
      </c>
      <c r="KX61" s="383"/>
      <c r="KY61" s="386"/>
      <c r="KZ61" s="322"/>
      <c r="LA61" s="322"/>
      <c r="LB61" s="322"/>
      <c r="LC61" s="322"/>
      <c r="LD61" s="322"/>
      <c r="LE61" s="322">
        <v>1</v>
      </c>
      <c r="LF61" s="322"/>
      <c r="LG61" s="322"/>
      <c r="LH61" s="322"/>
      <c r="LI61" s="322"/>
      <c r="LJ61" s="322"/>
      <c r="LK61" s="322"/>
      <c r="LL61" s="322">
        <v>1</v>
      </c>
      <c r="LM61" s="226"/>
      <c r="LN61" s="322">
        <v>0</v>
      </c>
      <c r="LO61" s="322">
        <v>0</v>
      </c>
      <c r="LP61" s="322">
        <v>0</v>
      </c>
      <c r="LQ61" s="322">
        <v>5</v>
      </c>
      <c r="LR61" s="322">
        <v>0</v>
      </c>
      <c r="LS61" s="322">
        <v>0</v>
      </c>
      <c r="LT61" s="346">
        <v>0</v>
      </c>
      <c r="LU61" s="322">
        <v>3</v>
      </c>
      <c r="LV61" s="322">
        <v>1</v>
      </c>
      <c r="LW61" s="322"/>
      <c r="LX61" s="322"/>
      <c r="LY61" s="322"/>
      <c r="LZ61" s="322">
        <v>2</v>
      </c>
      <c r="MA61" s="322"/>
      <c r="MB61" s="322"/>
      <c r="MC61" s="322">
        <v>0</v>
      </c>
      <c r="MD61" s="322">
        <v>0</v>
      </c>
      <c r="ME61" s="322">
        <v>0</v>
      </c>
      <c r="MF61" s="322">
        <v>1</v>
      </c>
      <c r="MG61" s="226"/>
      <c r="MH61" s="226"/>
      <c r="MI61" s="226"/>
      <c r="MJ61" s="347"/>
      <c r="MK61" s="347"/>
      <c r="ML61" s="347"/>
      <c r="MM61" s="347">
        <v>1</v>
      </c>
      <c r="MN61" s="348"/>
      <c r="MO61" s="348"/>
      <c r="MP61" s="348">
        <v>8</v>
      </c>
      <c r="MQ61" s="348"/>
      <c r="MR61" s="348"/>
      <c r="MS61" s="348"/>
      <c r="MT61" s="347">
        <v>1</v>
      </c>
      <c r="MU61" s="348">
        <v>4</v>
      </c>
      <c r="MV61" s="347">
        <v>1</v>
      </c>
      <c r="MW61" s="347"/>
      <c r="MX61" s="226"/>
      <c r="MY61" s="226"/>
      <c r="MZ61" s="226"/>
      <c r="NA61" s="226"/>
    </row>
    <row r="62" spans="1:365" ht="17" x14ac:dyDescent="0.2">
      <c r="A62" s="1216"/>
      <c r="B62" s="201" t="s">
        <v>128</v>
      </c>
      <c r="C62" s="202" t="s">
        <v>129</v>
      </c>
      <c r="D62" s="215" t="s">
        <v>117</v>
      </c>
      <c r="E62" s="322"/>
      <c r="F62" s="322"/>
      <c r="G62" s="305" t="s">
        <v>656</v>
      </c>
      <c r="H62" s="305" t="s">
        <v>656</v>
      </c>
      <c r="I62" s="322" t="s">
        <v>656</v>
      </c>
      <c r="J62" s="322" t="s">
        <v>656</v>
      </c>
      <c r="K62" s="322"/>
      <c r="L62" s="322"/>
      <c r="M62" s="467"/>
      <c r="N62" s="322"/>
      <c r="O62" s="322"/>
      <c r="P62" s="463"/>
      <c r="Q62" s="322"/>
      <c r="R62" s="322"/>
      <c r="S62" s="322">
        <v>2</v>
      </c>
      <c r="T62" s="322"/>
      <c r="U62" s="322"/>
      <c r="V62" s="322"/>
      <c r="W62" s="226"/>
      <c r="X62" s="226"/>
      <c r="Y62" s="226"/>
      <c r="Z62" s="226"/>
      <c r="AA62" s="226"/>
      <c r="AB62" s="226"/>
      <c r="AC62" s="226"/>
      <c r="AD62" s="226"/>
      <c r="AE62" s="226"/>
      <c r="AF62" s="322">
        <v>0</v>
      </c>
      <c r="AG62" s="225"/>
      <c r="AH62" s="226"/>
      <c r="AI62" s="322"/>
      <c r="AJ62" s="322"/>
      <c r="AK62" s="344"/>
      <c r="AL62" s="322"/>
      <c r="AM62" s="226"/>
      <c r="AN62" s="226"/>
      <c r="AO62" s="226"/>
      <c r="AP62" s="226"/>
      <c r="AQ62" s="322">
        <v>5</v>
      </c>
      <c r="AR62" s="322"/>
      <c r="AS62" s="322"/>
      <c r="AT62" s="322">
        <v>1</v>
      </c>
      <c r="AU62" s="322">
        <v>1</v>
      </c>
      <c r="AV62" s="322">
        <v>2</v>
      </c>
      <c r="AW62" s="322">
        <v>0</v>
      </c>
      <c r="AX62" s="322"/>
      <c r="AY62" s="344">
        <v>1</v>
      </c>
      <c r="AZ62" s="322">
        <v>0</v>
      </c>
      <c r="BA62" s="322"/>
      <c r="BB62" s="322"/>
      <c r="BC62" s="322"/>
      <c r="BD62" s="322"/>
      <c r="BE62" s="344"/>
      <c r="BF62" s="322"/>
      <c r="BG62" s="322"/>
      <c r="BH62" s="322">
        <v>2</v>
      </c>
      <c r="BI62" s="322" t="s">
        <v>656</v>
      </c>
      <c r="BJ62" s="322"/>
      <c r="BK62" s="322">
        <v>0</v>
      </c>
      <c r="BL62" s="322">
        <v>1</v>
      </c>
      <c r="BM62" s="322">
        <v>1</v>
      </c>
      <c r="BN62" s="226"/>
      <c r="BO62" s="322">
        <v>1</v>
      </c>
      <c r="BP62" s="322">
        <v>1</v>
      </c>
      <c r="BQ62" s="322"/>
      <c r="BR62" s="233" t="s">
        <v>117</v>
      </c>
      <c r="BS62" s="322" t="s">
        <v>656</v>
      </c>
      <c r="BT62" s="322"/>
      <c r="BU62" s="322">
        <v>1</v>
      </c>
      <c r="BV62" s="322">
        <v>1</v>
      </c>
      <c r="BW62" s="322">
        <v>1</v>
      </c>
      <c r="BX62" s="322"/>
      <c r="BY62" s="322"/>
      <c r="BZ62" s="322"/>
      <c r="CA62" s="322"/>
      <c r="CB62" s="322"/>
      <c r="CC62" s="322">
        <v>0</v>
      </c>
      <c r="CD62" s="344"/>
      <c r="CE62" s="344">
        <v>0</v>
      </c>
      <c r="CF62" s="344"/>
      <c r="CG62" s="344">
        <v>0</v>
      </c>
      <c r="CH62" s="344"/>
      <c r="CI62" s="344">
        <v>1</v>
      </c>
      <c r="CJ62" s="344">
        <v>0</v>
      </c>
      <c r="CK62" s="344"/>
      <c r="CL62" s="344"/>
      <c r="CM62" s="344"/>
      <c r="CN62" s="322"/>
      <c r="CO62" s="322">
        <v>0</v>
      </c>
      <c r="CP62" s="322"/>
      <c r="CQ62" s="464"/>
      <c r="CR62" s="465">
        <v>1</v>
      </c>
      <c r="CS62" s="322"/>
      <c r="CT62" s="322"/>
      <c r="CU62" s="322">
        <v>0</v>
      </c>
      <c r="CV62" s="322">
        <v>0</v>
      </c>
      <c r="CW62" s="322">
        <v>1</v>
      </c>
      <c r="CX62" s="322">
        <v>1</v>
      </c>
      <c r="CY62" s="322"/>
      <c r="CZ62" s="322">
        <v>0</v>
      </c>
      <c r="DA62" s="322">
        <v>38</v>
      </c>
      <c r="DB62" s="322"/>
      <c r="DC62" s="322">
        <v>0</v>
      </c>
      <c r="DD62" s="322"/>
      <c r="DE62" s="322">
        <v>1</v>
      </c>
      <c r="DF62" s="322">
        <v>0</v>
      </c>
      <c r="DG62" s="322">
        <v>0</v>
      </c>
      <c r="DH62" s="322">
        <v>0</v>
      </c>
      <c r="DI62" s="322">
        <v>0</v>
      </c>
      <c r="DJ62" s="322">
        <v>1</v>
      </c>
      <c r="DK62" s="322">
        <v>0</v>
      </c>
      <c r="DL62" s="322">
        <v>0</v>
      </c>
      <c r="DM62" s="322"/>
      <c r="DN62" s="322"/>
      <c r="DO62" s="322"/>
      <c r="DP62" s="322">
        <v>0</v>
      </c>
      <c r="DQ62" s="322">
        <v>0</v>
      </c>
      <c r="DR62" s="322">
        <v>0</v>
      </c>
      <c r="DS62" s="322">
        <v>0</v>
      </c>
      <c r="DT62" s="322">
        <v>0</v>
      </c>
      <c r="DU62" s="322">
        <v>0</v>
      </c>
      <c r="DV62" s="322">
        <v>0</v>
      </c>
      <c r="DW62" s="322">
        <v>0</v>
      </c>
      <c r="DX62" s="322"/>
      <c r="DY62" s="322"/>
      <c r="DZ62" s="322"/>
      <c r="EA62" s="322"/>
      <c r="EB62" s="322"/>
      <c r="EC62" s="226"/>
      <c r="ED62" s="322">
        <v>0</v>
      </c>
      <c r="EE62" s="322">
        <v>12</v>
      </c>
      <c r="EF62" s="322"/>
      <c r="EG62" s="226"/>
      <c r="EH62" s="322"/>
      <c r="EI62" s="322">
        <v>0</v>
      </c>
      <c r="EJ62" s="226"/>
      <c r="EK62" s="226"/>
      <c r="EL62" s="226"/>
      <c r="EM62" s="226"/>
      <c r="EN62" s="226"/>
      <c r="EO62" s="226"/>
      <c r="EP62" s="226"/>
      <c r="EQ62" s="226"/>
      <c r="ER62" s="322"/>
      <c r="ES62" s="322">
        <v>2</v>
      </c>
      <c r="ET62" s="322"/>
      <c r="EU62" s="322"/>
      <c r="EV62" s="322">
        <v>1</v>
      </c>
      <c r="EW62" s="322"/>
      <c r="EX62" s="322"/>
      <c r="EY62" s="322"/>
      <c r="EZ62" s="344"/>
      <c r="FA62" s="322">
        <v>0</v>
      </c>
      <c r="FB62" s="322"/>
      <c r="FC62" s="322"/>
      <c r="FD62" s="226"/>
      <c r="FE62" s="466"/>
      <c r="FF62" s="322">
        <v>0</v>
      </c>
      <c r="FG62" s="322">
        <v>0</v>
      </c>
      <c r="FH62" s="322">
        <v>0</v>
      </c>
      <c r="FI62" s="465" t="s">
        <v>656</v>
      </c>
      <c r="FJ62" s="465" t="s">
        <v>656</v>
      </c>
      <c r="FK62" s="465"/>
      <c r="FL62" s="465" t="s">
        <v>656</v>
      </c>
      <c r="FM62" s="322"/>
      <c r="FN62" s="322"/>
      <c r="FO62" s="465"/>
      <c r="FP62" s="465"/>
      <c r="FQ62" s="465"/>
      <c r="FR62" s="465"/>
      <c r="FS62" s="465"/>
      <c r="FT62" s="465"/>
      <c r="FU62" s="226"/>
      <c r="FV62" s="465"/>
      <c r="FW62" s="465"/>
      <c r="FX62" s="465"/>
      <c r="FY62" s="226"/>
      <c r="FZ62" s="465">
        <v>1</v>
      </c>
      <c r="GA62" s="465"/>
      <c r="GB62" s="465"/>
      <c r="GC62" s="465"/>
      <c r="GD62" s="465"/>
      <c r="GE62" s="465"/>
      <c r="GF62" s="465"/>
      <c r="GG62" s="465">
        <v>1</v>
      </c>
      <c r="GH62" s="465">
        <v>0</v>
      </c>
      <c r="GI62" s="226"/>
      <c r="GJ62" s="465"/>
      <c r="GK62" s="465"/>
      <c r="GL62" s="465"/>
      <c r="GM62" s="465"/>
      <c r="GN62" s="465"/>
      <c r="GO62" s="226"/>
      <c r="GP62" s="465"/>
      <c r="GQ62" s="226"/>
      <c r="GR62" s="465"/>
      <c r="GS62" s="465"/>
      <c r="GT62" s="465"/>
      <c r="GU62" s="465"/>
      <c r="GV62" s="465"/>
      <c r="GW62" s="226"/>
      <c r="GX62" s="322"/>
      <c r="GY62" s="322"/>
      <c r="GZ62" s="465"/>
      <c r="HA62" s="322"/>
      <c r="HB62" s="322">
        <v>1</v>
      </c>
      <c r="HC62" s="322"/>
      <c r="HD62" s="322"/>
      <c r="HE62" s="322">
        <v>0</v>
      </c>
      <c r="HF62" s="226"/>
      <c r="HG62" s="343" t="s">
        <v>656</v>
      </c>
      <c r="HH62" s="343">
        <v>2</v>
      </c>
      <c r="HI62" s="343" t="s">
        <v>656</v>
      </c>
      <c r="HJ62" s="322">
        <v>0</v>
      </c>
      <c r="HK62" s="343" t="s">
        <v>656</v>
      </c>
      <c r="HL62" s="226"/>
      <c r="HM62" s="322">
        <v>3</v>
      </c>
      <c r="HN62" s="226"/>
      <c r="HO62" s="322">
        <v>0</v>
      </c>
      <c r="HP62" s="322"/>
      <c r="HQ62" s="322"/>
      <c r="HR62" s="322"/>
      <c r="HS62" s="322"/>
      <c r="HT62" s="322"/>
      <c r="HU62" s="322"/>
      <c r="HV62" s="322"/>
      <c r="HW62" s="322">
        <v>0</v>
      </c>
      <c r="HX62" s="322"/>
      <c r="HY62" s="322"/>
      <c r="HZ62" s="322"/>
      <c r="IA62" s="322"/>
      <c r="IB62" s="322"/>
      <c r="IC62" s="322"/>
      <c r="ID62" s="322"/>
      <c r="IE62" s="322"/>
      <c r="IF62" s="322"/>
      <c r="IG62" s="322"/>
      <c r="IH62" s="344"/>
      <c r="II62" s="322"/>
      <c r="IJ62" s="322"/>
      <c r="IK62" s="322"/>
      <c r="IL62" s="322"/>
      <c r="IM62" s="322"/>
      <c r="IN62" s="322"/>
      <c r="IO62" s="322"/>
      <c r="IP62" s="322"/>
      <c r="IQ62" s="322"/>
      <c r="IR62" s="322">
        <v>0</v>
      </c>
      <c r="IS62" s="322"/>
      <c r="IT62" s="322"/>
      <c r="IU62" s="322"/>
      <c r="IV62" s="322">
        <v>1</v>
      </c>
      <c r="IW62" s="322"/>
      <c r="IX62" s="322"/>
      <c r="IY62" s="322">
        <v>0</v>
      </c>
      <c r="IZ62" s="322"/>
      <c r="JA62" s="322"/>
      <c r="JB62" s="322"/>
      <c r="JC62" s="322">
        <v>1</v>
      </c>
      <c r="JD62" s="322" t="s">
        <v>656</v>
      </c>
      <c r="JE62" s="226"/>
      <c r="JF62" s="226"/>
      <c r="JG62" s="226"/>
      <c r="JH62" s="322"/>
      <c r="JI62" s="322"/>
      <c r="JJ62" s="305" t="s">
        <v>656</v>
      </c>
      <c r="JK62" s="345"/>
      <c r="JL62" s="322"/>
      <c r="JM62" s="322">
        <v>0</v>
      </c>
      <c r="JN62" s="226"/>
      <c r="JO62" s="226"/>
      <c r="JP62" s="226"/>
      <c r="JQ62" s="322"/>
      <c r="JR62" s="322"/>
      <c r="JS62" s="322"/>
      <c r="JT62" s="322"/>
      <c r="JU62" s="322">
        <v>4</v>
      </c>
      <c r="JV62" s="322"/>
      <c r="JW62" s="322">
        <v>0</v>
      </c>
      <c r="JX62" s="322" t="s">
        <v>656</v>
      </c>
      <c r="JY62" s="322"/>
      <c r="JZ62" s="322">
        <v>0</v>
      </c>
      <c r="KA62" s="322"/>
      <c r="KB62" s="322"/>
      <c r="KC62" s="322"/>
      <c r="KD62" s="322"/>
      <c r="KE62" s="232"/>
      <c r="KF62" s="322"/>
      <c r="KG62" s="322" t="s">
        <v>470</v>
      </c>
      <c r="KH62" s="322">
        <v>1</v>
      </c>
      <c r="KI62" s="322">
        <v>0</v>
      </c>
      <c r="KJ62" s="322"/>
      <c r="KK62" s="322">
        <v>0</v>
      </c>
      <c r="KL62" s="322">
        <v>3</v>
      </c>
      <c r="KM62" s="322">
        <v>1</v>
      </c>
      <c r="KN62" s="322"/>
      <c r="KO62" s="322"/>
      <c r="KP62" s="322"/>
      <c r="KQ62" s="226"/>
      <c r="KR62" s="226"/>
      <c r="KS62" s="226"/>
      <c r="KT62" s="226"/>
      <c r="KU62" s="226"/>
      <c r="KV62" s="322" t="s">
        <v>656</v>
      </c>
      <c r="KW62" s="322"/>
      <c r="KX62" s="383"/>
      <c r="KY62" s="386">
        <v>1</v>
      </c>
      <c r="KZ62" s="322"/>
      <c r="LA62" s="322"/>
      <c r="LB62" s="322"/>
      <c r="LC62" s="322"/>
      <c r="LD62" s="322"/>
      <c r="LE62" s="322"/>
      <c r="LF62" s="322">
        <v>1</v>
      </c>
      <c r="LG62" s="322"/>
      <c r="LH62" s="322"/>
      <c r="LI62" s="322"/>
      <c r="LJ62" s="322"/>
      <c r="LK62" s="322"/>
      <c r="LL62" s="322">
        <v>1</v>
      </c>
      <c r="LM62" s="226"/>
      <c r="LN62" s="322">
        <v>0</v>
      </c>
      <c r="LO62" s="322">
        <v>0</v>
      </c>
      <c r="LP62" s="322">
        <v>0</v>
      </c>
      <c r="LQ62" s="322">
        <v>0</v>
      </c>
      <c r="LR62" s="322">
        <v>0</v>
      </c>
      <c r="LS62" s="322">
        <v>0</v>
      </c>
      <c r="LT62" s="346">
        <v>0</v>
      </c>
      <c r="LU62" s="322">
        <v>1</v>
      </c>
      <c r="LV62" s="322"/>
      <c r="LW62" s="322"/>
      <c r="LX62" s="322"/>
      <c r="LY62" s="322"/>
      <c r="LZ62" s="322">
        <v>1</v>
      </c>
      <c r="MA62" s="322"/>
      <c r="MB62" s="322"/>
      <c r="MC62" s="322">
        <v>0</v>
      </c>
      <c r="MD62" s="322">
        <v>0</v>
      </c>
      <c r="ME62" s="322">
        <v>0</v>
      </c>
      <c r="MF62" s="322">
        <v>0</v>
      </c>
      <c r="MG62" s="226"/>
      <c r="MH62" s="226"/>
      <c r="MI62" s="226"/>
      <c r="MJ62" s="347"/>
      <c r="MK62" s="347"/>
      <c r="ML62" s="347"/>
      <c r="MM62" s="347"/>
      <c r="MN62" s="348"/>
      <c r="MO62" s="348"/>
      <c r="MP62" s="348"/>
      <c r="MQ62" s="348"/>
      <c r="MR62" s="348"/>
      <c r="MS62" s="348"/>
      <c r="MT62" s="347"/>
      <c r="MU62" s="348"/>
      <c r="MV62" s="347"/>
      <c r="MW62" s="347"/>
      <c r="MX62" s="226"/>
      <c r="MY62" s="226"/>
      <c r="MZ62" s="226"/>
      <c r="NA62" s="226"/>
    </row>
    <row r="63" spans="1:365" ht="17" x14ac:dyDescent="0.2">
      <c r="A63" s="1216"/>
      <c r="B63" s="201" t="s">
        <v>130</v>
      </c>
      <c r="C63" s="202" t="s">
        <v>131</v>
      </c>
      <c r="D63" s="215" t="s">
        <v>117</v>
      </c>
      <c r="E63" s="322"/>
      <c r="F63" s="322"/>
      <c r="G63" s="305" t="s">
        <v>656</v>
      </c>
      <c r="H63" s="305" t="s">
        <v>656</v>
      </c>
      <c r="I63" s="322" t="s">
        <v>656</v>
      </c>
      <c r="J63" s="322" t="s">
        <v>656</v>
      </c>
      <c r="K63" s="322"/>
      <c r="L63" s="322"/>
      <c r="M63" s="467"/>
      <c r="N63" s="322"/>
      <c r="O63" s="322"/>
      <c r="P63" s="463"/>
      <c r="Q63" s="322"/>
      <c r="R63" s="322"/>
      <c r="S63" s="322"/>
      <c r="T63" s="322"/>
      <c r="U63" s="322"/>
      <c r="V63" s="322"/>
      <c r="W63" s="226"/>
      <c r="X63" s="226"/>
      <c r="Y63" s="226"/>
      <c r="Z63" s="226"/>
      <c r="AA63" s="226"/>
      <c r="AB63" s="226"/>
      <c r="AC63" s="226"/>
      <c r="AD63" s="226"/>
      <c r="AE63" s="226"/>
      <c r="AF63" s="322">
        <v>0</v>
      </c>
      <c r="AG63" s="225"/>
      <c r="AH63" s="226"/>
      <c r="AI63" s="322"/>
      <c r="AJ63" s="322"/>
      <c r="AK63" s="344"/>
      <c r="AL63" s="322"/>
      <c r="AM63" s="226"/>
      <c r="AN63" s="226"/>
      <c r="AO63" s="226"/>
      <c r="AP63" s="226"/>
      <c r="AQ63" s="322"/>
      <c r="AR63" s="322"/>
      <c r="AS63" s="322"/>
      <c r="AT63" s="322"/>
      <c r="AU63" s="322"/>
      <c r="AV63" s="322"/>
      <c r="AW63" s="322">
        <v>0</v>
      </c>
      <c r="AX63" s="322"/>
      <c r="AY63" s="344">
        <v>0</v>
      </c>
      <c r="AZ63" s="322">
        <v>0</v>
      </c>
      <c r="BA63" s="322"/>
      <c r="BB63" s="322"/>
      <c r="BC63" s="322"/>
      <c r="BD63" s="322">
        <v>1</v>
      </c>
      <c r="BE63" s="344"/>
      <c r="BF63" s="322"/>
      <c r="BG63" s="322"/>
      <c r="BH63" s="322">
        <v>1</v>
      </c>
      <c r="BI63" s="322">
        <v>1</v>
      </c>
      <c r="BJ63" s="322"/>
      <c r="BK63" s="322">
        <v>0</v>
      </c>
      <c r="BL63" s="322">
        <v>1</v>
      </c>
      <c r="BM63" s="322"/>
      <c r="BN63" s="226"/>
      <c r="BO63" s="322"/>
      <c r="BP63" s="322">
        <v>0</v>
      </c>
      <c r="BQ63" s="322"/>
      <c r="BR63" s="233" t="s">
        <v>117</v>
      </c>
      <c r="BS63" s="322" t="s">
        <v>656</v>
      </c>
      <c r="BT63" s="322"/>
      <c r="BU63" s="322">
        <v>0</v>
      </c>
      <c r="BV63" s="322"/>
      <c r="BW63" s="322">
        <v>0</v>
      </c>
      <c r="BX63" s="322"/>
      <c r="BY63" s="322"/>
      <c r="BZ63" s="322"/>
      <c r="CA63" s="322"/>
      <c r="CB63" s="322"/>
      <c r="CC63" s="322">
        <v>0</v>
      </c>
      <c r="CD63" s="344"/>
      <c r="CE63" s="344">
        <v>0</v>
      </c>
      <c r="CF63" s="344"/>
      <c r="CG63" s="344">
        <v>0</v>
      </c>
      <c r="CH63" s="344"/>
      <c r="CI63" s="344"/>
      <c r="CJ63" s="344">
        <v>0</v>
      </c>
      <c r="CK63" s="344"/>
      <c r="CL63" s="344"/>
      <c r="CM63" s="344"/>
      <c r="CN63" s="322"/>
      <c r="CO63" s="322">
        <v>0</v>
      </c>
      <c r="CP63" s="322"/>
      <c r="CQ63" s="464"/>
      <c r="CR63" s="465"/>
      <c r="CS63" s="322"/>
      <c r="CT63" s="322"/>
      <c r="CU63" s="322">
        <v>0</v>
      </c>
      <c r="CV63" s="322">
        <v>0</v>
      </c>
      <c r="CW63" s="322" t="s">
        <v>656</v>
      </c>
      <c r="CX63" s="322"/>
      <c r="CY63" s="322"/>
      <c r="CZ63" s="322">
        <v>0</v>
      </c>
      <c r="DA63" s="322">
        <v>3</v>
      </c>
      <c r="DB63" s="322"/>
      <c r="DC63" s="322">
        <v>0</v>
      </c>
      <c r="DD63" s="322"/>
      <c r="DE63" s="322"/>
      <c r="DF63" s="322">
        <v>0</v>
      </c>
      <c r="DG63" s="322">
        <v>0</v>
      </c>
      <c r="DH63" s="322">
        <v>0</v>
      </c>
      <c r="DI63" s="322">
        <v>0</v>
      </c>
      <c r="DJ63" s="322">
        <v>0</v>
      </c>
      <c r="DK63" s="322">
        <v>0</v>
      </c>
      <c r="DL63" s="322">
        <v>0</v>
      </c>
      <c r="DM63" s="322"/>
      <c r="DN63" s="322"/>
      <c r="DO63" s="322"/>
      <c r="DP63" s="322">
        <v>0</v>
      </c>
      <c r="DQ63" s="322">
        <v>0</v>
      </c>
      <c r="DR63" s="322">
        <v>0</v>
      </c>
      <c r="DS63" s="322">
        <v>0</v>
      </c>
      <c r="DT63" s="322">
        <v>0</v>
      </c>
      <c r="DU63" s="322">
        <v>0</v>
      </c>
      <c r="DV63" s="322">
        <v>0</v>
      </c>
      <c r="DW63" s="322">
        <v>0</v>
      </c>
      <c r="DX63" s="322"/>
      <c r="DY63" s="322"/>
      <c r="DZ63" s="322"/>
      <c r="EA63" s="322"/>
      <c r="EB63" s="322"/>
      <c r="EC63" s="226"/>
      <c r="ED63" s="322">
        <v>0</v>
      </c>
      <c r="EE63" s="322">
        <v>0</v>
      </c>
      <c r="EF63" s="322"/>
      <c r="EG63" s="226"/>
      <c r="EH63" s="322"/>
      <c r="EI63" s="322">
        <v>0</v>
      </c>
      <c r="EJ63" s="226"/>
      <c r="EK63" s="226"/>
      <c r="EL63" s="226"/>
      <c r="EM63" s="226"/>
      <c r="EN63" s="226"/>
      <c r="EO63" s="226"/>
      <c r="EP63" s="226"/>
      <c r="EQ63" s="226"/>
      <c r="ER63" s="322"/>
      <c r="ES63" s="322"/>
      <c r="ET63" s="322"/>
      <c r="EU63" s="322"/>
      <c r="EV63" s="322"/>
      <c r="EW63" s="322"/>
      <c r="EX63" s="322"/>
      <c r="EY63" s="322"/>
      <c r="EZ63" s="344"/>
      <c r="FA63" s="322">
        <v>0</v>
      </c>
      <c r="FB63" s="322"/>
      <c r="FC63" s="322"/>
      <c r="FD63" s="226"/>
      <c r="FE63" s="466"/>
      <c r="FF63" s="322">
        <v>0</v>
      </c>
      <c r="FG63" s="322">
        <v>0</v>
      </c>
      <c r="FH63" s="322">
        <v>0</v>
      </c>
      <c r="FI63" s="465" t="s">
        <v>656</v>
      </c>
      <c r="FJ63" s="465" t="s">
        <v>656</v>
      </c>
      <c r="FK63" s="465"/>
      <c r="FL63" s="465" t="s">
        <v>656</v>
      </c>
      <c r="FM63" s="322"/>
      <c r="FN63" s="322"/>
      <c r="FO63" s="465"/>
      <c r="FP63" s="465"/>
      <c r="FQ63" s="465"/>
      <c r="FR63" s="465"/>
      <c r="FS63" s="465"/>
      <c r="FT63" s="465"/>
      <c r="FU63" s="226"/>
      <c r="FV63" s="465"/>
      <c r="FW63" s="465"/>
      <c r="FX63" s="465"/>
      <c r="FY63" s="226"/>
      <c r="FZ63" s="465"/>
      <c r="GA63" s="465"/>
      <c r="GB63" s="465"/>
      <c r="GC63" s="465"/>
      <c r="GD63" s="465"/>
      <c r="GE63" s="465"/>
      <c r="GF63" s="465"/>
      <c r="GG63" s="465">
        <v>0</v>
      </c>
      <c r="GH63" s="465">
        <v>0</v>
      </c>
      <c r="GI63" s="226"/>
      <c r="GJ63" s="465"/>
      <c r="GK63" s="465">
        <v>2</v>
      </c>
      <c r="GL63" s="465"/>
      <c r="GM63" s="465"/>
      <c r="GN63" s="465"/>
      <c r="GO63" s="226"/>
      <c r="GP63" s="465"/>
      <c r="GQ63" s="226"/>
      <c r="GR63" s="465"/>
      <c r="GS63" s="465"/>
      <c r="GT63" s="465"/>
      <c r="GU63" s="465"/>
      <c r="GV63" s="465"/>
      <c r="GW63" s="226"/>
      <c r="GX63" s="322"/>
      <c r="GY63" s="322"/>
      <c r="GZ63" s="465"/>
      <c r="HA63" s="322"/>
      <c r="HB63" s="322"/>
      <c r="HC63" s="322"/>
      <c r="HD63" s="322"/>
      <c r="HE63" s="322">
        <v>0</v>
      </c>
      <c r="HF63" s="226"/>
      <c r="HG63" s="343" t="s">
        <v>656</v>
      </c>
      <c r="HH63" s="343" t="s">
        <v>656</v>
      </c>
      <c r="HI63" s="343" t="s">
        <v>656</v>
      </c>
      <c r="HJ63" s="322">
        <v>0</v>
      </c>
      <c r="HK63" s="343" t="s">
        <v>656</v>
      </c>
      <c r="HL63" s="226"/>
      <c r="HM63" s="322"/>
      <c r="HN63" s="226"/>
      <c r="HO63" s="322">
        <v>0</v>
      </c>
      <c r="HP63" s="322"/>
      <c r="HQ63" s="322"/>
      <c r="HR63" s="322"/>
      <c r="HS63" s="322"/>
      <c r="HT63" s="322"/>
      <c r="HU63" s="322"/>
      <c r="HV63" s="322"/>
      <c r="HW63" s="322">
        <v>0</v>
      </c>
      <c r="HX63" s="322"/>
      <c r="HY63" s="322"/>
      <c r="HZ63" s="322"/>
      <c r="IA63" s="322"/>
      <c r="IB63" s="322"/>
      <c r="IC63" s="322"/>
      <c r="ID63" s="322"/>
      <c r="IE63" s="322"/>
      <c r="IF63" s="322"/>
      <c r="IG63" s="322"/>
      <c r="IH63" s="344"/>
      <c r="II63" s="322"/>
      <c r="IJ63" s="322"/>
      <c r="IK63" s="322"/>
      <c r="IL63" s="322"/>
      <c r="IM63" s="322"/>
      <c r="IN63" s="322"/>
      <c r="IO63" s="322"/>
      <c r="IP63" s="322"/>
      <c r="IQ63" s="322"/>
      <c r="IR63" s="322">
        <v>0</v>
      </c>
      <c r="IS63" s="322"/>
      <c r="IT63" s="322"/>
      <c r="IU63" s="322"/>
      <c r="IV63" s="322"/>
      <c r="IW63" s="322"/>
      <c r="IX63" s="322"/>
      <c r="IY63" s="322">
        <v>0</v>
      </c>
      <c r="IZ63" s="322"/>
      <c r="JA63" s="322"/>
      <c r="JB63" s="322"/>
      <c r="JC63" s="322" t="s">
        <v>656</v>
      </c>
      <c r="JD63" s="322" t="s">
        <v>656</v>
      </c>
      <c r="JE63" s="226"/>
      <c r="JF63" s="226"/>
      <c r="JG63" s="226"/>
      <c r="JH63" s="322"/>
      <c r="JI63" s="322"/>
      <c r="JJ63" s="305" t="s">
        <v>656</v>
      </c>
      <c r="JK63" s="345"/>
      <c r="JL63" s="322"/>
      <c r="JM63" s="322">
        <v>0</v>
      </c>
      <c r="JN63" s="226"/>
      <c r="JO63" s="226"/>
      <c r="JP63" s="226"/>
      <c r="JQ63" s="322"/>
      <c r="JR63" s="322"/>
      <c r="JS63" s="322"/>
      <c r="JT63" s="322"/>
      <c r="JU63" s="322"/>
      <c r="JV63" s="322"/>
      <c r="JW63" s="322">
        <v>0</v>
      </c>
      <c r="JX63" s="322" t="s">
        <v>656</v>
      </c>
      <c r="JY63" s="322"/>
      <c r="JZ63" s="322">
        <v>0</v>
      </c>
      <c r="KA63" s="322"/>
      <c r="KB63" s="322"/>
      <c r="KC63" s="322"/>
      <c r="KD63" s="322"/>
      <c r="KE63" s="232"/>
      <c r="KF63" s="322"/>
      <c r="KG63" s="322" t="s">
        <v>470</v>
      </c>
      <c r="KH63" s="322">
        <v>0</v>
      </c>
      <c r="KI63" s="322">
        <v>0</v>
      </c>
      <c r="KJ63" s="322"/>
      <c r="KK63" s="322">
        <v>0</v>
      </c>
      <c r="KL63" s="322">
        <v>0</v>
      </c>
      <c r="KM63" s="322"/>
      <c r="KN63" s="322"/>
      <c r="KO63" s="322"/>
      <c r="KP63" s="322"/>
      <c r="KQ63" s="226"/>
      <c r="KR63" s="226"/>
      <c r="KS63" s="226"/>
      <c r="KT63" s="226"/>
      <c r="KU63" s="226"/>
      <c r="KV63" s="322" t="s">
        <v>656</v>
      </c>
      <c r="KW63" s="322"/>
      <c r="KX63" s="383"/>
      <c r="KY63" s="386"/>
      <c r="KZ63" s="322"/>
      <c r="LA63" s="322"/>
      <c r="LB63" s="322"/>
      <c r="LC63" s="322"/>
      <c r="LD63" s="322"/>
      <c r="LE63" s="322"/>
      <c r="LF63" s="322"/>
      <c r="LG63" s="322"/>
      <c r="LH63" s="322"/>
      <c r="LI63" s="322"/>
      <c r="LJ63" s="322"/>
      <c r="LK63" s="322"/>
      <c r="LL63" s="322"/>
      <c r="LM63" s="226"/>
      <c r="LN63" s="322">
        <v>0</v>
      </c>
      <c r="LO63" s="322">
        <v>0</v>
      </c>
      <c r="LP63" s="322">
        <v>0</v>
      </c>
      <c r="LQ63" s="322">
        <v>0</v>
      </c>
      <c r="LR63" s="322">
        <v>0</v>
      </c>
      <c r="LS63" s="322">
        <v>0</v>
      </c>
      <c r="LT63" s="346">
        <v>0</v>
      </c>
      <c r="LU63" s="322">
        <v>1</v>
      </c>
      <c r="LV63" s="322"/>
      <c r="LW63" s="322"/>
      <c r="LX63" s="322"/>
      <c r="LY63" s="322"/>
      <c r="LZ63" s="322"/>
      <c r="MA63" s="322"/>
      <c r="MB63" s="322">
        <v>1</v>
      </c>
      <c r="MC63" s="322">
        <v>0</v>
      </c>
      <c r="MD63" s="322">
        <v>0</v>
      </c>
      <c r="ME63" s="322">
        <v>0</v>
      </c>
      <c r="MF63" s="322">
        <v>0</v>
      </c>
      <c r="MG63" s="226"/>
      <c r="MH63" s="226"/>
      <c r="MI63" s="226"/>
      <c r="MJ63" s="347"/>
      <c r="MK63" s="347"/>
      <c r="ML63" s="347"/>
      <c r="MM63" s="347"/>
      <c r="MN63" s="348"/>
      <c r="MO63" s="348"/>
      <c r="MP63" s="348"/>
      <c r="MQ63" s="348"/>
      <c r="MR63" s="348"/>
      <c r="MS63" s="348"/>
      <c r="MT63" s="347"/>
      <c r="MU63" s="348"/>
      <c r="MV63" s="347"/>
      <c r="MW63" s="347"/>
      <c r="MX63" s="226"/>
      <c r="MY63" s="226"/>
      <c r="MZ63" s="226"/>
      <c r="NA63" s="226"/>
    </row>
    <row r="64" spans="1:365" ht="34" x14ac:dyDescent="0.2">
      <c r="A64" s="1216"/>
      <c r="B64" s="201" t="s">
        <v>132</v>
      </c>
      <c r="C64" s="202" t="s">
        <v>133</v>
      </c>
      <c r="D64" s="215" t="s">
        <v>117</v>
      </c>
      <c r="E64" s="322"/>
      <c r="F64" s="322"/>
      <c r="G64" s="305" t="s">
        <v>656</v>
      </c>
      <c r="H64" s="305" t="s">
        <v>656</v>
      </c>
      <c r="I64" s="322" t="s">
        <v>656</v>
      </c>
      <c r="J64" s="322" t="s">
        <v>656</v>
      </c>
      <c r="K64" s="322"/>
      <c r="L64" s="322"/>
      <c r="M64" s="467"/>
      <c r="N64" s="322"/>
      <c r="O64" s="322"/>
      <c r="P64" s="463"/>
      <c r="Q64" s="322"/>
      <c r="R64" s="322"/>
      <c r="S64" s="322"/>
      <c r="T64" s="322"/>
      <c r="U64" s="322"/>
      <c r="V64" s="322"/>
      <c r="W64" s="226"/>
      <c r="X64" s="226"/>
      <c r="Y64" s="226"/>
      <c r="Z64" s="226"/>
      <c r="AA64" s="226"/>
      <c r="AB64" s="226"/>
      <c r="AC64" s="226"/>
      <c r="AD64" s="226"/>
      <c r="AE64" s="226"/>
      <c r="AF64" s="322">
        <v>0</v>
      </c>
      <c r="AG64" s="225"/>
      <c r="AH64" s="226"/>
      <c r="AI64" s="322"/>
      <c r="AJ64" s="322"/>
      <c r="AK64" s="344"/>
      <c r="AL64" s="322"/>
      <c r="AM64" s="226"/>
      <c r="AN64" s="226"/>
      <c r="AO64" s="226"/>
      <c r="AP64" s="226"/>
      <c r="AQ64" s="322"/>
      <c r="AR64" s="322"/>
      <c r="AS64" s="322"/>
      <c r="AT64" s="322">
        <v>1</v>
      </c>
      <c r="AU64" s="322"/>
      <c r="AV64" s="322"/>
      <c r="AW64" s="322">
        <v>0</v>
      </c>
      <c r="AX64" s="322"/>
      <c r="AY64" s="344">
        <v>0</v>
      </c>
      <c r="AZ64" s="322">
        <v>0</v>
      </c>
      <c r="BA64" s="322"/>
      <c r="BB64" s="322">
        <v>1</v>
      </c>
      <c r="BC64" s="322"/>
      <c r="BD64" s="322"/>
      <c r="BE64" s="344"/>
      <c r="BF64" s="322"/>
      <c r="BG64" s="322"/>
      <c r="BH64" s="322" t="s">
        <v>470</v>
      </c>
      <c r="BI64" s="322">
        <v>2</v>
      </c>
      <c r="BJ64" s="322"/>
      <c r="BK64" s="322">
        <v>0</v>
      </c>
      <c r="BL64" s="322"/>
      <c r="BM64" s="322"/>
      <c r="BN64" s="226"/>
      <c r="BO64" s="322"/>
      <c r="BP64" s="322">
        <v>0</v>
      </c>
      <c r="BQ64" s="322"/>
      <c r="BR64" s="233" t="s">
        <v>117</v>
      </c>
      <c r="BS64" s="322" t="s">
        <v>656</v>
      </c>
      <c r="BT64" s="322"/>
      <c r="BU64" s="322">
        <v>0</v>
      </c>
      <c r="BV64" s="322"/>
      <c r="BW64" s="322">
        <v>0</v>
      </c>
      <c r="BX64" s="322"/>
      <c r="BY64" s="322"/>
      <c r="BZ64" s="322"/>
      <c r="CA64" s="322"/>
      <c r="CB64" s="322"/>
      <c r="CC64" s="322">
        <v>0</v>
      </c>
      <c r="CD64" s="344"/>
      <c r="CE64" s="344">
        <v>0</v>
      </c>
      <c r="CF64" s="344"/>
      <c r="CG64" s="344">
        <v>0</v>
      </c>
      <c r="CH64" s="344"/>
      <c r="CI64" s="344"/>
      <c r="CJ64" s="344">
        <v>0</v>
      </c>
      <c r="CK64" s="344"/>
      <c r="CL64" s="344"/>
      <c r="CM64" s="344"/>
      <c r="CN64" s="322"/>
      <c r="CO64" s="322">
        <v>0</v>
      </c>
      <c r="CP64" s="322"/>
      <c r="CQ64" s="464"/>
      <c r="CR64" s="465"/>
      <c r="CS64" s="322"/>
      <c r="CT64" s="322"/>
      <c r="CU64" s="322">
        <v>0</v>
      </c>
      <c r="CV64" s="322">
        <v>0</v>
      </c>
      <c r="CW64" s="322" t="s">
        <v>656</v>
      </c>
      <c r="CX64" s="322"/>
      <c r="CY64" s="322"/>
      <c r="CZ64" s="322">
        <v>0</v>
      </c>
      <c r="DA64" s="322" t="s">
        <v>656</v>
      </c>
      <c r="DB64" s="322"/>
      <c r="DC64" s="322">
        <v>0</v>
      </c>
      <c r="DD64" s="322"/>
      <c r="DE64" s="322"/>
      <c r="DF64" s="322">
        <v>0</v>
      </c>
      <c r="DG64" s="322">
        <v>0</v>
      </c>
      <c r="DH64" s="322">
        <v>0</v>
      </c>
      <c r="DI64" s="322">
        <v>0</v>
      </c>
      <c r="DJ64" s="322">
        <v>0</v>
      </c>
      <c r="DK64" s="322">
        <v>0</v>
      </c>
      <c r="DL64" s="322">
        <v>0</v>
      </c>
      <c r="DM64" s="322"/>
      <c r="DN64" s="322"/>
      <c r="DO64" s="322"/>
      <c r="DP64" s="322">
        <v>0</v>
      </c>
      <c r="DQ64" s="322">
        <v>0</v>
      </c>
      <c r="DR64" s="322">
        <v>0</v>
      </c>
      <c r="DS64" s="322">
        <v>0</v>
      </c>
      <c r="DT64" s="322">
        <v>0</v>
      </c>
      <c r="DU64" s="322">
        <v>0</v>
      </c>
      <c r="DV64" s="322">
        <v>0</v>
      </c>
      <c r="DW64" s="322">
        <v>0</v>
      </c>
      <c r="DX64" s="322"/>
      <c r="DY64" s="322"/>
      <c r="DZ64" s="322"/>
      <c r="EA64" s="322"/>
      <c r="EB64" s="322"/>
      <c r="EC64" s="226"/>
      <c r="ED64" s="322">
        <v>0</v>
      </c>
      <c r="EE64" s="322">
        <v>0</v>
      </c>
      <c r="EF64" s="322"/>
      <c r="EG64" s="226"/>
      <c r="EH64" s="322"/>
      <c r="EI64" s="322">
        <v>0</v>
      </c>
      <c r="EJ64" s="226"/>
      <c r="EK64" s="226"/>
      <c r="EL64" s="226"/>
      <c r="EM64" s="226"/>
      <c r="EN64" s="226"/>
      <c r="EO64" s="226"/>
      <c r="EP64" s="226"/>
      <c r="EQ64" s="226"/>
      <c r="ER64" s="322"/>
      <c r="ES64" s="322"/>
      <c r="ET64" s="322"/>
      <c r="EU64" s="322"/>
      <c r="EV64" s="322"/>
      <c r="EW64" s="322"/>
      <c r="EX64" s="322"/>
      <c r="EY64" s="322"/>
      <c r="EZ64" s="344"/>
      <c r="FA64" s="322">
        <v>0</v>
      </c>
      <c r="FB64" s="322"/>
      <c r="FC64" s="322"/>
      <c r="FD64" s="226"/>
      <c r="FE64" s="466"/>
      <c r="FF64" s="322">
        <v>0</v>
      </c>
      <c r="FG64" s="322">
        <v>0</v>
      </c>
      <c r="FH64" s="322">
        <v>0</v>
      </c>
      <c r="FI64" s="465" t="s">
        <v>656</v>
      </c>
      <c r="FJ64" s="465" t="s">
        <v>656</v>
      </c>
      <c r="FK64" s="465"/>
      <c r="FL64" s="465" t="s">
        <v>656</v>
      </c>
      <c r="FM64" s="322"/>
      <c r="FN64" s="322"/>
      <c r="FO64" s="465"/>
      <c r="FP64" s="465"/>
      <c r="FQ64" s="465"/>
      <c r="FR64" s="465"/>
      <c r="FS64" s="465"/>
      <c r="FT64" s="465"/>
      <c r="FU64" s="226"/>
      <c r="FV64" s="465"/>
      <c r="FW64" s="465"/>
      <c r="FX64" s="465"/>
      <c r="FY64" s="226"/>
      <c r="FZ64" s="465"/>
      <c r="GA64" s="465"/>
      <c r="GB64" s="465"/>
      <c r="GC64" s="465"/>
      <c r="GD64" s="465"/>
      <c r="GE64" s="465"/>
      <c r="GF64" s="465"/>
      <c r="GG64" s="465">
        <v>0</v>
      </c>
      <c r="GH64" s="465">
        <v>0</v>
      </c>
      <c r="GI64" s="226"/>
      <c r="GJ64" s="465"/>
      <c r="GK64" s="465"/>
      <c r="GL64" s="465"/>
      <c r="GM64" s="465"/>
      <c r="GN64" s="465"/>
      <c r="GO64" s="226"/>
      <c r="GP64" s="465"/>
      <c r="GQ64" s="226"/>
      <c r="GR64" s="465"/>
      <c r="GS64" s="465"/>
      <c r="GT64" s="465"/>
      <c r="GU64" s="465"/>
      <c r="GV64" s="465"/>
      <c r="GW64" s="226"/>
      <c r="GX64" s="322"/>
      <c r="GY64" s="322"/>
      <c r="GZ64" s="465"/>
      <c r="HA64" s="322"/>
      <c r="HB64" s="322"/>
      <c r="HC64" s="322"/>
      <c r="HD64" s="322"/>
      <c r="HE64" s="322">
        <v>0</v>
      </c>
      <c r="HF64" s="226"/>
      <c r="HG64" s="343" t="s">
        <v>656</v>
      </c>
      <c r="HH64" s="343" t="s">
        <v>656</v>
      </c>
      <c r="HI64" s="343" t="s">
        <v>656</v>
      </c>
      <c r="HJ64" s="322">
        <v>0</v>
      </c>
      <c r="HK64" s="343" t="s">
        <v>656</v>
      </c>
      <c r="HL64" s="226"/>
      <c r="HM64" s="322"/>
      <c r="HN64" s="226"/>
      <c r="HO64" s="322">
        <v>0</v>
      </c>
      <c r="HP64" s="322"/>
      <c r="HQ64" s="322"/>
      <c r="HR64" s="322"/>
      <c r="HS64" s="322"/>
      <c r="HT64" s="322"/>
      <c r="HU64" s="322"/>
      <c r="HV64" s="322"/>
      <c r="HW64" s="322">
        <v>0</v>
      </c>
      <c r="HX64" s="322"/>
      <c r="HY64" s="322"/>
      <c r="HZ64" s="322"/>
      <c r="IA64" s="322"/>
      <c r="IB64" s="322"/>
      <c r="IC64" s="322"/>
      <c r="ID64" s="322"/>
      <c r="IE64" s="322"/>
      <c r="IF64" s="322"/>
      <c r="IG64" s="322"/>
      <c r="IH64" s="344"/>
      <c r="II64" s="322"/>
      <c r="IJ64" s="322"/>
      <c r="IK64" s="322"/>
      <c r="IL64" s="322"/>
      <c r="IM64" s="322"/>
      <c r="IN64" s="322"/>
      <c r="IO64" s="322"/>
      <c r="IP64" s="322"/>
      <c r="IQ64" s="322"/>
      <c r="IR64" s="322">
        <v>0</v>
      </c>
      <c r="IS64" s="322"/>
      <c r="IT64" s="322"/>
      <c r="IU64" s="322"/>
      <c r="IV64" s="322"/>
      <c r="IW64" s="322"/>
      <c r="IX64" s="322"/>
      <c r="IY64" s="322">
        <v>0</v>
      </c>
      <c r="IZ64" s="322"/>
      <c r="JA64" s="322"/>
      <c r="JB64" s="322"/>
      <c r="JC64" s="322" t="s">
        <v>656</v>
      </c>
      <c r="JD64" s="322" t="s">
        <v>656</v>
      </c>
      <c r="JE64" s="226"/>
      <c r="JF64" s="226"/>
      <c r="JG64" s="226"/>
      <c r="JH64" s="322"/>
      <c r="JI64" s="322"/>
      <c r="JJ64" s="305" t="s">
        <v>656</v>
      </c>
      <c r="JK64" s="345"/>
      <c r="JL64" s="322"/>
      <c r="JM64" s="322">
        <v>0</v>
      </c>
      <c r="JN64" s="226"/>
      <c r="JO64" s="226"/>
      <c r="JP64" s="226"/>
      <c r="JQ64" s="322"/>
      <c r="JR64" s="322"/>
      <c r="JS64" s="322">
        <v>1</v>
      </c>
      <c r="JT64" s="322"/>
      <c r="JU64" s="322"/>
      <c r="JV64" s="322"/>
      <c r="JW64" s="322">
        <v>0</v>
      </c>
      <c r="JX64" s="322" t="s">
        <v>656</v>
      </c>
      <c r="JY64" s="322"/>
      <c r="JZ64" s="322">
        <v>0</v>
      </c>
      <c r="KA64" s="322"/>
      <c r="KB64" s="322"/>
      <c r="KC64" s="322"/>
      <c r="KD64" s="322"/>
      <c r="KE64" s="232"/>
      <c r="KF64" s="322"/>
      <c r="KG64" s="322" t="s">
        <v>470</v>
      </c>
      <c r="KH64" s="322">
        <v>0</v>
      </c>
      <c r="KI64" s="322">
        <v>0</v>
      </c>
      <c r="KJ64" s="322"/>
      <c r="KK64" s="322">
        <v>0</v>
      </c>
      <c r="KL64" s="322">
        <v>0</v>
      </c>
      <c r="KM64" s="322"/>
      <c r="KN64" s="322"/>
      <c r="KO64" s="322"/>
      <c r="KP64" s="322"/>
      <c r="KQ64" s="226"/>
      <c r="KR64" s="226"/>
      <c r="KS64" s="226"/>
      <c r="KT64" s="226"/>
      <c r="KU64" s="226"/>
      <c r="KV64" s="322" t="s">
        <v>656</v>
      </c>
      <c r="KW64" s="322"/>
      <c r="KX64" s="383"/>
      <c r="KY64" s="386"/>
      <c r="KZ64" s="322"/>
      <c r="LA64" s="322"/>
      <c r="LB64" s="322"/>
      <c r="LC64" s="322"/>
      <c r="LD64" s="322"/>
      <c r="LE64" s="322"/>
      <c r="LF64" s="322"/>
      <c r="LG64" s="322"/>
      <c r="LH64" s="322"/>
      <c r="LI64" s="322"/>
      <c r="LJ64" s="322"/>
      <c r="LK64" s="322"/>
      <c r="LL64" s="322"/>
      <c r="LM64" s="226"/>
      <c r="LN64" s="322">
        <v>0</v>
      </c>
      <c r="LO64" s="322">
        <v>0</v>
      </c>
      <c r="LP64" s="322">
        <v>0</v>
      </c>
      <c r="LQ64" s="322">
        <v>0</v>
      </c>
      <c r="LR64" s="322">
        <v>0</v>
      </c>
      <c r="LS64" s="322">
        <v>0</v>
      </c>
      <c r="LT64" s="346">
        <v>0</v>
      </c>
      <c r="LU64" s="322">
        <v>0</v>
      </c>
      <c r="LV64" s="322"/>
      <c r="LW64" s="322"/>
      <c r="LX64" s="322"/>
      <c r="LY64" s="322"/>
      <c r="LZ64" s="322"/>
      <c r="MA64" s="322"/>
      <c r="MB64" s="322"/>
      <c r="MC64" s="322">
        <v>0</v>
      </c>
      <c r="MD64" s="322">
        <v>0</v>
      </c>
      <c r="ME64" s="322">
        <v>0</v>
      </c>
      <c r="MF64" s="322">
        <v>0</v>
      </c>
      <c r="MG64" s="226"/>
      <c r="MH64" s="226"/>
      <c r="MI64" s="226"/>
      <c r="MJ64" s="347"/>
      <c r="MK64" s="347"/>
      <c r="ML64" s="347"/>
      <c r="MM64" s="347"/>
      <c r="MN64" s="348"/>
      <c r="MO64" s="348"/>
      <c r="MP64" s="348"/>
      <c r="MQ64" s="348"/>
      <c r="MR64" s="348"/>
      <c r="MS64" s="348"/>
      <c r="MT64" s="347"/>
      <c r="MU64" s="348"/>
      <c r="MV64" s="347"/>
      <c r="MW64" s="347"/>
      <c r="MX64" s="226"/>
      <c r="MY64" s="226"/>
      <c r="MZ64" s="226"/>
      <c r="NA64" s="226"/>
    </row>
    <row r="65" spans="1:365" ht="51" x14ac:dyDescent="0.2">
      <c r="A65" s="1216"/>
      <c r="B65" s="201" t="s">
        <v>134</v>
      </c>
      <c r="C65" s="202" t="s">
        <v>135</v>
      </c>
      <c r="D65" s="215" t="s">
        <v>117</v>
      </c>
      <c r="E65" s="322"/>
      <c r="F65" s="322"/>
      <c r="G65" s="322">
        <v>1</v>
      </c>
      <c r="H65" s="322">
        <v>1</v>
      </c>
      <c r="I65" s="322">
        <v>1</v>
      </c>
      <c r="J65" s="322" t="s">
        <v>656</v>
      </c>
      <c r="K65" s="322"/>
      <c r="L65" s="322">
        <v>1</v>
      </c>
      <c r="M65" s="467"/>
      <c r="N65" s="322"/>
      <c r="O65" s="322"/>
      <c r="P65" s="463"/>
      <c r="Q65" s="322">
        <v>1</v>
      </c>
      <c r="R65" s="322"/>
      <c r="S65" s="322"/>
      <c r="T65" s="322"/>
      <c r="U65" s="322"/>
      <c r="V65" s="322"/>
      <c r="W65" s="226"/>
      <c r="X65" s="226"/>
      <c r="Y65" s="226"/>
      <c r="Z65" s="226"/>
      <c r="AA65" s="226"/>
      <c r="AB65" s="226"/>
      <c r="AC65" s="226"/>
      <c r="AD65" s="226"/>
      <c r="AE65" s="226"/>
      <c r="AF65" s="322">
        <v>0</v>
      </c>
      <c r="AG65" s="225"/>
      <c r="AH65" s="226"/>
      <c r="AI65" s="322"/>
      <c r="AJ65" s="322"/>
      <c r="AK65" s="344"/>
      <c r="AL65" s="322"/>
      <c r="AM65" s="226"/>
      <c r="AN65" s="226"/>
      <c r="AO65" s="226"/>
      <c r="AP65" s="226"/>
      <c r="AQ65" s="322"/>
      <c r="AR65" s="322"/>
      <c r="AS65" s="322"/>
      <c r="AT65" s="322">
        <v>3</v>
      </c>
      <c r="AU65" s="322"/>
      <c r="AV65" s="322"/>
      <c r="AW65" s="322">
        <v>1</v>
      </c>
      <c r="AX65" s="322"/>
      <c r="AY65" s="344">
        <v>0</v>
      </c>
      <c r="AZ65" s="322">
        <v>1</v>
      </c>
      <c r="BA65" s="322"/>
      <c r="BB65" s="322"/>
      <c r="BC65" s="322"/>
      <c r="BD65" s="322">
        <v>3</v>
      </c>
      <c r="BE65" s="344"/>
      <c r="BF65" s="322"/>
      <c r="BG65" s="322"/>
      <c r="BH65" s="322" t="s">
        <v>470</v>
      </c>
      <c r="BI65" s="322">
        <v>1</v>
      </c>
      <c r="BJ65" s="322"/>
      <c r="BK65" s="322">
        <v>0</v>
      </c>
      <c r="BL65" s="322">
        <v>3</v>
      </c>
      <c r="BM65" s="322"/>
      <c r="BN65" s="226"/>
      <c r="BO65" s="322">
        <v>1</v>
      </c>
      <c r="BP65" s="322">
        <v>0</v>
      </c>
      <c r="BQ65" s="322"/>
      <c r="BR65" s="233" t="s">
        <v>117</v>
      </c>
      <c r="BS65" s="322" t="s">
        <v>656</v>
      </c>
      <c r="BT65" s="322"/>
      <c r="BU65" s="322">
        <v>0</v>
      </c>
      <c r="BV65" s="322"/>
      <c r="BW65" s="322">
        <v>0</v>
      </c>
      <c r="BX65" s="322"/>
      <c r="BY65" s="322"/>
      <c r="BZ65" s="322"/>
      <c r="CA65" s="322"/>
      <c r="CB65" s="322"/>
      <c r="CC65" s="322">
        <v>0</v>
      </c>
      <c r="CD65" s="344"/>
      <c r="CE65" s="344">
        <v>0</v>
      </c>
      <c r="CF65" s="344"/>
      <c r="CG65" s="344">
        <v>0</v>
      </c>
      <c r="CH65" s="344"/>
      <c r="CI65" s="344"/>
      <c r="CJ65" s="344">
        <v>0</v>
      </c>
      <c r="CK65" s="344"/>
      <c r="CL65" s="344"/>
      <c r="CM65" s="344"/>
      <c r="CN65" s="322"/>
      <c r="CO65" s="322">
        <v>0</v>
      </c>
      <c r="CP65" s="322"/>
      <c r="CQ65" s="464"/>
      <c r="CR65" s="465"/>
      <c r="CS65" s="322"/>
      <c r="CT65" s="322"/>
      <c r="CU65" s="322">
        <v>0</v>
      </c>
      <c r="CV65" s="322">
        <v>0</v>
      </c>
      <c r="CW65" s="322" t="s">
        <v>656</v>
      </c>
      <c r="CX65" s="322"/>
      <c r="CY65" s="322"/>
      <c r="CZ65" s="322">
        <v>0</v>
      </c>
      <c r="DA65" s="322" t="s">
        <v>656</v>
      </c>
      <c r="DB65" s="322"/>
      <c r="DC65" s="322">
        <v>0</v>
      </c>
      <c r="DD65" s="322"/>
      <c r="DE65" s="322"/>
      <c r="DF65" s="322">
        <v>0</v>
      </c>
      <c r="DG65" s="322">
        <v>0</v>
      </c>
      <c r="DH65" s="322">
        <v>0</v>
      </c>
      <c r="DI65" s="322">
        <v>0</v>
      </c>
      <c r="DJ65" s="322">
        <v>0</v>
      </c>
      <c r="DK65" s="322">
        <v>0</v>
      </c>
      <c r="DL65" s="322">
        <v>0</v>
      </c>
      <c r="DM65" s="322"/>
      <c r="DN65" s="322"/>
      <c r="DO65" s="322"/>
      <c r="DP65" s="322">
        <v>0</v>
      </c>
      <c r="DQ65" s="322">
        <v>0</v>
      </c>
      <c r="DR65" s="322">
        <v>0</v>
      </c>
      <c r="DS65" s="322">
        <v>0</v>
      </c>
      <c r="DT65" s="322">
        <v>0</v>
      </c>
      <c r="DU65" s="322">
        <v>0</v>
      </c>
      <c r="DV65" s="322">
        <v>0</v>
      </c>
      <c r="DW65" s="322">
        <v>0</v>
      </c>
      <c r="DX65" s="322"/>
      <c r="DY65" s="322"/>
      <c r="DZ65" s="322"/>
      <c r="EA65" s="322"/>
      <c r="EB65" s="322"/>
      <c r="EC65" s="226"/>
      <c r="ED65" s="322">
        <v>0</v>
      </c>
      <c r="EE65" s="322">
        <v>0</v>
      </c>
      <c r="EF65" s="322"/>
      <c r="EG65" s="226"/>
      <c r="EH65" s="322"/>
      <c r="EI65" s="322">
        <v>0</v>
      </c>
      <c r="EJ65" s="226"/>
      <c r="EK65" s="226"/>
      <c r="EL65" s="226"/>
      <c r="EM65" s="226"/>
      <c r="EN65" s="226"/>
      <c r="EO65" s="226"/>
      <c r="EP65" s="226"/>
      <c r="EQ65" s="226"/>
      <c r="ER65" s="322"/>
      <c r="ES65" s="322"/>
      <c r="ET65" s="322"/>
      <c r="EU65" s="322"/>
      <c r="EV65" s="322"/>
      <c r="EW65" s="322"/>
      <c r="EX65" s="322"/>
      <c r="EY65" s="322"/>
      <c r="EZ65" s="344"/>
      <c r="FA65" s="322">
        <v>0</v>
      </c>
      <c r="FB65" s="322"/>
      <c r="FC65" s="322"/>
      <c r="FD65" s="226"/>
      <c r="FE65" s="466"/>
      <c r="FF65" s="322">
        <v>0</v>
      </c>
      <c r="FG65" s="322">
        <v>0</v>
      </c>
      <c r="FH65" s="322">
        <v>0</v>
      </c>
      <c r="FI65" s="465" t="s">
        <v>656</v>
      </c>
      <c r="FJ65" s="465" t="s">
        <v>656</v>
      </c>
      <c r="FK65" s="465"/>
      <c r="FL65" s="465" t="s">
        <v>656</v>
      </c>
      <c r="FM65" s="322"/>
      <c r="FN65" s="322"/>
      <c r="FO65" s="465"/>
      <c r="FP65" s="465"/>
      <c r="FQ65" s="465"/>
      <c r="FR65" s="465"/>
      <c r="FS65" s="465"/>
      <c r="FT65" s="465"/>
      <c r="FU65" s="226"/>
      <c r="FV65" s="465"/>
      <c r="FW65" s="465"/>
      <c r="FX65" s="465"/>
      <c r="FY65" s="226"/>
      <c r="FZ65" s="465"/>
      <c r="GA65" s="465"/>
      <c r="GB65" s="465"/>
      <c r="GC65" s="465"/>
      <c r="GD65" s="465"/>
      <c r="GE65" s="465"/>
      <c r="GF65" s="465"/>
      <c r="GG65" s="465">
        <v>0</v>
      </c>
      <c r="GH65" s="465">
        <v>0</v>
      </c>
      <c r="GI65" s="226"/>
      <c r="GJ65" s="465"/>
      <c r="GK65" s="465">
        <v>1</v>
      </c>
      <c r="GL65" s="465">
        <v>1</v>
      </c>
      <c r="GM65" s="465"/>
      <c r="GN65" s="465"/>
      <c r="GO65" s="226"/>
      <c r="GP65" s="465"/>
      <c r="GQ65" s="226"/>
      <c r="GR65" s="465"/>
      <c r="GS65" s="465"/>
      <c r="GT65" s="465"/>
      <c r="GU65" s="465"/>
      <c r="GV65" s="465"/>
      <c r="GW65" s="226"/>
      <c r="GX65" s="322"/>
      <c r="GY65" s="322"/>
      <c r="GZ65" s="465"/>
      <c r="HA65" s="322"/>
      <c r="HB65" s="322">
        <v>1</v>
      </c>
      <c r="HC65" s="322"/>
      <c r="HD65" s="322">
        <v>1</v>
      </c>
      <c r="HE65" s="322">
        <v>0</v>
      </c>
      <c r="HF65" s="226"/>
      <c r="HG65" s="343" t="s">
        <v>656</v>
      </c>
      <c r="HH65" s="343" t="s">
        <v>656</v>
      </c>
      <c r="HI65" s="343" t="s">
        <v>656</v>
      </c>
      <c r="HJ65" s="322">
        <v>0</v>
      </c>
      <c r="HK65" s="343" t="s">
        <v>656</v>
      </c>
      <c r="HL65" s="226"/>
      <c r="HM65" s="322">
        <v>6</v>
      </c>
      <c r="HN65" s="226"/>
      <c r="HO65" s="322">
        <v>3</v>
      </c>
      <c r="HP65" s="322"/>
      <c r="HQ65" s="322"/>
      <c r="HR65" s="322"/>
      <c r="HS65" s="322"/>
      <c r="HT65" s="322"/>
      <c r="HU65" s="322"/>
      <c r="HV65" s="322"/>
      <c r="HW65" s="322">
        <v>0</v>
      </c>
      <c r="HX65" s="322"/>
      <c r="HY65" s="322"/>
      <c r="HZ65" s="322"/>
      <c r="IA65" s="322"/>
      <c r="IB65" s="322"/>
      <c r="IC65" s="322"/>
      <c r="ID65" s="322"/>
      <c r="IE65" s="322"/>
      <c r="IF65" s="322"/>
      <c r="IG65" s="322"/>
      <c r="IH65" s="344">
        <v>1</v>
      </c>
      <c r="II65" s="322"/>
      <c r="IJ65" s="322"/>
      <c r="IK65" s="322"/>
      <c r="IL65" s="322"/>
      <c r="IM65" s="322"/>
      <c r="IN65" s="322"/>
      <c r="IO65" s="322"/>
      <c r="IP65" s="322"/>
      <c r="IQ65" s="322"/>
      <c r="IR65" s="322">
        <v>0</v>
      </c>
      <c r="IS65" s="322"/>
      <c r="IT65" s="322">
        <v>1</v>
      </c>
      <c r="IU65" s="322"/>
      <c r="IV65" s="322"/>
      <c r="IW65" s="322"/>
      <c r="IX65" s="322"/>
      <c r="IY65" s="322">
        <v>0</v>
      </c>
      <c r="IZ65" s="322"/>
      <c r="JA65" s="322"/>
      <c r="JB65" s="322"/>
      <c r="JC65" s="322">
        <v>1</v>
      </c>
      <c r="JD65" s="322" t="s">
        <v>656</v>
      </c>
      <c r="JE65" s="226"/>
      <c r="JF65" s="226"/>
      <c r="JG65" s="226"/>
      <c r="JH65" s="322">
        <v>1</v>
      </c>
      <c r="JI65" s="322"/>
      <c r="JJ65" s="305" t="s">
        <v>656</v>
      </c>
      <c r="JK65" s="345"/>
      <c r="JL65" s="322"/>
      <c r="JM65" s="322">
        <v>0</v>
      </c>
      <c r="JN65" s="226"/>
      <c r="JO65" s="226"/>
      <c r="JP65" s="226"/>
      <c r="JQ65" s="322"/>
      <c r="JR65" s="322"/>
      <c r="JS65" s="322"/>
      <c r="JT65" s="322">
        <v>1</v>
      </c>
      <c r="JU65" s="322"/>
      <c r="JV65" s="322"/>
      <c r="JW65" s="322">
        <v>0</v>
      </c>
      <c r="JX65" s="322" t="s">
        <v>656</v>
      </c>
      <c r="JY65" s="322"/>
      <c r="JZ65" s="322">
        <v>0</v>
      </c>
      <c r="KA65" s="322"/>
      <c r="KB65" s="322"/>
      <c r="KC65" s="322"/>
      <c r="KD65" s="322"/>
      <c r="KE65" s="232"/>
      <c r="KF65" s="322"/>
      <c r="KG65" s="322" t="s">
        <v>470</v>
      </c>
      <c r="KH65" s="322">
        <v>0</v>
      </c>
      <c r="KI65" s="322">
        <v>0</v>
      </c>
      <c r="KJ65" s="322"/>
      <c r="KK65" s="322">
        <v>0</v>
      </c>
      <c r="KL65" s="322">
        <v>0</v>
      </c>
      <c r="KM65" s="322"/>
      <c r="KN65" s="322"/>
      <c r="KO65" s="322"/>
      <c r="KP65" s="322"/>
      <c r="KQ65" s="226"/>
      <c r="KR65" s="226"/>
      <c r="KS65" s="226"/>
      <c r="KT65" s="226"/>
      <c r="KU65" s="226"/>
      <c r="KV65" s="322">
        <v>1</v>
      </c>
      <c r="KW65" s="322"/>
      <c r="KX65" s="383"/>
      <c r="KY65" s="386"/>
      <c r="KZ65" s="322"/>
      <c r="LA65" s="322"/>
      <c r="LB65" s="322">
        <v>1</v>
      </c>
      <c r="LC65" s="322"/>
      <c r="LD65" s="322">
        <v>1</v>
      </c>
      <c r="LE65" s="322"/>
      <c r="LF65" s="322"/>
      <c r="LG65" s="322"/>
      <c r="LH65" s="322"/>
      <c r="LI65" s="322"/>
      <c r="LJ65" s="322"/>
      <c r="LK65" s="322"/>
      <c r="LL65" s="322"/>
      <c r="LM65" s="226"/>
      <c r="LN65" s="322">
        <v>0</v>
      </c>
      <c r="LO65" s="322">
        <v>0</v>
      </c>
      <c r="LP65" s="322">
        <v>0</v>
      </c>
      <c r="LQ65" s="322">
        <v>4</v>
      </c>
      <c r="LR65" s="322">
        <v>0</v>
      </c>
      <c r="LS65" s="322">
        <v>0</v>
      </c>
      <c r="LT65" s="346">
        <v>0</v>
      </c>
      <c r="LU65" s="322">
        <v>1</v>
      </c>
      <c r="LV65" s="322"/>
      <c r="LW65" s="322"/>
      <c r="LX65" s="322"/>
      <c r="LY65" s="322"/>
      <c r="LZ65" s="322"/>
      <c r="MA65" s="322">
        <v>1</v>
      </c>
      <c r="MB65" s="322"/>
      <c r="MC65" s="322">
        <v>0</v>
      </c>
      <c r="MD65" s="322">
        <v>0</v>
      </c>
      <c r="ME65" s="322">
        <v>0</v>
      </c>
      <c r="MF65" s="322">
        <v>0</v>
      </c>
      <c r="MG65" s="226"/>
      <c r="MH65" s="226"/>
      <c r="MI65" s="226"/>
      <c r="MJ65" s="347"/>
      <c r="MK65" s="347"/>
      <c r="ML65" s="347">
        <v>1</v>
      </c>
      <c r="MM65" s="347"/>
      <c r="MN65" s="348"/>
      <c r="MO65" s="348"/>
      <c r="MP65" s="348"/>
      <c r="MQ65" s="348"/>
      <c r="MR65" s="348">
        <v>1</v>
      </c>
      <c r="MS65" s="348"/>
      <c r="MT65" s="347">
        <v>1</v>
      </c>
      <c r="MU65" s="348"/>
      <c r="MV65" s="347"/>
      <c r="MW65" s="347"/>
      <c r="MX65" s="226"/>
      <c r="MY65" s="226"/>
      <c r="MZ65" s="226"/>
      <c r="NA65" s="226"/>
    </row>
    <row r="66" spans="1:365" ht="68" x14ac:dyDescent="0.2">
      <c r="A66" s="1216"/>
      <c r="B66" s="201" t="s">
        <v>136</v>
      </c>
      <c r="C66" s="202" t="s">
        <v>137</v>
      </c>
      <c r="D66" s="215" t="s">
        <v>117</v>
      </c>
      <c r="E66" s="322">
        <v>2</v>
      </c>
      <c r="F66" s="322"/>
      <c r="G66" s="305" t="s">
        <v>656</v>
      </c>
      <c r="H66" s="305" t="s">
        <v>656</v>
      </c>
      <c r="I66" s="322" t="s">
        <v>656</v>
      </c>
      <c r="J66" s="322" t="s">
        <v>656</v>
      </c>
      <c r="K66" s="322"/>
      <c r="L66" s="322"/>
      <c r="M66" s="467"/>
      <c r="N66" s="322"/>
      <c r="O66" s="322"/>
      <c r="P66" s="463"/>
      <c r="Q66" s="322"/>
      <c r="R66" s="322"/>
      <c r="S66" s="322"/>
      <c r="T66" s="322"/>
      <c r="U66" s="322"/>
      <c r="V66" s="322"/>
      <c r="W66" s="226"/>
      <c r="X66" s="226"/>
      <c r="Y66" s="226"/>
      <c r="Z66" s="226"/>
      <c r="AA66" s="226"/>
      <c r="AB66" s="226"/>
      <c r="AC66" s="226"/>
      <c r="AD66" s="226"/>
      <c r="AE66" s="226"/>
      <c r="AF66" s="322">
        <v>0</v>
      </c>
      <c r="AG66" s="225"/>
      <c r="AH66" s="226"/>
      <c r="AI66" s="322"/>
      <c r="AJ66" s="322"/>
      <c r="AK66" s="344">
        <v>2</v>
      </c>
      <c r="AL66" s="322"/>
      <c r="AM66" s="226"/>
      <c r="AN66" s="226"/>
      <c r="AO66" s="226"/>
      <c r="AP66" s="226"/>
      <c r="AQ66" s="322"/>
      <c r="AR66" s="322"/>
      <c r="AS66" s="322">
        <v>2</v>
      </c>
      <c r="AT66" s="322"/>
      <c r="AU66" s="322"/>
      <c r="AV66" s="322">
        <v>5</v>
      </c>
      <c r="AW66" s="322">
        <v>0</v>
      </c>
      <c r="AX66" s="322"/>
      <c r="AY66" s="344">
        <v>0</v>
      </c>
      <c r="AZ66" s="322">
        <v>0</v>
      </c>
      <c r="BA66" s="322"/>
      <c r="BB66" s="322"/>
      <c r="BC66" s="322"/>
      <c r="BD66" s="322"/>
      <c r="BE66" s="344"/>
      <c r="BF66" s="322">
        <v>1</v>
      </c>
      <c r="BG66" s="322">
        <v>1</v>
      </c>
      <c r="BH66" s="322">
        <v>1</v>
      </c>
      <c r="BI66" s="322" t="s">
        <v>656</v>
      </c>
      <c r="BJ66" s="322">
        <v>2</v>
      </c>
      <c r="BK66" s="322">
        <v>3</v>
      </c>
      <c r="BL66" s="322">
        <v>8</v>
      </c>
      <c r="BM66" s="322"/>
      <c r="BN66" s="226"/>
      <c r="BO66" s="322"/>
      <c r="BP66" s="322">
        <v>0</v>
      </c>
      <c r="BQ66" s="322"/>
      <c r="BR66" s="233" t="s">
        <v>117</v>
      </c>
      <c r="BS66" s="322" t="s">
        <v>656</v>
      </c>
      <c r="BT66" s="322"/>
      <c r="BU66" s="322">
        <v>0</v>
      </c>
      <c r="BV66" s="322"/>
      <c r="BW66" s="322">
        <v>0</v>
      </c>
      <c r="BX66" s="322"/>
      <c r="BY66" s="322"/>
      <c r="BZ66" s="322"/>
      <c r="CA66" s="322"/>
      <c r="CB66" s="322"/>
      <c r="CC66" s="322">
        <v>0</v>
      </c>
      <c r="CD66" s="344"/>
      <c r="CE66" s="344">
        <v>0</v>
      </c>
      <c r="CF66" s="344"/>
      <c r="CG66" s="344">
        <v>0</v>
      </c>
      <c r="CH66" s="344"/>
      <c r="CI66" s="344"/>
      <c r="CJ66" s="344">
        <v>0</v>
      </c>
      <c r="CK66" s="344"/>
      <c r="CL66" s="344"/>
      <c r="CM66" s="344"/>
      <c r="CN66" s="322"/>
      <c r="CO66" s="322">
        <v>0</v>
      </c>
      <c r="CP66" s="322"/>
      <c r="CQ66" s="464"/>
      <c r="CR66" s="465"/>
      <c r="CS66" s="322"/>
      <c r="CT66" s="322"/>
      <c r="CU66" s="322">
        <v>0</v>
      </c>
      <c r="CV66" s="322">
        <v>0</v>
      </c>
      <c r="CW66" s="322" t="s">
        <v>656</v>
      </c>
      <c r="CX66" s="322"/>
      <c r="CY66" s="322"/>
      <c r="CZ66" s="322">
        <v>0</v>
      </c>
      <c r="DA66" s="322">
        <v>21</v>
      </c>
      <c r="DB66" s="322"/>
      <c r="DC66" s="322">
        <v>0</v>
      </c>
      <c r="DD66" s="322"/>
      <c r="DE66" s="322"/>
      <c r="DF66" s="322">
        <v>0</v>
      </c>
      <c r="DG66" s="322">
        <v>0</v>
      </c>
      <c r="DH66" s="322">
        <v>0</v>
      </c>
      <c r="DI66" s="322">
        <v>0</v>
      </c>
      <c r="DJ66" s="322">
        <v>0</v>
      </c>
      <c r="DK66" s="322">
        <v>0</v>
      </c>
      <c r="DL66" s="322">
        <v>0</v>
      </c>
      <c r="DM66" s="322"/>
      <c r="DN66" s="322"/>
      <c r="DO66" s="322"/>
      <c r="DP66" s="322">
        <v>0</v>
      </c>
      <c r="DQ66" s="322">
        <v>0</v>
      </c>
      <c r="DR66" s="322">
        <v>0</v>
      </c>
      <c r="DS66" s="322">
        <v>0</v>
      </c>
      <c r="DT66" s="322">
        <v>0</v>
      </c>
      <c r="DU66" s="322">
        <v>0</v>
      </c>
      <c r="DV66" s="322">
        <v>0</v>
      </c>
      <c r="DW66" s="322">
        <v>0</v>
      </c>
      <c r="DX66" s="322"/>
      <c r="DY66" s="322"/>
      <c r="DZ66" s="322"/>
      <c r="EA66" s="322">
        <v>4</v>
      </c>
      <c r="EB66" s="322"/>
      <c r="EC66" s="226"/>
      <c r="ED66" s="322">
        <v>0</v>
      </c>
      <c r="EE66" s="322">
        <v>0</v>
      </c>
      <c r="EF66" s="322"/>
      <c r="EG66" s="226"/>
      <c r="EH66" s="322"/>
      <c r="EI66" s="322">
        <v>0</v>
      </c>
      <c r="EJ66" s="226"/>
      <c r="EK66" s="226"/>
      <c r="EL66" s="226"/>
      <c r="EM66" s="226"/>
      <c r="EN66" s="226"/>
      <c r="EO66" s="226"/>
      <c r="EP66" s="226"/>
      <c r="EQ66" s="226"/>
      <c r="ER66" s="322"/>
      <c r="ES66" s="322"/>
      <c r="ET66" s="322"/>
      <c r="EU66" s="322"/>
      <c r="EV66" s="322"/>
      <c r="EW66" s="322"/>
      <c r="EX66" s="322"/>
      <c r="EY66" s="322"/>
      <c r="EZ66" s="344"/>
      <c r="FA66" s="322">
        <v>0</v>
      </c>
      <c r="FB66" s="322"/>
      <c r="FC66" s="322"/>
      <c r="FD66" s="226"/>
      <c r="FE66" s="466"/>
      <c r="FF66" s="322">
        <v>0</v>
      </c>
      <c r="FG66" s="322">
        <v>2</v>
      </c>
      <c r="FH66" s="322">
        <v>0</v>
      </c>
      <c r="FI66" s="465" t="s">
        <v>656</v>
      </c>
      <c r="FJ66" s="465" t="s">
        <v>656</v>
      </c>
      <c r="FK66" s="465"/>
      <c r="FL66" s="465" t="s">
        <v>656</v>
      </c>
      <c r="FM66" s="322"/>
      <c r="FN66" s="322"/>
      <c r="FO66" s="465"/>
      <c r="FP66" s="465"/>
      <c r="FQ66" s="465"/>
      <c r="FR66" s="465"/>
      <c r="FS66" s="465"/>
      <c r="FT66" s="465"/>
      <c r="FU66" s="226"/>
      <c r="FV66" s="465"/>
      <c r="FW66" s="465"/>
      <c r="FX66" s="465"/>
      <c r="FY66" s="226"/>
      <c r="FZ66" s="465"/>
      <c r="GA66" s="465"/>
      <c r="GB66" s="465"/>
      <c r="GC66" s="465"/>
      <c r="GD66" s="465"/>
      <c r="GE66" s="465"/>
      <c r="GF66" s="465"/>
      <c r="GG66" s="465">
        <v>0</v>
      </c>
      <c r="GH66" s="465">
        <v>0</v>
      </c>
      <c r="GI66" s="226"/>
      <c r="GJ66" s="465"/>
      <c r="GK66" s="465"/>
      <c r="GL66" s="465"/>
      <c r="GM66" s="465"/>
      <c r="GN66" s="465">
        <v>3</v>
      </c>
      <c r="GO66" s="226"/>
      <c r="GP66" s="465"/>
      <c r="GQ66" s="226"/>
      <c r="GR66" s="465"/>
      <c r="GS66" s="465"/>
      <c r="GT66" s="465"/>
      <c r="GU66" s="465"/>
      <c r="GV66" s="465"/>
      <c r="GW66" s="226"/>
      <c r="GX66" s="322"/>
      <c r="GY66" s="322"/>
      <c r="GZ66" s="465"/>
      <c r="HA66" s="322"/>
      <c r="HB66" s="322"/>
      <c r="HC66" s="322">
        <v>2</v>
      </c>
      <c r="HD66" s="322"/>
      <c r="HE66" s="322">
        <v>0</v>
      </c>
      <c r="HF66" s="226"/>
      <c r="HG66" s="343" t="s">
        <v>656</v>
      </c>
      <c r="HH66" s="343" t="s">
        <v>656</v>
      </c>
      <c r="HI66" s="343">
        <v>1</v>
      </c>
      <c r="HJ66" s="322">
        <v>0</v>
      </c>
      <c r="HK66" s="343">
        <v>1</v>
      </c>
      <c r="HL66" s="226"/>
      <c r="HM66" s="322">
        <v>1</v>
      </c>
      <c r="HN66" s="226"/>
      <c r="HO66" s="322">
        <v>0</v>
      </c>
      <c r="HP66" s="322"/>
      <c r="HQ66" s="322"/>
      <c r="HR66" s="322"/>
      <c r="HS66" s="322"/>
      <c r="HT66" s="322"/>
      <c r="HU66" s="322"/>
      <c r="HV66" s="322"/>
      <c r="HW66" s="322">
        <v>0</v>
      </c>
      <c r="HX66" s="322"/>
      <c r="HY66" s="322"/>
      <c r="HZ66" s="322"/>
      <c r="IA66" s="322"/>
      <c r="IB66" s="322"/>
      <c r="IC66" s="322"/>
      <c r="ID66" s="322"/>
      <c r="IE66" s="322"/>
      <c r="IF66" s="322"/>
      <c r="IG66" s="322"/>
      <c r="IH66" s="344"/>
      <c r="II66" s="322"/>
      <c r="IJ66" s="322"/>
      <c r="IK66" s="322"/>
      <c r="IL66" s="322"/>
      <c r="IM66" s="322"/>
      <c r="IN66" s="322"/>
      <c r="IO66" s="322"/>
      <c r="IP66" s="322"/>
      <c r="IQ66" s="322"/>
      <c r="IR66" s="322">
        <v>0</v>
      </c>
      <c r="IS66" s="322"/>
      <c r="IT66" s="322"/>
      <c r="IU66" s="322"/>
      <c r="IV66" s="322"/>
      <c r="IW66" s="322"/>
      <c r="IX66" s="322"/>
      <c r="IY66" s="322">
        <v>0</v>
      </c>
      <c r="IZ66" s="322"/>
      <c r="JA66" s="322"/>
      <c r="JB66" s="322"/>
      <c r="JC66" s="322" t="s">
        <v>656</v>
      </c>
      <c r="JD66" s="322">
        <v>3</v>
      </c>
      <c r="JE66" s="226"/>
      <c r="JF66" s="226"/>
      <c r="JG66" s="226"/>
      <c r="JH66" s="322">
        <v>5</v>
      </c>
      <c r="JI66" s="322">
        <v>2</v>
      </c>
      <c r="JJ66" s="322">
        <v>21</v>
      </c>
      <c r="JK66" s="345"/>
      <c r="JL66" s="322"/>
      <c r="JM66" s="322">
        <v>0</v>
      </c>
      <c r="JN66" s="226"/>
      <c r="JO66" s="226"/>
      <c r="JP66" s="226"/>
      <c r="JQ66" s="322"/>
      <c r="JR66" s="322"/>
      <c r="JS66" s="322"/>
      <c r="JT66" s="322">
        <v>2</v>
      </c>
      <c r="JU66" s="322"/>
      <c r="JV66" s="322">
        <v>1</v>
      </c>
      <c r="JW66" s="322">
        <v>0</v>
      </c>
      <c r="JX66" s="322">
        <v>1</v>
      </c>
      <c r="JY66" s="322">
        <v>2</v>
      </c>
      <c r="JZ66" s="322">
        <v>0</v>
      </c>
      <c r="KA66" s="322"/>
      <c r="KB66" s="322"/>
      <c r="KC66" s="322"/>
      <c r="KD66" s="322"/>
      <c r="KE66" s="232"/>
      <c r="KF66" s="322"/>
      <c r="KG66" s="322" t="s">
        <v>470</v>
      </c>
      <c r="KH66" s="322">
        <v>0</v>
      </c>
      <c r="KI66" s="322">
        <v>0</v>
      </c>
      <c r="KJ66" s="322">
        <v>1</v>
      </c>
      <c r="KK66" s="322">
        <v>0</v>
      </c>
      <c r="KL66" s="322">
        <v>0</v>
      </c>
      <c r="KM66" s="322"/>
      <c r="KN66" s="322"/>
      <c r="KO66" s="322"/>
      <c r="KP66" s="322"/>
      <c r="KQ66" s="226"/>
      <c r="KR66" s="226"/>
      <c r="KS66" s="226"/>
      <c r="KT66" s="226"/>
      <c r="KU66" s="226"/>
      <c r="KV66" s="322">
        <v>1</v>
      </c>
      <c r="KW66" s="322">
        <v>1</v>
      </c>
      <c r="KX66" s="383"/>
      <c r="KY66" s="386"/>
      <c r="KZ66" s="322"/>
      <c r="LA66" s="322">
        <v>1</v>
      </c>
      <c r="LB66" s="322"/>
      <c r="LC66" s="322"/>
      <c r="LD66" s="322"/>
      <c r="LE66" s="322"/>
      <c r="LF66" s="322"/>
      <c r="LG66" s="322"/>
      <c r="LH66" s="322"/>
      <c r="LI66" s="322"/>
      <c r="LJ66" s="322"/>
      <c r="LK66" s="322"/>
      <c r="LL66" s="322"/>
      <c r="LM66" s="226"/>
      <c r="LN66" s="322">
        <v>0</v>
      </c>
      <c r="LO66" s="322">
        <v>0</v>
      </c>
      <c r="LP66" s="322">
        <v>0</v>
      </c>
      <c r="LQ66" s="322">
        <v>2</v>
      </c>
      <c r="LR66" s="322">
        <v>0</v>
      </c>
      <c r="LS66" s="322">
        <v>0</v>
      </c>
      <c r="LT66" s="346">
        <v>2</v>
      </c>
      <c r="LU66" s="322">
        <v>1</v>
      </c>
      <c r="LV66" s="322"/>
      <c r="LW66" s="322"/>
      <c r="LX66" s="322"/>
      <c r="LY66" s="322">
        <v>1</v>
      </c>
      <c r="LZ66" s="322"/>
      <c r="MA66" s="322"/>
      <c r="MB66" s="322"/>
      <c r="MC66" s="322">
        <v>0</v>
      </c>
      <c r="MD66" s="322">
        <v>1</v>
      </c>
      <c r="ME66" s="322">
        <v>0</v>
      </c>
      <c r="MF66" s="322">
        <v>0</v>
      </c>
      <c r="MG66" s="226"/>
      <c r="MH66" s="226"/>
      <c r="MI66" s="226"/>
      <c r="MJ66" s="347"/>
      <c r="MK66" s="347"/>
      <c r="ML66" s="347">
        <v>1</v>
      </c>
      <c r="MM66" s="347"/>
      <c r="MN66" s="348">
        <v>1</v>
      </c>
      <c r="MO66" s="348">
        <v>5</v>
      </c>
      <c r="MP66" s="348"/>
      <c r="MQ66" s="348"/>
      <c r="MR66" s="348"/>
      <c r="MS66" s="348"/>
      <c r="MT66" s="347"/>
      <c r="MU66" s="348"/>
      <c r="MV66" s="347"/>
      <c r="MW66" s="347"/>
      <c r="MX66" s="226"/>
      <c r="MY66" s="226"/>
      <c r="MZ66" s="226"/>
      <c r="NA66" s="226"/>
    </row>
    <row r="67" spans="1:365" ht="51" x14ac:dyDescent="0.2">
      <c r="A67" s="1216"/>
      <c r="B67" s="201" t="s">
        <v>138</v>
      </c>
      <c r="C67" s="202" t="s">
        <v>139</v>
      </c>
      <c r="D67" s="215" t="s">
        <v>117</v>
      </c>
      <c r="E67" s="322">
        <v>1</v>
      </c>
      <c r="F67" s="322"/>
      <c r="G67" s="232">
        <v>1</v>
      </c>
      <c r="H67" s="305" t="s">
        <v>656</v>
      </c>
      <c r="I67" s="322" t="s">
        <v>656</v>
      </c>
      <c r="J67" s="322" t="s">
        <v>656</v>
      </c>
      <c r="K67" s="322"/>
      <c r="L67" s="322"/>
      <c r="M67" s="467"/>
      <c r="N67" s="322"/>
      <c r="O67" s="322"/>
      <c r="P67" s="463"/>
      <c r="Q67" s="322"/>
      <c r="R67" s="322">
        <v>1</v>
      </c>
      <c r="S67" s="322"/>
      <c r="T67" s="322"/>
      <c r="U67" s="322"/>
      <c r="V67" s="322"/>
      <c r="W67" s="226"/>
      <c r="X67" s="226"/>
      <c r="Y67" s="226"/>
      <c r="Z67" s="226"/>
      <c r="AA67" s="226"/>
      <c r="AB67" s="226"/>
      <c r="AC67" s="226"/>
      <c r="AD67" s="226"/>
      <c r="AE67" s="226"/>
      <c r="AF67" s="322">
        <v>0</v>
      </c>
      <c r="AG67" s="225"/>
      <c r="AH67" s="226"/>
      <c r="AI67" s="322"/>
      <c r="AJ67" s="322"/>
      <c r="AK67" s="344"/>
      <c r="AL67" s="322"/>
      <c r="AM67" s="226"/>
      <c r="AN67" s="226"/>
      <c r="AO67" s="226"/>
      <c r="AP67" s="226"/>
      <c r="AQ67" s="322"/>
      <c r="AR67" s="322"/>
      <c r="AS67" s="322"/>
      <c r="AT67" s="322">
        <v>1</v>
      </c>
      <c r="AU67" s="322"/>
      <c r="AV67" s="322">
        <v>1</v>
      </c>
      <c r="AW67" s="322">
        <v>1</v>
      </c>
      <c r="AX67" s="322"/>
      <c r="AY67" s="344">
        <v>0</v>
      </c>
      <c r="AZ67" s="322">
        <v>2</v>
      </c>
      <c r="BA67" s="322"/>
      <c r="BB67" s="322">
        <v>3</v>
      </c>
      <c r="BC67" s="322"/>
      <c r="BD67" s="322">
        <v>3</v>
      </c>
      <c r="BE67" s="344"/>
      <c r="BF67" s="322">
        <v>2</v>
      </c>
      <c r="BG67" s="322">
        <v>5</v>
      </c>
      <c r="BH67" s="322" t="s">
        <v>470</v>
      </c>
      <c r="BI67" s="322" t="s">
        <v>656</v>
      </c>
      <c r="BJ67" s="322"/>
      <c r="BK67" s="322">
        <v>3</v>
      </c>
      <c r="BL67" s="322">
        <v>2</v>
      </c>
      <c r="BM67" s="322"/>
      <c r="BN67" s="226"/>
      <c r="BO67" s="322"/>
      <c r="BP67" s="322">
        <v>0</v>
      </c>
      <c r="BQ67" s="322"/>
      <c r="BR67" s="233" t="s">
        <v>117</v>
      </c>
      <c r="BS67" s="322" t="s">
        <v>656</v>
      </c>
      <c r="BT67" s="322"/>
      <c r="BU67" s="322">
        <v>0</v>
      </c>
      <c r="BV67" s="322"/>
      <c r="BW67" s="322">
        <v>0</v>
      </c>
      <c r="BX67" s="322"/>
      <c r="BY67" s="322"/>
      <c r="BZ67" s="322"/>
      <c r="CA67" s="322"/>
      <c r="CB67" s="322"/>
      <c r="CC67" s="322">
        <v>0</v>
      </c>
      <c r="CD67" s="344"/>
      <c r="CE67" s="344">
        <v>0</v>
      </c>
      <c r="CF67" s="344"/>
      <c r="CG67" s="344">
        <v>0</v>
      </c>
      <c r="CH67" s="344"/>
      <c r="CI67" s="344"/>
      <c r="CJ67" s="344">
        <v>0</v>
      </c>
      <c r="CK67" s="344"/>
      <c r="CL67" s="344"/>
      <c r="CM67" s="344"/>
      <c r="CN67" s="322"/>
      <c r="CO67" s="322">
        <v>0</v>
      </c>
      <c r="CP67" s="322"/>
      <c r="CQ67" s="464"/>
      <c r="CR67" s="465"/>
      <c r="CS67" s="322"/>
      <c r="CT67" s="322"/>
      <c r="CU67" s="322">
        <v>0</v>
      </c>
      <c r="CV67" s="322">
        <v>0</v>
      </c>
      <c r="CW67" s="322" t="s">
        <v>656</v>
      </c>
      <c r="CX67" s="322"/>
      <c r="CY67" s="322"/>
      <c r="CZ67" s="322">
        <v>0</v>
      </c>
      <c r="DA67" s="322">
        <v>20</v>
      </c>
      <c r="DB67" s="322"/>
      <c r="DC67" s="322">
        <v>0</v>
      </c>
      <c r="DD67" s="322"/>
      <c r="DE67" s="322"/>
      <c r="DF67" s="322">
        <v>0</v>
      </c>
      <c r="DG67" s="322">
        <v>0</v>
      </c>
      <c r="DH67" s="322">
        <v>0</v>
      </c>
      <c r="DI67" s="322">
        <v>0</v>
      </c>
      <c r="DJ67" s="322">
        <v>0</v>
      </c>
      <c r="DK67" s="322">
        <v>0</v>
      </c>
      <c r="DL67" s="322">
        <v>0</v>
      </c>
      <c r="DM67" s="322"/>
      <c r="DN67" s="322"/>
      <c r="DO67" s="322"/>
      <c r="DP67" s="322">
        <v>0</v>
      </c>
      <c r="DQ67" s="322">
        <v>0</v>
      </c>
      <c r="DR67" s="322">
        <v>0</v>
      </c>
      <c r="DS67" s="322">
        <v>0</v>
      </c>
      <c r="DT67" s="322">
        <v>0</v>
      </c>
      <c r="DU67" s="322">
        <v>0</v>
      </c>
      <c r="DV67" s="322">
        <v>0</v>
      </c>
      <c r="DW67" s="322">
        <v>2</v>
      </c>
      <c r="DX67" s="322"/>
      <c r="DY67" s="322"/>
      <c r="DZ67" s="322"/>
      <c r="EA67" s="322"/>
      <c r="EB67" s="322"/>
      <c r="EC67" s="226"/>
      <c r="ED67" s="322">
        <v>0</v>
      </c>
      <c r="EE67" s="322">
        <v>0</v>
      </c>
      <c r="EF67" s="322"/>
      <c r="EG67" s="226"/>
      <c r="EH67" s="322"/>
      <c r="EI67" s="322">
        <v>0</v>
      </c>
      <c r="EJ67" s="226"/>
      <c r="EK67" s="226"/>
      <c r="EL67" s="226"/>
      <c r="EM67" s="226"/>
      <c r="EN67" s="226"/>
      <c r="EO67" s="226"/>
      <c r="EP67" s="226"/>
      <c r="EQ67" s="226"/>
      <c r="ER67" s="322"/>
      <c r="ES67" s="322"/>
      <c r="ET67" s="322"/>
      <c r="EU67" s="322"/>
      <c r="EV67" s="322"/>
      <c r="EW67" s="322"/>
      <c r="EX67" s="322"/>
      <c r="EY67" s="322"/>
      <c r="EZ67" s="344"/>
      <c r="FA67" s="322">
        <v>0</v>
      </c>
      <c r="FB67" s="322"/>
      <c r="FC67" s="322"/>
      <c r="FD67" s="226"/>
      <c r="FE67" s="466"/>
      <c r="FF67" s="322">
        <v>0</v>
      </c>
      <c r="FG67" s="322">
        <v>1</v>
      </c>
      <c r="FH67" s="322">
        <v>0</v>
      </c>
      <c r="FI67" s="465" t="s">
        <v>656</v>
      </c>
      <c r="FJ67" s="465" t="s">
        <v>656</v>
      </c>
      <c r="FK67" s="465"/>
      <c r="FL67" s="465" t="s">
        <v>656</v>
      </c>
      <c r="FM67" s="322"/>
      <c r="FN67" s="322"/>
      <c r="FO67" s="465"/>
      <c r="FP67" s="465"/>
      <c r="FQ67" s="465"/>
      <c r="FR67" s="465"/>
      <c r="FS67" s="465"/>
      <c r="FT67" s="465"/>
      <c r="FU67" s="226"/>
      <c r="FV67" s="465"/>
      <c r="FW67" s="465"/>
      <c r="FX67" s="465"/>
      <c r="FY67" s="226"/>
      <c r="FZ67" s="465"/>
      <c r="GA67" s="465"/>
      <c r="GB67" s="465"/>
      <c r="GC67" s="465"/>
      <c r="GD67" s="465">
        <v>1</v>
      </c>
      <c r="GE67" s="465">
        <v>1</v>
      </c>
      <c r="GF67" s="465">
        <v>7</v>
      </c>
      <c r="GG67" s="465">
        <v>0</v>
      </c>
      <c r="GH67" s="465">
        <v>0</v>
      </c>
      <c r="GI67" s="226"/>
      <c r="GJ67" s="465"/>
      <c r="GK67" s="465">
        <v>3</v>
      </c>
      <c r="GL67" s="465"/>
      <c r="GM67" s="465"/>
      <c r="GN67" s="465"/>
      <c r="GO67" s="226"/>
      <c r="GP67" s="465"/>
      <c r="GQ67" s="226"/>
      <c r="GR67" s="465"/>
      <c r="GS67" s="465"/>
      <c r="GT67" s="465"/>
      <c r="GU67" s="465"/>
      <c r="GV67" s="465"/>
      <c r="GW67" s="226"/>
      <c r="GX67" s="322"/>
      <c r="GY67" s="322"/>
      <c r="GZ67" s="465"/>
      <c r="HA67" s="322"/>
      <c r="HB67" s="322"/>
      <c r="HC67" s="322"/>
      <c r="HD67" s="322"/>
      <c r="HE67" s="322">
        <v>0</v>
      </c>
      <c r="HF67" s="226"/>
      <c r="HG67" s="343" t="s">
        <v>656</v>
      </c>
      <c r="HH67" s="343" t="s">
        <v>656</v>
      </c>
      <c r="HI67" s="343" t="s">
        <v>656</v>
      </c>
      <c r="HJ67" s="322">
        <v>0</v>
      </c>
      <c r="HK67" s="343" t="s">
        <v>656</v>
      </c>
      <c r="HL67" s="226"/>
      <c r="HM67" s="322"/>
      <c r="HN67" s="226"/>
      <c r="HO67" s="322">
        <v>0</v>
      </c>
      <c r="HP67" s="322"/>
      <c r="HQ67" s="322"/>
      <c r="HR67" s="322"/>
      <c r="HS67" s="322"/>
      <c r="HT67" s="322"/>
      <c r="HU67" s="322"/>
      <c r="HV67" s="322"/>
      <c r="HW67" s="322">
        <v>0</v>
      </c>
      <c r="HX67" s="322"/>
      <c r="HY67" s="322">
        <v>1</v>
      </c>
      <c r="HZ67" s="322"/>
      <c r="IA67" s="322"/>
      <c r="IB67" s="322"/>
      <c r="IC67" s="322"/>
      <c r="ID67" s="322">
        <v>1</v>
      </c>
      <c r="IE67" s="322"/>
      <c r="IF67" s="322"/>
      <c r="IG67" s="322"/>
      <c r="IH67" s="344"/>
      <c r="II67" s="322"/>
      <c r="IJ67" s="322"/>
      <c r="IK67" s="322"/>
      <c r="IL67" s="322"/>
      <c r="IM67" s="322">
        <v>1</v>
      </c>
      <c r="IN67" s="322"/>
      <c r="IO67" s="322"/>
      <c r="IP67" s="322"/>
      <c r="IQ67" s="322"/>
      <c r="IR67" s="322">
        <v>0</v>
      </c>
      <c r="IS67" s="322"/>
      <c r="IT67" s="322"/>
      <c r="IU67" s="322"/>
      <c r="IV67" s="322"/>
      <c r="IW67" s="322"/>
      <c r="IX67" s="322"/>
      <c r="IY67" s="322">
        <v>0</v>
      </c>
      <c r="IZ67" s="322"/>
      <c r="JA67" s="322"/>
      <c r="JB67" s="322"/>
      <c r="JC67" s="322" t="s">
        <v>656</v>
      </c>
      <c r="JD67" s="322" t="s">
        <v>656</v>
      </c>
      <c r="JE67" s="226"/>
      <c r="JF67" s="226"/>
      <c r="JG67" s="226"/>
      <c r="JH67" s="322">
        <v>3</v>
      </c>
      <c r="JI67" s="322"/>
      <c r="JJ67" s="322">
        <v>19</v>
      </c>
      <c r="JK67" s="345"/>
      <c r="JL67" s="322"/>
      <c r="JM67" s="322">
        <v>0</v>
      </c>
      <c r="JN67" s="226"/>
      <c r="JO67" s="226"/>
      <c r="JP67" s="226"/>
      <c r="JQ67" s="322"/>
      <c r="JR67" s="322">
        <v>3</v>
      </c>
      <c r="JS67" s="322"/>
      <c r="JT67" s="322"/>
      <c r="JU67" s="322"/>
      <c r="JV67" s="322"/>
      <c r="JW67" s="322">
        <v>0</v>
      </c>
      <c r="JX67" s="322">
        <v>1</v>
      </c>
      <c r="JY67" s="322"/>
      <c r="JZ67" s="322">
        <v>0</v>
      </c>
      <c r="KA67" s="322"/>
      <c r="KB67" s="322"/>
      <c r="KC67" s="322"/>
      <c r="KD67" s="322"/>
      <c r="KE67" s="232">
        <v>1</v>
      </c>
      <c r="KF67" s="322"/>
      <c r="KG67" s="322" t="s">
        <v>470</v>
      </c>
      <c r="KH67" s="322">
        <v>0</v>
      </c>
      <c r="KI67" s="322">
        <v>0</v>
      </c>
      <c r="KJ67" s="322"/>
      <c r="KK67" s="322">
        <v>0</v>
      </c>
      <c r="KL67" s="322">
        <v>0</v>
      </c>
      <c r="KM67" s="322"/>
      <c r="KN67" s="322"/>
      <c r="KO67" s="322">
        <v>1</v>
      </c>
      <c r="KP67" s="322"/>
      <c r="KQ67" s="226"/>
      <c r="KR67" s="226"/>
      <c r="KS67" s="226"/>
      <c r="KT67" s="226"/>
      <c r="KU67" s="226"/>
      <c r="KV67" s="322">
        <v>1</v>
      </c>
      <c r="KW67" s="322"/>
      <c r="KX67" s="383"/>
      <c r="KY67" s="386"/>
      <c r="KZ67" s="322"/>
      <c r="LA67" s="322"/>
      <c r="LB67" s="322"/>
      <c r="LC67" s="322"/>
      <c r="LD67" s="322"/>
      <c r="LE67" s="322"/>
      <c r="LF67" s="322"/>
      <c r="LG67" s="322"/>
      <c r="LH67" s="322"/>
      <c r="LI67" s="322"/>
      <c r="LJ67" s="322"/>
      <c r="LK67" s="322"/>
      <c r="LL67" s="322"/>
      <c r="LM67" s="226"/>
      <c r="LN67" s="322">
        <v>0</v>
      </c>
      <c r="LO67" s="322">
        <v>0</v>
      </c>
      <c r="LP67" s="322">
        <v>0</v>
      </c>
      <c r="LQ67" s="322">
        <v>2</v>
      </c>
      <c r="LR67" s="322">
        <v>0</v>
      </c>
      <c r="LS67" s="322">
        <v>0</v>
      </c>
      <c r="LT67" s="346">
        <v>0</v>
      </c>
      <c r="LU67" s="322">
        <v>0</v>
      </c>
      <c r="LV67" s="322"/>
      <c r="LW67" s="322"/>
      <c r="LX67" s="322"/>
      <c r="LY67" s="322"/>
      <c r="LZ67" s="322"/>
      <c r="MA67" s="322"/>
      <c r="MB67" s="322"/>
      <c r="MC67" s="322">
        <v>0</v>
      </c>
      <c r="MD67" s="322">
        <v>1</v>
      </c>
      <c r="ME67" s="322">
        <v>0</v>
      </c>
      <c r="MF67" s="322">
        <v>0</v>
      </c>
      <c r="MG67" s="226"/>
      <c r="MH67" s="226"/>
      <c r="MI67" s="226"/>
      <c r="MJ67" s="347"/>
      <c r="MK67" s="347"/>
      <c r="ML67" s="347"/>
      <c r="MM67" s="347"/>
      <c r="MN67" s="348"/>
      <c r="MO67" s="348">
        <v>3</v>
      </c>
      <c r="MP67" s="348"/>
      <c r="MQ67" s="348"/>
      <c r="MR67" s="348">
        <v>1</v>
      </c>
      <c r="MS67" s="348">
        <v>2</v>
      </c>
      <c r="MT67" s="347"/>
      <c r="MU67" s="348"/>
      <c r="MV67" s="347">
        <v>1</v>
      </c>
      <c r="MW67" s="347"/>
      <c r="MX67" s="226"/>
      <c r="MY67" s="226"/>
      <c r="MZ67" s="226"/>
      <c r="NA67" s="226"/>
    </row>
    <row r="68" spans="1:365" ht="34" x14ac:dyDescent="0.2">
      <c r="A68" s="1216"/>
      <c r="B68" s="201" t="s">
        <v>140</v>
      </c>
      <c r="C68" s="202" t="s">
        <v>141</v>
      </c>
      <c r="D68" s="215" t="s">
        <v>117</v>
      </c>
      <c r="E68" s="322">
        <v>3</v>
      </c>
      <c r="F68" s="322"/>
      <c r="G68" s="305" t="s">
        <v>656</v>
      </c>
      <c r="H68" s="305" t="s">
        <v>656</v>
      </c>
      <c r="I68" s="322" t="s">
        <v>656</v>
      </c>
      <c r="J68" s="322" t="s">
        <v>656</v>
      </c>
      <c r="K68" s="322"/>
      <c r="L68" s="322"/>
      <c r="M68" s="467"/>
      <c r="N68" s="322"/>
      <c r="O68" s="322">
        <v>1</v>
      </c>
      <c r="P68" s="463">
        <v>1</v>
      </c>
      <c r="Q68" s="322"/>
      <c r="R68" s="322">
        <v>2</v>
      </c>
      <c r="S68" s="322"/>
      <c r="T68" s="322"/>
      <c r="U68" s="322"/>
      <c r="V68" s="322"/>
      <c r="W68" s="226"/>
      <c r="X68" s="226"/>
      <c r="Y68" s="226"/>
      <c r="Z68" s="226"/>
      <c r="AA68" s="226"/>
      <c r="AB68" s="226"/>
      <c r="AC68" s="226"/>
      <c r="AD68" s="226"/>
      <c r="AE68" s="226"/>
      <c r="AF68" s="322">
        <v>0</v>
      </c>
      <c r="AG68" s="225"/>
      <c r="AH68" s="226"/>
      <c r="AI68" s="322"/>
      <c r="AJ68" s="322"/>
      <c r="AK68" s="344">
        <v>3</v>
      </c>
      <c r="AL68" s="322"/>
      <c r="AM68" s="226"/>
      <c r="AN68" s="226"/>
      <c r="AO68" s="226"/>
      <c r="AP68" s="226"/>
      <c r="AQ68" s="322"/>
      <c r="AR68" s="322"/>
      <c r="AS68" s="322">
        <v>1</v>
      </c>
      <c r="AT68" s="322"/>
      <c r="AU68" s="322"/>
      <c r="AV68" s="322">
        <v>1</v>
      </c>
      <c r="AW68" s="322">
        <v>1</v>
      </c>
      <c r="AX68" s="322"/>
      <c r="AY68" s="344">
        <v>0</v>
      </c>
      <c r="AZ68" s="322">
        <v>3</v>
      </c>
      <c r="BA68" s="322">
        <v>1</v>
      </c>
      <c r="BB68" s="322">
        <v>3</v>
      </c>
      <c r="BC68" s="322"/>
      <c r="BD68" s="322"/>
      <c r="BE68" s="344"/>
      <c r="BF68" s="322"/>
      <c r="BG68" s="322"/>
      <c r="BH68" s="322">
        <v>1</v>
      </c>
      <c r="BI68" s="322" t="s">
        <v>656</v>
      </c>
      <c r="BJ68" s="322">
        <v>1</v>
      </c>
      <c r="BK68" s="322">
        <v>3</v>
      </c>
      <c r="BL68" s="322">
        <v>1</v>
      </c>
      <c r="BM68" s="322"/>
      <c r="BN68" s="226"/>
      <c r="BO68" s="322"/>
      <c r="BP68" s="322">
        <v>0</v>
      </c>
      <c r="BQ68" s="322"/>
      <c r="BR68" s="233" t="s">
        <v>117</v>
      </c>
      <c r="BS68" s="322" t="s">
        <v>656</v>
      </c>
      <c r="BT68" s="322"/>
      <c r="BU68" s="322">
        <v>0</v>
      </c>
      <c r="BV68" s="322">
        <v>1</v>
      </c>
      <c r="BW68" s="322">
        <v>0</v>
      </c>
      <c r="BX68" s="322"/>
      <c r="BY68" s="322"/>
      <c r="BZ68" s="322"/>
      <c r="CA68" s="322"/>
      <c r="CB68" s="322"/>
      <c r="CC68" s="322">
        <v>0</v>
      </c>
      <c r="CD68" s="344"/>
      <c r="CE68" s="344">
        <v>0</v>
      </c>
      <c r="CF68" s="344"/>
      <c r="CG68" s="344">
        <v>0</v>
      </c>
      <c r="CH68" s="344"/>
      <c r="CI68" s="344"/>
      <c r="CJ68" s="344">
        <v>0</v>
      </c>
      <c r="CK68" s="344"/>
      <c r="CL68" s="344"/>
      <c r="CM68" s="344"/>
      <c r="CN68" s="322"/>
      <c r="CO68" s="322">
        <v>0</v>
      </c>
      <c r="CP68" s="322"/>
      <c r="CQ68" s="464"/>
      <c r="CR68" s="465"/>
      <c r="CS68" s="322"/>
      <c r="CT68" s="322"/>
      <c r="CU68" s="322">
        <v>0</v>
      </c>
      <c r="CV68" s="322">
        <v>0</v>
      </c>
      <c r="CW68" s="322" t="s">
        <v>656</v>
      </c>
      <c r="CX68" s="322"/>
      <c r="CY68" s="322"/>
      <c r="CZ68" s="322">
        <v>0</v>
      </c>
      <c r="DA68" s="322">
        <v>23</v>
      </c>
      <c r="DB68" s="322"/>
      <c r="DC68" s="322">
        <v>0</v>
      </c>
      <c r="DD68" s="322"/>
      <c r="DE68" s="322"/>
      <c r="DF68" s="322">
        <v>0</v>
      </c>
      <c r="DG68" s="322">
        <v>1</v>
      </c>
      <c r="DH68" s="322">
        <v>0</v>
      </c>
      <c r="DI68" s="322">
        <v>0</v>
      </c>
      <c r="DJ68" s="322">
        <v>0</v>
      </c>
      <c r="DK68" s="322">
        <v>1</v>
      </c>
      <c r="DL68" s="322">
        <v>1</v>
      </c>
      <c r="DM68" s="322"/>
      <c r="DN68" s="322"/>
      <c r="DO68" s="322"/>
      <c r="DP68" s="322">
        <v>0</v>
      </c>
      <c r="DQ68" s="322">
        <v>0</v>
      </c>
      <c r="DR68" s="322">
        <v>0</v>
      </c>
      <c r="DS68" s="322">
        <v>0</v>
      </c>
      <c r="DT68" s="322">
        <v>0</v>
      </c>
      <c r="DU68" s="322">
        <v>0</v>
      </c>
      <c r="DV68" s="322">
        <v>0</v>
      </c>
      <c r="DW68" s="322">
        <v>0</v>
      </c>
      <c r="DX68" s="322"/>
      <c r="DY68" s="322"/>
      <c r="DZ68" s="322"/>
      <c r="EA68" s="322"/>
      <c r="EB68" s="322"/>
      <c r="EC68" s="226"/>
      <c r="ED68" s="322">
        <v>0</v>
      </c>
      <c r="EE68" s="322">
        <v>0</v>
      </c>
      <c r="EF68" s="322"/>
      <c r="EG68" s="226"/>
      <c r="EH68" s="322"/>
      <c r="EI68" s="322">
        <v>0</v>
      </c>
      <c r="EJ68" s="226"/>
      <c r="EK68" s="226"/>
      <c r="EL68" s="226"/>
      <c r="EM68" s="226"/>
      <c r="EN68" s="226"/>
      <c r="EO68" s="226"/>
      <c r="EP68" s="226"/>
      <c r="EQ68" s="226"/>
      <c r="ER68" s="322">
        <v>1</v>
      </c>
      <c r="ES68" s="322"/>
      <c r="ET68" s="322"/>
      <c r="EU68" s="322"/>
      <c r="EV68" s="322"/>
      <c r="EW68" s="322"/>
      <c r="EX68" s="322">
        <v>1</v>
      </c>
      <c r="EY68" s="322"/>
      <c r="EZ68" s="344"/>
      <c r="FA68" s="322">
        <v>0</v>
      </c>
      <c r="FB68" s="322"/>
      <c r="FC68" s="322"/>
      <c r="FD68" s="226"/>
      <c r="FE68" s="466"/>
      <c r="FF68" s="322">
        <v>0</v>
      </c>
      <c r="FG68" s="322">
        <v>0</v>
      </c>
      <c r="FH68" s="322">
        <v>2</v>
      </c>
      <c r="FI68" s="465" t="s">
        <v>656</v>
      </c>
      <c r="FJ68" s="465" t="s">
        <v>656</v>
      </c>
      <c r="FK68" s="465"/>
      <c r="FL68" s="465" t="s">
        <v>656</v>
      </c>
      <c r="FM68" s="322"/>
      <c r="FN68" s="322"/>
      <c r="FO68" s="465"/>
      <c r="FP68" s="465"/>
      <c r="FQ68" s="465"/>
      <c r="FR68" s="465"/>
      <c r="FS68" s="465"/>
      <c r="FT68" s="465"/>
      <c r="FU68" s="226"/>
      <c r="FV68" s="465"/>
      <c r="FW68" s="465"/>
      <c r="FX68" s="465"/>
      <c r="FY68" s="226"/>
      <c r="FZ68" s="465"/>
      <c r="GA68" s="465"/>
      <c r="GB68" s="465"/>
      <c r="GC68" s="465"/>
      <c r="GD68" s="465"/>
      <c r="GE68" s="465"/>
      <c r="GF68" s="465"/>
      <c r="GG68" s="465">
        <v>0</v>
      </c>
      <c r="GH68" s="465">
        <v>0</v>
      </c>
      <c r="GI68" s="226"/>
      <c r="GJ68" s="465"/>
      <c r="GK68" s="465"/>
      <c r="GL68" s="465"/>
      <c r="GM68" s="465">
        <v>1</v>
      </c>
      <c r="GN68" s="465"/>
      <c r="GO68" s="226"/>
      <c r="GP68" s="465"/>
      <c r="GQ68" s="226"/>
      <c r="GR68" s="465"/>
      <c r="GS68" s="465"/>
      <c r="GT68" s="465"/>
      <c r="GU68" s="465"/>
      <c r="GV68" s="465"/>
      <c r="GW68" s="226"/>
      <c r="GX68" s="322"/>
      <c r="GY68" s="322"/>
      <c r="GZ68" s="465"/>
      <c r="HA68" s="322"/>
      <c r="HB68" s="322">
        <v>1</v>
      </c>
      <c r="HC68" s="322"/>
      <c r="HD68" s="322"/>
      <c r="HE68" s="322">
        <v>2</v>
      </c>
      <c r="HF68" s="226"/>
      <c r="HG68" s="343" t="s">
        <v>656</v>
      </c>
      <c r="HH68" s="343" t="s">
        <v>656</v>
      </c>
      <c r="HI68" s="343" t="s">
        <v>656</v>
      </c>
      <c r="HJ68" s="322">
        <v>0</v>
      </c>
      <c r="HK68" s="343" t="s">
        <v>656</v>
      </c>
      <c r="HL68" s="226"/>
      <c r="HM68" s="322">
        <v>1</v>
      </c>
      <c r="HN68" s="226"/>
      <c r="HO68" s="322">
        <v>3</v>
      </c>
      <c r="HP68" s="322">
        <v>3</v>
      </c>
      <c r="HQ68" s="322">
        <v>1</v>
      </c>
      <c r="HR68" s="322"/>
      <c r="HS68" s="322"/>
      <c r="HT68" s="322"/>
      <c r="HU68" s="322"/>
      <c r="HV68" s="322">
        <v>2</v>
      </c>
      <c r="HW68" s="322">
        <v>0</v>
      </c>
      <c r="HX68" s="322">
        <v>3</v>
      </c>
      <c r="HY68" s="322"/>
      <c r="HZ68" s="322"/>
      <c r="IA68" s="322"/>
      <c r="IB68" s="322"/>
      <c r="IC68" s="322"/>
      <c r="ID68" s="322"/>
      <c r="IE68" s="322"/>
      <c r="IF68" s="322"/>
      <c r="IG68" s="322"/>
      <c r="IH68" s="344"/>
      <c r="II68" s="322"/>
      <c r="IJ68" s="322"/>
      <c r="IK68" s="322"/>
      <c r="IL68" s="322"/>
      <c r="IM68" s="322"/>
      <c r="IN68" s="322"/>
      <c r="IO68" s="322"/>
      <c r="IP68" s="322"/>
      <c r="IQ68" s="322"/>
      <c r="IR68" s="322">
        <v>0</v>
      </c>
      <c r="IS68" s="322"/>
      <c r="IT68" s="322"/>
      <c r="IU68" s="322"/>
      <c r="IV68" s="322"/>
      <c r="IW68" s="322"/>
      <c r="IX68" s="322"/>
      <c r="IY68" s="322">
        <v>0</v>
      </c>
      <c r="IZ68" s="322"/>
      <c r="JA68" s="322"/>
      <c r="JB68" s="322">
        <v>1</v>
      </c>
      <c r="JC68" s="322" t="s">
        <v>656</v>
      </c>
      <c r="JD68" s="322" t="s">
        <v>656</v>
      </c>
      <c r="JE68" s="226"/>
      <c r="JF68" s="226"/>
      <c r="JG68" s="226"/>
      <c r="JH68" s="322"/>
      <c r="JI68" s="322"/>
      <c r="JJ68" s="322">
        <v>6</v>
      </c>
      <c r="JK68" s="345"/>
      <c r="JL68" s="322"/>
      <c r="JM68" s="322">
        <v>0</v>
      </c>
      <c r="JN68" s="226"/>
      <c r="JO68" s="226"/>
      <c r="JP68" s="226"/>
      <c r="JQ68" s="322"/>
      <c r="JR68" s="322">
        <v>2</v>
      </c>
      <c r="JS68" s="322"/>
      <c r="JT68" s="322"/>
      <c r="JU68" s="322">
        <v>3</v>
      </c>
      <c r="JV68" s="322"/>
      <c r="JW68" s="322">
        <v>0</v>
      </c>
      <c r="JX68" s="322" t="s">
        <v>656</v>
      </c>
      <c r="JY68" s="322"/>
      <c r="JZ68" s="322">
        <v>1</v>
      </c>
      <c r="KA68" s="322"/>
      <c r="KB68" s="322"/>
      <c r="KC68" s="322"/>
      <c r="KD68" s="322">
        <v>1</v>
      </c>
      <c r="KE68" s="232"/>
      <c r="KF68" s="322">
        <v>1</v>
      </c>
      <c r="KG68" s="322">
        <v>1</v>
      </c>
      <c r="KH68" s="322">
        <v>0</v>
      </c>
      <c r="KI68" s="322">
        <v>0</v>
      </c>
      <c r="KJ68" s="322">
        <v>2</v>
      </c>
      <c r="KK68" s="322">
        <v>0</v>
      </c>
      <c r="KL68" s="322">
        <v>0</v>
      </c>
      <c r="KM68" s="322"/>
      <c r="KN68" s="322"/>
      <c r="KO68" s="322"/>
      <c r="KP68" s="322"/>
      <c r="KQ68" s="226"/>
      <c r="KR68" s="226"/>
      <c r="KS68" s="226"/>
      <c r="KT68" s="226"/>
      <c r="KU68" s="226"/>
      <c r="KV68" s="322">
        <v>2</v>
      </c>
      <c r="KW68" s="322"/>
      <c r="KX68" s="383"/>
      <c r="KY68" s="386"/>
      <c r="KZ68" s="322"/>
      <c r="LA68" s="322"/>
      <c r="LB68" s="322"/>
      <c r="LC68" s="322"/>
      <c r="LD68" s="322"/>
      <c r="LE68" s="322"/>
      <c r="LF68" s="322"/>
      <c r="LG68" s="322"/>
      <c r="LH68" s="322"/>
      <c r="LI68" s="322"/>
      <c r="LJ68" s="322"/>
      <c r="LK68" s="322"/>
      <c r="LL68" s="322"/>
      <c r="LM68" s="226"/>
      <c r="LN68" s="322">
        <v>0</v>
      </c>
      <c r="LO68" s="322">
        <v>0</v>
      </c>
      <c r="LP68" s="322">
        <v>2</v>
      </c>
      <c r="LQ68" s="322">
        <v>0</v>
      </c>
      <c r="LR68" s="322">
        <v>1</v>
      </c>
      <c r="LS68" s="322">
        <v>0</v>
      </c>
      <c r="LT68" s="346">
        <v>0</v>
      </c>
      <c r="LU68" s="322">
        <v>0</v>
      </c>
      <c r="LV68" s="322"/>
      <c r="LW68" s="322"/>
      <c r="LX68" s="322"/>
      <c r="LY68" s="322"/>
      <c r="LZ68" s="322"/>
      <c r="MA68" s="322"/>
      <c r="MB68" s="322"/>
      <c r="MC68" s="322">
        <v>0</v>
      </c>
      <c r="MD68" s="322">
        <v>2</v>
      </c>
      <c r="ME68" s="322">
        <v>0</v>
      </c>
      <c r="MF68" s="322">
        <v>0</v>
      </c>
      <c r="MG68" s="226"/>
      <c r="MH68" s="226"/>
      <c r="MI68" s="226"/>
      <c r="MJ68" s="347"/>
      <c r="MK68" s="347"/>
      <c r="ML68" s="347"/>
      <c r="MM68" s="347">
        <v>1</v>
      </c>
      <c r="MN68" s="348">
        <v>4</v>
      </c>
      <c r="MO68" s="348"/>
      <c r="MP68" s="348">
        <v>1</v>
      </c>
      <c r="MQ68" s="348"/>
      <c r="MR68" s="348"/>
      <c r="MS68" s="348"/>
      <c r="MT68" s="347">
        <v>1</v>
      </c>
      <c r="MU68" s="348"/>
      <c r="MV68" s="347">
        <v>2</v>
      </c>
      <c r="MW68" s="347"/>
      <c r="MX68" s="226"/>
      <c r="MY68" s="226"/>
      <c r="MZ68" s="226"/>
      <c r="NA68" s="226"/>
    </row>
    <row r="69" spans="1:365" ht="68" x14ac:dyDescent="0.2">
      <c r="A69" s="1216"/>
      <c r="B69" s="201" t="s">
        <v>142</v>
      </c>
      <c r="C69" s="202" t="s">
        <v>143</v>
      </c>
      <c r="D69" s="215" t="s">
        <v>117</v>
      </c>
      <c r="E69" s="322"/>
      <c r="F69" s="322"/>
      <c r="G69" s="305" t="s">
        <v>656</v>
      </c>
      <c r="H69" s="322">
        <v>3</v>
      </c>
      <c r="I69" s="322" t="s">
        <v>656</v>
      </c>
      <c r="J69" s="322" t="s">
        <v>656</v>
      </c>
      <c r="K69" s="322"/>
      <c r="L69" s="322"/>
      <c r="M69" s="467"/>
      <c r="N69" s="322"/>
      <c r="O69" s="322"/>
      <c r="P69" s="463"/>
      <c r="Q69" s="322">
        <v>4</v>
      </c>
      <c r="R69" s="322"/>
      <c r="S69" s="322"/>
      <c r="T69" s="322"/>
      <c r="U69" s="322"/>
      <c r="V69" s="322">
        <v>19</v>
      </c>
      <c r="W69" s="226"/>
      <c r="X69" s="226"/>
      <c r="Y69" s="226"/>
      <c r="Z69" s="226"/>
      <c r="AA69" s="226"/>
      <c r="AB69" s="226"/>
      <c r="AC69" s="226"/>
      <c r="AD69" s="226"/>
      <c r="AE69" s="226"/>
      <c r="AF69" s="322">
        <v>3</v>
      </c>
      <c r="AG69" s="225"/>
      <c r="AH69" s="226"/>
      <c r="AI69" s="322"/>
      <c r="AJ69" s="322"/>
      <c r="AK69" s="344"/>
      <c r="AL69" s="322"/>
      <c r="AM69" s="226"/>
      <c r="AN69" s="226"/>
      <c r="AO69" s="226"/>
      <c r="AP69" s="226"/>
      <c r="AQ69" s="322"/>
      <c r="AR69" s="322">
        <v>10</v>
      </c>
      <c r="AS69" s="322"/>
      <c r="AT69" s="322"/>
      <c r="AU69" s="322"/>
      <c r="AV69" s="322"/>
      <c r="AW69" s="322">
        <v>0</v>
      </c>
      <c r="AX69" s="322"/>
      <c r="AY69" s="344">
        <v>0</v>
      </c>
      <c r="AZ69" s="322">
        <v>0</v>
      </c>
      <c r="BA69" s="322">
        <v>1</v>
      </c>
      <c r="BB69" s="322"/>
      <c r="BC69" s="322"/>
      <c r="BD69" s="322"/>
      <c r="BE69" s="344"/>
      <c r="BF69" s="322"/>
      <c r="BG69" s="322"/>
      <c r="BH69" s="322" t="s">
        <v>470</v>
      </c>
      <c r="BI69" s="322" t="s">
        <v>656</v>
      </c>
      <c r="BJ69" s="322"/>
      <c r="BK69" s="322">
        <v>0</v>
      </c>
      <c r="BL69" s="322">
        <v>2</v>
      </c>
      <c r="BM69" s="322"/>
      <c r="BN69" s="226"/>
      <c r="BO69" s="322"/>
      <c r="BP69" s="322">
        <v>0</v>
      </c>
      <c r="BQ69" s="322"/>
      <c r="BR69" s="233" t="s">
        <v>117</v>
      </c>
      <c r="BS69" s="322" t="s">
        <v>656</v>
      </c>
      <c r="BT69" s="322"/>
      <c r="BU69" s="322">
        <v>0</v>
      </c>
      <c r="BV69" s="322"/>
      <c r="BW69" s="322">
        <v>0</v>
      </c>
      <c r="BX69" s="322"/>
      <c r="BY69" s="322"/>
      <c r="BZ69" s="322"/>
      <c r="CA69" s="322"/>
      <c r="CB69" s="322"/>
      <c r="CC69" s="322">
        <v>0</v>
      </c>
      <c r="CD69" s="344">
        <v>1</v>
      </c>
      <c r="CE69" s="344">
        <v>1</v>
      </c>
      <c r="CF69" s="344"/>
      <c r="CG69" s="344">
        <v>0</v>
      </c>
      <c r="CH69" s="344"/>
      <c r="CI69" s="344"/>
      <c r="CJ69" s="344">
        <v>0</v>
      </c>
      <c r="CK69" s="344"/>
      <c r="CL69" s="344"/>
      <c r="CM69" s="344"/>
      <c r="CN69" s="322"/>
      <c r="CO69" s="322">
        <v>0</v>
      </c>
      <c r="CP69" s="322"/>
      <c r="CQ69" s="464"/>
      <c r="CR69" s="465">
        <v>11</v>
      </c>
      <c r="CS69" s="322"/>
      <c r="CT69" s="322"/>
      <c r="CU69" s="322">
        <v>0</v>
      </c>
      <c r="CV69" s="322">
        <v>0</v>
      </c>
      <c r="CW69" s="322" t="s">
        <v>656</v>
      </c>
      <c r="CX69" s="322"/>
      <c r="CY69" s="322"/>
      <c r="CZ69" s="322">
        <v>0</v>
      </c>
      <c r="DA69" s="322">
        <v>11</v>
      </c>
      <c r="DB69" s="322"/>
      <c r="DC69" s="322">
        <v>0</v>
      </c>
      <c r="DD69" s="322"/>
      <c r="DE69" s="322"/>
      <c r="DF69" s="322">
        <v>5</v>
      </c>
      <c r="DG69" s="322">
        <v>0</v>
      </c>
      <c r="DH69" s="322">
        <v>0</v>
      </c>
      <c r="DI69" s="322">
        <v>0</v>
      </c>
      <c r="DJ69" s="322">
        <v>0</v>
      </c>
      <c r="DK69" s="322">
        <v>0</v>
      </c>
      <c r="DL69" s="322">
        <v>0</v>
      </c>
      <c r="DM69" s="322"/>
      <c r="DN69" s="322"/>
      <c r="DO69" s="322"/>
      <c r="DP69" s="322">
        <v>1</v>
      </c>
      <c r="DQ69" s="322">
        <v>0</v>
      </c>
      <c r="DR69" s="322">
        <v>0</v>
      </c>
      <c r="DS69" s="322">
        <v>0</v>
      </c>
      <c r="DT69" s="322">
        <v>0</v>
      </c>
      <c r="DU69" s="322">
        <v>0</v>
      </c>
      <c r="DV69" s="322">
        <v>0</v>
      </c>
      <c r="DW69" s="322">
        <v>0</v>
      </c>
      <c r="DX69" s="322"/>
      <c r="DY69" s="322">
        <v>1</v>
      </c>
      <c r="DZ69" s="322">
        <v>9</v>
      </c>
      <c r="EA69" s="322">
        <v>2</v>
      </c>
      <c r="EB69" s="322"/>
      <c r="EC69" s="226"/>
      <c r="ED69" s="322">
        <v>0</v>
      </c>
      <c r="EE69" s="322">
        <v>0</v>
      </c>
      <c r="EF69" s="322"/>
      <c r="EG69" s="226"/>
      <c r="EH69" s="322"/>
      <c r="EI69" s="322">
        <v>0</v>
      </c>
      <c r="EJ69" s="226"/>
      <c r="EK69" s="226"/>
      <c r="EL69" s="226"/>
      <c r="EM69" s="226"/>
      <c r="EN69" s="226"/>
      <c r="EO69" s="226"/>
      <c r="EP69" s="226"/>
      <c r="EQ69" s="226"/>
      <c r="ER69" s="322"/>
      <c r="ES69" s="322"/>
      <c r="ET69" s="322"/>
      <c r="EU69" s="322"/>
      <c r="EV69" s="322"/>
      <c r="EW69" s="322"/>
      <c r="EX69" s="322"/>
      <c r="EY69" s="322"/>
      <c r="EZ69" s="344"/>
      <c r="FA69" s="322">
        <v>0</v>
      </c>
      <c r="FB69" s="322"/>
      <c r="FC69" s="322"/>
      <c r="FD69" s="226"/>
      <c r="FE69" s="466"/>
      <c r="FF69" s="322">
        <v>0</v>
      </c>
      <c r="FG69" s="322">
        <v>0</v>
      </c>
      <c r="FH69" s="322">
        <v>0</v>
      </c>
      <c r="FI69" s="465" t="s">
        <v>656</v>
      </c>
      <c r="FJ69" s="465" t="s">
        <v>656</v>
      </c>
      <c r="FK69" s="465"/>
      <c r="FL69" s="465" t="s">
        <v>656</v>
      </c>
      <c r="FM69" s="322"/>
      <c r="FN69" s="322"/>
      <c r="FO69" s="465"/>
      <c r="FP69" s="465"/>
      <c r="FQ69" s="465"/>
      <c r="FR69" s="465"/>
      <c r="FS69" s="465"/>
      <c r="FT69" s="465"/>
      <c r="FU69" s="226"/>
      <c r="FV69" s="465"/>
      <c r="FW69" s="465"/>
      <c r="FX69" s="465"/>
      <c r="FY69" s="226"/>
      <c r="FZ69" s="465"/>
      <c r="GA69" s="465"/>
      <c r="GB69" s="465"/>
      <c r="GC69" s="465"/>
      <c r="GD69" s="465"/>
      <c r="GE69" s="465"/>
      <c r="GF69" s="465"/>
      <c r="GG69" s="465">
        <v>0</v>
      </c>
      <c r="GH69" s="465">
        <v>0</v>
      </c>
      <c r="GI69" s="226"/>
      <c r="GJ69" s="465"/>
      <c r="GK69" s="465"/>
      <c r="GL69" s="465"/>
      <c r="GM69" s="465"/>
      <c r="GN69" s="465"/>
      <c r="GO69" s="226"/>
      <c r="GP69" s="465"/>
      <c r="GQ69" s="226"/>
      <c r="GR69" s="465"/>
      <c r="GS69" s="465"/>
      <c r="GT69" s="465"/>
      <c r="GU69" s="465">
        <v>1</v>
      </c>
      <c r="GV69" s="465"/>
      <c r="GW69" s="226"/>
      <c r="GX69" s="322"/>
      <c r="GY69" s="322"/>
      <c r="GZ69" s="465"/>
      <c r="HA69" s="322">
        <v>1</v>
      </c>
      <c r="HB69" s="322"/>
      <c r="HC69" s="322"/>
      <c r="HD69" s="322"/>
      <c r="HE69" s="322">
        <v>0</v>
      </c>
      <c r="HF69" s="226"/>
      <c r="HG69" s="343">
        <v>1</v>
      </c>
      <c r="HH69" s="343" t="s">
        <v>656</v>
      </c>
      <c r="HI69" s="343" t="s">
        <v>656</v>
      </c>
      <c r="HJ69" s="322">
        <v>19</v>
      </c>
      <c r="HK69" s="343" t="s">
        <v>656</v>
      </c>
      <c r="HL69" s="226"/>
      <c r="HM69" s="322">
        <v>40</v>
      </c>
      <c r="HN69" s="226"/>
      <c r="HO69" s="322">
        <v>2</v>
      </c>
      <c r="HP69" s="322"/>
      <c r="HQ69" s="322"/>
      <c r="HR69" s="322"/>
      <c r="HS69" s="322"/>
      <c r="HT69" s="322">
        <v>2</v>
      </c>
      <c r="HU69" s="322"/>
      <c r="HV69" s="322">
        <v>1</v>
      </c>
      <c r="HW69" s="322">
        <v>3</v>
      </c>
      <c r="HX69" s="322">
        <v>16</v>
      </c>
      <c r="HY69" s="322">
        <v>1</v>
      </c>
      <c r="HZ69" s="322"/>
      <c r="IA69" s="322"/>
      <c r="IB69" s="322"/>
      <c r="IC69" s="322"/>
      <c r="ID69" s="322"/>
      <c r="IE69" s="322"/>
      <c r="IF69" s="322"/>
      <c r="IG69" s="322"/>
      <c r="IH69" s="344"/>
      <c r="II69" s="322"/>
      <c r="IJ69" s="322"/>
      <c r="IK69" s="322"/>
      <c r="IL69" s="322"/>
      <c r="IM69" s="322"/>
      <c r="IN69" s="322"/>
      <c r="IO69" s="322"/>
      <c r="IP69" s="322">
        <v>1</v>
      </c>
      <c r="IQ69" s="322">
        <v>1</v>
      </c>
      <c r="IR69" s="322">
        <v>0</v>
      </c>
      <c r="IS69" s="322"/>
      <c r="IT69" s="322"/>
      <c r="IU69" s="322"/>
      <c r="IV69" s="322"/>
      <c r="IW69" s="322"/>
      <c r="IX69" s="322"/>
      <c r="IY69" s="322">
        <v>0</v>
      </c>
      <c r="IZ69" s="322"/>
      <c r="JA69" s="322"/>
      <c r="JB69" s="322"/>
      <c r="JC69" s="322" t="s">
        <v>656</v>
      </c>
      <c r="JD69" s="322">
        <v>1</v>
      </c>
      <c r="JE69" s="226"/>
      <c r="JF69" s="226"/>
      <c r="JG69" s="226"/>
      <c r="JH69" s="322">
        <v>1</v>
      </c>
      <c r="JI69" s="322"/>
      <c r="JJ69" s="305" t="s">
        <v>656</v>
      </c>
      <c r="JK69" s="345"/>
      <c r="JL69" s="322">
        <v>2</v>
      </c>
      <c r="JM69" s="322">
        <v>1</v>
      </c>
      <c r="JN69" s="226"/>
      <c r="JO69" s="226"/>
      <c r="JP69" s="226"/>
      <c r="JQ69" s="322"/>
      <c r="JR69" s="322"/>
      <c r="JS69" s="322"/>
      <c r="JT69" s="322"/>
      <c r="JU69" s="322"/>
      <c r="JV69" s="322"/>
      <c r="JW69" s="322">
        <v>0</v>
      </c>
      <c r="JX69" s="322" t="s">
        <v>656</v>
      </c>
      <c r="JY69" s="322"/>
      <c r="JZ69" s="322">
        <v>2</v>
      </c>
      <c r="KA69" s="322"/>
      <c r="KB69" s="322"/>
      <c r="KC69" s="322"/>
      <c r="KD69" s="322"/>
      <c r="KE69" s="232"/>
      <c r="KF69" s="322"/>
      <c r="KG69" s="322" t="s">
        <v>470</v>
      </c>
      <c r="KH69" s="322">
        <v>0</v>
      </c>
      <c r="KI69" s="322">
        <v>1</v>
      </c>
      <c r="KJ69" s="322"/>
      <c r="KK69" s="322">
        <v>0</v>
      </c>
      <c r="KL69" s="322">
        <v>0</v>
      </c>
      <c r="KM69" s="322"/>
      <c r="KN69" s="322"/>
      <c r="KO69" s="322"/>
      <c r="KP69" s="322">
        <v>3</v>
      </c>
      <c r="KQ69" s="226"/>
      <c r="KR69" s="226"/>
      <c r="KS69" s="226"/>
      <c r="KT69" s="226"/>
      <c r="KU69" s="226"/>
      <c r="KV69" s="322" t="s">
        <v>656</v>
      </c>
      <c r="KW69" s="322"/>
      <c r="KX69" s="383"/>
      <c r="KY69" s="386"/>
      <c r="KZ69" s="322"/>
      <c r="LA69" s="322"/>
      <c r="LB69" s="322"/>
      <c r="LC69" s="322"/>
      <c r="LD69" s="322"/>
      <c r="LE69" s="322"/>
      <c r="LF69" s="322"/>
      <c r="LG69" s="322"/>
      <c r="LH69" s="322"/>
      <c r="LI69" s="322"/>
      <c r="LJ69" s="322"/>
      <c r="LK69" s="322">
        <v>1</v>
      </c>
      <c r="LL69" s="322">
        <v>6</v>
      </c>
      <c r="LM69" s="226"/>
      <c r="LN69" s="322">
        <v>0</v>
      </c>
      <c r="LO69" s="322">
        <v>2</v>
      </c>
      <c r="LP69" s="322">
        <v>0</v>
      </c>
      <c r="LQ69" s="322">
        <v>2</v>
      </c>
      <c r="LR69" s="322">
        <v>0</v>
      </c>
      <c r="LS69" s="322">
        <v>0</v>
      </c>
      <c r="LT69" s="346">
        <v>0</v>
      </c>
      <c r="LU69" s="322">
        <v>0</v>
      </c>
      <c r="LV69" s="322"/>
      <c r="LW69" s="322"/>
      <c r="LX69" s="322"/>
      <c r="LY69" s="322"/>
      <c r="LZ69" s="322"/>
      <c r="MA69" s="322"/>
      <c r="MB69" s="322"/>
      <c r="MC69" s="322">
        <v>2</v>
      </c>
      <c r="MD69" s="322">
        <v>0</v>
      </c>
      <c r="ME69" s="322">
        <v>0</v>
      </c>
      <c r="MF69" s="322">
        <v>0</v>
      </c>
      <c r="MG69" s="226"/>
      <c r="MH69" s="226"/>
      <c r="MI69" s="226"/>
      <c r="MJ69" s="347"/>
      <c r="MK69" s="347"/>
      <c r="ML69" s="347">
        <v>1</v>
      </c>
      <c r="MM69" s="347">
        <v>3</v>
      </c>
      <c r="MN69" s="348"/>
      <c r="MO69" s="348"/>
      <c r="MP69" s="348"/>
      <c r="MQ69" s="348"/>
      <c r="MR69" s="348">
        <v>4</v>
      </c>
      <c r="MS69" s="348"/>
      <c r="MT69" s="347">
        <v>1</v>
      </c>
      <c r="MU69" s="348">
        <v>1</v>
      </c>
      <c r="MV69" s="347"/>
      <c r="MW69" s="347"/>
      <c r="MX69" s="226"/>
      <c r="MY69" s="226"/>
      <c r="MZ69" s="226"/>
      <c r="NA69" s="226"/>
    </row>
    <row r="70" spans="1:365" ht="17" x14ac:dyDescent="0.2">
      <c r="A70" s="1216"/>
      <c r="B70" s="201" t="s">
        <v>144</v>
      </c>
      <c r="C70" s="202" t="s">
        <v>145</v>
      </c>
      <c r="D70" s="215" t="s">
        <v>117</v>
      </c>
      <c r="E70" s="322"/>
      <c r="F70" s="322"/>
      <c r="G70" s="305" t="s">
        <v>656</v>
      </c>
      <c r="H70" s="232">
        <v>1</v>
      </c>
      <c r="I70" s="322" t="s">
        <v>656</v>
      </c>
      <c r="J70" s="322" t="s">
        <v>656</v>
      </c>
      <c r="K70" s="322"/>
      <c r="L70" s="322">
        <v>1</v>
      </c>
      <c r="M70" s="467"/>
      <c r="N70" s="322"/>
      <c r="O70" s="322">
        <v>11</v>
      </c>
      <c r="P70" s="463"/>
      <c r="Q70" s="322">
        <v>1</v>
      </c>
      <c r="R70" s="322"/>
      <c r="S70" s="322"/>
      <c r="T70" s="322"/>
      <c r="U70" s="322"/>
      <c r="V70" s="322"/>
      <c r="W70" s="226"/>
      <c r="X70" s="226"/>
      <c r="Y70" s="226"/>
      <c r="Z70" s="226"/>
      <c r="AA70" s="226"/>
      <c r="AB70" s="226"/>
      <c r="AC70" s="226"/>
      <c r="AD70" s="226"/>
      <c r="AE70" s="226"/>
      <c r="AF70" s="322">
        <v>0</v>
      </c>
      <c r="AG70" s="225"/>
      <c r="AH70" s="226"/>
      <c r="AI70" s="322"/>
      <c r="AJ70" s="322"/>
      <c r="AK70" s="344"/>
      <c r="AL70" s="322"/>
      <c r="AM70" s="226"/>
      <c r="AN70" s="226"/>
      <c r="AO70" s="226"/>
      <c r="AP70" s="226"/>
      <c r="AQ70" s="322"/>
      <c r="AR70" s="322">
        <v>8</v>
      </c>
      <c r="AS70" s="322"/>
      <c r="AT70" s="322"/>
      <c r="AU70" s="322"/>
      <c r="AV70" s="322"/>
      <c r="AW70" s="322">
        <v>1</v>
      </c>
      <c r="AX70" s="322"/>
      <c r="AY70" s="344">
        <v>0</v>
      </c>
      <c r="AZ70" s="322">
        <v>0</v>
      </c>
      <c r="BA70" s="322"/>
      <c r="BB70" s="322">
        <v>1</v>
      </c>
      <c r="BC70" s="322"/>
      <c r="BD70" s="322"/>
      <c r="BE70" s="344"/>
      <c r="BF70" s="322"/>
      <c r="BG70" s="322"/>
      <c r="BH70" s="322" t="s">
        <v>470</v>
      </c>
      <c r="BI70" s="322" t="s">
        <v>656</v>
      </c>
      <c r="BJ70" s="322"/>
      <c r="BK70" s="322">
        <v>1</v>
      </c>
      <c r="BL70" s="322">
        <v>3</v>
      </c>
      <c r="BM70" s="322"/>
      <c r="BN70" s="226"/>
      <c r="BO70" s="322"/>
      <c r="BP70" s="322">
        <v>0</v>
      </c>
      <c r="BQ70" s="322"/>
      <c r="BR70" s="233" t="s">
        <v>117</v>
      </c>
      <c r="BS70" s="322" t="s">
        <v>656</v>
      </c>
      <c r="BT70" s="322"/>
      <c r="BU70" s="322">
        <v>0</v>
      </c>
      <c r="BV70" s="322"/>
      <c r="BW70" s="322">
        <v>0</v>
      </c>
      <c r="BX70" s="322"/>
      <c r="BY70" s="322"/>
      <c r="BZ70" s="322"/>
      <c r="CA70" s="322"/>
      <c r="CB70" s="322"/>
      <c r="CC70" s="322">
        <v>0</v>
      </c>
      <c r="CD70" s="344"/>
      <c r="CE70" s="344">
        <v>0</v>
      </c>
      <c r="CF70" s="344"/>
      <c r="CG70" s="344">
        <v>0</v>
      </c>
      <c r="CH70" s="344"/>
      <c r="CI70" s="344"/>
      <c r="CJ70" s="344">
        <v>0</v>
      </c>
      <c r="CK70" s="344"/>
      <c r="CL70" s="344">
        <v>1</v>
      </c>
      <c r="CM70" s="344">
        <v>1</v>
      </c>
      <c r="CN70" s="322"/>
      <c r="CO70" s="322">
        <v>0</v>
      </c>
      <c r="CP70" s="322">
        <v>2</v>
      </c>
      <c r="CQ70" s="464">
        <v>1</v>
      </c>
      <c r="CR70" s="465"/>
      <c r="CS70" s="322"/>
      <c r="CT70" s="322"/>
      <c r="CU70" s="322">
        <v>0</v>
      </c>
      <c r="CV70" s="322">
        <v>0</v>
      </c>
      <c r="CW70" s="322" t="s">
        <v>656</v>
      </c>
      <c r="CX70" s="322">
        <v>1</v>
      </c>
      <c r="CY70" s="322"/>
      <c r="CZ70" s="322">
        <v>3</v>
      </c>
      <c r="DA70" s="322">
        <v>49</v>
      </c>
      <c r="DB70" s="322">
        <v>1</v>
      </c>
      <c r="DC70" s="322">
        <v>0</v>
      </c>
      <c r="DD70" s="322"/>
      <c r="DE70" s="322"/>
      <c r="DF70" s="322">
        <v>0</v>
      </c>
      <c r="DG70" s="322">
        <v>0</v>
      </c>
      <c r="DH70" s="322">
        <v>0</v>
      </c>
      <c r="DI70" s="322">
        <v>0</v>
      </c>
      <c r="DJ70" s="322">
        <v>0</v>
      </c>
      <c r="DK70" s="322">
        <v>0</v>
      </c>
      <c r="DL70" s="322">
        <v>0</v>
      </c>
      <c r="DM70" s="322">
        <v>1</v>
      </c>
      <c r="DN70" s="322">
        <v>1</v>
      </c>
      <c r="DO70" s="322">
        <v>1</v>
      </c>
      <c r="DP70" s="322">
        <v>0</v>
      </c>
      <c r="DQ70" s="322">
        <v>0</v>
      </c>
      <c r="DR70" s="322">
        <v>0</v>
      </c>
      <c r="DS70" s="322">
        <v>0</v>
      </c>
      <c r="DT70" s="322">
        <v>0</v>
      </c>
      <c r="DU70" s="322">
        <v>0</v>
      </c>
      <c r="DV70" s="322">
        <v>0</v>
      </c>
      <c r="DW70" s="322">
        <v>0</v>
      </c>
      <c r="DX70" s="322">
        <v>1</v>
      </c>
      <c r="DY70" s="467"/>
      <c r="DZ70" s="322">
        <v>2</v>
      </c>
      <c r="EA70" s="322"/>
      <c r="EB70" s="322">
        <v>3</v>
      </c>
      <c r="EC70" s="226"/>
      <c r="ED70" s="322">
        <v>0</v>
      </c>
      <c r="EE70" s="322">
        <v>0</v>
      </c>
      <c r="EF70" s="322"/>
      <c r="EG70" s="226"/>
      <c r="EH70" s="322"/>
      <c r="EI70" s="322">
        <v>0</v>
      </c>
      <c r="EJ70" s="226"/>
      <c r="EK70" s="226"/>
      <c r="EL70" s="226"/>
      <c r="EM70" s="226"/>
      <c r="EN70" s="226"/>
      <c r="EO70" s="226"/>
      <c r="EP70" s="226"/>
      <c r="EQ70" s="226"/>
      <c r="ER70" s="322"/>
      <c r="ES70" s="322"/>
      <c r="ET70" s="322"/>
      <c r="EU70" s="322">
        <v>5</v>
      </c>
      <c r="EV70" s="322"/>
      <c r="EW70" s="322"/>
      <c r="EX70" s="322"/>
      <c r="EY70" s="322"/>
      <c r="EZ70" s="344"/>
      <c r="FA70" s="322">
        <v>0</v>
      </c>
      <c r="FB70" s="322"/>
      <c r="FC70" s="322"/>
      <c r="FD70" s="226"/>
      <c r="FE70" s="466"/>
      <c r="FF70" s="322">
        <v>0</v>
      </c>
      <c r="FG70" s="322">
        <v>0</v>
      </c>
      <c r="FH70" s="322">
        <v>1</v>
      </c>
      <c r="FI70" s="465">
        <v>2</v>
      </c>
      <c r="FJ70" s="465" t="s">
        <v>656</v>
      </c>
      <c r="FK70" s="465"/>
      <c r="FL70" s="465" t="s">
        <v>656</v>
      </c>
      <c r="FM70" s="322"/>
      <c r="FN70" s="322"/>
      <c r="FO70" s="465"/>
      <c r="FP70" s="465"/>
      <c r="FQ70" s="465"/>
      <c r="FR70" s="465"/>
      <c r="FS70" s="465"/>
      <c r="FT70" s="465"/>
      <c r="FU70" s="226"/>
      <c r="FV70" s="465"/>
      <c r="FW70" s="465">
        <v>1</v>
      </c>
      <c r="FX70" s="465"/>
      <c r="FY70" s="226"/>
      <c r="FZ70" s="465">
        <v>1</v>
      </c>
      <c r="GA70" s="465"/>
      <c r="GB70" s="465"/>
      <c r="GC70" s="465"/>
      <c r="GD70" s="465"/>
      <c r="GE70" s="465">
        <v>1</v>
      </c>
      <c r="GF70" s="465"/>
      <c r="GG70" s="465">
        <v>2</v>
      </c>
      <c r="GH70" s="465">
        <v>0</v>
      </c>
      <c r="GI70" s="226"/>
      <c r="GJ70" s="465">
        <v>2</v>
      </c>
      <c r="GK70" s="465"/>
      <c r="GL70" s="465"/>
      <c r="GM70" s="465"/>
      <c r="GN70" s="465"/>
      <c r="GO70" s="226"/>
      <c r="GP70" s="465"/>
      <c r="GQ70" s="226"/>
      <c r="GR70" s="465"/>
      <c r="GS70" s="465"/>
      <c r="GT70" s="465"/>
      <c r="GU70" s="465"/>
      <c r="GV70" s="465"/>
      <c r="GW70" s="226"/>
      <c r="GX70" s="322"/>
      <c r="GY70" s="322"/>
      <c r="GZ70" s="465"/>
      <c r="HA70" s="322">
        <v>2</v>
      </c>
      <c r="HB70" s="322"/>
      <c r="HC70" s="322"/>
      <c r="HD70" s="322"/>
      <c r="HE70" s="322">
        <v>2</v>
      </c>
      <c r="HF70" s="226"/>
      <c r="HG70" s="343" t="s">
        <v>656</v>
      </c>
      <c r="HH70" s="343" t="s">
        <v>656</v>
      </c>
      <c r="HI70" s="343" t="s">
        <v>656</v>
      </c>
      <c r="HJ70" s="322">
        <v>22</v>
      </c>
      <c r="HK70" s="343">
        <v>2</v>
      </c>
      <c r="HL70" s="226"/>
      <c r="HM70" s="322">
        <v>19</v>
      </c>
      <c r="HN70" s="226"/>
      <c r="HO70" s="322">
        <v>2</v>
      </c>
      <c r="HP70" s="322"/>
      <c r="HQ70" s="322">
        <v>2</v>
      </c>
      <c r="HR70" s="322"/>
      <c r="HS70" s="322"/>
      <c r="HT70" s="322"/>
      <c r="HU70" s="322">
        <v>1</v>
      </c>
      <c r="HV70" s="322">
        <v>3</v>
      </c>
      <c r="HW70" s="322">
        <v>0</v>
      </c>
      <c r="HX70" s="322">
        <v>6</v>
      </c>
      <c r="HY70" s="322"/>
      <c r="HZ70" s="322"/>
      <c r="IA70" s="322">
        <v>1</v>
      </c>
      <c r="IB70" s="322"/>
      <c r="IC70" s="322"/>
      <c r="ID70" s="322"/>
      <c r="IE70" s="322"/>
      <c r="IF70" s="322"/>
      <c r="IG70" s="322"/>
      <c r="IH70" s="344"/>
      <c r="II70" s="322"/>
      <c r="IJ70" s="322"/>
      <c r="IK70" s="322"/>
      <c r="IL70" s="322"/>
      <c r="IM70" s="322"/>
      <c r="IN70" s="322"/>
      <c r="IO70" s="322">
        <v>1</v>
      </c>
      <c r="IP70" s="322"/>
      <c r="IQ70" s="322"/>
      <c r="IR70" s="322">
        <v>1</v>
      </c>
      <c r="IS70" s="322"/>
      <c r="IT70" s="322"/>
      <c r="IU70" s="322"/>
      <c r="IV70" s="322"/>
      <c r="IW70" s="322">
        <v>1</v>
      </c>
      <c r="IX70" s="322">
        <v>1</v>
      </c>
      <c r="IY70" s="322">
        <v>1</v>
      </c>
      <c r="IZ70" s="322"/>
      <c r="JA70" s="322"/>
      <c r="JB70" s="322"/>
      <c r="JC70" s="322" t="s">
        <v>656</v>
      </c>
      <c r="JD70" s="322" t="s">
        <v>656</v>
      </c>
      <c r="JE70" s="226"/>
      <c r="JF70" s="226"/>
      <c r="JG70" s="226"/>
      <c r="JH70" s="322"/>
      <c r="JI70" s="322"/>
      <c r="JJ70" s="305" t="s">
        <v>656</v>
      </c>
      <c r="JK70" s="345"/>
      <c r="JL70" s="322">
        <v>2</v>
      </c>
      <c r="JM70" s="322">
        <v>0</v>
      </c>
      <c r="JN70" s="226"/>
      <c r="JO70" s="226"/>
      <c r="JP70" s="226"/>
      <c r="JQ70" s="322">
        <v>1</v>
      </c>
      <c r="JR70" s="322">
        <v>2</v>
      </c>
      <c r="JS70" s="322"/>
      <c r="JT70" s="322">
        <v>1</v>
      </c>
      <c r="JU70" s="322">
        <v>1</v>
      </c>
      <c r="JV70" s="322">
        <v>1</v>
      </c>
      <c r="JW70" s="322">
        <v>0</v>
      </c>
      <c r="JX70" s="322" t="s">
        <v>656</v>
      </c>
      <c r="JY70" s="322"/>
      <c r="JZ70" s="322">
        <v>0</v>
      </c>
      <c r="KA70" s="322"/>
      <c r="KB70" s="322"/>
      <c r="KC70" s="322"/>
      <c r="KD70" s="322"/>
      <c r="KE70" s="232"/>
      <c r="KF70" s="322"/>
      <c r="KG70" s="322" t="s">
        <v>470</v>
      </c>
      <c r="KH70" s="322">
        <v>0</v>
      </c>
      <c r="KI70" s="322">
        <v>0</v>
      </c>
      <c r="KJ70" s="322"/>
      <c r="KK70" s="322">
        <v>0</v>
      </c>
      <c r="KL70" s="322">
        <v>0</v>
      </c>
      <c r="KM70" s="322"/>
      <c r="KN70" s="322"/>
      <c r="KO70" s="322"/>
      <c r="KP70" s="322">
        <v>3</v>
      </c>
      <c r="KQ70" s="226"/>
      <c r="KR70" s="226"/>
      <c r="KS70" s="226"/>
      <c r="KT70" s="226"/>
      <c r="KU70" s="226"/>
      <c r="KV70" s="322">
        <v>2</v>
      </c>
      <c r="KW70" s="322"/>
      <c r="KX70" s="383"/>
      <c r="KY70" s="386">
        <v>2</v>
      </c>
      <c r="KZ70" s="322"/>
      <c r="LA70" s="322"/>
      <c r="LB70" s="322"/>
      <c r="LC70" s="322"/>
      <c r="LD70" s="322"/>
      <c r="LE70" s="322"/>
      <c r="LF70" s="322"/>
      <c r="LG70" s="322"/>
      <c r="LH70" s="322"/>
      <c r="LI70" s="322"/>
      <c r="LJ70" s="322"/>
      <c r="LK70" s="322"/>
      <c r="LL70" s="322">
        <v>18</v>
      </c>
      <c r="LM70" s="226"/>
      <c r="LN70" s="322">
        <v>0</v>
      </c>
      <c r="LO70" s="322">
        <v>3</v>
      </c>
      <c r="LP70" s="322">
        <v>0</v>
      </c>
      <c r="LQ70" s="322">
        <v>2</v>
      </c>
      <c r="LR70" s="322">
        <v>0</v>
      </c>
      <c r="LS70" s="322">
        <v>0</v>
      </c>
      <c r="LT70" s="346">
        <v>1</v>
      </c>
      <c r="LU70" s="322">
        <v>0</v>
      </c>
      <c r="LV70" s="322"/>
      <c r="LW70" s="322"/>
      <c r="LX70" s="322"/>
      <c r="LY70" s="322"/>
      <c r="LZ70" s="322"/>
      <c r="MA70" s="322"/>
      <c r="MB70" s="322"/>
      <c r="MC70" s="322">
        <v>2</v>
      </c>
      <c r="MD70" s="322">
        <v>0</v>
      </c>
      <c r="ME70" s="322">
        <v>0</v>
      </c>
      <c r="MF70" s="322">
        <v>0</v>
      </c>
      <c r="MG70" s="226"/>
      <c r="MH70" s="226"/>
      <c r="MI70" s="226"/>
      <c r="MJ70" s="347"/>
      <c r="MK70" s="347"/>
      <c r="ML70" s="347">
        <v>7</v>
      </c>
      <c r="MM70" s="347">
        <v>1</v>
      </c>
      <c r="MN70" s="348"/>
      <c r="MO70" s="348"/>
      <c r="MP70" s="348">
        <v>4</v>
      </c>
      <c r="MQ70" s="348">
        <v>1</v>
      </c>
      <c r="MR70" s="348"/>
      <c r="MS70" s="348"/>
      <c r="MT70" s="347"/>
      <c r="MU70" s="348"/>
      <c r="MV70" s="347">
        <v>1</v>
      </c>
      <c r="MW70" s="347"/>
      <c r="MX70" s="226"/>
      <c r="MY70" s="226"/>
      <c r="MZ70" s="226"/>
      <c r="NA70" s="226"/>
    </row>
    <row r="71" spans="1:365" ht="52" customHeight="1" x14ac:dyDescent="0.2">
      <c r="A71" s="1216"/>
      <c r="B71" s="201" t="s">
        <v>146</v>
      </c>
      <c r="C71" s="202" t="s">
        <v>6192</v>
      </c>
      <c r="D71" s="215" t="s">
        <v>117</v>
      </c>
      <c r="E71" s="322"/>
      <c r="F71" s="322"/>
      <c r="G71" s="305" t="s">
        <v>656</v>
      </c>
      <c r="H71" s="305" t="s">
        <v>656</v>
      </c>
      <c r="I71" s="322">
        <v>1</v>
      </c>
      <c r="J71" s="322" t="s">
        <v>656</v>
      </c>
      <c r="K71" s="322">
        <v>4</v>
      </c>
      <c r="L71" s="322">
        <v>2</v>
      </c>
      <c r="M71" s="322">
        <v>5</v>
      </c>
      <c r="N71" s="322">
        <v>6</v>
      </c>
      <c r="O71" s="322">
        <v>6</v>
      </c>
      <c r="P71" s="463">
        <v>1</v>
      </c>
      <c r="Q71" s="322"/>
      <c r="R71" s="322"/>
      <c r="S71" s="322">
        <v>1</v>
      </c>
      <c r="T71" s="322"/>
      <c r="U71" s="322"/>
      <c r="V71" s="322">
        <v>8</v>
      </c>
      <c r="W71" s="226"/>
      <c r="X71" s="226"/>
      <c r="Y71" s="226"/>
      <c r="Z71" s="226"/>
      <c r="AA71" s="226"/>
      <c r="AB71" s="226"/>
      <c r="AC71" s="226"/>
      <c r="AD71" s="226"/>
      <c r="AE71" s="226"/>
      <c r="AF71" s="322">
        <v>0</v>
      </c>
      <c r="AG71" s="225">
        <v>3</v>
      </c>
      <c r="AH71" s="226"/>
      <c r="AI71" s="322"/>
      <c r="AJ71" s="322"/>
      <c r="AK71" s="344"/>
      <c r="AL71" s="322"/>
      <c r="AM71" s="226"/>
      <c r="AN71" s="226"/>
      <c r="AO71" s="226"/>
      <c r="AP71" s="226"/>
      <c r="AQ71" s="322">
        <v>1</v>
      </c>
      <c r="AR71" s="322"/>
      <c r="AS71" s="322"/>
      <c r="AT71" s="322"/>
      <c r="AU71" s="322"/>
      <c r="AV71" s="322"/>
      <c r="AW71" s="322">
        <v>0</v>
      </c>
      <c r="AX71" s="322"/>
      <c r="AY71" s="344">
        <v>0</v>
      </c>
      <c r="AZ71" s="322">
        <v>2</v>
      </c>
      <c r="BA71" s="322">
        <v>1</v>
      </c>
      <c r="BB71" s="322"/>
      <c r="BC71" s="322"/>
      <c r="BD71" s="322"/>
      <c r="BE71" s="344"/>
      <c r="BF71" s="322"/>
      <c r="BG71" s="322">
        <v>4</v>
      </c>
      <c r="BH71" s="322" t="s">
        <v>470</v>
      </c>
      <c r="BI71" s="322" t="s">
        <v>656</v>
      </c>
      <c r="BJ71" s="322"/>
      <c r="BK71" s="322">
        <v>2</v>
      </c>
      <c r="BL71" s="322"/>
      <c r="BM71" s="322"/>
      <c r="BN71" s="226"/>
      <c r="BO71" s="322"/>
      <c r="BP71" s="322">
        <v>0</v>
      </c>
      <c r="BQ71" s="322">
        <v>1</v>
      </c>
      <c r="BR71" s="233">
        <v>1</v>
      </c>
      <c r="BS71" s="322" t="s">
        <v>656</v>
      </c>
      <c r="BT71" s="322">
        <v>1</v>
      </c>
      <c r="BU71" s="322">
        <v>0</v>
      </c>
      <c r="BV71" s="322"/>
      <c r="BW71" s="322">
        <v>0</v>
      </c>
      <c r="BX71" s="322">
        <v>1</v>
      </c>
      <c r="BY71" s="322"/>
      <c r="BZ71" s="322"/>
      <c r="CA71" s="322"/>
      <c r="CB71" s="322"/>
      <c r="CC71" s="322">
        <v>0</v>
      </c>
      <c r="CD71" s="344"/>
      <c r="CE71" s="344">
        <v>0</v>
      </c>
      <c r="CF71" s="344"/>
      <c r="CG71" s="344">
        <v>1</v>
      </c>
      <c r="CH71" s="344"/>
      <c r="CI71" s="344"/>
      <c r="CJ71" s="344">
        <v>1</v>
      </c>
      <c r="CK71" s="344"/>
      <c r="CL71" s="344"/>
      <c r="CM71" s="344">
        <v>1</v>
      </c>
      <c r="CN71" s="322"/>
      <c r="CO71" s="322">
        <v>0</v>
      </c>
      <c r="CP71" s="322">
        <v>1</v>
      </c>
      <c r="CQ71" s="464"/>
      <c r="CR71" s="465"/>
      <c r="CS71" s="322"/>
      <c r="CT71" s="322"/>
      <c r="CU71" s="322">
        <v>1</v>
      </c>
      <c r="CV71" s="322">
        <v>1</v>
      </c>
      <c r="CW71" s="322" t="s">
        <v>656</v>
      </c>
      <c r="CX71" s="322"/>
      <c r="CY71" s="322"/>
      <c r="CZ71" s="322">
        <v>0</v>
      </c>
      <c r="DA71" s="322">
        <v>90</v>
      </c>
      <c r="DB71" s="322"/>
      <c r="DC71" s="322">
        <v>0</v>
      </c>
      <c r="DD71" s="322">
        <v>2</v>
      </c>
      <c r="DE71" s="322"/>
      <c r="DF71" s="322">
        <v>0</v>
      </c>
      <c r="DG71" s="322">
        <v>0</v>
      </c>
      <c r="DH71" s="322">
        <v>0</v>
      </c>
      <c r="DI71" s="322">
        <v>1</v>
      </c>
      <c r="DJ71" s="322">
        <v>1</v>
      </c>
      <c r="DK71" s="322">
        <v>1</v>
      </c>
      <c r="DL71" s="322">
        <v>0</v>
      </c>
      <c r="DM71" s="322"/>
      <c r="DN71" s="322"/>
      <c r="DO71" s="322"/>
      <c r="DP71" s="322">
        <v>0</v>
      </c>
      <c r="DQ71" s="322">
        <v>0</v>
      </c>
      <c r="DR71" s="322">
        <v>1</v>
      </c>
      <c r="DS71" s="322">
        <v>1</v>
      </c>
      <c r="DT71" s="322">
        <v>2</v>
      </c>
      <c r="DU71" s="322">
        <v>0</v>
      </c>
      <c r="DV71" s="322">
        <v>1</v>
      </c>
      <c r="DW71" s="322">
        <v>0</v>
      </c>
      <c r="DX71" s="322"/>
      <c r="DY71" s="322">
        <v>6</v>
      </c>
      <c r="DZ71" s="322"/>
      <c r="EA71" s="322"/>
      <c r="EB71" s="322"/>
      <c r="EC71" s="226"/>
      <c r="ED71" s="322">
        <v>0</v>
      </c>
      <c r="EE71" s="322">
        <v>0</v>
      </c>
      <c r="EF71" s="322"/>
      <c r="EG71" s="226"/>
      <c r="EH71" s="322">
        <v>1</v>
      </c>
      <c r="EI71" s="322">
        <v>0</v>
      </c>
      <c r="EJ71" s="226"/>
      <c r="EK71" s="226"/>
      <c r="EL71" s="226"/>
      <c r="EM71" s="226"/>
      <c r="EN71" s="226"/>
      <c r="EO71" s="226"/>
      <c r="EP71" s="226"/>
      <c r="EQ71" s="226"/>
      <c r="ER71" s="322"/>
      <c r="ES71" s="322"/>
      <c r="ET71" s="322"/>
      <c r="EU71" s="322"/>
      <c r="EV71" s="322"/>
      <c r="EW71" s="322"/>
      <c r="EX71" s="322"/>
      <c r="EY71" s="322"/>
      <c r="EZ71" s="344"/>
      <c r="FA71" s="322">
        <v>0</v>
      </c>
      <c r="FB71" s="322"/>
      <c r="FC71" s="322"/>
      <c r="FD71" s="226"/>
      <c r="FE71" s="466"/>
      <c r="FF71" s="322">
        <v>1</v>
      </c>
      <c r="FG71" s="322">
        <v>0</v>
      </c>
      <c r="FH71" s="322">
        <v>1</v>
      </c>
      <c r="FI71" s="465" t="s">
        <v>656</v>
      </c>
      <c r="FJ71" s="465" t="s">
        <v>656</v>
      </c>
      <c r="FK71" s="465"/>
      <c r="FL71" s="465" t="s">
        <v>656</v>
      </c>
      <c r="FM71" s="322"/>
      <c r="FN71" s="322"/>
      <c r="FO71" s="465"/>
      <c r="FP71" s="465"/>
      <c r="FQ71" s="465">
        <v>1</v>
      </c>
      <c r="FR71" s="465"/>
      <c r="FS71" s="465"/>
      <c r="FT71" s="465"/>
      <c r="FU71" s="226"/>
      <c r="FV71" s="465"/>
      <c r="FW71" s="465"/>
      <c r="FX71" s="465"/>
      <c r="FY71" s="226"/>
      <c r="FZ71" s="465"/>
      <c r="GA71" s="465"/>
      <c r="GB71" s="465"/>
      <c r="GC71" s="465"/>
      <c r="GD71" s="465"/>
      <c r="GE71" s="465"/>
      <c r="GF71" s="465"/>
      <c r="GG71" s="465">
        <v>0</v>
      </c>
      <c r="GH71" s="465">
        <v>0</v>
      </c>
      <c r="GI71" s="226"/>
      <c r="GJ71" s="465"/>
      <c r="GK71" s="465"/>
      <c r="GL71" s="465"/>
      <c r="GM71" s="465"/>
      <c r="GN71" s="465"/>
      <c r="GO71" s="226"/>
      <c r="GP71" s="465"/>
      <c r="GQ71" s="226"/>
      <c r="GR71" s="465"/>
      <c r="GS71" s="465"/>
      <c r="GT71" s="465"/>
      <c r="GU71" s="465"/>
      <c r="GV71" s="465"/>
      <c r="GW71" s="226"/>
      <c r="GX71" s="322"/>
      <c r="GY71" s="322"/>
      <c r="GZ71" s="465">
        <v>1</v>
      </c>
      <c r="HA71" s="322"/>
      <c r="HB71" s="322"/>
      <c r="HC71" s="322"/>
      <c r="HD71" s="322"/>
      <c r="HE71" s="322">
        <f>6+1</f>
        <v>7</v>
      </c>
      <c r="HF71" s="226"/>
      <c r="HG71" s="343" t="s">
        <v>656</v>
      </c>
      <c r="HH71" s="343" t="s">
        <v>656</v>
      </c>
      <c r="HI71" s="343" t="s">
        <v>656</v>
      </c>
      <c r="HJ71" s="322">
        <v>14</v>
      </c>
      <c r="HK71" s="343" t="s">
        <v>656</v>
      </c>
      <c r="HL71" s="226"/>
      <c r="HM71" s="322">
        <v>9</v>
      </c>
      <c r="HN71" s="226"/>
      <c r="HO71" s="322">
        <v>0</v>
      </c>
      <c r="HP71" s="322"/>
      <c r="HQ71" s="322">
        <v>22</v>
      </c>
      <c r="HR71" s="322"/>
      <c r="HS71" s="322">
        <v>1</v>
      </c>
      <c r="HT71" s="322"/>
      <c r="HU71" s="322"/>
      <c r="HV71" s="322"/>
      <c r="HW71" s="322">
        <v>0</v>
      </c>
      <c r="HX71" s="322"/>
      <c r="HY71" s="322"/>
      <c r="HZ71" s="322"/>
      <c r="IA71" s="322"/>
      <c r="IB71" s="322">
        <v>1</v>
      </c>
      <c r="IC71" s="322"/>
      <c r="ID71" s="322"/>
      <c r="IE71" s="322"/>
      <c r="IF71" s="322">
        <v>1</v>
      </c>
      <c r="IG71" s="322">
        <v>1</v>
      </c>
      <c r="IH71" s="344"/>
      <c r="II71" s="322">
        <v>1</v>
      </c>
      <c r="IJ71" s="322"/>
      <c r="IK71" s="322">
        <v>1</v>
      </c>
      <c r="IL71" s="322">
        <v>1</v>
      </c>
      <c r="IM71" s="322"/>
      <c r="IN71" s="322">
        <v>1</v>
      </c>
      <c r="IO71" s="322"/>
      <c r="IP71" s="322"/>
      <c r="IQ71" s="322"/>
      <c r="IR71" s="322">
        <v>0</v>
      </c>
      <c r="IS71" s="322">
        <v>1</v>
      </c>
      <c r="IT71" s="322"/>
      <c r="IU71" s="322">
        <v>1</v>
      </c>
      <c r="IV71" s="322"/>
      <c r="IW71" s="322"/>
      <c r="IX71" s="322">
        <v>1</v>
      </c>
      <c r="IY71" s="322">
        <v>0</v>
      </c>
      <c r="IZ71" s="322"/>
      <c r="JA71" s="322"/>
      <c r="JB71" s="322"/>
      <c r="JC71" s="322" t="s">
        <v>656</v>
      </c>
      <c r="JD71" s="322" t="s">
        <v>656</v>
      </c>
      <c r="JE71" s="226"/>
      <c r="JF71" s="226"/>
      <c r="JG71" s="226"/>
      <c r="JH71" s="322"/>
      <c r="JI71" s="322">
        <v>2</v>
      </c>
      <c r="JJ71" s="305" t="s">
        <v>656</v>
      </c>
      <c r="JK71" s="345">
        <v>1</v>
      </c>
      <c r="JL71" s="322"/>
      <c r="JM71" s="322">
        <v>0</v>
      </c>
      <c r="JN71" s="226"/>
      <c r="JO71" s="226"/>
      <c r="JP71" s="226"/>
      <c r="JQ71" s="322">
        <v>1</v>
      </c>
      <c r="JR71" s="322">
        <v>3</v>
      </c>
      <c r="JS71" s="322"/>
      <c r="JT71" s="322">
        <v>3</v>
      </c>
      <c r="JU71" s="322">
        <v>2</v>
      </c>
      <c r="JV71" s="322">
        <v>2</v>
      </c>
      <c r="JW71" s="322">
        <v>0</v>
      </c>
      <c r="JX71" s="322" t="s">
        <v>656</v>
      </c>
      <c r="JY71" s="322">
        <v>1</v>
      </c>
      <c r="JZ71" s="322">
        <v>0</v>
      </c>
      <c r="KA71" s="322"/>
      <c r="KB71" s="322">
        <v>1</v>
      </c>
      <c r="KC71" s="322">
        <v>1</v>
      </c>
      <c r="KD71" s="322">
        <v>3</v>
      </c>
      <c r="KE71" s="232"/>
      <c r="KF71" s="322"/>
      <c r="KG71" s="322">
        <v>1</v>
      </c>
      <c r="KH71" s="322">
        <v>0</v>
      </c>
      <c r="KI71" s="322">
        <v>0</v>
      </c>
      <c r="KJ71" s="322">
        <v>3</v>
      </c>
      <c r="KK71" s="322">
        <v>0</v>
      </c>
      <c r="KL71" s="322">
        <v>0</v>
      </c>
      <c r="KM71" s="322"/>
      <c r="KN71" s="322"/>
      <c r="KO71" s="322"/>
      <c r="KP71" s="322"/>
      <c r="KQ71" s="226"/>
      <c r="KR71" s="226"/>
      <c r="KS71" s="226"/>
      <c r="KT71" s="226"/>
      <c r="KU71" s="226"/>
      <c r="KV71" s="322">
        <v>1</v>
      </c>
      <c r="KW71" s="322"/>
      <c r="KX71" s="383">
        <v>1</v>
      </c>
      <c r="KY71" s="386"/>
      <c r="KZ71" s="322">
        <v>1</v>
      </c>
      <c r="LA71" s="322"/>
      <c r="LB71" s="322"/>
      <c r="LC71" s="322"/>
      <c r="LD71" s="322"/>
      <c r="LE71" s="322"/>
      <c r="LF71" s="322"/>
      <c r="LG71" s="322">
        <v>1</v>
      </c>
      <c r="LH71" s="322"/>
      <c r="LI71" s="322">
        <v>2</v>
      </c>
      <c r="LJ71" s="322"/>
      <c r="LK71" s="322"/>
      <c r="LL71" s="322"/>
      <c r="LM71" s="226"/>
      <c r="LN71" s="322">
        <v>2</v>
      </c>
      <c r="LO71" s="322">
        <v>0</v>
      </c>
      <c r="LP71" s="322">
        <v>2</v>
      </c>
      <c r="LQ71" s="322">
        <v>0</v>
      </c>
      <c r="LR71" s="322">
        <v>0</v>
      </c>
      <c r="LS71" s="322">
        <v>3</v>
      </c>
      <c r="LT71" s="346">
        <v>1</v>
      </c>
      <c r="LU71" s="322">
        <v>3</v>
      </c>
      <c r="LV71" s="322">
        <v>1</v>
      </c>
      <c r="LW71" s="322">
        <v>1</v>
      </c>
      <c r="LX71" s="322">
        <v>1</v>
      </c>
      <c r="LY71" s="322"/>
      <c r="LZ71" s="322"/>
      <c r="MA71" s="322"/>
      <c r="MB71" s="322"/>
      <c r="MC71" s="322">
        <v>0</v>
      </c>
      <c r="MD71" s="322">
        <v>0</v>
      </c>
      <c r="ME71" s="322">
        <v>1</v>
      </c>
      <c r="MF71" s="322">
        <v>1</v>
      </c>
      <c r="MG71" s="226"/>
      <c r="MH71" s="226"/>
      <c r="MI71" s="226"/>
      <c r="MJ71" s="347">
        <v>2</v>
      </c>
      <c r="MK71" s="347"/>
      <c r="ML71" s="347">
        <v>1</v>
      </c>
      <c r="MM71" s="347">
        <v>1</v>
      </c>
      <c r="MN71" s="348">
        <f>6+2</f>
        <v>8</v>
      </c>
      <c r="MO71" s="348">
        <v>1</v>
      </c>
      <c r="MP71" s="348">
        <v>3</v>
      </c>
      <c r="MQ71" s="348">
        <v>3</v>
      </c>
      <c r="MR71" s="348"/>
      <c r="MS71" s="348">
        <v>2</v>
      </c>
      <c r="MT71" s="347">
        <v>3</v>
      </c>
      <c r="MU71" s="348"/>
      <c r="MV71" s="347">
        <v>9</v>
      </c>
      <c r="MW71" s="347">
        <v>2</v>
      </c>
      <c r="MX71" s="226"/>
      <c r="MY71" s="226"/>
      <c r="MZ71" s="226"/>
      <c r="NA71" s="226"/>
    </row>
    <row r="72" spans="1:365" ht="34" x14ac:dyDescent="0.2">
      <c r="A72" s="1216"/>
      <c r="B72" s="201" t="s">
        <v>148</v>
      </c>
      <c r="C72" s="202" t="s">
        <v>149</v>
      </c>
      <c r="D72" s="215" t="s">
        <v>117</v>
      </c>
      <c r="E72" s="322"/>
      <c r="F72" s="322"/>
      <c r="G72" s="322">
        <v>3</v>
      </c>
      <c r="H72" s="322">
        <v>1</v>
      </c>
      <c r="I72" s="322" t="s">
        <v>656</v>
      </c>
      <c r="J72" s="322">
        <v>2</v>
      </c>
      <c r="K72" s="322"/>
      <c r="L72" s="322"/>
      <c r="M72" s="467"/>
      <c r="N72" s="322"/>
      <c r="O72" s="322">
        <v>1</v>
      </c>
      <c r="P72" s="463"/>
      <c r="Q72" s="322"/>
      <c r="R72" s="322">
        <v>1</v>
      </c>
      <c r="S72" s="322"/>
      <c r="T72" s="322"/>
      <c r="U72" s="322"/>
      <c r="V72" s="322"/>
      <c r="W72" s="226"/>
      <c r="X72" s="226"/>
      <c r="Y72" s="226"/>
      <c r="Z72" s="226"/>
      <c r="AA72" s="226"/>
      <c r="AB72" s="226"/>
      <c r="AC72" s="226"/>
      <c r="AD72" s="226"/>
      <c r="AE72" s="226"/>
      <c r="AF72" s="322">
        <v>0</v>
      </c>
      <c r="AG72" s="225"/>
      <c r="AH72" s="226"/>
      <c r="AI72" s="322"/>
      <c r="AJ72" s="322"/>
      <c r="AK72" s="344"/>
      <c r="AL72" s="322"/>
      <c r="AM72" s="226"/>
      <c r="AN72" s="226"/>
      <c r="AO72" s="226"/>
      <c r="AP72" s="226"/>
      <c r="AQ72" s="322">
        <v>1</v>
      </c>
      <c r="AR72" s="322"/>
      <c r="AS72" s="322"/>
      <c r="AT72" s="322"/>
      <c r="AU72" s="322"/>
      <c r="AV72" s="322"/>
      <c r="AW72" s="322">
        <v>0</v>
      </c>
      <c r="AX72" s="322"/>
      <c r="AY72" s="344">
        <v>0</v>
      </c>
      <c r="AZ72" s="322">
        <v>1</v>
      </c>
      <c r="BA72" s="322"/>
      <c r="BB72" s="322">
        <v>1</v>
      </c>
      <c r="BC72" s="322"/>
      <c r="BD72" s="322"/>
      <c r="BE72" s="344"/>
      <c r="BF72" s="322"/>
      <c r="BG72" s="322"/>
      <c r="BH72" s="322">
        <v>1</v>
      </c>
      <c r="BI72" s="322" t="s">
        <v>656</v>
      </c>
      <c r="BJ72" s="322"/>
      <c r="BK72" s="322">
        <v>0</v>
      </c>
      <c r="BL72" s="322"/>
      <c r="BM72" s="322"/>
      <c r="BN72" s="226"/>
      <c r="BO72" s="322"/>
      <c r="BP72" s="322">
        <v>1</v>
      </c>
      <c r="BQ72" s="322"/>
      <c r="BR72" s="233" t="s">
        <v>117</v>
      </c>
      <c r="BS72" s="322" t="s">
        <v>656</v>
      </c>
      <c r="BT72" s="322"/>
      <c r="BU72" s="322">
        <v>0</v>
      </c>
      <c r="BV72" s="322"/>
      <c r="BW72" s="322">
        <v>0</v>
      </c>
      <c r="BX72" s="322"/>
      <c r="BY72" s="322"/>
      <c r="BZ72" s="322"/>
      <c r="CA72" s="322"/>
      <c r="CB72" s="322"/>
      <c r="CC72" s="322">
        <v>1</v>
      </c>
      <c r="CD72" s="344"/>
      <c r="CE72" s="344">
        <v>0</v>
      </c>
      <c r="CF72" s="344">
        <v>1</v>
      </c>
      <c r="CG72" s="344">
        <v>0</v>
      </c>
      <c r="CH72" s="344"/>
      <c r="CI72" s="344"/>
      <c r="CJ72" s="344">
        <v>0</v>
      </c>
      <c r="CK72" s="344">
        <v>1</v>
      </c>
      <c r="CL72" s="344"/>
      <c r="CM72" s="344"/>
      <c r="CN72" s="322"/>
      <c r="CO72" s="322">
        <v>0</v>
      </c>
      <c r="CP72" s="322"/>
      <c r="CQ72" s="464"/>
      <c r="CR72" s="465"/>
      <c r="CS72" s="322"/>
      <c r="CT72" s="322"/>
      <c r="CU72" s="322">
        <v>0</v>
      </c>
      <c r="CV72" s="322">
        <v>0</v>
      </c>
      <c r="CW72" s="322" t="s">
        <v>656</v>
      </c>
      <c r="CX72" s="322"/>
      <c r="CY72" s="322"/>
      <c r="CZ72" s="322">
        <v>0</v>
      </c>
      <c r="DA72" s="322" t="s">
        <v>656</v>
      </c>
      <c r="DB72" s="322"/>
      <c r="DC72" s="322">
        <v>0</v>
      </c>
      <c r="DD72" s="322"/>
      <c r="DE72" s="322"/>
      <c r="DF72" s="322">
        <v>0</v>
      </c>
      <c r="DG72" s="322">
        <v>0</v>
      </c>
      <c r="DH72" s="322">
        <v>0</v>
      </c>
      <c r="DI72" s="322">
        <v>0</v>
      </c>
      <c r="DJ72" s="322">
        <v>0</v>
      </c>
      <c r="DK72" s="322">
        <v>0</v>
      </c>
      <c r="DL72" s="322">
        <v>0</v>
      </c>
      <c r="DM72" s="322"/>
      <c r="DN72" s="322"/>
      <c r="DO72" s="322"/>
      <c r="DP72" s="322">
        <v>0</v>
      </c>
      <c r="DQ72" s="322">
        <v>0</v>
      </c>
      <c r="DR72" s="322">
        <v>0</v>
      </c>
      <c r="DS72" s="322">
        <v>0</v>
      </c>
      <c r="DT72" s="322">
        <v>0</v>
      </c>
      <c r="DU72" s="322">
        <v>0</v>
      </c>
      <c r="DV72" s="322">
        <v>0</v>
      </c>
      <c r="DW72" s="322">
        <v>1</v>
      </c>
      <c r="DX72" s="322"/>
      <c r="DY72" s="322"/>
      <c r="DZ72" s="322"/>
      <c r="EA72" s="322"/>
      <c r="EB72" s="322"/>
      <c r="EC72" s="226"/>
      <c r="ED72" s="322">
        <v>0</v>
      </c>
      <c r="EE72" s="322">
        <v>0</v>
      </c>
      <c r="EF72" s="322"/>
      <c r="EG72" s="226"/>
      <c r="EH72" s="322"/>
      <c r="EI72" s="322">
        <v>0</v>
      </c>
      <c r="EJ72" s="226"/>
      <c r="EK72" s="226"/>
      <c r="EL72" s="226"/>
      <c r="EM72" s="226"/>
      <c r="EN72" s="226"/>
      <c r="EO72" s="226"/>
      <c r="EP72" s="226"/>
      <c r="EQ72" s="226"/>
      <c r="ER72" s="322"/>
      <c r="ES72" s="322"/>
      <c r="ET72" s="322"/>
      <c r="EU72" s="322"/>
      <c r="EV72" s="322"/>
      <c r="EW72" s="322"/>
      <c r="EX72" s="322"/>
      <c r="EY72" s="322"/>
      <c r="EZ72" s="344"/>
      <c r="FA72" s="322">
        <v>0</v>
      </c>
      <c r="FB72" s="322"/>
      <c r="FC72" s="322"/>
      <c r="FD72" s="226"/>
      <c r="FE72" s="466">
        <v>1</v>
      </c>
      <c r="FF72" s="322">
        <v>0</v>
      </c>
      <c r="FG72" s="322">
        <v>0</v>
      </c>
      <c r="FH72" s="322">
        <v>0</v>
      </c>
      <c r="FI72" s="465" t="s">
        <v>656</v>
      </c>
      <c r="FJ72" s="465" t="s">
        <v>656</v>
      </c>
      <c r="FK72" s="465"/>
      <c r="FL72" s="465" t="s">
        <v>656</v>
      </c>
      <c r="FM72" s="322"/>
      <c r="FN72" s="322"/>
      <c r="FO72" s="465"/>
      <c r="FP72" s="465"/>
      <c r="FQ72" s="465"/>
      <c r="FR72" s="465"/>
      <c r="FS72" s="465"/>
      <c r="FT72" s="465"/>
      <c r="FU72" s="226"/>
      <c r="FV72" s="465">
        <v>1</v>
      </c>
      <c r="FW72" s="465"/>
      <c r="FX72" s="465"/>
      <c r="FY72" s="226"/>
      <c r="FZ72" s="465"/>
      <c r="GA72" s="465"/>
      <c r="GB72" s="465"/>
      <c r="GC72" s="465"/>
      <c r="GD72" s="465"/>
      <c r="GE72" s="465">
        <v>1</v>
      </c>
      <c r="GF72" s="465"/>
      <c r="GG72" s="465">
        <v>4</v>
      </c>
      <c r="GH72" s="465">
        <v>0</v>
      </c>
      <c r="GI72" s="226"/>
      <c r="GJ72" s="465"/>
      <c r="GK72" s="465"/>
      <c r="GL72" s="465"/>
      <c r="GM72" s="465"/>
      <c r="GN72" s="465"/>
      <c r="GO72" s="226"/>
      <c r="GP72" s="465"/>
      <c r="GQ72" s="226"/>
      <c r="GR72" s="465"/>
      <c r="GS72" s="465"/>
      <c r="GT72" s="465"/>
      <c r="GU72" s="465">
        <v>3</v>
      </c>
      <c r="GV72" s="465"/>
      <c r="GW72" s="226"/>
      <c r="GX72" s="322"/>
      <c r="GY72" s="322"/>
      <c r="GZ72" s="465"/>
      <c r="HA72" s="322"/>
      <c r="HB72" s="322"/>
      <c r="HC72" s="322"/>
      <c r="HD72" s="322"/>
      <c r="HE72" s="322">
        <v>0</v>
      </c>
      <c r="HF72" s="226"/>
      <c r="HG72" s="343" t="s">
        <v>656</v>
      </c>
      <c r="HH72" s="343" t="s">
        <v>656</v>
      </c>
      <c r="HI72" s="343" t="s">
        <v>656</v>
      </c>
      <c r="HJ72" s="322">
        <v>0</v>
      </c>
      <c r="HK72" s="343" t="s">
        <v>656</v>
      </c>
      <c r="HL72" s="226"/>
      <c r="HM72" s="322">
        <v>16</v>
      </c>
      <c r="HN72" s="226"/>
      <c r="HO72" s="322">
        <v>0</v>
      </c>
      <c r="HP72" s="322"/>
      <c r="HQ72" s="322"/>
      <c r="HR72" s="322"/>
      <c r="HS72" s="322"/>
      <c r="HT72" s="322"/>
      <c r="HU72" s="322"/>
      <c r="HV72" s="322"/>
      <c r="HW72" s="322">
        <v>0</v>
      </c>
      <c r="HX72" s="322"/>
      <c r="HY72" s="322"/>
      <c r="HZ72" s="322"/>
      <c r="IA72" s="322"/>
      <c r="IB72" s="322"/>
      <c r="IC72" s="322"/>
      <c r="ID72" s="322"/>
      <c r="IE72" s="322"/>
      <c r="IF72" s="322"/>
      <c r="IG72" s="322"/>
      <c r="IH72" s="344"/>
      <c r="II72" s="322"/>
      <c r="IJ72" s="322">
        <v>1</v>
      </c>
      <c r="IK72" s="322"/>
      <c r="IL72" s="322"/>
      <c r="IM72" s="322"/>
      <c r="IN72" s="322"/>
      <c r="IO72" s="322"/>
      <c r="IP72" s="322"/>
      <c r="IQ72" s="322"/>
      <c r="IR72" s="322">
        <v>0</v>
      </c>
      <c r="IS72" s="322"/>
      <c r="IT72" s="322"/>
      <c r="IU72" s="322"/>
      <c r="IV72" s="322"/>
      <c r="IW72" s="322"/>
      <c r="IX72" s="322"/>
      <c r="IY72" s="322">
        <v>0</v>
      </c>
      <c r="IZ72" s="322"/>
      <c r="JA72" s="322">
        <v>1</v>
      </c>
      <c r="JB72" s="322"/>
      <c r="JC72" s="322">
        <v>6</v>
      </c>
      <c r="JD72" s="322" t="s">
        <v>656</v>
      </c>
      <c r="JE72" s="226"/>
      <c r="JF72" s="226"/>
      <c r="JG72" s="226"/>
      <c r="JH72" s="322"/>
      <c r="JI72" s="322"/>
      <c r="JJ72" s="305" t="s">
        <v>656</v>
      </c>
      <c r="JK72" s="345"/>
      <c r="JL72" s="322"/>
      <c r="JM72" s="322">
        <v>0</v>
      </c>
      <c r="JN72" s="226"/>
      <c r="JO72" s="226"/>
      <c r="JP72" s="226"/>
      <c r="JQ72" s="322"/>
      <c r="JR72" s="322"/>
      <c r="JS72" s="322"/>
      <c r="JT72" s="322"/>
      <c r="JU72" s="322"/>
      <c r="JV72" s="322"/>
      <c r="JW72" s="322">
        <v>1</v>
      </c>
      <c r="JX72" s="322" t="s">
        <v>656</v>
      </c>
      <c r="JY72" s="322">
        <v>2</v>
      </c>
      <c r="JZ72" s="322">
        <v>1</v>
      </c>
      <c r="KA72" s="322"/>
      <c r="KB72" s="322"/>
      <c r="KC72" s="322">
        <v>1</v>
      </c>
      <c r="KD72" s="322"/>
      <c r="KE72" s="232"/>
      <c r="KF72" s="322"/>
      <c r="KG72" s="322">
        <v>1</v>
      </c>
      <c r="KH72" s="322">
        <v>0</v>
      </c>
      <c r="KI72" s="322">
        <v>0</v>
      </c>
      <c r="KJ72" s="322"/>
      <c r="KK72" s="322">
        <v>0</v>
      </c>
      <c r="KL72" s="322">
        <v>0</v>
      </c>
      <c r="KM72" s="322"/>
      <c r="KN72" s="322">
        <v>1</v>
      </c>
      <c r="KO72" s="322"/>
      <c r="KP72" s="322"/>
      <c r="KQ72" s="226"/>
      <c r="KR72" s="226"/>
      <c r="KS72" s="226"/>
      <c r="KT72" s="226"/>
      <c r="KU72" s="226"/>
      <c r="KV72" s="322" t="s">
        <v>656</v>
      </c>
      <c r="KW72" s="322"/>
      <c r="KX72" s="383"/>
      <c r="KY72" s="386"/>
      <c r="KZ72" s="322"/>
      <c r="LA72" s="322"/>
      <c r="LB72" s="322"/>
      <c r="LC72" s="322"/>
      <c r="LD72" s="322"/>
      <c r="LE72" s="322"/>
      <c r="LF72" s="322"/>
      <c r="LG72" s="322"/>
      <c r="LH72" s="322">
        <v>1</v>
      </c>
      <c r="LI72" s="322"/>
      <c r="LJ72" s="322"/>
      <c r="LK72" s="322"/>
      <c r="LL72" s="322"/>
      <c r="LM72" s="226"/>
      <c r="LN72" s="322">
        <v>0</v>
      </c>
      <c r="LO72" s="322">
        <v>0</v>
      </c>
      <c r="LP72" s="322">
        <v>0</v>
      </c>
      <c r="LQ72" s="322">
        <v>1</v>
      </c>
      <c r="LR72" s="322">
        <v>0</v>
      </c>
      <c r="LS72" s="322">
        <v>0</v>
      </c>
      <c r="LT72" s="346">
        <v>0</v>
      </c>
      <c r="LU72" s="322">
        <v>2</v>
      </c>
      <c r="LV72" s="322">
        <v>1</v>
      </c>
      <c r="LW72" s="322"/>
      <c r="LX72" s="322"/>
      <c r="LY72" s="322"/>
      <c r="LZ72" s="322"/>
      <c r="MA72" s="322"/>
      <c r="MB72" s="322">
        <v>1</v>
      </c>
      <c r="MC72" s="322">
        <v>0</v>
      </c>
      <c r="MD72" s="322">
        <v>0</v>
      </c>
      <c r="ME72" s="322">
        <v>0</v>
      </c>
      <c r="MF72" s="322">
        <v>1</v>
      </c>
      <c r="MG72" s="226"/>
      <c r="MH72" s="226"/>
      <c r="MI72" s="226"/>
      <c r="MJ72" s="347"/>
      <c r="MK72" s="347"/>
      <c r="ML72" s="347"/>
      <c r="MM72" s="347"/>
      <c r="MN72" s="348"/>
      <c r="MO72" s="348"/>
      <c r="MP72" s="348"/>
      <c r="MQ72" s="348"/>
      <c r="MR72" s="348"/>
      <c r="MS72" s="348"/>
      <c r="MT72" s="347"/>
      <c r="MU72" s="348"/>
      <c r="MV72" s="347"/>
      <c r="MW72" s="347"/>
      <c r="MX72" s="226"/>
      <c r="MY72" s="226"/>
      <c r="MZ72" s="226"/>
      <c r="NA72" s="226"/>
    </row>
    <row r="73" spans="1:365" ht="51" x14ac:dyDescent="0.2">
      <c r="A73" s="1216"/>
      <c r="B73" s="201" t="s">
        <v>150</v>
      </c>
      <c r="C73" s="202" t="s">
        <v>151</v>
      </c>
      <c r="D73" s="215" t="s">
        <v>117</v>
      </c>
      <c r="E73" s="322"/>
      <c r="F73" s="322"/>
      <c r="G73" s="305" t="s">
        <v>656</v>
      </c>
      <c r="H73" s="305" t="s">
        <v>656</v>
      </c>
      <c r="I73" s="322" t="s">
        <v>656</v>
      </c>
      <c r="J73" s="322" t="s">
        <v>656</v>
      </c>
      <c r="K73" s="322"/>
      <c r="L73" s="322"/>
      <c r="M73" s="467"/>
      <c r="N73" s="322"/>
      <c r="O73" s="322"/>
      <c r="P73" s="463"/>
      <c r="Q73" s="322"/>
      <c r="R73" s="322"/>
      <c r="S73" s="322"/>
      <c r="T73" s="322"/>
      <c r="U73" s="322"/>
      <c r="V73" s="322"/>
      <c r="W73" s="226"/>
      <c r="X73" s="226"/>
      <c r="Y73" s="226"/>
      <c r="Z73" s="226"/>
      <c r="AA73" s="226"/>
      <c r="AB73" s="226"/>
      <c r="AC73" s="226"/>
      <c r="AD73" s="226"/>
      <c r="AE73" s="226"/>
      <c r="AF73" s="322">
        <v>0</v>
      </c>
      <c r="AG73" s="225"/>
      <c r="AH73" s="226"/>
      <c r="AI73" s="322"/>
      <c r="AJ73" s="322"/>
      <c r="AK73" s="344"/>
      <c r="AL73" s="322"/>
      <c r="AM73" s="226"/>
      <c r="AN73" s="226"/>
      <c r="AO73" s="226"/>
      <c r="AP73" s="226"/>
      <c r="AQ73" s="322"/>
      <c r="AR73" s="322"/>
      <c r="AS73" s="322"/>
      <c r="AT73" s="322"/>
      <c r="AU73" s="322"/>
      <c r="AV73" s="322"/>
      <c r="AW73" s="322">
        <v>0</v>
      </c>
      <c r="AX73" s="322"/>
      <c r="AY73" s="344">
        <v>2</v>
      </c>
      <c r="AZ73" s="322">
        <v>0</v>
      </c>
      <c r="BA73" s="322">
        <v>1</v>
      </c>
      <c r="BB73" s="322"/>
      <c r="BC73" s="322"/>
      <c r="BD73" s="322"/>
      <c r="BE73" s="344"/>
      <c r="BF73" s="322"/>
      <c r="BG73" s="322"/>
      <c r="BH73" s="322" t="s">
        <v>470</v>
      </c>
      <c r="BI73" s="322" t="s">
        <v>656</v>
      </c>
      <c r="BJ73" s="322">
        <v>2</v>
      </c>
      <c r="BK73" s="322">
        <v>0</v>
      </c>
      <c r="BL73" s="322"/>
      <c r="BM73" s="322"/>
      <c r="BN73" s="226"/>
      <c r="BO73" s="322"/>
      <c r="BP73" s="322">
        <v>0</v>
      </c>
      <c r="BQ73" s="322"/>
      <c r="BR73" s="233" t="s">
        <v>117</v>
      </c>
      <c r="BS73" s="322" t="s">
        <v>656</v>
      </c>
      <c r="BT73" s="322"/>
      <c r="BU73" s="322">
        <v>0</v>
      </c>
      <c r="BV73" s="322"/>
      <c r="BW73" s="322">
        <v>0</v>
      </c>
      <c r="BX73" s="322"/>
      <c r="BY73" s="322"/>
      <c r="BZ73" s="322"/>
      <c r="CA73" s="322"/>
      <c r="CB73" s="322"/>
      <c r="CC73" s="322">
        <v>0</v>
      </c>
      <c r="CD73" s="344"/>
      <c r="CE73" s="344">
        <v>0</v>
      </c>
      <c r="CF73" s="344"/>
      <c r="CG73" s="344">
        <v>0</v>
      </c>
      <c r="CH73" s="344"/>
      <c r="CI73" s="344"/>
      <c r="CJ73" s="344">
        <v>0</v>
      </c>
      <c r="CK73" s="344"/>
      <c r="CL73" s="344"/>
      <c r="CM73" s="344"/>
      <c r="CN73" s="322"/>
      <c r="CO73" s="322">
        <v>0</v>
      </c>
      <c r="CP73" s="322"/>
      <c r="CQ73" s="464"/>
      <c r="CR73" s="465"/>
      <c r="CS73" s="322"/>
      <c r="CT73" s="322"/>
      <c r="CU73" s="322">
        <v>0</v>
      </c>
      <c r="CV73" s="322">
        <v>0</v>
      </c>
      <c r="CW73" s="322" t="s">
        <v>656</v>
      </c>
      <c r="CX73" s="322"/>
      <c r="CY73" s="322"/>
      <c r="CZ73" s="322">
        <v>0</v>
      </c>
      <c r="DA73" s="322">
        <v>13</v>
      </c>
      <c r="DB73" s="322"/>
      <c r="DC73" s="322">
        <v>0</v>
      </c>
      <c r="DD73" s="322"/>
      <c r="DE73" s="322"/>
      <c r="DF73" s="322">
        <v>0</v>
      </c>
      <c r="DG73" s="322">
        <v>0</v>
      </c>
      <c r="DH73" s="322">
        <v>0</v>
      </c>
      <c r="DI73" s="322">
        <v>0</v>
      </c>
      <c r="DJ73" s="322">
        <v>0</v>
      </c>
      <c r="DK73" s="322">
        <v>0</v>
      </c>
      <c r="DL73" s="322">
        <v>0</v>
      </c>
      <c r="DM73" s="322"/>
      <c r="DN73" s="322"/>
      <c r="DO73" s="322"/>
      <c r="DP73" s="322">
        <v>0</v>
      </c>
      <c r="DQ73" s="322">
        <v>0</v>
      </c>
      <c r="DR73" s="322">
        <v>0</v>
      </c>
      <c r="DS73" s="322">
        <v>0</v>
      </c>
      <c r="DT73" s="322">
        <v>0</v>
      </c>
      <c r="DU73" s="322">
        <v>0</v>
      </c>
      <c r="DV73" s="322">
        <v>0</v>
      </c>
      <c r="DW73" s="322">
        <v>0</v>
      </c>
      <c r="DX73" s="322"/>
      <c r="DY73" s="322"/>
      <c r="DZ73" s="322"/>
      <c r="EA73" s="322"/>
      <c r="EB73" s="322"/>
      <c r="EC73" s="226"/>
      <c r="ED73" s="322">
        <v>0</v>
      </c>
      <c r="EE73" s="322">
        <v>0</v>
      </c>
      <c r="EF73" s="322"/>
      <c r="EG73" s="226"/>
      <c r="EH73" s="322"/>
      <c r="EI73" s="322">
        <v>0</v>
      </c>
      <c r="EJ73" s="226"/>
      <c r="EK73" s="226"/>
      <c r="EL73" s="226"/>
      <c r="EM73" s="226"/>
      <c r="EN73" s="226"/>
      <c r="EO73" s="226"/>
      <c r="EP73" s="226"/>
      <c r="EQ73" s="226"/>
      <c r="ER73" s="322"/>
      <c r="ES73" s="322"/>
      <c r="ET73" s="322"/>
      <c r="EU73" s="322"/>
      <c r="EV73" s="322"/>
      <c r="EW73" s="322"/>
      <c r="EX73" s="322"/>
      <c r="EY73" s="322"/>
      <c r="EZ73" s="344"/>
      <c r="FA73" s="322">
        <v>0</v>
      </c>
      <c r="FB73" s="322"/>
      <c r="FC73" s="322"/>
      <c r="FD73" s="226"/>
      <c r="FE73" s="466"/>
      <c r="FF73" s="322">
        <v>0</v>
      </c>
      <c r="FG73" s="322">
        <v>0</v>
      </c>
      <c r="FH73" s="322">
        <v>0</v>
      </c>
      <c r="FI73" s="465" t="s">
        <v>656</v>
      </c>
      <c r="FJ73" s="465" t="s">
        <v>656</v>
      </c>
      <c r="FK73" s="465"/>
      <c r="FL73" s="465" t="s">
        <v>656</v>
      </c>
      <c r="FM73" s="322"/>
      <c r="FN73" s="322"/>
      <c r="FO73" s="465"/>
      <c r="FP73" s="465"/>
      <c r="FQ73" s="465"/>
      <c r="FR73" s="465"/>
      <c r="FS73" s="465"/>
      <c r="FT73" s="465"/>
      <c r="FU73" s="226"/>
      <c r="FV73" s="465"/>
      <c r="FW73" s="465"/>
      <c r="FX73" s="465"/>
      <c r="FY73" s="226"/>
      <c r="FZ73" s="465"/>
      <c r="GA73" s="465"/>
      <c r="GB73" s="465"/>
      <c r="GC73" s="465"/>
      <c r="GD73" s="465"/>
      <c r="GE73" s="465"/>
      <c r="GF73" s="465"/>
      <c r="GG73" s="465">
        <v>1</v>
      </c>
      <c r="GH73" s="465">
        <v>0</v>
      </c>
      <c r="GI73" s="226"/>
      <c r="GJ73" s="465"/>
      <c r="GK73" s="465">
        <v>1</v>
      </c>
      <c r="GL73" s="465"/>
      <c r="GM73" s="465"/>
      <c r="GN73" s="465"/>
      <c r="GO73" s="226"/>
      <c r="GP73" s="465"/>
      <c r="GQ73" s="226"/>
      <c r="GR73" s="465"/>
      <c r="GS73" s="465"/>
      <c r="GT73" s="465"/>
      <c r="GU73" s="465"/>
      <c r="GV73" s="465"/>
      <c r="GW73" s="226"/>
      <c r="GX73" s="322"/>
      <c r="GY73" s="322"/>
      <c r="GZ73" s="465"/>
      <c r="HA73" s="322"/>
      <c r="HB73" s="322"/>
      <c r="HC73" s="322"/>
      <c r="HD73" s="322"/>
      <c r="HE73" s="322">
        <v>0</v>
      </c>
      <c r="HF73" s="226"/>
      <c r="HG73" s="343" t="s">
        <v>656</v>
      </c>
      <c r="HH73" s="343" t="s">
        <v>656</v>
      </c>
      <c r="HI73" s="343" t="s">
        <v>656</v>
      </c>
      <c r="HJ73" s="322">
        <v>0</v>
      </c>
      <c r="HK73" s="343" t="s">
        <v>656</v>
      </c>
      <c r="HL73" s="226"/>
      <c r="HM73" s="322"/>
      <c r="HN73" s="226"/>
      <c r="HO73" s="322">
        <v>1</v>
      </c>
      <c r="HP73" s="322"/>
      <c r="HQ73" s="322"/>
      <c r="HR73" s="322"/>
      <c r="HS73" s="322"/>
      <c r="HT73" s="322"/>
      <c r="HU73" s="322"/>
      <c r="HV73" s="322"/>
      <c r="HW73" s="322">
        <v>0</v>
      </c>
      <c r="HX73" s="322"/>
      <c r="HY73" s="322"/>
      <c r="HZ73" s="322"/>
      <c r="IA73" s="322"/>
      <c r="IB73" s="322"/>
      <c r="IC73" s="322">
        <v>1</v>
      </c>
      <c r="ID73" s="322"/>
      <c r="IE73" s="322"/>
      <c r="IF73" s="322"/>
      <c r="IG73" s="322"/>
      <c r="IH73" s="344"/>
      <c r="II73" s="322"/>
      <c r="IJ73" s="322"/>
      <c r="IK73" s="322"/>
      <c r="IL73" s="322"/>
      <c r="IM73" s="322"/>
      <c r="IN73" s="322"/>
      <c r="IO73" s="322"/>
      <c r="IP73" s="322"/>
      <c r="IQ73" s="322"/>
      <c r="IR73" s="322">
        <v>0</v>
      </c>
      <c r="IS73" s="322"/>
      <c r="IT73" s="322"/>
      <c r="IU73" s="322"/>
      <c r="IV73" s="322"/>
      <c r="IW73" s="322"/>
      <c r="IX73" s="322"/>
      <c r="IY73" s="322">
        <v>0</v>
      </c>
      <c r="IZ73" s="322"/>
      <c r="JA73" s="322"/>
      <c r="JB73" s="322"/>
      <c r="JC73" s="322" t="s">
        <v>656</v>
      </c>
      <c r="JD73" s="322" t="s">
        <v>656</v>
      </c>
      <c r="JE73" s="226"/>
      <c r="JF73" s="226"/>
      <c r="JG73" s="226"/>
      <c r="JH73" s="322"/>
      <c r="JI73" s="322"/>
      <c r="JJ73" s="305" t="s">
        <v>656</v>
      </c>
      <c r="JK73" s="345"/>
      <c r="JL73" s="322"/>
      <c r="JM73" s="322">
        <v>0</v>
      </c>
      <c r="JN73" s="226"/>
      <c r="JO73" s="226"/>
      <c r="JP73" s="226"/>
      <c r="JQ73" s="322"/>
      <c r="JR73" s="322"/>
      <c r="JS73" s="322"/>
      <c r="JT73" s="322"/>
      <c r="JU73" s="322"/>
      <c r="JV73" s="322">
        <v>1</v>
      </c>
      <c r="JW73" s="322">
        <v>0</v>
      </c>
      <c r="JX73" s="322" t="s">
        <v>656</v>
      </c>
      <c r="JY73" s="322"/>
      <c r="JZ73" s="322">
        <v>0</v>
      </c>
      <c r="KA73" s="322"/>
      <c r="KB73" s="322"/>
      <c r="KC73" s="322"/>
      <c r="KD73" s="322"/>
      <c r="KE73" s="232"/>
      <c r="KF73" s="322"/>
      <c r="KG73" s="322" t="s">
        <v>470</v>
      </c>
      <c r="KH73" s="322">
        <v>0</v>
      </c>
      <c r="KI73" s="322">
        <v>0</v>
      </c>
      <c r="KJ73" s="322"/>
      <c r="KK73" s="322">
        <v>0</v>
      </c>
      <c r="KL73" s="322">
        <v>0</v>
      </c>
      <c r="KM73" s="322"/>
      <c r="KN73" s="322"/>
      <c r="KO73" s="322"/>
      <c r="KP73" s="322"/>
      <c r="KQ73" s="226"/>
      <c r="KR73" s="226"/>
      <c r="KS73" s="226"/>
      <c r="KT73" s="226"/>
      <c r="KU73" s="226"/>
      <c r="KV73" s="322" t="s">
        <v>656</v>
      </c>
      <c r="KW73" s="322"/>
      <c r="KX73" s="383"/>
      <c r="KY73" s="386"/>
      <c r="KZ73" s="322"/>
      <c r="LA73" s="322"/>
      <c r="LB73" s="322"/>
      <c r="LC73" s="322"/>
      <c r="LD73" s="322"/>
      <c r="LE73" s="322"/>
      <c r="LF73" s="322"/>
      <c r="LG73" s="322"/>
      <c r="LH73" s="322"/>
      <c r="LI73" s="322"/>
      <c r="LJ73" s="322"/>
      <c r="LK73" s="322"/>
      <c r="LL73" s="322">
        <v>1</v>
      </c>
      <c r="LM73" s="226"/>
      <c r="LN73" s="322">
        <v>0</v>
      </c>
      <c r="LO73" s="322">
        <v>0</v>
      </c>
      <c r="LP73" s="322">
        <v>0</v>
      </c>
      <c r="LQ73" s="322">
        <v>0</v>
      </c>
      <c r="LR73" s="322">
        <v>0</v>
      </c>
      <c r="LS73" s="322">
        <v>0</v>
      </c>
      <c r="LT73" s="346">
        <v>0</v>
      </c>
      <c r="LU73" s="322">
        <v>0</v>
      </c>
      <c r="LV73" s="322"/>
      <c r="LW73" s="322"/>
      <c r="LX73" s="322"/>
      <c r="LY73" s="322"/>
      <c r="LZ73" s="322"/>
      <c r="MA73" s="322"/>
      <c r="MB73" s="322"/>
      <c r="MC73" s="322">
        <v>0</v>
      </c>
      <c r="MD73" s="322">
        <v>0</v>
      </c>
      <c r="ME73" s="322">
        <v>0</v>
      </c>
      <c r="MF73" s="322">
        <v>0</v>
      </c>
      <c r="MG73" s="226"/>
      <c r="MH73" s="226"/>
      <c r="MI73" s="226"/>
      <c r="MJ73" s="347"/>
      <c r="MK73" s="347"/>
      <c r="ML73" s="347"/>
      <c r="MM73" s="347">
        <v>1</v>
      </c>
      <c r="MN73" s="348"/>
      <c r="MO73" s="348"/>
      <c r="MP73" s="348"/>
      <c r="MQ73" s="348"/>
      <c r="MR73" s="348"/>
      <c r="MS73" s="348"/>
      <c r="MT73" s="347"/>
      <c r="MU73" s="348"/>
      <c r="MV73" s="347"/>
      <c r="MW73" s="347"/>
      <c r="MX73" s="226"/>
      <c r="MY73" s="226"/>
      <c r="MZ73" s="226"/>
      <c r="NA73" s="226"/>
    </row>
    <row r="74" spans="1:365" ht="34" x14ac:dyDescent="0.2">
      <c r="A74" s="1216"/>
      <c r="B74" s="201" t="s">
        <v>152</v>
      </c>
      <c r="C74" s="202" t="s">
        <v>153</v>
      </c>
      <c r="D74" s="215" t="s">
        <v>117</v>
      </c>
      <c r="E74" s="322"/>
      <c r="F74" s="322"/>
      <c r="G74" s="305" t="s">
        <v>656</v>
      </c>
      <c r="H74" s="305" t="s">
        <v>656</v>
      </c>
      <c r="I74" s="322" t="s">
        <v>656</v>
      </c>
      <c r="J74" s="322" t="s">
        <v>656</v>
      </c>
      <c r="K74" s="322"/>
      <c r="L74" s="322"/>
      <c r="M74" s="467"/>
      <c r="N74" s="322"/>
      <c r="O74" s="322"/>
      <c r="P74" s="463"/>
      <c r="Q74" s="322"/>
      <c r="R74" s="322"/>
      <c r="S74" s="322"/>
      <c r="T74" s="322"/>
      <c r="U74" s="322"/>
      <c r="V74" s="322"/>
      <c r="W74" s="226"/>
      <c r="X74" s="226"/>
      <c r="Y74" s="226"/>
      <c r="Z74" s="226"/>
      <c r="AA74" s="226"/>
      <c r="AB74" s="226"/>
      <c r="AC74" s="226"/>
      <c r="AD74" s="226"/>
      <c r="AE74" s="226"/>
      <c r="AF74" s="322">
        <v>0</v>
      </c>
      <c r="AG74" s="225">
        <v>1</v>
      </c>
      <c r="AH74" s="226"/>
      <c r="AI74" s="322"/>
      <c r="AJ74" s="322"/>
      <c r="AK74" s="344"/>
      <c r="AL74" s="322"/>
      <c r="AM74" s="226"/>
      <c r="AN74" s="226"/>
      <c r="AO74" s="226"/>
      <c r="AP74" s="226"/>
      <c r="AQ74" s="322"/>
      <c r="AR74" s="322"/>
      <c r="AS74" s="322">
        <v>15</v>
      </c>
      <c r="AT74" s="322"/>
      <c r="AU74" s="322"/>
      <c r="AV74" s="322">
        <v>1</v>
      </c>
      <c r="AW74" s="322">
        <v>0</v>
      </c>
      <c r="AX74" s="322"/>
      <c r="AY74" s="344">
        <v>0</v>
      </c>
      <c r="AZ74" s="322">
        <v>0</v>
      </c>
      <c r="BA74" s="322"/>
      <c r="BB74" s="322"/>
      <c r="BC74" s="322"/>
      <c r="BD74" s="322"/>
      <c r="BE74" s="344"/>
      <c r="BF74" s="322"/>
      <c r="BG74" s="322"/>
      <c r="BH74" s="322" t="s">
        <v>470</v>
      </c>
      <c r="BI74" s="322" t="s">
        <v>656</v>
      </c>
      <c r="BJ74" s="322"/>
      <c r="BK74" s="322">
        <v>1</v>
      </c>
      <c r="BL74" s="322"/>
      <c r="BM74" s="322"/>
      <c r="BN74" s="226"/>
      <c r="BO74" s="322"/>
      <c r="BP74" s="322">
        <v>0</v>
      </c>
      <c r="BQ74" s="322"/>
      <c r="BR74" s="233" t="s">
        <v>117</v>
      </c>
      <c r="BS74" s="322" t="s">
        <v>656</v>
      </c>
      <c r="BT74" s="322"/>
      <c r="BU74" s="322">
        <v>0</v>
      </c>
      <c r="BV74" s="322"/>
      <c r="BW74" s="322">
        <v>0</v>
      </c>
      <c r="BX74" s="322"/>
      <c r="BY74" s="322"/>
      <c r="BZ74" s="322"/>
      <c r="CA74" s="322"/>
      <c r="CB74" s="322"/>
      <c r="CC74" s="322">
        <v>0</v>
      </c>
      <c r="CD74" s="344"/>
      <c r="CE74" s="344">
        <v>0</v>
      </c>
      <c r="CF74" s="344"/>
      <c r="CG74" s="344">
        <v>0</v>
      </c>
      <c r="CH74" s="344"/>
      <c r="CI74" s="344"/>
      <c r="CJ74" s="344">
        <v>0</v>
      </c>
      <c r="CK74" s="344"/>
      <c r="CL74" s="344"/>
      <c r="CM74" s="344"/>
      <c r="CN74" s="322"/>
      <c r="CO74" s="322">
        <v>0</v>
      </c>
      <c r="CP74" s="322"/>
      <c r="CQ74" s="464"/>
      <c r="CR74" s="465"/>
      <c r="CS74" s="322"/>
      <c r="CT74" s="322"/>
      <c r="CU74" s="322">
        <v>0</v>
      </c>
      <c r="CV74" s="322">
        <v>0</v>
      </c>
      <c r="CW74" s="322" t="s">
        <v>656</v>
      </c>
      <c r="CX74" s="322"/>
      <c r="CY74" s="322"/>
      <c r="CZ74" s="322">
        <v>0</v>
      </c>
      <c r="DA74" s="322">
        <v>9</v>
      </c>
      <c r="DB74" s="322"/>
      <c r="DC74" s="322">
        <v>0</v>
      </c>
      <c r="DD74" s="322"/>
      <c r="DE74" s="322"/>
      <c r="DF74" s="322">
        <v>0</v>
      </c>
      <c r="DG74" s="322">
        <v>0</v>
      </c>
      <c r="DH74" s="322">
        <v>0</v>
      </c>
      <c r="DI74" s="322">
        <v>0</v>
      </c>
      <c r="DJ74" s="322">
        <v>0</v>
      </c>
      <c r="DK74" s="322">
        <v>0</v>
      </c>
      <c r="DL74" s="322">
        <v>0</v>
      </c>
      <c r="DM74" s="322"/>
      <c r="DN74" s="322"/>
      <c r="DO74" s="322"/>
      <c r="DP74" s="322">
        <v>0</v>
      </c>
      <c r="DQ74" s="322">
        <v>0</v>
      </c>
      <c r="DR74" s="322">
        <v>0</v>
      </c>
      <c r="DS74" s="322">
        <v>0</v>
      </c>
      <c r="DT74" s="322">
        <v>0</v>
      </c>
      <c r="DU74" s="322">
        <v>0</v>
      </c>
      <c r="DV74" s="322">
        <v>0</v>
      </c>
      <c r="DW74" s="322">
        <v>0</v>
      </c>
      <c r="DX74" s="322"/>
      <c r="DY74" s="322"/>
      <c r="DZ74" s="322"/>
      <c r="EA74" s="322"/>
      <c r="EB74" s="322"/>
      <c r="EC74" s="226"/>
      <c r="ED74" s="322">
        <v>0</v>
      </c>
      <c r="EE74" s="322"/>
      <c r="EF74" s="322"/>
      <c r="EG74" s="226"/>
      <c r="EH74" s="322"/>
      <c r="EI74" s="322">
        <v>0</v>
      </c>
      <c r="EJ74" s="226"/>
      <c r="EK74" s="226"/>
      <c r="EL74" s="226"/>
      <c r="EM74" s="226"/>
      <c r="EN74" s="226"/>
      <c r="EO74" s="226"/>
      <c r="EP74" s="226"/>
      <c r="EQ74" s="226"/>
      <c r="ER74" s="322"/>
      <c r="ES74" s="322"/>
      <c r="ET74" s="322"/>
      <c r="EU74" s="322"/>
      <c r="EV74" s="322"/>
      <c r="EW74" s="322"/>
      <c r="EX74" s="322"/>
      <c r="EY74" s="322"/>
      <c r="EZ74" s="344"/>
      <c r="FA74" s="322">
        <v>0</v>
      </c>
      <c r="FB74" s="322"/>
      <c r="FC74" s="322"/>
      <c r="FD74" s="226"/>
      <c r="FE74" s="466"/>
      <c r="FF74" s="322">
        <v>0</v>
      </c>
      <c r="FG74" s="322">
        <v>0</v>
      </c>
      <c r="FH74" s="322">
        <v>0</v>
      </c>
      <c r="FI74" s="465" t="s">
        <v>656</v>
      </c>
      <c r="FJ74" s="465" t="s">
        <v>656</v>
      </c>
      <c r="FK74" s="465"/>
      <c r="FL74" s="465" t="s">
        <v>656</v>
      </c>
      <c r="FM74" s="322"/>
      <c r="FN74" s="322"/>
      <c r="FO74" s="465"/>
      <c r="FP74" s="465"/>
      <c r="FQ74" s="465"/>
      <c r="FR74" s="465"/>
      <c r="FS74" s="465"/>
      <c r="FT74" s="465"/>
      <c r="FU74" s="226"/>
      <c r="FV74" s="465"/>
      <c r="FW74" s="465"/>
      <c r="FX74" s="465"/>
      <c r="FY74" s="226"/>
      <c r="FZ74" s="465"/>
      <c r="GA74" s="465"/>
      <c r="GB74" s="465"/>
      <c r="GC74" s="465"/>
      <c r="GD74" s="465"/>
      <c r="GE74" s="465"/>
      <c r="GF74" s="465"/>
      <c r="GG74" s="465">
        <v>0</v>
      </c>
      <c r="GH74" s="465">
        <v>0</v>
      </c>
      <c r="GI74" s="226"/>
      <c r="GJ74" s="465"/>
      <c r="GK74" s="465"/>
      <c r="GL74" s="465"/>
      <c r="GM74" s="465"/>
      <c r="GN74" s="465"/>
      <c r="GO74" s="226"/>
      <c r="GP74" s="465"/>
      <c r="GQ74" s="226"/>
      <c r="GR74" s="465"/>
      <c r="GS74" s="465"/>
      <c r="GT74" s="465"/>
      <c r="GU74" s="465"/>
      <c r="GV74" s="465"/>
      <c r="GW74" s="226"/>
      <c r="GX74" s="322"/>
      <c r="GY74" s="322"/>
      <c r="GZ74" s="465"/>
      <c r="HA74" s="322">
        <v>3</v>
      </c>
      <c r="HB74" s="322"/>
      <c r="HC74" s="322">
        <v>3</v>
      </c>
      <c r="HD74" s="322"/>
      <c r="HE74" s="322">
        <v>0</v>
      </c>
      <c r="HF74" s="226"/>
      <c r="HG74" s="343" t="s">
        <v>656</v>
      </c>
      <c r="HH74" s="343" t="s">
        <v>656</v>
      </c>
      <c r="HI74" s="343" t="s">
        <v>656</v>
      </c>
      <c r="HJ74" s="322">
        <v>0</v>
      </c>
      <c r="HK74" s="343" t="s">
        <v>656</v>
      </c>
      <c r="HL74" s="226"/>
      <c r="HM74" s="322"/>
      <c r="HN74" s="226"/>
      <c r="HO74" s="322">
        <v>1</v>
      </c>
      <c r="HP74" s="322"/>
      <c r="HQ74" s="322"/>
      <c r="HR74" s="322"/>
      <c r="HS74" s="322"/>
      <c r="HT74" s="322"/>
      <c r="HU74" s="322"/>
      <c r="HV74" s="322"/>
      <c r="HW74" s="322">
        <v>0</v>
      </c>
      <c r="HX74" s="322"/>
      <c r="HY74" s="322"/>
      <c r="HZ74" s="322"/>
      <c r="IA74" s="322"/>
      <c r="IB74" s="322"/>
      <c r="IC74" s="322"/>
      <c r="ID74" s="322"/>
      <c r="IE74" s="322"/>
      <c r="IF74" s="322"/>
      <c r="IG74" s="322"/>
      <c r="IH74" s="344"/>
      <c r="II74" s="322"/>
      <c r="IJ74" s="322"/>
      <c r="IK74" s="322"/>
      <c r="IL74" s="322"/>
      <c r="IM74" s="322"/>
      <c r="IN74" s="322"/>
      <c r="IO74" s="322"/>
      <c r="IP74" s="322"/>
      <c r="IQ74" s="322"/>
      <c r="IR74" s="322">
        <v>0</v>
      </c>
      <c r="IS74" s="322"/>
      <c r="IT74" s="322"/>
      <c r="IU74" s="322"/>
      <c r="IV74" s="322"/>
      <c r="IW74" s="322"/>
      <c r="IX74" s="322"/>
      <c r="IY74" s="322">
        <v>0</v>
      </c>
      <c r="IZ74" s="322"/>
      <c r="JA74" s="322"/>
      <c r="JB74" s="322"/>
      <c r="JC74" s="322" t="s">
        <v>656</v>
      </c>
      <c r="JD74" s="322" t="s">
        <v>656</v>
      </c>
      <c r="JE74" s="226"/>
      <c r="JF74" s="226"/>
      <c r="JG74" s="226"/>
      <c r="JH74" s="322"/>
      <c r="JI74" s="322"/>
      <c r="JJ74" s="305" t="s">
        <v>656</v>
      </c>
      <c r="JK74" s="345"/>
      <c r="JL74" s="322"/>
      <c r="JM74" s="322">
        <v>0</v>
      </c>
      <c r="JN74" s="226"/>
      <c r="JO74" s="226"/>
      <c r="JP74" s="226"/>
      <c r="JQ74" s="322"/>
      <c r="JR74" s="322"/>
      <c r="JS74" s="322"/>
      <c r="JT74" s="322"/>
      <c r="JU74" s="322"/>
      <c r="JV74" s="322"/>
      <c r="JW74" s="322">
        <v>0</v>
      </c>
      <c r="JX74" s="322" t="s">
        <v>656</v>
      </c>
      <c r="JY74" s="322"/>
      <c r="JZ74" s="322">
        <v>0</v>
      </c>
      <c r="KA74" s="322"/>
      <c r="KB74" s="322"/>
      <c r="KC74" s="322"/>
      <c r="KD74" s="322"/>
      <c r="KE74" s="232"/>
      <c r="KF74" s="322"/>
      <c r="KG74" s="322" t="s">
        <v>470</v>
      </c>
      <c r="KH74" s="322">
        <v>0</v>
      </c>
      <c r="KI74" s="322">
        <v>0</v>
      </c>
      <c r="KJ74" s="322"/>
      <c r="KK74" s="322">
        <v>0</v>
      </c>
      <c r="KL74" s="322">
        <v>0</v>
      </c>
      <c r="KM74" s="322"/>
      <c r="KN74" s="322"/>
      <c r="KO74" s="322"/>
      <c r="KP74" s="322"/>
      <c r="KQ74" s="226"/>
      <c r="KR74" s="226"/>
      <c r="KS74" s="226"/>
      <c r="KT74" s="226"/>
      <c r="KU74" s="226"/>
      <c r="KV74" s="322">
        <v>3</v>
      </c>
      <c r="KW74" s="322"/>
      <c r="KX74" s="383"/>
      <c r="KY74" s="386"/>
      <c r="KZ74" s="322"/>
      <c r="LA74" s="322"/>
      <c r="LB74" s="322"/>
      <c r="LC74" s="322"/>
      <c r="LD74" s="322"/>
      <c r="LE74" s="322"/>
      <c r="LF74" s="322"/>
      <c r="LG74" s="322"/>
      <c r="LH74" s="322"/>
      <c r="LI74" s="322"/>
      <c r="LJ74" s="322"/>
      <c r="LK74" s="322">
        <v>2</v>
      </c>
      <c r="LL74" s="322"/>
      <c r="LM74" s="226"/>
      <c r="LN74" s="322">
        <v>1</v>
      </c>
      <c r="LO74" s="322">
        <v>0</v>
      </c>
      <c r="LP74" s="322">
        <v>0</v>
      </c>
      <c r="LQ74" s="322">
        <v>1</v>
      </c>
      <c r="LR74" s="322">
        <v>0</v>
      </c>
      <c r="LS74" s="322">
        <v>1</v>
      </c>
      <c r="LT74" s="346">
        <v>0</v>
      </c>
      <c r="LU74" s="322">
        <v>0</v>
      </c>
      <c r="LV74" s="322"/>
      <c r="LW74" s="322"/>
      <c r="LX74" s="322"/>
      <c r="LY74" s="322"/>
      <c r="LZ74" s="322"/>
      <c r="MA74" s="322"/>
      <c r="MB74" s="322"/>
      <c r="MC74" s="322">
        <v>0</v>
      </c>
      <c r="MD74" s="322">
        <v>0</v>
      </c>
      <c r="ME74" s="322">
        <v>0</v>
      </c>
      <c r="MF74" s="322">
        <v>0</v>
      </c>
      <c r="MG74" s="226"/>
      <c r="MH74" s="226"/>
      <c r="MI74" s="226"/>
      <c r="MJ74" s="347"/>
      <c r="MK74" s="347"/>
      <c r="ML74" s="347"/>
      <c r="MM74" s="347"/>
      <c r="MN74" s="348">
        <v>6</v>
      </c>
      <c r="MO74" s="348">
        <v>7</v>
      </c>
      <c r="MP74" s="348">
        <v>1</v>
      </c>
      <c r="MQ74" s="348">
        <v>1</v>
      </c>
      <c r="MR74" s="348">
        <v>2</v>
      </c>
      <c r="MS74" s="348">
        <v>1</v>
      </c>
      <c r="MT74" s="347"/>
      <c r="MU74" s="348"/>
      <c r="MV74" s="347"/>
      <c r="MW74" s="347"/>
      <c r="MX74" s="226"/>
      <c r="MY74" s="226"/>
      <c r="MZ74" s="226"/>
      <c r="NA74" s="226"/>
    </row>
    <row r="75" spans="1:365" ht="34" x14ac:dyDescent="0.2">
      <c r="A75" s="1216"/>
      <c r="B75" s="201" t="s">
        <v>154</v>
      </c>
      <c r="C75" s="202" t="s">
        <v>6191</v>
      </c>
      <c r="D75" s="215" t="s">
        <v>117</v>
      </c>
      <c r="E75" s="322"/>
      <c r="F75" s="322"/>
      <c r="G75" s="322" t="s">
        <v>656</v>
      </c>
      <c r="H75" s="322" t="s">
        <v>656</v>
      </c>
      <c r="I75" s="322" t="s">
        <v>656</v>
      </c>
      <c r="J75" s="322" t="s">
        <v>656</v>
      </c>
      <c r="K75" s="322"/>
      <c r="L75" s="322"/>
      <c r="M75" s="467"/>
      <c r="N75" s="322"/>
      <c r="O75" s="322"/>
      <c r="P75" s="463"/>
      <c r="Q75" s="322"/>
      <c r="R75" s="322"/>
      <c r="S75" s="322"/>
      <c r="T75" s="322"/>
      <c r="U75" s="322"/>
      <c r="V75" s="322"/>
      <c r="W75" s="226"/>
      <c r="X75" s="226"/>
      <c r="Y75" s="226"/>
      <c r="Z75" s="226"/>
      <c r="AA75" s="226"/>
      <c r="AB75" s="226"/>
      <c r="AC75" s="226"/>
      <c r="AD75" s="226"/>
      <c r="AE75" s="226"/>
      <c r="AF75" s="322">
        <v>0</v>
      </c>
      <c r="AG75" s="225"/>
      <c r="AH75" s="226"/>
      <c r="AI75" s="322"/>
      <c r="AJ75" s="322"/>
      <c r="AK75" s="344"/>
      <c r="AL75" s="322"/>
      <c r="AM75" s="226"/>
      <c r="AN75" s="226"/>
      <c r="AO75" s="226"/>
      <c r="AP75" s="226"/>
      <c r="AQ75" s="322"/>
      <c r="AR75" s="322"/>
      <c r="AS75" s="322"/>
      <c r="AT75" s="322"/>
      <c r="AU75" s="322"/>
      <c r="AV75" s="322"/>
      <c r="AW75" s="322">
        <v>0</v>
      </c>
      <c r="AX75" s="322"/>
      <c r="AY75" s="344">
        <v>0</v>
      </c>
      <c r="AZ75" s="322">
        <v>0</v>
      </c>
      <c r="BA75" s="322"/>
      <c r="BB75" s="322"/>
      <c r="BC75" s="322"/>
      <c r="BD75" s="322"/>
      <c r="BE75" s="344"/>
      <c r="BF75" s="322"/>
      <c r="BG75" s="322"/>
      <c r="BH75" s="322" t="s">
        <v>470</v>
      </c>
      <c r="BI75" s="322">
        <v>3</v>
      </c>
      <c r="BJ75" s="322"/>
      <c r="BK75" s="322">
        <v>0</v>
      </c>
      <c r="BL75" s="322"/>
      <c r="BM75" s="322"/>
      <c r="BN75" s="226"/>
      <c r="BO75" s="322"/>
      <c r="BP75" s="322">
        <v>1</v>
      </c>
      <c r="BQ75" s="322"/>
      <c r="BR75" s="233" t="s">
        <v>117</v>
      </c>
      <c r="BS75" s="322" t="s">
        <v>656</v>
      </c>
      <c r="BT75" s="322"/>
      <c r="BU75" s="322">
        <v>0</v>
      </c>
      <c r="BV75" s="322"/>
      <c r="BW75" s="322">
        <v>0</v>
      </c>
      <c r="BX75" s="322"/>
      <c r="BY75" s="322"/>
      <c r="BZ75" s="322"/>
      <c r="CA75" s="322"/>
      <c r="CB75" s="322"/>
      <c r="CC75" s="322">
        <v>0</v>
      </c>
      <c r="CD75" s="344"/>
      <c r="CE75" s="344">
        <v>0</v>
      </c>
      <c r="CF75" s="344"/>
      <c r="CG75" s="344">
        <v>0</v>
      </c>
      <c r="CH75" s="344"/>
      <c r="CI75" s="344"/>
      <c r="CJ75" s="344">
        <v>0</v>
      </c>
      <c r="CK75" s="344"/>
      <c r="CL75" s="344"/>
      <c r="CM75" s="344"/>
      <c r="CN75" s="322"/>
      <c r="CO75" s="322">
        <v>0</v>
      </c>
      <c r="CP75" s="322"/>
      <c r="CQ75" s="464"/>
      <c r="CR75" s="465"/>
      <c r="CS75" s="322"/>
      <c r="CT75" s="322"/>
      <c r="CU75" s="322">
        <v>0</v>
      </c>
      <c r="CV75" s="322">
        <v>0</v>
      </c>
      <c r="CW75" s="322" t="s">
        <v>656</v>
      </c>
      <c r="CX75" s="322"/>
      <c r="CY75" s="322"/>
      <c r="CZ75" s="322">
        <v>0</v>
      </c>
      <c r="DA75" s="322" t="s">
        <v>656</v>
      </c>
      <c r="DB75" s="322"/>
      <c r="DC75" s="322">
        <v>0</v>
      </c>
      <c r="DD75" s="322"/>
      <c r="DE75" s="322"/>
      <c r="DF75" s="322">
        <v>0</v>
      </c>
      <c r="DG75" s="322">
        <v>0</v>
      </c>
      <c r="DH75" s="322">
        <v>0</v>
      </c>
      <c r="DI75" s="322">
        <v>0</v>
      </c>
      <c r="DJ75" s="322">
        <v>0</v>
      </c>
      <c r="DK75" s="322">
        <v>0</v>
      </c>
      <c r="DL75" s="322">
        <v>0</v>
      </c>
      <c r="DM75" s="322"/>
      <c r="DN75" s="322"/>
      <c r="DO75" s="322"/>
      <c r="DP75" s="322">
        <v>0</v>
      </c>
      <c r="DQ75" s="322">
        <v>0</v>
      </c>
      <c r="DR75" s="322">
        <v>0</v>
      </c>
      <c r="DS75" s="322">
        <v>0</v>
      </c>
      <c r="DT75" s="322">
        <v>0</v>
      </c>
      <c r="DU75" s="322">
        <v>0</v>
      </c>
      <c r="DV75" s="322">
        <v>0</v>
      </c>
      <c r="DW75" s="322">
        <v>0</v>
      </c>
      <c r="DX75" s="322"/>
      <c r="DY75" s="322"/>
      <c r="DZ75" s="322"/>
      <c r="EA75" s="322"/>
      <c r="EB75" s="322"/>
      <c r="EC75" s="226"/>
      <c r="ED75" s="322">
        <v>0</v>
      </c>
      <c r="EE75" s="322">
        <v>0</v>
      </c>
      <c r="EF75" s="322"/>
      <c r="EG75" s="226"/>
      <c r="EH75" s="322"/>
      <c r="EI75" s="322">
        <v>0</v>
      </c>
      <c r="EJ75" s="226"/>
      <c r="EK75" s="226"/>
      <c r="EL75" s="226"/>
      <c r="EM75" s="226"/>
      <c r="EN75" s="226"/>
      <c r="EO75" s="226"/>
      <c r="EP75" s="226"/>
      <c r="EQ75" s="226"/>
      <c r="ER75" s="322"/>
      <c r="ES75" s="322"/>
      <c r="ET75" s="322"/>
      <c r="EU75" s="322"/>
      <c r="EV75" s="322"/>
      <c r="EW75" s="322"/>
      <c r="EX75" s="322"/>
      <c r="EY75" s="322"/>
      <c r="EZ75" s="344"/>
      <c r="FA75" s="322">
        <v>0</v>
      </c>
      <c r="FB75" s="322"/>
      <c r="FC75" s="322"/>
      <c r="FD75" s="226"/>
      <c r="FE75" s="466"/>
      <c r="FF75" s="322">
        <v>0</v>
      </c>
      <c r="FG75" s="322">
        <v>0</v>
      </c>
      <c r="FH75" s="322">
        <v>0</v>
      </c>
      <c r="FI75" s="465" t="s">
        <v>656</v>
      </c>
      <c r="FJ75" s="465" t="s">
        <v>656</v>
      </c>
      <c r="FK75" s="465"/>
      <c r="FL75" s="465" t="s">
        <v>656</v>
      </c>
      <c r="FM75" s="322"/>
      <c r="FN75" s="322"/>
      <c r="FO75" s="465"/>
      <c r="FP75" s="465"/>
      <c r="FQ75" s="465"/>
      <c r="FR75" s="465"/>
      <c r="FS75" s="465"/>
      <c r="FT75" s="465"/>
      <c r="FU75" s="226"/>
      <c r="FV75" s="465"/>
      <c r="FW75" s="465"/>
      <c r="FX75" s="465"/>
      <c r="FY75" s="226"/>
      <c r="FZ75" s="465"/>
      <c r="GA75" s="465"/>
      <c r="GB75" s="465"/>
      <c r="GC75" s="465"/>
      <c r="GD75" s="465"/>
      <c r="GE75" s="465"/>
      <c r="GF75" s="465"/>
      <c r="GG75" s="465">
        <v>0</v>
      </c>
      <c r="GH75" s="465">
        <v>0</v>
      </c>
      <c r="GI75" s="226"/>
      <c r="GJ75" s="465"/>
      <c r="GK75" s="465"/>
      <c r="GL75" s="465"/>
      <c r="GM75" s="465"/>
      <c r="GN75" s="465"/>
      <c r="GO75" s="226"/>
      <c r="GP75" s="465"/>
      <c r="GQ75" s="226"/>
      <c r="GR75" s="465"/>
      <c r="GS75" s="465"/>
      <c r="GT75" s="465"/>
      <c r="GU75" s="465"/>
      <c r="GV75" s="465"/>
      <c r="GW75" s="226"/>
      <c r="GX75" s="322"/>
      <c r="GY75" s="322"/>
      <c r="GZ75" s="465"/>
      <c r="HA75" s="322">
        <v>19</v>
      </c>
      <c r="HB75" s="322"/>
      <c r="HC75" s="322"/>
      <c r="HD75" s="322"/>
      <c r="HE75" s="322">
        <v>0</v>
      </c>
      <c r="HF75" s="226"/>
      <c r="HG75" s="343" t="s">
        <v>656</v>
      </c>
      <c r="HH75" s="343" t="s">
        <v>656</v>
      </c>
      <c r="HI75" s="343" t="s">
        <v>656</v>
      </c>
      <c r="HJ75" s="322">
        <v>0</v>
      </c>
      <c r="HK75" s="343" t="s">
        <v>656</v>
      </c>
      <c r="HL75" s="226"/>
      <c r="HM75" s="322"/>
      <c r="HN75" s="226"/>
      <c r="HO75" s="322">
        <v>0</v>
      </c>
      <c r="HP75" s="322"/>
      <c r="HQ75" s="322"/>
      <c r="HR75" s="322"/>
      <c r="HS75" s="322"/>
      <c r="HT75" s="322"/>
      <c r="HU75" s="322"/>
      <c r="HV75" s="322"/>
      <c r="HW75" s="322">
        <v>0</v>
      </c>
      <c r="HX75" s="322"/>
      <c r="HY75" s="322"/>
      <c r="HZ75" s="322"/>
      <c r="IA75" s="322"/>
      <c r="IB75" s="322"/>
      <c r="IC75" s="322"/>
      <c r="ID75" s="322"/>
      <c r="IE75" s="322"/>
      <c r="IF75" s="322"/>
      <c r="IG75" s="322"/>
      <c r="IH75" s="344"/>
      <c r="II75" s="322"/>
      <c r="IJ75" s="322"/>
      <c r="IK75" s="322"/>
      <c r="IL75" s="322"/>
      <c r="IM75" s="322"/>
      <c r="IN75" s="322"/>
      <c r="IO75" s="322"/>
      <c r="IP75" s="322"/>
      <c r="IQ75" s="322"/>
      <c r="IR75" s="322">
        <v>0</v>
      </c>
      <c r="IS75" s="322"/>
      <c r="IT75" s="322"/>
      <c r="IU75" s="322"/>
      <c r="IV75" s="322"/>
      <c r="IW75" s="322"/>
      <c r="IX75" s="322"/>
      <c r="IY75" s="322">
        <v>0</v>
      </c>
      <c r="IZ75" s="322"/>
      <c r="JA75" s="322"/>
      <c r="JB75" s="322"/>
      <c r="JC75" s="322" t="s">
        <v>656</v>
      </c>
      <c r="JD75" s="322" t="s">
        <v>656</v>
      </c>
      <c r="JE75" s="226"/>
      <c r="JF75" s="226"/>
      <c r="JG75" s="226"/>
      <c r="JH75" s="322"/>
      <c r="JI75" s="322"/>
      <c r="JJ75" s="305" t="s">
        <v>656</v>
      </c>
      <c r="JK75" s="345"/>
      <c r="JL75" s="322"/>
      <c r="JM75" s="322">
        <v>0</v>
      </c>
      <c r="JN75" s="226"/>
      <c r="JO75" s="226"/>
      <c r="JP75" s="226"/>
      <c r="JQ75" s="322"/>
      <c r="JR75" s="322"/>
      <c r="JS75" s="322"/>
      <c r="JT75" s="322"/>
      <c r="JU75" s="322"/>
      <c r="JV75" s="322"/>
      <c r="JW75" s="322">
        <v>0</v>
      </c>
      <c r="JX75" s="322" t="s">
        <v>656</v>
      </c>
      <c r="JY75" s="322"/>
      <c r="JZ75" s="322">
        <v>0</v>
      </c>
      <c r="KA75" s="322"/>
      <c r="KB75" s="322"/>
      <c r="KC75" s="322"/>
      <c r="KD75" s="322"/>
      <c r="KE75" s="232"/>
      <c r="KF75" s="322"/>
      <c r="KG75" s="322" t="s">
        <v>470</v>
      </c>
      <c r="KH75" s="322">
        <v>0</v>
      </c>
      <c r="KI75" s="322">
        <v>0</v>
      </c>
      <c r="KJ75" s="322"/>
      <c r="KK75" s="322">
        <v>0</v>
      </c>
      <c r="KL75" s="322">
        <v>0</v>
      </c>
      <c r="KM75" s="322"/>
      <c r="KN75" s="322"/>
      <c r="KO75" s="322"/>
      <c r="KP75" s="322"/>
      <c r="KQ75" s="226"/>
      <c r="KR75" s="226"/>
      <c r="KS75" s="226"/>
      <c r="KT75" s="226"/>
      <c r="KU75" s="226"/>
      <c r="KV75" s="322" t="s">
        <v>656</v>
      </c>
      <c r="KW75" s="322"/>
      <c r="KX75" s="383"/>
      <c r="KY75" s="386"/>
      <c r="KZ75" s="322"/>
      <c r="LA75" s="322"/>
      <c r="LB75" s="322"/>
      <c r="LC75" s="322"/>
      <c r="LD75" s="322"/>
      <c r="LE75" s="322"/>
      <c r="LF75" s="322"/>
      <c r="LG75" s="322"/>
      <c r="LH75" s="322"/>
      <c r="LI75" s="322"/>
      <c r="LJ75" s="322"/>
      <c r="LK75" s="322"/>
      <c r="LL75" s="322"/>
      <c r="LM75" s="226"/>
      <c r="LN75" s="322">
        <v>0</v>
      </c>
      <c r="LO75" s="322">
        <v>0</v>
      </c>
      <c r="LP75" s="322">
        <v>0</v>
      </c>
      <c r="LQ75" s="322">
        <v>0</v>
      </c>
      <c r="LR75" s="322">
        <v>0</v>
      </c>
      <c r="LS75" s="322">
        <v>0</v>
      </c>
      <c r="LT75" s="346">
        <v>0</v>
      </c>
      <c r="LU75" s="322">
        <v>0</v>
      </c>
      <c r="LV75" s="322"/>
      <c r="LW75" s="322"/>
      <c r="LX75" s="322"/>
      <c r="LY75" s="322"/>
      <c r="LZ75" s="322"/>
      <c r="MA75" s="322"/>
      <c r="MB75" s="322"/>
      <c r="MC75" s="322">
        <v>0</v>
      </c>
      <c r="MD75" s="322">
        <v>0</v>
      </c>
      <c r="ME75" s="322">
        <v>0</v>
      </c>
      <c r="MF75" s="322">
        <v>0</v>
      </c>
      <c r="MG75" s="226"/>
      <c r="MH75" s="226"/>
      <c r="MI75" s="226"/>
      <c r="MJ75" s="347"/>
      <c r="MK75" s="347"/>
      <c r="ML75" s="347"/>
      <c r="MM75" s="347"/>
      <c r="MN75" s="348"/>
      <c r="MO75" s="348"/>
      <c r="MP75" s="348"/>
      <c r="MQ75" s="348"/>
      <c r="MR75" s="348"/>
      <c r="MS75" s="348"/>
      <c r="MT75" s="347"/>
      <c r="MU75" s="348"/>
      <c r="MV75" s="347"/>
      <c r="MW75" s="347"/>
      <c r="MX75" s="226"/>
      <c r="MY75" s="226"/>
      <c r="MZ75" s="226"/>
      <c r="NA75" s="226"/>
    </row>
    <row r="76" spans="1:365" ht="51" x14ac:dyDescent="0.2">
      <c r="A76" s="1216"/>
      <c r="B76" s="201" t="s">
        <v>156</v>
      </c>
      <c r="C76" s="202" t="s">
        <v>6190</v>
      </c>
      <c r="D76" s="215" t="s">
        <v>117</v>
      </c>
      <c r="E76" s="322"/>
      <c r="F76" s="322"/>
      <c r="G76" s="305" t="s">
        <v>656</v>
      </c>
      <c r="H76" s="305" t="s">
        <v>656</v>
      </c>
      <c r="I76" s="322" t="s">
        <v>656</v>
      </c>
      <c r="J76" s="322" t="s">
        <v>656</v>
      </c>
      <c r="K76" s="322"/>
      <c r="L76" s="322"/>
      <c r="M76" s="467"/>
      <c r="N76" s="322"/>
      <c r="O76" s="322"/>
      <c r="P76" s="463"/>
      <c r="Q76" s="322"/>
      <c r="R76" s="322"/>
      <c r="S76" s="322"/>
      <c r="T76" s="322"/>
      <c r="U76" s="322"/>
      <c r="V76" s="322"/>
      <c r="W76" s="226"/>
      <c r="X76" s="226"/>
      <c r="Y76" s="226"/>
      <c r="Z76" s="226"/>
      <c r="AA76" s="226"/>
      <c r="AB76" s="226"/>
      <c r="AC76" s="226"/>
      <c r="AD76" s="226"/>
      <c r="AE76" s="226"/>
      <c r="AF76" s="322">
        <v>0</v>
      </c>
      <c r="AG76" s="225"/>
      <c r="AH76" s="226"/>
      <c r="AI76" s="322"/>
      <c r="AJ76" s="322"/>
      <c r="AK76" s="344"/>
      <c r="AL76" s="322"/>
      <c r="AM76" s="226"/>
      <c r="AN76" s="226"/>
      <c r="AO76" s="226"/>
      <c r="AP76" s="226"/>
      <c r="AQ76" s="322"/>
      <c r="AR76" s="322"/>
      <c r="AS76" s="322"/>
      <c r="AT76" s="322"/>
      <c r="AU76" s="322"/>
      <c r="AV76" s="322"/>
      <c r="AW76" s="322">
        <v>0</v>
      </c>
      <c r="AX76" s="322"/>
      <c r="AY76" s="344">
        <v>0</v>
      </c>
      <c r="AZ76" s="322">
        <v>0</v>
      </c>
      <c r="BA76" s="322"/>
      <c r="BB76" s="322"/>
      <c r="BC76" s="322"/>
      <c r="BD76" s="322"/>
      <c r="BE76" s="344"/>
      <c r="BF76" s="322"/>
      <c r="BG76" s="322"/>
      <c r="BH76" s="322" t="s">
        <v>470</v>
      </c>
      <c r="BI76" s="322" t="s">
        <v>656</v>
      </c>
      <c r="BJ76" s="322"/>
      <c r="BK76" s="322">
        <v>0</v>
      </c>
      <c r="BL76" s="322"/>
      <c r="BM76" s="322"/>
      <c r="BN76" s="226"/>
      <c r="BO76" s="322"/>
      <c r="BP76" s="322">
        <v>0</v>
      </c>
      <c r="BQ76" s="322"/>
      <c r="BR76" s="233" t="s">
        <v>117</v>
      </c>
      <c r="BS76" s="322" t="s">
        <v>656</v>
      </c>
      <c r="BT76" s="322"/>
      <c r="BU76" s="322">
        <v>0</v>
      </c>
      <c r="BV76" s="322"/>
      <c r="BW76" s="322">
        <v>0</v>
      </c>
      <c r="BX76" s="322"/>
      <c r="BY76" s="322"/>
      <c r="BZ76" s="322"/>
      <c r="CA76" s="322"/>
      <c r="CB76" s="322"/>
      <c r="CC76" s="322">
        <v>0</v>
      </c>
      <c r="CD76" s="344"/>
      <c r="CE76" s="344">
        <v>0</v>
      </c>
      <c r="CF76" s="344"/>
      <c r="CG76" s="344">
        <v>0</v>
      </c>
      <c r="CH76" s="344"/>
      <c r="CI76" s="344"/>
      <c r="CJ76" s="344">
        <v>0</v>
      </c>
      <c r="CK76" s="344"/>
      <c r="CL76" s="344"/>
      <c r="CM76" s="344"/>
      <c r="CN76" s="322"/>
      <c r="CO76" s="322">
        <v>0</v>
      </c>
      <c r="CP76" s="322"/>
      <c r="CQ76" s="464"/>
      <c r="CR76" s="465"/>
      <c r="CS76" s="322"/>
      <c r="CT76" s="322"/>
      <c r="CU76" s="322">
        <v>0</v>
      </c>
      <c r="CV76" s="322">
        <v>0</v>
      </c>
      <c r="CW76" s="322" t="s">
        <v>656</v>
      </c>
      <c r="CX76" s="322"/>
      <c r="CY76" s="322"/>
      <c r="CZ76" s="322">
        <v>0</v>
      </c>
      <c r="DA76" s="322" t="s">
        <v>656</v>
      </c>
      <c r="DB76" s="322"/>
      <c r="DC76" s="322">
        <v>0</v>
      </c>
      <c r="DD76" s="322"/>
      <c r="DE76" s="322"/>
      <c r="DF76" s="322">
        <v>0</v>
      </c>
      <c r="DG76" s="322">
        <v>0</v>
      </c>
      <c r="DH76" s="322">
        <v>0</v>
      </c>
      <c r="DI76" s="322">
        <v>0</v>
      </c>
      <c r="DJ76" s="322">
        <v>0</v>
      </c>
      <c r="DK76" s="322">
        <v>0</v>
      </c>
      <c r="DL76" s="322">
        <v>0</v>
      </c>
      <c r="DM76" s="322"/>
      <c r="DN76" s="322"/>
      <c r="DO76" s="322"/>
      <c r="DP76" s="322">
        <v>0</v>
      </c>
      <c r="DQ76" s="322">
        <v>0</v>
      </c>
      <c r="DR76" s="322">
        <v>0</v>
      </c>
      <c r="DS76" s="322">
        <v>0</v>
      </c>
      <c r="DT76" s="322">
        <v>0</v>
      </c>
      <c r="DU76" s="322">
        <v>0</v>
      </c>
      <c r="DV76" s="322">
        <v>0</v>
      </c>
      <c r="DW76" s="322">
        <v>0</v>
      </c>
      <c r="DX76" s="322"/>
      <c r="DY76" s="322"/>
      <c r="DZ76" s="322"/>
      <c r="EA76" s="322"/>
      <c r="EB76" s="322"/>
      <c r="EC76" s="226"/>
      <c r="ED76" s="322">
        <v>0</v>
      </c>
      <c r="EE76" s="322">
        <v>0</v>
      </c>
      <c r="EF76" s="322"/>
      <c r="EG76" s="226"/>
      <c r="EH76" s="322"/>
      <c r="EI76" s="322">
        <v>0</v>
      </c>
      <c r="EJ76" s="226"/>
      <c r="EK76" s="226"/>
      <c r="EL76" s="226"/>
      <c r="EM76" s="226"/>
      <c r="EN76" s="226"/>
      <c r="EO76" s="226"/>
      <c r="EP76" s="226"/>
      <c r="EQ76" s="226"/>
      <c r="ER76" s="322"/>
      <c r="ES76" s="322"/>
      <c r="ET76" s="322"/>
      <c r="EU76" s="322"/>
      <c r="EV76" s="322"/>
      <c r="EW76" s="322"/>
      <c r="EX76" s="322"/>
      <c r="EY76" s="322"/>
      <c r="EZ76" s="344"/>
      <c r="FA76" s="322">
        <v>0</v>
      </c>
      <c r="FB76" s="322"/>
      <c r="FC76" s="322"/>
      <c r="FD76" s="226"/>
      <c r="FE76" s="466"/>
      <c r="FF76" s="322">
        <v>0</v>
      </c>
      <c r="FG76" s="322">
        <v>0</v>
      </c>
      <c r="FH76" s="322">
        <v>0</v>
      </c>
      <c r="FI76" s="465" t="s">
        <v>656</v>
      </c>
      <c r="FJ76" s="465" t="s">
        <v>656</v>
      </c>
      <c r="FK76" s="465"/>
      <c r="FL76" s="465" t="s">
        <v>656</v>
      </c>
      <c r="FM76" s="322"/>
      <c r="FN76" s="322"/>
      <c r="FO76" s="465"/>
      <c r="FP76" s="465"/>
      <c r="FQ76" s="465"/>
      <c r="FR76" s="465"/>
      <c r="FS76" s="465"/>
      <c r="FT76" s="465"/>
      <c r="FU76" s="226"/>
      <c r="FV76" s="465"/>
      <c r="FW76" s="465"/>
      <c r="FX76" s="465"/>
      <c r="FY76" s="226"/>
      <c r="FZ76" s="465"/>
      <c r="GA76" s="465"/>
      <c r="GB76" s="465"/>
      <c r="GC76" s="465"/>
      <c r="GD76" s="465"/>
      <c r="GE76" s="465"/>
      <c r="GF76" s="465"/>
      <c r="GG76" s="465">
        <v>0</v>
      </c>
      <c r="GH76" s="465">
        <v>0</v>
      </c>
      <c r="GI76" s="226"/>
      <c r="GJ76" s="465"/>
      <c r="GK76" s="465"/>
      <c r="GL76" s="465"/>
      <c r="GM76" s="465"/>
      <c r="GN76" s="465"/>
      <c r="GO76" s="226"/>
      <c r="GP76" s="465"/>
      <c r="GQ76" s="226"/>
      <c r="GR76" s="465"/>
      <c r="GS76" s="465"/>
      <c r="GT76" s="465"/>
      <c r="GU76" s="465"/>
      <c r="GV76" s="465"/>
      <c r="GW76" s="226"/>
      <c r="GX76" s="322"/>
      <c r="GY76" s="322"/>
      <c r="GZ76" s="465"/>
      <c r="HA76" s="322"/>
      <c r="HB76" s="322"/>
      <c r="HC76" s="322"/>
      <c r="HD76" s="322"/>
      <c r="HE76" s="322">
        <v>0</v>
      </c>
      <c r="HF76" s="226"/>
      <c r="HG76" s="343" t="s">
        <v>656</v>
      </c>
      <c r="HH76" s="343" t="s">
        <v>656</v>
      </c>
      <c r="HI76" s="343" t="s">
        <v>656</v>
      </c>
      <c r="HJ76" s="322">
        <v>0</v>
      </c>
      <c r="HK76" s="343" t="s">
        <v>656</v>
      </c>
      <c r="HL76" s="226"/>
      <c r="HM76" s="322">
        <v>1</v>
      </c>
      <c r="HN76" s="226"/>
      <c r="HO76" s="322">
        <v>0</v>
      </c>
      <c r="HP76" s="322"/>
      <c r="HQ76" s="322"/>
      <c r="HR76" s="322"/>
      <c r="HS76" s="322"/>
      <c r="HT76" s="322"/>
      <c r="HU76" s="322"/>
      <c r="HV76" s="322"/>
      <c r="HW76" s="322">
        <v>0</v>
      </c>
      <c r="HX76" s="322"/>
      <c r="HY76" s="322"/>
      <c r="HZ76" s="322"/>
      <c r="IA76" s="322"/>
      <c r="IB76" s="322"/>
      <c r="IC76" s="322"/>
      <c r="ID76" s="322"/>
      <c r="IE76" s="322"/>
      <c r="IF76" s="322"/>
      <c r="IG76" s="322"/>
      <c r="IH76" s="344"/>
      <c r="II76" s="322"/>
      <c r="IJ76" s="322"/>
      <c r="IK76" s="322"/>
      <c r="IL76" s="322"/>
      <c r="IM76" s="322"/>
      <c r="IN76" s="322"/>
      <c r="IO76" s="322"/>
      <c r="IP76" s="322"/>
      <c r="IQ76" s="322"/>
      <c r="IR76" s="322">
        <v>0</v>
      </c>
      <c r="IS76" s="322"/>
      <c r="IT76" s="322"/>
      <c r="IU76" s="322"/>
      <c r="IV76" s="322"/>
      <c r="IW76" s="322"/>
      <c r="IX76" s="322"/>
      <c r="IY76" s="322">
        <v>0</v>
      </c>
      <c r="IZ76" s="322"/>
      <c r="JA76" s="322"/>
      <c r="JB76" s="322"/>
      <c r="JC76" s="322" t="s">
        <v>656</v>
      </c>
      <c r="JD76" s="322" t="s">
        <v>656</v>
      </c>
      <c r="JE76" s="226"/>
      <c r="JF76" s="226"/>
      <c r="JG76" s="226"/>
      <c r="JH76" s="322"/>
      <c r="JI76" s="322"/>
      <c r="JJ76" s="305" t="s">
        <v>656</v>
      </c>
      <c r="JK76" s="345"/>
      <c r="JL76" s="322"/>
      <c r="JM76" s="322">
        <v>0</v>
      </c>
      <c r="JN76" s="226"/>
      <c r="JO76" s="226"/>
      <c r="JP76" s="226"/>
      <c r="JQ76" s="322"/>
      <c r="JR76" s="322"/>
      <c r="JS76" s="322"/>
      <c r="JT76" s="322"/>
      <c r="JU76" s="322"/>
      <c r="JV76" s="322"/>
      <c r="JW76" s="322">
        <v>0</v>
      </c>
      <c r="JX76" s="322" t="s">
        <v>656</v>
      </c>
      <c r="JY76" s="322"/>
      <c r="JZ76" s="322">
        <v>0</v>
      </c>
      <c r="KA76" s="322"/>
      <c r="KB76" s="322"/>
      <c r="KC76" s="322"/>
      <c r="KD76" s="322"/>
      <c r="KE76" s="232"/>
      <c r="KF76" s="322"/>
      <c r="KG76" s="322" t="s">
        <v>470</v>
      </c>
      <c r="KH76" s="322">
        <v>0</v>
      </c>
      <c r="KI76" s="322">
        <v>0</v>
      </c>
      <c r="KJ76" s="322"/>
      <c r="KK76" s="322">
        <v>0</v>
      </c>
      <c r="KL76" s="322">
        <v>0</v>
      </c>
      <c r="KM76" s="322"/>
      <c r="KN76" s="322"/>
      <c r="KO76" s="322"/>
      <c r="KP76" s="322"/>
      <c r="KQ76" s="226"/>
      <c r="KR76" s="226"/>
      <c r="KS76" s="226"/>
      <c r="KT76" s="226"/>
      <c r="KU76" s="226"/>
      <c r="KV76" s="322" t="s">
        <v>656</v>
      </c>
      <c r="KW76" s="322"/>
      <c r="KX76" s="383"/>
      <c r="KY76" s="386"/>
      <c r="KZ76" s="322"/>
      <c r="LA76" s="322"/>
      <c r="LB76" s="322"/>
      <c r="LC76" s="322"/>
      <c r="LD76" s="322"/>
      <c r="LE76" s="322"/>
      <c r="LF76" s="322"/>
      <c r="LG76" s="322"/>
      <c r="LH76" s="322"/>
      <c r="LI76" s="322"/>
      <c r="LJ76" s="322"/>
      <c r="LK76" s="322"/>
      <c r="LL76" s="322"/>
      <c r="LM76" s="226"/>
      <c r="LN76" s="322">
        <v>0</v>
      </c>
      <c r="LO76" s="322">
        <v>0</v>
      </c>
      <c r="LP76" s="322">
        <v>0</v>
      </c>
      <c r="LQ76" s="322">
        <v>0</v>
      </c>
      <c r="LR76" s="322">
        <v>0</v>
      </c>
      <c r="LS76" s="322">
        <v>0</v>
      </c>
      <c r="LT76" s="346">
        <v>0</v>
      </c>
      <c r="LU76" s="322">
        <v>0</v>
      </c>
      <c r="LV76" s="322"/>
      <c r="LW76" s="322"/>
      <c r="LX76" s="322"/>
      <c r="LY76" s="322"/>
      <c r="LZ76" s="322"/>
      <c r="MA76" s="322"/>
      <c r="MB76" s="322"/>
      <c r="MC76" s="322">
        <v>0</v>
      </c>
      <c r="MD76" s="322">
        <v>0</v>
      </c>
      <c r="ME76" s="322">
        <v>0</v>
      </c>
      <c r="MF76" s="322">
        <v>0</v>
      </c>
      <c r="MG76" s="226"/>
      <c r="MH76" s="226"/>
      <c r="MI76" s="226"/>
      <c r="MJ76" s="347"/>
      <c r="MK76" s="347"/>
      <c r="ML76" s="347"/>
      <c r="MM76" s="347"/>
      <c r="MN76" s="348"/>
      <c r="MO76" s="348"/>
      <c r="MP76" s="348"/>
      <c r="MQ76" s="348"/>
      <c r="MR76" s="348"/>
      <c r="MS76" s="348"/>
      <c r="MT76" s="347"/>
      <c r="MU76" s="348"/>
      <c r="MV76" s="347"/>
      <c r="MW76" s="347"/>
      <c r="MX76" s="226"/>
      <c r="MY76" s="226"/>
      <c r="MZ76" s="226"/>
      <c r="NA76" s="226"/>
    </row>
    <row r="77" spans="1:365" ht="119" customHeight="1" x14ac:dyDescent="0.2">
      <c r="A77" s="1216"/>
      <c r="B77" s="201" t="s">
        <v>158</v>
      </c>
      <c r="C77" s="202" t="s">
        <v>159</v>
      </c>
      <c r="D77" s="215" t="s">
        <v>117</v>
      </c>
      <c r="E77" s="322"/>
      <c r="F77" s="322"/>
      <c r="G77" s="305" t="s">
        <v>656</v>
      </c>
      <c r="H77" s="232" t="s">
        <v>656</v>
      </c>
      <c r="I77" s="322" t="s">
        <v>656</v>
      </c>
      <c r="J77" s="322" t="s">
        <v>656</v>
      </c>
      <c r="K77" s="322"/>
      <c r="L77" s="322">
        <v>1</v>
      </c>
      <c r="M77" s="467"/>
      <c r="N77" s="322"/>
      <c r="O77" s="322"/>
      <c r="P77" s="463"/>
      <c r="Q77" s="322"/>
      <c r="R77" s="322"/>
      <c r="S77" s="322"/>
      <c r="T77" s="322"/>
      <c r="U77" s="322"/>
      <c r="V77" s="322"/>
      <c r="W77" s="226"/>
      <c r="X77" s="226"/>
      <c r="Y77" s="226"/>
      <c r="Z77" s="226"/>
      <c r="AA77" s="226"/>
      <c r="AB77" s="226"/>
      <c r="AC77" s="226"/>
      <c r="AD77" s="226"/>
      <c r="AE77" s="226"/>
      <c r="AF77" s="322">
        <v>0</v>
      </c>
      <c r="AG77" s="225"/>
      <c r="AH77" s="226"/>
      <c r="AI77" s="322"/>
      <c r="AJ77" s="322"/>
      <c r="AK77" s="344"/>
      <c r="AL77" s="322"/>
      <c r="AM77" s="226"/>
      <c r="AN77" s="226"/>
      <c r="AO77" s="226"/>
      <c r="AP77" s="226"/>
      <c r="AQ77" s="322"/>
      <c r="AR77" s="322"/>
      <c r="AS77" s="322"/>
      <c r="AT77" s="322"/>
      <c r="AU77" s="322"/>
      <c r="AV77" s="322"/>
      <c r="AW77" s="322">
        <v>0</v>
      </c>
      <c r="AX77" s="322"/>
      <c r="AY77" s="344">
        <v>0</v>
      </c>
      <c r="AZ77" s="322">
        <v>0</v>
      </c>
      <c r="BA77" s="322">
        <v>1</v>
      </c>
      <c r="BB77" s="322"/>
      <c r="BC77" s="322"/>
      <c r="BD77" s="322"/>
      <c r="BE77" s="344"/>
      <c r="BF77" s="322"/>
      <c r="BG77" s="322"/>
      <c r="BH77" s="322" t="s">
        <v>470</v>
      </c>
      <c r="BI77" s="322" t="s">
        <v>656</v>
      </c>
      <c r="BJ77" s="322"/>
      <c r="BK77" s="322">
        <v>1</v>
      </c>
      <c r="BL77" s="322"/>
      <c r="BM77" s="322"/>
      <c r="BN77" s="226"/>
      <c r="BO77" s="322"/>
      <c r="BP77" s="322">
        <v>0</v>
      </c>
      <c r="BQ77" s="322"/>
      <c r="BR77" s="233" t="s">
        <v>117</v>
      </c>
      <c r="BS77" s="322" t="s">
        <v>656</v>
      </c>
      <c r="BT77" s="322"/>
      <c r="BU77" s="322">
        <v>0</v>
      </c>
      <c r="BV77" s="322"/>
      <c r="BW77" s="322">
        <v>0</v>
      </c>
      <c r="BX77" s="322"/>
      <c r="BY77" s="322"/>
      <c r="BZ77" s="322"/>
      <c r="CA77" s="322"/>
      <c r="CB77" s="322"/>
      <c r="CC77" s="322">
        <v>0</v>
      </c>
      <c r="CD77" s="344"/>
      <c r="CE77" s="344">
        <v>0</v>
      </c>
      <c r="CF77" s="344"/>
      <c r="CG77" s="344">
        <v>0</v>
      </c>
      <c r="CH77" s="344"/>
      <c r="CI77" s="344"/>
      <c r="CJ77" s="344">
        <v>0</v>
      </c>
      <c r="CK77" s="344"/>
      <c r="CL77" s="344"/>
      <c r="CM77" s="344"/>
      <c r="CN77" s="322"/>
      <c r="CO77" s="322">
        <v>0</v>
      </c>
      <c r="CP77" s="322"/>
      <c r="CQ77" s="464"/>
      <c r="CR77" s="465"/>
      <c r="CS77" s="322"/>
      <c r="CT77" s="322"/>
      <c r="CU77" s="322">
        <v>0</v>
      </c>
      <c r="CV77" s="322">
        <v>0</v>
      </c>
      <c r="CW77" s="322" t="s">
        <v>656</v>
      </c>
      <c r="CX77" s="322"/>
      <c r="CY77" s="322"/>
      <c r="CZ77" s="322">
        <v>0</v>
      </c>
      <c r="DA77" s="322">
        <v>2</v>
      </c>
      <c r="DB77" s="322"/>
      <c r="DC77" s="322">
        <v>0</v>
      </c>
      <c r="DD77" s="322"/>
      <c r="DE77" s="322"/>
      <c r="DF77" s="322">
        <v>0</v>
      </c>
      <c r="DG77" s="322">
        <v>0</v>
      </c>
      <c r="DH77" s="322">
        <v>0</v>
      </c>
      <c r="DI77" s="322">
        <v>0</v>
      </c>
      <c r="DJ77" s="322">
        <v>0</v>
      </c>
      <c r="DK77" s="322">
        <v>0</v>
      </c>
      <c r="DL77" s="322">
        <v>0</v>
      </c>
      <c r="DM77" s="322"/>
      <c r="DN77" s="322"/>
      <c r="DO77" s="322"/>
      <c r="DP77" s="322">
        <v>0</v>
      </c>
      <c r="DQ77" s="322">
        <v>0</v>
      </c>
      <c r="DR77" s="322">
        <v>0</v>
      </c>
      <c r="DS77" s="322">
        <v>0</v>
      </c>
      <c r="DT77" s="322">
        <v>0</v>
      </c>
      <c r="DU77" s="322">
        <v>0</v>
      </c>
      <c r="DV77" s="322">
        <v>0</v>
      </c>
      <c r="DW77" s="322">
        <v>0</v>
      </c>
      <c r="DX77" s="322"/>
      <c r="DY77" s="322"/>
      <c r="DZ77" s="322"/>
      <c r="EA77" s="322"/>
      <c r="EB77" s="322"/>
      <c r="EC77" s="226"/>
      <c r="ED77" s="322">
        <v>0</v>
      </c>
      <c r="EE77" s="322">
        <v>0</v>
      </c>
      <c r="EF77" s="322"/>
      <c r="EG77" s="226"/>
      <c r="EH77" s="322"/>
      <c r="EI77" s="322">
        <v>0</v>
      </c>
      <c r="EJ77" s="226"/>
      <c r="EK77" s="226"/>
      <c r="EL77" s="226"/>
      <c r="EM77" s="226"/>
      <c r="EN77" s="226"/>
      <c r="EO77" s="226"/>
      <c r="EP77" s="226"/>
      <c r="EQ77" s="226"/>
      <c r="ER77" s="322"/>
      <c r="ES77" s="322"/>
      <c r="ET77" s="322"/>
      <c r="EU77" s="322"/>
      <c r="EV77" s="322"/>
      <c r="EW77" s="322"/>
      <c r="EX77" s="322"/>
      <c r="EY77" s="322"/>
      <c r="EZ77" s="344"/>
      <c r="FA77" s="322">
        <v>0</v>
      </c>
      <c r="FB77" s="322"/>
      <c r="FC77" s="322"/>
      <c r="FD77" s="226"/>
      <c r="FE77" s="466"/>
      <c r="FF77" s="322">
        <v>0</v>
      </c>
      <c r="FG77" s="322">
        <v>0</v>
      </c>
      <c r="FH77" s="322">
        <v>0</v>
      </c>
      <c r="FI77" s="465" t="s">
        <v>656</v>
      </c>
      <c r="FJ77" s="465" t="s">
        <v>656</v>
      </c>
      <c r="FK77" s="465"/>
      <c r="FL77" s="465" t="s">
        <v>656</v>
      </c>
      <c r="FM77" s="322"/>
      <c r="FN77" s="322"/>
      <c r="FO77" s="465"/>
      <c r="FP77" s="465"/>
      <c r="FQ77" s="465"/>
      <c r="FR77" s="465"/>
      <c r="FS77" s="465"/>
      <c r="FT77" s="465"/>
      <c r="FU77" s="226"/>
      <c r="FV77" s="465"/>
      <c r="FW77" s="465"/>
      <c r="FX77" s="465"/>
      <c r="FY77" s="226"/>
      <c r="FZ77" s="465"/>
      <c r="GA77" s="465"/>
      <c r="GB77" s="465"/>
      <c r="GC77" s="465"/>
      <c r="GD77" s="465"/>
      <c r="GE77" s="465"/>
      <c r="GF77" s="465"/>
      <c r="GG77" s="465">
        <v>0</v>
      </c>
      <c r="GH77" s="465">
        <v>0</v>
      </c>
      <c r="GI77" s="226"/>
      <c r="GJ77" s="465"/>
      <c r="GK77" s="465"/>
      <c r="GL77" s="465"/>
      <c r="GM77" s="465"/>
      <c r="GN77" s="465"/>
      <c r="GO77" s="226"/>
      <c r="GP77" s="465"/>
      <c r="GQ77" s="226"/>
      <c r="GR77" s="465"/>
      <c r="GS77" s="465"/>
      <c r="GT77" s="465"/>
      <c r="GU77" s="465"/>
      <c r="GV77" s="465"/>
      <c r="GW77" s="226"/>
      <c r="GX77" s="322"/>
      <c r="GY77" s="322"/>
      <c r="GZ77" s="465"/>
      <c r="HA77" s="322"/>
      <c r="HB77" s="322"/>
      <c r="HC77" s="322"/>
      <c r="HD77" s="322"/>
      <c r="HE77" s="322">
        <v>0</v>
      </c>
      <c r="HF77" s="226"/>
      <c r="HG77" s="343" t="s">
        <v>656</v>
      </c>
      <c r="HH77" s="343" t="s">
        <v>656</v>
      </c>
      <c r="HI77" s="343" t="s">
        <v>656</v>
      </c>
      <c r="HJ77" s="322">
        <v>0</v>
      </c>
      <c r="HK77" s="343" t="s">
        <v>656</v>
      </c>
      <c r="HL77" s="226"/>
      <c r="HM77" s="322"/>
      <c r="HN77" s="226"/>
      <c r="HO77" s="322">
        <v>0</v>
      </c>
      <c r="HP77" s="322"/>
      <c r="HQ77" s="322"/>
      <c r="HR77" s="322"/>
      <c r="HS77" s="322"/>
      <c r="HT77" s="322"/>
      <c r="HU77" s="322"/>
      <c r="HV77" s="322"/>
      <c r="HW77" s="322">
        <v>0</v>
      </c>
      <c r="HX77" s="322"/>
      <c r="HY77" s="322"/>
      <c r="HZ77" s="322"/>
      <c r="IA77" s="322"/>
      <c r="IB77" s="322"/>
      <c r="IC77" s="322"/>
      <c r="ID77" s="322"/>
      <c r="IE77" s="322"/>
      <c r="IF77" s="322"/>
      <c r="IG77" s="322"/>
      <c r="IH77" s="344"/>
      <c r="II77" s="322"/>
      <c r="IJ77" s="322"/>
      <c r="IK77" s="322"/>
      <c r="IL77" s="322"/>
      <c r="IM77" s="322"/>
      <c r="IN77" s="322"/>
      <c r="IO77" s="322"/>
      <c r="IP77" s="322"/>
      <c r="IQ77" s="322"/>
      <c r="IR77" s="322">
        <v>0</v>
      </c>
      <c r="IS77" s="322"/>
      <c r="IT77" s="322"/>
      <c r="IU77" s="322"/>
      <c r="IV77" s="322"/>
      <c r="IW77" s="322"/>
      <c r="IX77" s="322"/>
      <c r="IY77" s="322">
        <v>0</v>
      </c>
      <c r="IZ77" s="322"/>
      <c r="JA77" s="322"/>
      <c r="JB77" s="322"/>
      <c r="JC77" s="322" t="s">
        <v>656</v>
      </c>
      <c r="JD77" s="322" t="s">
        <v>656</v>
      </c>
      <c r="JE77" s="226"/>
      <c r="JF77" s="226"/>
      <c r="JG77" s="226"/>
      <c r="JH77" s="322"/>
      <c r="JI77" s="322"/>
      <c r="JJ77" s="305" t="s">
        <v>656</v>
      </c>
      <c r="JK77" s="345"/>
      <c r="JL77" s="322"/>
      <c r="JM77" s="322">
        <v>0</v>
      </c>
      <c r="JN77" s="226"/>
      <c r="JO77" s="226"/>
      <c r="JP77" s="226"/>
      <c r="JQ77" s="322"/>
      <c r="JR77" s="322"/>
      <c r="JS77" s="322">
        <v>1</v>
      </c>
      <c r="JT77" s="322"/>
      <c r="JU77" s="322"/>
      <c r="JV77" s="322"/>
      <c r="JW77" s="322">
        <v>0</v>
      </c>
      <c r="JX77" s="322" t="s">
        <v>656</v>
      </c>
      <c r="JY77" s="322"/>
      <c r="JZ77" s="322">
        <v>0</v>
      </c>
      <c r="KA77" s="322"/>
      <c r="KB77" s="322"/>
      <c r="KC77" s="322"/>
      <c r="KD77" s="322"/>
      <c r="KE77" s="232"/>
      <c r="KF77" s="322"/>
      <c r="KG77" s="322" t="s">
        <v>470</v>
      </c>
      <c r="KH77" s="322">
        <v>0</v>
      </c>
      <c r="KI77" s="322">
        <v>0</v>
      </c>
      <c r="KJ77" s="322"/>
      <c r="KK77" s="322">
        <v>0</v>
      </c>
      <c r="KL77" s="322">
        <v>0</v>
      </c>
      <c r="KM77" s="322"/>
      <c r="KN77" s="322"/>
      <c r="KO77" s="322"/>
      <c r="KP77" s="322"/>
      <c r="KQ77" s="226"/>
      <c r="KR77" s="226"/>
      <c r="KS77" s="226"/>
      <c r="KT77" s="226"/>
      <c r="KU77" s="226"/>
      <c r="KV77" s="322" t="s">
        <v>656</v>
      </c>
      <c r="KW77" s="322"/>
      <c r="KX77" s="383"/>
      <c r="KY77" s="386"/>
      <c r="KZ77" s="322"/>
      <c r="LA77" s="322"/>
      <c r="LB77" s="322"/>
      <c r="LC77" s="322"/>
      <c r="LD77" s="322"/>
      <c r="LE77" s="322"/>
      <c r="LF77" s="322"/>
      <c r="LG77" s="322"/>
      <c r="LH77" s="322"/>
      <c r="LI77" s="322"/>
      <c r="LJ77" s="322"/>
      <c r="LK77" s="322"/>
      <c r="LL77" s="322"/>
      <c r="LM77" s="226"/>
      <c r="LN77" s="322">
        <v>0</v>
      </c>
      <c r="LO77" s="322">
        <v>0</v>
      </c>
      <c r="LP77" s="322">
        <v>0</v>
      </c>
      <c r="LQ77" s="322">
        <v>0</v>
      </c>
      <c r="LR77" s="322">
        <v>0</v>
      </c>
      <c r="LS77" s="322">
        <v>0</v>
      </c>
      <c r="LT77" s="346">
        <v>0</v>
      </c>
      <c r="LU77" s="322">
        <v>0</v>
      </c>
      <c r="LV77" s="322"/>
      <c r="LW77" s="322"/>
      <c r="LX77" s="322"/>
      <c r="LY77" s="322"/>
      <c r="LZ77" s="322"/>
      <c r="MA77" s="322"/>
      <c r="MB77" s="322"/>
      <c r="MC77" s="322">
        <v>0</v>
      </c>
      <c r="MD77" s="322">
        <v>0</v>
      </c>
      <c r="ME77" s="322">
        <v>0</v>
      </c>
      <c r="MF77" s="322">
        <v>0</v>
      </c>
      <c r="MG77" s="226"/>
      <c r="MH77" s="226"/>
      <c r="MI77" s="226"/>
      <c r="MJ77" s="347"/>
      <c r="MK77" s="347"/>
      <c r="ML77" s="347"/>
      <c r="MM77" s="347"/>
      <c r="MN77" s="348"/>
      <c r="MO77" s="348"/>
      <c r="MP77" s="348"/>
      <c r="MQ77" s="348"/>
      <c r="MR77" s="348"/>
      <c r="MS77" s="348"/>
      <c r="MT77" s="347"/>
      <c r="MU77" s="348"/>
      <c r="MV77" s="347"/>
      <c r="MW77" s="347"/>
      <c r="MX77" s="226"/>
      <c r="MY77" s="226"/>
      <c r="MZ77" s="226"/>
      <c r="NA77" s="226"/>
    </row>
    <row r="78" spans="1:365" ht="85" x14ac:dyDescent="0.2">
      <c r="A78" s="1216"/>
      <c r="B78" s="201" t="s">
        <v>160</v>
      </c>
      <c r="C78" s="202" t="s">
        <v>161</v>
      </c>
      <c r="D78" s="215" t="s">
        <v>117</v>
      </c>
      <c r="E78" s="322"/>
      <c r="F78" s="322"/>
      <c r="G78" s="305" t="s">
        <v>656</v>
      </c>
      <c r="H78" s="305" t="s">
        <v>656</v>
      </c>
      <c r="I78" s="322" t="s">
        <v>656</v>
      </c>
      <c r="J78" s="322" t="s">
        <v>656</v>
      </c>
      <c r="K78" s="322"/>
      <c r="L78" s="322"/>
      <c r="M78" s="467"/>
      <c r="N78" s="322"/>
      <c r="O78" s="322"/>
      <c r="P78" s="463"/>
      <c r="Q78" s="322"/>
      <c r="R78" s="322"/>
      <c r="S78" s="322"/>
      <c r="T78" s="322"/>
      <c r="U78" s="322"/>
      <c r="V78" s="322"/>
      <c r="W78" s="226"/>
      <c r="X78" s="226"/>
      <c r="Y78" s="226"/>
      <c r="Z78" s="226"/>
      <c r="AA78" s="226"/>
      <c r="AB78" s="226"/>
      <c r="AC78" s="226"/>
      <c r="AD78" s="226"/>
      <c r="AE78" s="226"/>
      <c r="AF78" s="322">
        <v>0</v>
      </c>
      <c r="AG78" s="225"/>
      <c r="AH78" s="226"/>
      <c r="AI78" s="322"/>
      <c r="AJ78" s="322"/>
      <c r="AK78" s="344"/>
      <c r="AL78" s="322"/>
      <c r="AM78" s="226"/>
      <c r="AN78" s="226"/>
      <c r="AO78" s="226"/>
      <c r="AP78" s="226"/>
      <c r="AQ78" s="322"/>
      <c r="AR78" s="322"/>
      <c r="AS78" s="322"/>
      <c r="AT78" s="322"/>
      <c r="AU78" s="322"/>
      <c r="AV78" s="322"/>
      <c r="AW78" s="322">
        <v>0</v>
      </c>
      <c r="AX78" s="322"/>
      <c r="AY78" s="344">
        <v>0</v>
      </c>
      <c r="AZ78" s="322">
        <v>0</v>
      </c>
      <c r="BA78" s="322"/>
      <c r="BB78" s="322"/>
      <c r="BC78" s="322"/>
      <c r="BD78" s="322"/>
      <c r="BE78" s="344"/>
      <c r="BF78" s="322"/>
      <c r="BG78" s="322"/>
      <c r="BH78" s="322" t="s">
        <v>470</v>
      </c>
      <c r="BI78" s="322" t="s">
        <v>656</v>
      </c>
      <c r="BJ78" s="322"/>
      <c r="BK78" s="322">
        <v>1</v>
      </c>
      <c r="BL78" s="322"/>
      <c r="BM78" s="322"/>
      <c r="BN78" s="226"/>
      <c r="BO78" s="322"/>
      <c r="BP78" s="322">
        <v>0</v>
      </c>
      <c r="BQ78" s="322"/>
      <c r="BR78" s="233" t="s">
        <v>117</v>
      </c>
      <c r="BS78" s="322" t="s">
        <v>656</v>
      </c>
      <c r="BT78" s="322"/>
      <c r="BU78" s="322">
        <v>0</v>
      </c>
      <c r="BV78" s="322"/>
      <c r="BW78" s="322">
        <v>0</v>
      </c>
      <c r="BX78" s="322"/>
      <c r="BY78" s="322"/>
      <c r="BZ78" s="322"/>
      <c r="CA78" s="322"/>
      <c r="CB78" s="322"/>
      <c r="CC78" s="322">
        <v>0</v>
      </c>
      <c r="CD78" s="344"/>
      <c r="CE78" s="344">
        <v>0</v>
      </c>
      <c r="CF78" s="344"/>
      <c r="CG78" s="344">
        <v>0</v>
      </c>
      <c r="CH78" s="344"/>
      <c r="CI78" s="344"/>
      <c r="CJ78" s="344">
        <v>0</v>
      </c>
      <c r="CK78" s="344"/>
      <c r="CL78" s="344"/>
      <c r="CM78" s="344"/>
      <c r="CN78" s="322"/>
      <c r="CO78" s="322">
        <v>0</v>
      </c>
      <c r="CP78" s="322"/>
      <c r="CQ78" s="464"/>
      <c r="CR78" s="465"/>
      <c r="CS78" s="322"/>
      <c r="CT78" s="322"/>
      <c r="CU78" s="322">
        <v>0</v>
      </c>
      <c r="CV78" s="322">
        <v>0</v>
      </c>
      <c r="CW78" s="322" t="s">
        <v>656</v>
      </c>
      <c r="CX78" s="322"/>
      <c r="CY78" s="322"/>
      <c r="CZ78" s="322">
        <v>0</v>
      </c>
      <c r="DA78" s="322">
        <v>2</v>
      </c>
      <c r="DB78" s="322"/>
      <c r="DC78" s="322">
        <v>0</v>
      </c>
      <c r="DD78" s="322"/>
      <c r="DE78" s="322"/>
      <c r="DF78" s="322">
        <v>0</v>
      </c>
      <c r="DG78" s="322">
        <v>0</v>
      </c>
      <c r="DH78" s="322">
        <v>0</v>
      </c>
      <c r="DI78" s="322">
        <v>0</v>
      </c>
      <c r="DJ78" s="322">
        <v>0</v>
      </c>
      <c r="DK78" s="322">
        <v>0</v>
      </c>
      <c r="DL78" s="322">
        <v>0</v>
      </c>
      <c r="DM78" s="322"/>
      <c r="DN78" s="322"/>
      <c r="DO78" s="322"/>
      <c r="DP78" s="322">
        <v>0</v>
      </c>
      <c r="DQ78" s="322">
        <v>0</v>
      </c>
      <c r="DR78" s="322">
        <v>0</v>
      </c>
      <c r="DS78" s="322">
        <v>0</v>
      </c>
      <c r="DT78" s="322">
        <v>0</v>
      </c>
      <c r="DU78" s="322">
        <v>0</v>
      </c>
      <c r="DV78" s="322">
        <v>0</v>
      </c>
      <c r="DW78" s="322">
        <v>0</v>
      </c>
      <c r="DX78" s="322"/>
      <c r="DY78" s="322"/>
      <c r="DZ78" s="322"/>
      <c r="EA78" s="322"/>
      <c r="EB78" s="322"/>
      <c r="EC78" s="226"/>
      <c r="ED78" s="322">
        <v>0</v>
      </c>
      <c r="EE78" s="322">
        <v>0</v>
      </c>
      <c r="EF78" s="322">
        <v>1</v>
      </c>
      <c r="EG78" s="226"/>
      <c r="EH78" s="322"/>
      <c r="EI78" s="322">
        <v>0</v>
      </c>
      <c r="EJ78" s="226"/>
      <c r="EK78" s="226"/>
      <c r="EL78" s="226"/>
      <c r="EM78" s="226"/>
      <c r="EN78" s="226"/>
      <c r="EO78" s="226"/>
      <c r="EP78" s="226"/>
      <c r="EQ78" s="226"/>
      <c r="ER78" s="322"/>
      <c r="ES78" s="322"/>
      <c r="ET78" s="322"/>
      <c r="EU78" s="322"/>
      <c r="EV78" s="322"/>
      <c r="EW78" s="322"/>
      <c r="EX78" s="322"/>
      <c r="EY78" s="322"/>
      <c r="EZ78" s="344"/>
      <c r="FA78" s="322">
        <v>0</v>
      </c>
      <c r="FB78" s="322"/>
      <c r="FC78" s="322"/>
      <c r="FD78" s="226"/>
      <c r="FE78" s="466"/>
      <c r="FF78" s="322">
        <v>0</v>
      </c>
      <c r="FG78" s="322">
        <v>0</v>
      </c>
      <c r="FH78" s="322">
        <v>0</v>
      </c>
      <c r="FI78" s="465" t="s">
        <v>656</v>
      </c>
      <c r="FJ78" s="465" t="s">
        <v>656</v>
      </c>
      <c r="FK78" s="465"/>
      <c r="FL78" s="465" t="s">
        <v>656</v>
      </c>
      <c r="FM78" s="322"/>
      <c r="FN78" s="322"/>
      <c r="FO78" s="465"/>
      <c r="FP78" s="465"/>
      <c r="FQ78" s="465"/>
      <c r="FR78" s="465"/>
      <c r="FS78" s="465"/>
      <c r="FT78" s="465"/>
      <c r="FU78" s="226"/>
      <c r="FV78" s="465"/>
      <c r="FW78" s="465"/>
      <c r="FX78" s="465"/>
      <c r="FY78" s="226"/>
      <c r="FZ78" s="465"/>
      <c r="GA78" s="465"/>
      <c r="GB78" s="465"/>
      <c r="GC78" s="465"/>
      <c r="GD78" s="465"/>
      <c r="GE78" s="465"/>
      <c r="GF78" s="465"/>
      <c r="GG78" s="465">
        <v>0</v>
      </c>
      <c r="GH78" s="465">
        <v>0</v>
      </c>
      <c r="GI78" s="226"/>
      <c r="GJ78" s="465"/>
      <c r="GK78" s="465"/>
      <c r="GL78" s="465"/>
      <c r="GM78" s="465"/>
      <c r="GN78" s="465"/>
      <c r="GO78" s="226"/>
      <c r="GP78" s="465"/>
      <c r="GQ78" s="226"/>
      <c r="GR78" s="465"/>
      <c r="GS78" s="465"/>
      <c r="GT78" s="465"/>
      <c r="GU78" s="465"/>
      <c r="GV78" s="465"/>
      <c r="GW78" s="226"/>
      <c r="GX78" s="322"/>
      <c r="GY78" s="322"/>
      <c r="GZ78" s="465"/>
      <c r="HA78" s="322"/>
      <c r="HB78" s="322"/>
      <c r="HC78" s="322"/>
      <c r="HD78" s="322"/>
      <c r="HE78" s="322">
        <v>0</v>
      </c>
      <c r="HF78" s="226"/>
      <c r="HG78" s="343" t="s">
        <v>656</v>
      </c>
      <c r="HH78" s="343" t="s">
        <v>656</v>
      </c>
      <c r="HI78" s="343" t="s">
        <v>656</v>
      </c>
      <c r="HJ78" s="322">
        <v>0</v>
      </c>
      <c r="HK78" s="343" t="s">
        <v>656</v>
      </c>
      <c r="HL78" s="226"/>
      <c r="HM78" s="322"/>
      <c r="HN78" s="226"/>
      <c r="HO78" s="322">
        <v>4</v>
      </c>
      <c r="HP78" s="322">
        <v>2</v>
      </c>
      <c r="HQ78" s="322"/>
      <c r="HR78" s="322"/>
      <c r="HS78" s="322"/>
      <c r="HT78" s="322"/>
      <c r="HU78" s="322"/>
      <c r="HV78" s="322"/>
      <c r="HW78" s="322">
        <v>0</v>
      </c>
      <c r="HX78" s="322"/>
      <c r="HY78" s="322"/>
      <c r="HZ78" s="322"/>
      <c r="IA78" s="322"/>
      <c r="IB78" s="322"/>
      <c r="IC78" s="322"/>
      <c r="ID78" s="322"/>
      <c r="IE78" s="322"/>
      <c r="IF78" s="322"/>
      <c r="IG78" s="322"/>
      <c r="IH78" s="344"/>
      <c r="II78" s="322"/>
      <c r="IJ78" s="322"/>
      <c r="IK78" s="322"/>
      <c r="IL78" s="322"/>
      <c r="IM78" s="322"/>
      <c r="IN78" s="322"/>
      <c r="IO78" s="322"/>
      <c r="IP78" s="322"/>
      <c r="IQ78" s="322"/>
      <c r="IR78" s="322">
        <v>0</v>
      </c>
      <c r="IS78" s="322"/>
      <c r="IT78" s="322"/>
      <c r="IU78" s="322"/>
      <c r="IV78" s="322"/>
      <c r="IW78" s="322"/>
      <c r="IX78" s="322"/>
      <c r="IY78" s="322">
        <v>0</v>
      </c>
      <c r="IZ78" s="322"/>
      <c r="JA78" s="322"/>
      <c r="JB78" s="322"/>
      <c r="JC78" s="322" t="s">
        <v>656</v>
      </c>
      <c r="JD78" s="322" t="s">
        <v>656</v>
      </c>
      <c r="JE78" s="226"/>
      <c r="JF78" s="226"/>
      <c r="JG78" s="226"/>
      <c r="JH78" s="322"/>
      <c r="JI78" s="322"/>
      <c r="JJ78" s="305" t="s">
        <v>656</v>
      </c>
      <c r="JK78" s="345"/>
      <c r="JL78" s="322"/>
      <c r="JM78" s="322">
        <v>0</v>
      </c>
      <c r="JN78" s="226"/>
      <c r="JO78" s="226"/>
      <c r="JP78" s="226"/>
      <c r="JQ78" s="322"/>
      <c r="JR78" s="322"/>
      <c r="JS78" s="322"/>
      <c r="JT78" s="322"/>
      <c r="JU78" s="322"/>
      <c r="JV78" s="322"/>
      <c r="JW78" s="322">
        <v>0</v>
      </c>
      <c r="JX78" s="322" t="s">
        <v>656</v>
      </c>
      <c r="JY78" s="322"/>
      <c r="JZ78" s="322">
        <v>0</v>
      </c>
      <c r="KA78" s="322"/>
      <c r="KB78" s="322"/>
      <c r="KC78" s="322"/>
      <c r="KD78" s="322"/>
      <c r="KE78" s="232"/>
      <c r="KF78" s="322"/>
      <c r="KG78" s="322" t="s">
        <v>470</v>
      </c>
      <c r="KH78" s="322">
        <v>0</v>
      </c>
      <c r="KI78" s="322">
        <v>0</v>
      </c>
      <c r="KJ78" s="322"/>
      <c r="KK78" s="322">
        <v>0</v>
      </c>
      <c r="KL78" s="322">
        <v>0</v>
      </c>
      <c r="KM78" s="322"/>
      <c r="KN78" s="322"/>
      <c r="KO78" s="322"/>
      <c r="KP78" s="322"/>
      <c r="KQ78" s="226"/>
      <c r="KR78" s="226"/>
      <c r="KS78" s="226"/>
      <c r="KT78" s="226"/>
      <c r="KU78" s="226"/>
      <c r="KV78" s="322" t="s">
        <v>656</v>
      </c>
      <c r="KW78" s="322"/>
      <c r="KX78" s="383"/>
      <c r="KY78" s="386"/>
      <c r="KZ78" s="322"/>
      <c r="LA78" s="322"/>
      <c r="LB78" s="322"/>
      <c r="LC78" s="322"/>
      <c r="LD78" s="322"/>
      <c r="LE78" s="322"/>
      <c r="LF78" s="322"/>
      <c r="LG78" s="322"/>
      <c r="LH78" s="322"/>
      <c r="LI78" s="322"/>
      <c r="LJ78" s="322"/>
      <c r="LK78" s="322"/>
      <c r="LL78" s="322"/>
      <c r="LM78" s="226"/>
      <c r="LN78" s="322">
        <v>0</v>
      </c>
      <c r="LO78" s="322">
        <v>0</v>
      </c>
      <c r="LP78" s="322">
        <v>0</v>
      </c>
      <c r="LQ78" s="322">
        <v>0</v>
      </c>
      <c r="LR78" s="322">
        <v>0</v>
      </c>
      <c r="LS78" s="322">
        <v>0</v>
      </c>
      <c r="LT78" s="346">
        <v>0</v>
      </c>
      <c r="LU78" s="322">
        <v>0</v>
      </c>
      <c r="LV78" s="322"/>
      <c r="LW78" s="322"/>
      <c r="LX78" s="322"/>
      <c r="LY78" s="322"/>
      <c r="LZ78" s="322"/>
      <c r="MA78" s="322"/>
      <c r="MB78" s="322"/>
      <c r="MC78" s="322">
        <v>0</v>
      </c>
      <c r="MD78" s="322">
        <v>0</v>
      </c>
      <c r="ME78" s="322">
        <v>0</v>
      </c>
      <c r="MF78" s="322">
        <v>0</v>
      </c>
      <c r="MG78" s="226"/>
      <c r="MH78" s="226"/>
      <c r="MI78" s="226"/>
      <c r="MJ78" s="347"/>
      <c r="MK78" s="347"/>
      <c r="ML78" s="347"/>
      <c r="MM78" s="347"/>
      <c r="MN78" s="348"/>
      <c r="MO78" s="348"/>
      <c r="MP78" s="348"/>
      <c r="MQ78" s="348"/>
      <c r="MR78" s="348"/>
      <c r="MS78" s="348"/>
      <c r="MT78" s="347"/>
      <c r="MU78" s="348"/>
      <c r="MV78" s="347"/>
      <c r="MW78" s="347"/>
      <c r="MX78" s="226"/>
      <c r="MY78" s="226"/>
      <c r="MZ78" s="226"/>
      <c r="NA78" s="226"/>
    </row>
    <row r="79" spans="1:365" ht="51" x14ac:dyDescent="0.2">
      <c r="A79" s="1216"/>
      <c r="B79" s="201" t="s">
        <v>162</v>
      </c>
      <c r="C79" s="202" t="s">
        <v>163</v>
      </c>
      <c r="D79" s="215" t="s">
        <v>117</v>
      </c>
      <c r="E79" s="322"/>
      <c r="F79" s="322"/>
      <c r="G79" s="305" t="s">
        <v>656</v>
      </c>
      <c r="H79" s="305" t="s">
        <v>656</v>
      </c>
      <c r="I79" s="322" t="s">
        <v>656</v>
      </c>
      <c r="J79" s="322" t="s">
        <v>656</v>
      </c>
      <c r="K79" s="322"/>
      <c r="L79" s="322"/>
      <c r="M79" s="467"/>
      <c r="N79" s="322"/>
      <c r="O79" s="322"/>
      <c r="P79" s="463"/>
      <c r="Q79" s="322"/>
      <c r="R79" s="322"/>
      <c r="S79" s="322"/>
      <c r="T79" s="322"/>
      <c r="U79" s="322"/>
      <c r="V79" s="322"/>
      <c r="W79" s="226"/>
      <c r="X79" s="226"/>
      <c r="Y79" s="226"/>
      <c r="Z79" s="226"/>
      <c r="AA79" s="226"/>
      <c r="AB79" s="226"/>
      <c r="AC79" s="226"/>
      <c r="AD79" s="226"/>
      <c r="AE79" s="226"/>
      <c r="AF79" s="322">
        <v>0</v>
      </c>
      <c r="AG79" s="225"/>
      <c r="AH79" s="226"/>
      <c r="AI79" s="322"/>
      <c r="AJ79" s="322"/>
      <c r="AK79" s="344"/>
      <c r="AL79" s="322"/>
      <c r="AM79" s="226"/>
      <c r="AN79" s="226"/>
      <c r="AO79" s="226"/>
      <c r="AP79" s="226"/>
      <c r="AQ79" s="322"/>
      <c r="AR79" s="322"/>
      <c r="AS79" s="322"/>
      <c r="AT79" s="322"/>
      <c r="AU79" s="322"/>
      <c r="AV79" s="322"/>
      <c r="AW79" s="322">
        <v>0</v>
      </c>
      <c r="AX79" s="322"/>
      <c r="AY79" s="344">
        <v>0</v>
      </c>
      <c r="AZ79" s="322">
        <v>0</v>
      </c>
      <c r="BA79" s="322"/>
      <c r="BB79" s="322"/>
      <c r="BC79" s="322"/>
      <c r="BD79" s="322"/>
      <c r="BE79" s="344"/>
      <c r="BF79" s="322"/>
      <c r="BG79" s="322"/>
      <c r="BH79" s="322" t="s">
        <v>470</v>
      </c>
      <c r="BI79" s="322" t="s">
        <v>656</v>
      </c>
      <c r="BJ79" s="322"/>
      <c r="BK79" s="322">
        <v>3</v>
      </c>
      <c r="BL79" s="322"/>
      <c r="BM79" s="322"/>
      <c r="BN79" s="226"/>
      <c r="BO79" s="322"/>
      <c r="BP79" s="322">
        <v>0</v>
      </c>
      <c r="BQ79" s="322"/>
      <c r="BR79" s="233" t="s">
        <v>117</v>
      </c>
      <c r="BS79" s="322" t="s">
        <v>656</v>
      </c>
      <c r="BT79" s="322"/>
      <c r="BU79" s="322">
        <v>0</v>
      </c>
      <c r="BV79" s="322"/>
      <c r="BW79" s="322">
        <v>0</v>
      </c>
      <c r="BX79" s="322"/>
      <c r="BY79" s="322"/>
      <c r="BZ79" s="322"/>
      <c r="CA79" s="322"/>
      <c r="CB79" s="322"/>
      <c r="CC79" s="322">
        <v>0</v>
      </c>
      <c r="CD79" s="344"/>
      <c r="CE79" s="344">
        <v>0</v>
      </c>
      <c r="CF79" s="344"/>
      <c r="CG79" s="344">
        <v>0</v>
      </c>
      <c r="CH79" s="344"/>
      <c r="CI79" s="344"/>
      <c r="CJ79" s="344">
        <v>0</v>
      </c>
      <c r="CK79" s="344"/>
      <c r="CL79" s="344"/>
      <c r="CM79" s="344"/>
      <c r="CN79" s="322"/>
      <c r="CO79" s="322">
        <v>0</v>
      </c>
      <c r="CP79" s="322"/>
      <c r="CQ79" s="464"/>
      <c r="CR79" s="465"/>
      <c r="CS79" s="322"/>
      <c r="CT79" s="322"/>
      <c r="CU79" s="322">
        <v>0</v>
      </c>
      <c r="CV79" s="322">
        <v>0</v>
      </c>
      <c r="CW79" s="322" t="s">
        <v>656</v>
      </c>
      <c r="CX79" s="322"/>
      <c r="CY79" s="322"/>
      <c r="CZ79" s="322">
        <v>0</v>
      </c>
      <c r="DA79" s="322">
        <v>13</v>
      </c>
      <c r="DB79" s="322"/>
      <c r="DC79" s="322">
        <v>0</v>
      </c>
      <c r="DD79" s="322"/>
      <c r="DE79" s="322"/>
      <c r="DF79" s="322">
        <v>0</v>
      </c>
      <c r="DG79" s="322">
        <v>0</v>
      </c>
      <c r="DH79" s="322">
        <v>0</v>
      </c>
      <c r="DI79" s="322">
        <v>0</v>
      </c>
      <c r="DJ79" s="322">
        <v>0</v>
      </c>
      <c r="DK79" s="322">
        <v>0</v>
      </c>
      <c r="DL79" s="322">
        <v>0</v>
      </c>
      <c r="DM79" s="322"/>
      <c r="DN79" s="322"/>
      <c r="DO79" s="322"/>
      <c r="DP79" s="322">
        <v>0</v>
      </c>
      <c r="DQ79" s="322">
        <v>0</v>
      </c>
      <c r="DR79" s="322">
        <v>0</v>
      </c>
      <c r="DS79" s="322">
        <v>0</v>
      </c>
      <c r="DT79" s="322">
        <v>0</v>
      </c>
      <c r="DU79" s="322">
        <v>0</v>
      </c>
      <c r="DV79" s="322">
        <v>0</v>
      </c>
      <c r="DW79" s="322">
        <v>0</v>
      </c>
      <c r="DX79" s="322"/>
      <c r="DY79" s="322"/>
      <c r="DZ79" s="322"/>
      <c r="EA79" s="322"/>
      <c r="EB79" s="322"/>
      <c r="EC79" s="226"/>
      <c r="ED79" s="322">
        <v>8</v>
      </c>
      <c r="EE79" s="322">
        <v>0</v>
      </c>
      <c r="EF79" s="322"/>
      <c r="EG79" s="226"/>
      <c r="EH79" s="322"/>
      <c r="EI79" s="322">
        <v>0</v>
      </c>
      <c r="EJ79" s="226"/>
      <c r="EK79" s="226"/>
      <c r="EL79" s="226"/>
      <c r="EM79" s="226"/>
      <c r="EN79" s="226"/>
      <c r="EO79" s="226"/>
      <c r="EP79" s="226"/>
      <c r="EQ79" s="226"/>
      <c r="ER79" s="322"/>
      <c r="ES79" s="322"/>
      <c r="ET79" s="322"/>
      <c r="EU79" s="322"/>
      <c r="EV79" s="322"/>
      <c r="EW79" s="322">
        <v>4</v>
      </c>
      <c r="EX79" s="322"/>
      <c r="EY79" s="322">
        <v>1</v>
      </c>
      <c r="EZ79" s="344">
        <v>5</v>
      </c>
      <c r="FA79" s="322">
        <v>1</v>
      </c>
      <c r="FB79" s="322">
        <v>4</v>
      </c>
      <c r="FC79" s="322"/>
      <c r="FD79" s="226"/>
      <c r="FE79" s="466"/>
      <c r="FF79" s="322">
        <v>0</v>
      </c>
      <c r="FG79" s="322">
        <v>0</v>
      </c>
      <c r="FH79" s="322">
        <v>0</v>
      </c>
      <c r="FI79" s="465" t="s">
        <v>656</v>
      </c>
      <c r="FJ79" s="465">
        <v>11</v>
      </c>
      <c r="FK79" s="465"/>
      <c r="FL79" s="465" t="s">
        <v>656</v>
      </c>
      <c r="FM79" s="322">
        <v>2</v>
      </c>
      <c r="FN79" s="322"/>
      <c r="FO79" s="465">
        <v>1</v>
      </c>
      <c r="FP79" s="465"/>
      <c r="FQ79" s="465"/>
      <c r="FR79" s="465">
        <v>1</v>
      </c>
      <c r="FS79" s="465"/>
      <c r="FT79" s="465">
        <v>1</v>
      </c>
      <c r="FU79" s="226"/>
      <c r="FV79" s="465"/>
      <c r="FW79" s="465"/>
      <c r="FX79" s="465">
        <v>1</v>
      </c>
      <c r="FY79" s="226"/>
      <c r="FZ79" s="465"/>
      <c r="GA79" s="465"/>
      <c r="GB79" s="465">
        <v>1</v>
      </c>
      <c r="GC79" s="465"/>
      <c r="GD79" s="465"/>
      <c r="GE79" s="465"/>
      <c r="GF79" s="465"/>
      <c r="GG79" s="465">
        <v>0</v>
      </c>
      <c r="GH79" s="465">
        <v>1</v>
      </c>
      <c r="GI79" s="226"/>
      <c r="GJ79" s="465"/>
      <c r="GK79" s="465"/>
      <c r="GL79" s="465"/>
      <c r="GM79" s="465"/>
      <c r="GN79" s="465"/>
      <c r="GO79" s="226"/>
      <c r="GP79" s="465">
        <v>1</v>
      </c>
      <c r="GQ79" s="226"/>
      <c r="GR79" s="465"/>
      <c r="GS79" s="465">
        <v>3</v>
      </c>
      <c r="GT79" s="465"/>
      <c r="GU79" s="465"/>
      <c r="GV79" s="465">
        <v>1</v>
      </c>
      <c r="GW79" s="226"/>
      <c r="GX79" s="322"/>
      <c r="GY79" s="322"/>
      <c r="GZ79" s="465"/>
      <c r="HA79" s="322"/>
      <c r="HB79" s="322"/>
      <c r="HC79" s="322"/>
      <c r="HD79" s="322"/>
      <c r="HE79" s="322">
        <v>0</v>
      </c>
      <c r="HF79" s="226"/>
      <c r="HG79" s="343" t="s">
        <v>656</v>
      </c>
      <c r="HH79" s="343" t="s">
        <v>656</v>
      </c>
      <c r="HI79" s="343" t="s">
        <v>656</v>
      </c>
      <c r="HJ79" s="322">
        <v>0</v>
      </c>
      <c r="HK79" s="343" t="s">
        <v>656</v>
      </c>
      <c r="HL79" s="226"/>
      <c r="HM79" s="322"/>
      <c r="HN79" s="226"/>
      <c r="HO79" s="322">
        <v>0</v>
      </c>
      <c r="HP79" s="322"/>
      <c r="HQ79" s="322"/>
      <c r="HR79" s="322"/>
      <c r="HS79" s="322"/>
      <c r="HT79" s="322"/>
      <c r="HU79" s="322"/>
      <c r="HV79" s="322"/>
      <c r="HW79" s="322">
        <v>0</v>
      </c>
      <c r="HX79" s="322"/>
      <c r="HY79" s="322"/>
      <c r="HZ79" s="322"/>
      <c r="IA79" s="322"/>
      <c r="IB79" s="322"/>
      <c r="IC79" s="322"/>
      <c r="ID79" s="322"/>
      <c r="IE79" s="322"/>
      <c r="IF79" s="322"/>
      <c r="IG79" s="322"/>
      <c r="IH79" s="344"/>
      <c r="II79" s="322"/>
      <c r="IJ79" s="322"/>
      <c r="IK79" s="322"/>
      <c r="IL79" s="322"/>
      <c r="IM79" s="322"/>
      <c r="IN79" s="322"/>
      <c r="IO79" s="322"/>
      <c r="IP79" s="322"/>
      <c r="IQ79" s="322"/>
      <c r="IR79" s="322">
        <v>0</v>
      </c>
      <c r="IS79" s="322"/>
      <c r="IT79" s="322"/>
      <c r="IU79" s="322"/>
      <c r="IV79" s="322"/>
      <c r="IW79" s="322"/>
      <c r="IX79" s="322"/>
      <c r="IY79" s="322">
        <v>0</v>
      </c>
      <c r="IZ79" s="322"/>
      <c r="JA79" s="322"/>
      <c r="JB79" s="322"/>
      <c r="JC79" s="322" t="s">
        <v>656</v>
      </c>
      <c r="JD79" s="322" t="s">
        <v>656</v>
      </c>
      <c r="JE79" s="226"/>
      <c r="JF79" s="226"/>
      <c r="JG79" s="226"/>
      <c r="JH79" s="322"/>
      <c r="JI79" s="322"/>
      <c r="JJ79" s="305" t="s">
        <v>656</v>
      </c>
      <c r="JK79" s="345"/>
      <c r="JL79" s="322"/>
      <c r="JM79" s="322">
        <v>0</v>
      </c>
      <c r="JN79" s="226"/>
      <c r="JO79" s="226"/>
      <c r="JP79" s="226"/>
      <c r="JQ79" s="322"/>
      <c r="JR79" s="322"/>
      <c r="JS79" s="322"/>
      <c r="JT79" s="322"/>
      <c r="JU79" s="322"/>
      <c r="JV79" s="322"/>
      <c r="JW79" s="322">
        <v>0</v>
      </c>
      <c r="JX79" s="322">
        <v>5</v>
      </c>
      <c r="JY79" s="322"/>
      <c r="JZ79" s="322">
        <v>0</v>
      </c>
      <c r="KA79" s="322"/>
      <c r="KB79" s="322"/>
      <c r="KC79" s="322"/>
      <c r="KD79" s="322"/>
      <c r="KE79" s="232"/>
      <c r="KF79" s="322"/>
      <c r="KG79" s="322" t="s">
        <v>470</v>
      </c>
      <c r="KH79" s="322">
        <v>0</v>
      </c>
      <c r="KI79" s="322">
        <v>0</v>
      </c>
      <c r="KJ79" s="322"/>
      <c r="KK79" s="322">
        <v>0</v>
      </c>
      <c r="KL79" s="322">
        <v>0</v>
      </c>
      <c r="KM79" s="322"/>
      <c r="KN79" s="322"/>
      <c r="KO79" s="322"/>
      <c r="KP79" s="322"/>
      <c r="KQ79" s="226"/>
      <c r="KR79" s="226"/>
      <c r="KS79" s="226"/>
      <c r="KT79" s="226"/>
      <c r="KU79" s="226"/>
      <c r="KV79" s="322" t="s">
        <v>656</v>
      </c>
      <c r="KW79" s="322"/>
      <c r="KX79" s="383"/>
      <c r="KY79" s="386"/>
      <c r="KZ79" s="322"/>
      <c r="LA79" s="322"/>
      <c r="LB79" s="322"/>
      <c r="LC79" s="322"/>
      <c r="LD79" s="322"/>
      <c r="LE79" s="322"/>
      <c r="LF79" s="322"/>
      <c r="LG79" s="322"/>
      <c r="LH79" s="322"/>
      <c r="LI79" s="322"/>
      <c r="LJ79" s="322"/>
      <c r="LK79" s="322"/>
      <c r="LL79" s="322"/>
      <c r="LM79" s="226"/>
      <c r="LN79" s="322">
        <v>0</v>
      </c>
      <c r="LO79" s="322">
        <v>0</v>
      </c>
      <c r="LP79" s="322">
        <v>0</v>
      </c>
      <c r="LQ79" s="322">
        <v>0</v>
      </c>
      <c r="LR79" s="322">
        <v>0</v>
      </c>
      <c r="LS79" s="322">
        <v>0</v>
      </c>
      <c r="LT79" s="346">
        <v>0</v>
      </c>
      <c r="LU79" s="322">
        <v>0</v>
      </c>
      <c r="LV79" s="322"/>
      <c r="LW79" s="322"/>
      <c r="LX79" s="322"/>
      <c r="LY79" s="322"/>
      <c r="LZ79" s="322"/>
      <c r="MA79" s="322"/>
      <c r="MB79" s="322"/>
      <c r="MC79" s="322">
        <v>0</v>
      </c>
      <c r="MD79" s="322">
        <v>0</v>
      </c>
      <c r="ME79" s="322">
        <v>0</v>
      </c>
      <c r="MF79" s="322">
        <v>0</v>
      </c>
      <c r="MG79" s="226"/>
      <c r="MH79" s="226"/>
      <c r="MI79" s="226"/>
      <c r="MJ79" s="347">
        <v>10</v>
      </c>
      <c r="MK79" s="347"/>
      <c r="ML79" s="347">
        <v>7</v>
      </c>
      <c r="MM79" s="347">
        <v>16</v>
      </c>
      <c r="MN79" s="348">
        <v>14</v>
      </c>
      <c r="MO79" s="348">
        <v>8</v>
      </c>
      <c r="MP79" s="348">
        <v>23</v>
      </c>
      <c r="MQ79" s="348">
        <v>18</v>
      </c>
      <c r="MR79" s="348">
        <v>13</v>
      </c>
      <c r="MS79" s="348">
        <v>11</v>
      </c>
      <c r="MT79" s="347">
        <v>13</v>
      </c>
      <c r="MU79" s="348">
        <v>7</v>
      </c>
      <c r="MV79" s="347">
        <v>14</v>
      </c>
      <c r="MW79" s="347">
        <v>5</v>
      </c>
      <c r="MX79" s="226"/>
      <c r="MY79" s="226"/>
      <c r="MZ79" s="226"/>
      <c r="NA79" s="226"/>
    </row>
    <row r="80" spans="1:365" ht="51" x14ac:dyDescent="0.2">
      <c r="A80" s="1216"/>
      <c r="B80" s="213" t="s">
        <v>164</v>
      </c>
      <c r="C80" s="202" t="s">
        <v>165</v>
      </c>
      <c r="D80" s="221" t="s">
        <v>117</v>
      </c>
      <c r="E80" s="226"/>
      <c r="F80" s="226"/>
      <c r="G80" s="305" t="s">
        <v>656</v>
      </c>
      <c r="H80" s="305" t="s">
        <v>656</v>
      </c>
      <c r="I80" s="322" t="s">
        <v>656</v>
      </c>
      <c r="J80" s="322" t="s">
        <v>656</v>
      </c>
      <c r="K80" s="322"/>
      <c r="L80" s="322"/>
      <c r="M80" s="467"/>
      <c r="N80" s="322"/>
      <c r="O80" s="322"/>
      <c r="P80" s="463"/>
      <c r="Q80" s="322"/>
      <c r="R80" s="322"/>
      <c r="S80" s="322"/>
      <c r="T80" s="322"/>
      <c r="U80" s="322"/>
      <c r="V80" s="322"/>
      <c r="W80" s="226"/>
      <c r="X80" s="226"/>
      <c r="Y80" s="226"/>
      <c r="Z80" s="226"/>
      <c r="AA80" s="226"/>
      <c r="AB80" s="226"/>
      <c r="AC80" s="226"/>
      <c r="AD80" s="226"/>
      <c r="AE80" s="226"/>
      <c r="AF80" s="322">
        <v>0</v>
      </c>
      <c r="AG80" s="225"/>
      <c r="AH80" s="226"/>
      <c r="AI80" s="322"/>
      <c r="AJ80" s="322"/>
      <c r="AK80" s="344"/>
      <c r="AL80" s="322"/>
      <c r="AM80" s="226"/>
      <c r="AN80" s="226"/>
      <c r="AO80" s="226"/>
      <c r="AP80" s="226"/>
      <c r="AQ80" s="322"/>
      <c r="AR80" s="322"/>
      <c r="AS80" s="322"/>
      <c r="AT80" s="322"/>
      <c r="AU80" s="322"/>
      <c r="AV80" s="322"/>
      <c r="AW80" s="322">
        <v>0</v>
      </c>
      <c r="AX80" s="322"/>
      <c r="AY80" s="344">
        <v>0</v>
      </c>
      <c r="AZ80" s="322">
        <v>0</v>
      </c>
      <c r="BA80" s="322"/>
      <c r="BB80" s="322"/>
      <c r="BC80" s="322"/>
      <c r="BD80" s="322"/>
      <c r="BE80" s="344"/>
      <c r="BF80" s="322"/>
      <c r="BG80" s="322"/>
      <c r="BH80" s="322" t="s">
        <v>470</v>
      </c>
      <c r="BI80" s="322" t="s">
        <v>656</v>
      </c>
      <c r="BJ80" s="322"/>
      <c r="BK80" s="322">
        <v>2</v>
      </c>
      <c r="BL80" s="322"/>
      <c r="BM80" s="322"/>
      <c r="BN80" s="226"/>
      <c r="BO80" s="322"/>
      <c r="BP80" s="322">
        <v>0</v>
      </c>
      <c r="BQ80" s="322"/>
      <c r="BR80" s="468" t="s">
        <v>117</v>
      </c>
      <c r="BS80" s="322" t="s">
        <v>656</v>
      </c>
      <c r="BT80" s="322"/>
      <c r="BU80" s="322">
        <v>0</v>
      </c>
      <c r="BV80" s="322"/>
      <c r="BW80" s="322">
        <v>0</v>
      </c>
      <c r="BX80" s="322"/>
      <c r="BY80" s="322"/>
      <c r="BZ80" s="322"/>
      <c r="CA80" s="322"/>
      <c r="CB80" s="322"/>
      <c r="CC80" s="322">
        <v>0</v>
      </c>
      <c r="CD80" s="344"/>
      <c r="CE80" s="344">
        <v>0</v>
      </c>
      <c r="CF80" s="344"/>
      <c r="CG80" s="344">
        <v>0</v>
      </c>
      <c r="CH80" s="344"/>
      <c r="CI80" s="344"/>
      <c r="CJ80" s="344">
        <v>0</v>
      </c>
      <c r="CK80" s="344"/>
      <c r="CL80" s="344"/>
      <c r="CM80" s="344"/>
      <c r="CN80" s="322"/>
      <c r="CO80" s="322">
        <v>0</v>
      </c>
      <c r="CP80" s="322"/>
      <c r="CQ80" s="464"/>
      <c r="CR80" s="465"/>
      <c r="CS80" s="322"/>
      <c r="CT80" s="322"/>
      <c r="CU80" s="322">
        <v>0</v>
      </c>
      <c r="CV80" s="322">
        <v>0</v>
      </c>
      <c r="CW80" s="322" t="s">
        <v>656</v>
      </c>
      <c r="CX80" s="322"/>
      <c r="CY80" s="322"/>
      <c r="CZ80" s="322">
        <v>0</v>
      </c>
      <c r="DA80" s="322" t="s">
        <v>656</v>
      </c>
      <c r="DB80" s="322"/>
      <c r="DC80" s="322">
        <v>0</v>
      </c>
      <c r="DD80" s="322"/>
      <c r="DE80" s="322"/>
      <c r="DF80" s="322">
        <v>0</v>
      </c>
      <c r="DG80" s="322">
        <v>0</v>
      </c>
      <c r="DH80" s="322">
        <v>0</v>
      </c>
      <c r="DI80" s="322">
        <v>0</v>
      </c>
      <c r="DJ80" s="322">
        <v>0</v>
      </c>
      <c r="DK80" s="322">
        <v>0</v>
      </c>
      <c r="DL80" s="322">
        <v>0</v>
      </c>
      <c r="DM80" s="322"/>
      <c r="DN80" s="322"/>
      <c r="DO80" s="322"/>
      <c r="DP80" s="322">
        <v>0</v>
      </c>
      <c r="DQ80" s="322">
        <v>0</v>
      </c>
      <c r="DR80" s="322">
        <v>0</v>
      </c>
      <c r="DS80" s="322">
        <v>0</v>
      </c>
      <c r="DT80" s="322">
        <v>0</v>
      </c>
      <c r="DU80" s="322">
        <v>0</v>
      </c>
      <c r="DV80" s="322">
        <v>0</v>
      </c>
      <c r="DW80" s="322">
        <v>0</v>
      </c>
      <c r="DX80" s="322"/>
      <c r="DY80" s="322"/>
      <c r="DZ80" s="322"/>
      <c r="EA80" s="322"/>
      <c r="EB80" s="322"/>
      <c r="EC80" s="226"/>
      <c r="ED80" s="322">
        <v>0</v>
      </c>
      <c r="EE80" s="322">
        <v>0</v>
      </c>
      <c r="EF80" s="322"/>
      <c r="EG80" s="226"/>
      <c r="EH80" s="322"/>
      <c r="EI80" s="322">
        <v>0</v>
      </c>
      <c r="EJ80" s="226"/>
      <c r="EK80" s="226"/>
      <c r="EL80" s="226"/>
      <c r="EM80" s="226"/>
      <c r="EN80" s="226"/>
      <c r="EO80" s="226"/>
      <c r="EP80" s="226"/>
      <c r="EQ80" s="226"/>
      <c r="ER80" s="322"/>
      <c r="ES80" s="322"/>
      <c r="ET80" s="322"/>
      <c r="EU80" s="322"/>
      <c r="EV80" s="322"/>
      <c r="EW80" s="322"/>
      <c r="EX80" s="322">
        <v>1</v>
      </c>
      <c r="EY80" s="322"/>
      <c r="EZ80" s="344"/>
      <c r="FA80" s="322">
        <v>0</v>
      </c>
      <c r="FB80" s="322"/>
      <c r="FC80" s="322"/>
      <c r="FD80" s="226"/>
      <c r="FE80" s="466"/>
      <c r="FF80" s="322">
        <v>0</v>
      </c>
      <c r="FG80" s="322">
        <v>0</v>
      </c>
      <c r="FH80" s="322">
        <v>0</v>
      </c>
      <c r="FI80" s="465" t="s">
        <v>656</v>
      </c>
      <c r="FJ80" s="465" t="s">
        <v>656</v>
      </c>
      <c r="FK80" s="465"/>
      <c r="FL80" s="465" t="s">
        <v>656</v>
      </c>
      <c r="FM80" s="322"/>
      <c r="FN80" s="322"/>
      <c r="FO80" s="465"/>
      <c r="FP80" s="465"/>
      <c r="FQ80" s="465"/>
      <c r="FR80" s="465"/>
      <c r="FS80" s="465"/>
      <c r="FT80" s="465"/>
      <c r="FU80" s="226"/>
      <c r="FV80" s="465"/>
      <c r="FW80" s="465"/>
      <c r="FX80" s="465"/>
      <c r="FY80" s="226"/>
      <c r="FZ80" s="465"/>
      <c r="GA80" s="465"/>
      <c r="GB80" s="465"/>
      <c r="GC80" s="465"/>
      <c r="GD80" s="465"/>
      <c r="GE80" s="465"/>
      <c r="GF80" s="465"/>
      <c r="GG80" s="465">
        <v>0</v>
      </c>
      <c r="GH80" s="465">
        <v>0</v>
      </c>
      <c r="GI80" s="226"/>
      <c r="GJ80" s="465"/>
      <c r="GK80" s="465"/>
      <c r="GL80" s="465"/>
      <c r="GM80" s="465"/>
      <c r="GN80" s="465"/>
      <c r="GO80" s="226"/>
      <c r="GP80" s="465"/>
      <c r="GQ80" s="226"/>
      <c r="GR80" s="465"/>
      <c r="GS80" s="465"/>
      <c r="GT80" s="465"/>
      <c r="GU80" s="465"/>
      <c r="GV80" s="465"/>
      <c r="GW80" s="226"/>
      <c r="GX80" s="322"/>
      <c r="GY80" s="322"/>
      <c r="GZ80" s="465"/>
      <c r="HA80" s="322"/>
      <c r="HB80" s="322"/>
      <c r="HC80" s="322"/>
      <c r="HD80" s="322"/>
      <c r="HE80" s="322">
        <v>0</v>
      </c>
      <c r="HF80" s="226"/>
      <c r="HG80" s="343" t="s">
        <v>656</v>
      </c>
      <c r="HH80" s="343" t="s">
        <v>656</v>
      </c>
      <c r="HI80" s="343" t="s">
        <v>656</v>
      </c>
      <c r="HJ80" s="322">
        <v>0</v>
      </c>
      <c r="HK80" s="343" t="s">
        <v>656</v>
      </c>
      <c r="HL80" s="226"/>
      <c r="HM80" s="322"/>
      <c r="HN80" s="226"/>
      <c r="HO80" s="322">
        <v>4</v>
      </c>
      <c r="HP80" s="322"/>
      <c r="HQ80" s="322"/>
      <c r="HR80" s="322"/>
      <c r="HS80" s="322"/>
      <c r="HT80" s="322"/>
      <c r="HU80" s="322"/>
      <c r="HV80" s="322"/>
      <c r="HW80" s="322">
        <v>0</v>
      </c>
      <c r="HX80" s="322"/>
      <c r="HY80" s="322"/>
      <c r="HZ80" s="322"/>
      <c r="IA80" s="322"/>
      <c r="IB80" s="322"/>
      <c r="IC80" s="322"/>
      <c r="ID80" s="322"/>
      <c r="IE80" s="322"/>
      <c r="IF80" s="322"/>
      <c r="IG80" s="322"/>
      <c r="IH80" s="344"/>
      <c r="II80" s="322"/>
      <c r="IJ80" s="322"/>
      <c r="IK80" s="322"/>
      <c r="IL80" s="322"/>
      <c r="IM80" s="322"/>
      <c r="IN80" s="322"/>
      <c r="IO80" s="322"/>
      <c r="IP80" s="322"/>
      <c r="IQ80" s="322"/>
      <c r="IR80" s="322">
        <v>0</v>
      </c>
      <c r="IS80" s="322"/>
      <c r="IT80" s="322"/>
      <c r="IU80" s="322"/>
      <c r="IV80" s="322"/>
      <c r="IW80" s="322"/>
      <c r="IX80" s="322"/>
      <c r="IY80" s="322">
        <v>0</v>
      </c>
      <c r="IZ80" s="322"/>
      <c r="JA80" s="322"/>
      <c r="JB80" s="322"/>
      <c r="JC80" s="322" t="s">
        <v>656</v>
      </c>
      <c r="JD80" s="322" t="s">
        <v>656</v>
      </c>
      <c r="JE80" s="226"/>
      <c r="JF80" s="226"/>
      <c r="JG80" s="226"/>
      <c r="JH80" s="322"/>
      <c r="JI80" s="322"/>
      <c r="JJ80" s="305" t="s">
        <v>656</v>
      </c>
      <c r="JK80" s="345"/>
      <c r="JL80" s="322"/>
      <c r="JM80" s="322">
        <v>0</v>
      </c>
      <c r="JN80" s="226"/>
      <c r="JO80" s="226"/>
      <c r="JP80" s="226"/>
      <c r="JQ80" s="322"/>
      <c r="JR80" s="322"/>
      <c r="JS80" s="322"/>
      <c r="JT80" s="322"/>
      <c r="JU80" s="322"/>
      <c r="JV80" s="322"/>
      <c r="JW80" s="322">
        <v>0</v>
      </c>
      <c r="JX80" s="322" t="s">
        <v>656</v>
      </c>
      <c r="JY80" s="322"/>
      <c r="JZ80" s="322">
        <v>0</v>
      </c>
      <c r="KA80" s="322"/>
      <c r="KB80" s="322"/>
      <c r="KC80" s="322"/>
      <c r="KD80" s="322"/>
      <c r="KE80" s="232"/>
      <c r="KF80" s="322"/>
      <c r="KG80" s="322" t="s">
        <v>470</v>
      </c>
      <c r="KH80" s="322">
        <v>0</v>
      </c>
      <c r="KI80" s="322">
        <v>0</v>
      </c>
      <c r="KJ80" s="322"/>
      <c r="KK80" s="322">
        <v>0</v>
      </c>
      <c r="KL80" s="322">
        <v>0</v>
      </c>
      <c r="KM80" s="322"/>
      <c r="KN80" s="322"/>
      <c r="KO80" s="322"/>
      <c r="KP80" s="322"/>
      <c r="KQ80" s="226"/>
      <c r="KR80" s="226"/>
      <c r="KS80" s="226"/>
      <c r="KT80" s="226"/>
      <c r="KU80" s="226"/>
      <c r="KV80" s="322" t="s">
        <v>656</v>
      </c>
      <c r="KW80" s="322"/>
      <c r="KX80" s="383"/>
      <c r="KY80" s="386"/>
      <c r="KZ80" s="322"/>
      <c r="LA80" s="322"/>
      <c r="LB80" s="322"/>
      <c r="LC80" s="322"/>
      <c r="LD80" s="322"/>
      <c r="LE80" s="322"/>
      <c r="LF80" s="322"/>
      <c r="LG80" s="322"/>
      <c r="LH80" s="322"/>
      <c r="LI80" s="322"/>
      <c r="LJ80" s="322"/>
      <c r="LK80" s="322"/>
      <c r="LL80" s="322"/>
      <c r="LM80" s="226"/>
      <c r="LN80" s="322">
        <v>0</v>
      </c>
      <c r="LO80" s="322">
        <v>0</v>
      </c>
      <c r="LP80" s="322">
        <v>0</v>
      </c>
      <c r="LQ80" s="322">
        <v>0</v>
      </c>
      <c r="LR80" s="322">
        <v>0</v>
      </c>
      <c r="LS80" s="322">
        <v>0</v>
      </c>
      <c r="LT80" s="346">
        <v>0</v>
      </c>
      <c r="LU80" s="322">
        <v>0</v>
      </c>
      <c r="LV80" s="322"/>
      <c r="LW80" s="322"/>
      <c r="LX80" s="322"/>
      <c r="LY80" s="322"/>
      <c r="LZ80" s="322"/>
      <c r="MA80" s="322"/>
      <c r="MB80" s="322"/>
      <c r="MC80" s="322">
        <v>0</v>
      </c>
      <c r="MD80" s="322">
        <v>0</v>
      </c>
      <c r="ME80" s="322">
        <v>0</v>
      </c>
      <c r="MF80" s="322">
        <v>0</v>
      </c>
      <c r="MG80" s="226"/>
      <c r="MH80" s="226"/>
      <c r="MI80" s="226"/>
      <c r="MJ80" s="347"/>
      <c r="MK80" s="347"/>
      <c r="ML80" s="347"/>
      <c r="MM80" s="347"/>
      <c r="MN80" s="348"/>
      <c r="MO80" s="348"/>
      <c r="MP80" s="348"/>
      <c r="MQ80" s="348"/>
      <c r="MR80" s="348"/>
      <c r="MS80" s="348"/>
      <c r="MT80" s="347"/>
      <c r="MU80" s="348"/>
      <c r="MV80" s="347"/>
      <c r="MW80" s="347"/>
      <c r="MX80" s="226"/>
      <c r="MY80" s="226"/>
      <c r="MZ80" s="226"/>
      <c r="NA80" s="226"/>
    </row>
    <row r="81" spans="1:365" ht="34" x14ac:dyDescent="0.2">
      <c r="A81" s="1216"/>
      <c r="B81" s="213" t="s">
        <v>166</v>
      </c>
      <c r="C81" s="202" t="s">
        <v>167</v>
      </c>
      <c r="D81" s="221" t="s">
        <v>117</v>
      </c>
      <c r="E81" s="226"/>
      <c r="F81" s="226"/>
      <c r="G81" s="322" t="s">
        <v>656</v>
      </c>
      <c r="H81" s="322" t="s">
        <v>656</v>
      </c>
      <c r="I81" s="322" t="s">
        <v>656</v>
      </c>
      <c r="J81" s="322" t="s">
        <v>656</v>
      </c>
      <c r="K81" s="322"/>
      <c r="L81" s="322"/>
      <c r="M81" s="467"/>
      <c r="N81" s="322"/>
      <c r="O81" s="322"/>
      <c r="P81" s="463"/>
      <c r="Q81" s="322"/>
      <c r="R81" s="322"/>
      <c r="S81" s="322"/>
      <c r="T81" s="322"/>
      <c r="U81" s="322"/>
      <c r="V81" s="322"/>
      <c r="W81" s="226"/>
      <c r="X81" s="226"/>
      <c r="Y81" s="226"/>
      <c r="Z81" s="226"/>
      <c r="AA81" s="226"/>
      <c r="AB81" s="226"/>
      <c r="AC81" s="226"/>
      <c r="AD81" s="226"/>
      <c r="AE81" s="226"/>
      <c r="AF81" s="322">
        <v>0</v>
      </c>
      <c r="AG81" s="225"/>
      <c r="AH81" s="226"/>
      <c r="AI81" s="322"/>
      <c r="AJ81" s="322"/>
      <c r="AK81" s="344"/>
      <c r="AL81" s="322"/>
      <c r="AM81" s="226"/>
      <c r="AN81" s="226"/>
      <c r="AO81" s="226"/>
      <c r="AP81" s="226"/>
      <c r="AQ81" s="322"/>
      <c r="AR81" s="322"/>
      <c r="AS81" s="322">
        <v>1</v>
      </c>
      <c r="AT81" s="322"/>
      <c r="AU81" s="322"/>
      <c r="AV81" s="322"/>
      <c r="AW81" s="322">
        <v>0</v>
      </c>
      <c r="AX81" s="322"/>
      <c r="AY81" s="344">
        <v>0</v>
      </c>
      <c r="AZ81" s="322">
        <v>1</v>
      </c>
      <c r="BA81" s="322"/>
      <c r="BB81" s="322"/>
      <c r="BC81" s="322"/>
      <c r="BD81" s="322"/>
      <c r="BE81" s="344"/>
      <c r="BF81" s="322"/>
      <c r="BG81" s="322"/>
      <c r="BH81" s="322" t="s">
        <v>470</v>
      </c>
      <c r="BI81" s="322" t="s">
        <v>656</v>
      </c>
      <c r="BJ81" s="322"/>
      <c r="BK81" s="322">
        <v>1</v>
      </c>
      <c r="BL81" s="322"/>
      <c r="BM81" s="322"/>
      <c r="BN81" s="226"/>
      <c r="BO81" s="322"/>
      <c r="BP81" s="322">
        <v>0</v>
      </c>
      <c r="BQ81" s="322"/>
      <c r="BR81" s="468" t="s">
        <v>117</v>
      </c>
      <c r="BS81" s="322" t="s">
        <v>656</v>
      </c>
      <c r="BT81" s="322"/>
      <c r="BU81" s="322">
        <v>0</v>
      </c>
      <c r="BV81" s="322"/>
      <c r="BW81" s="322">
        <v>0</v>
      </c>
      <c r="BX81" s="322"/>
      <c r="BY81" s="322"/>
      <c r="BZ81" s="322"/>
      <c r="CA81" s="322"/>
      <c r="CB81" s="322"/>
      <c r="CC81" s="322">
        <v>0</v>
      </c>
      <c r="CD81" s="344"/>
      <c r="CE81" s="344">
        <v>0</v>
      </c>
      <c r="CF81" s="344"/>
      <c r="CG81" s="344">
        <v>0</v>
      </c>
      <c r="CH81" s="344"/>
      <c r="CI81" s="344"/>
      <c r="CJ81" s="344">
        <v>0</v>
      </c>
      <c r="CK81" s="344"/>
      <c r="CL81" s="344"/>
      <c r="CM81" s="344"/>
      <c r="CN81" s="322"/>
      <c r="CO81" s="322">
        <v>0</v>
      </c>
      <c r="CP81" s="322"/>
      <c r="CQ81" s="464"/>
      <c r="CR81" s="465"/>
      <c r="CS81" s="322"/>
      <c r="CT81" s="322"/>
      <c r="CU81" s="322">
        <v>0</v>
      </c>
      <c r="CV81" s="322">
        <v>0</v>
      </c>
      <c r="CW81" s="322" t="s">
        <v>656</v>
      </c>
      <c r="CX81" s="322"/>
      <c r="CY81" s="322"/>
      <c r="CZ81" s="322">
        <v>0</v>
      </c>
      <c r="DA81" s="322" t="s">
        <v>656</v>
      </c>
      <c r="DB81" s="322"/>
      <c r="DC81" s="322">
        <v>0</v>
      </c>
      <c r="DD81" s="322"/>
      <c r="DE81" s="322"/>
      <c r="DF81" s="322">
        <v>0</v>
      </c>
      <c r="DG81" s="322">
        <v>0</v>
      </c>
      <c r="DH81" s="322">
        <v>0</v>
      </c>
      <c r="DI81" s="322">
        <v>0</v>
      </c>
      <c r="DJ81" s="322">
        <v>0</v>
      </c>
      <c r="DK81" s="322">
        <v>0</v>
      </c>
      <c r="DL81" s="322">
        <v>0</v>
      </c>
      <c r="DM81" s="322"/>
      <c r="DN81" s="322"/>
      <c r="DO81" s="322"/>
      <c r="DP81" s="322">
        <v>0</v>
      </c>
      <c r="DQ81" s="322">
        <v>0</v>
      </c>
      <c r="DR81" s="322">
        <v>0</v>
      </c>
      <c r="DS81" s="322">
        <v>0</v>
      </c>
      <c r="DT81" s="322">
        <v>0</v>
      </c>
      <c r="DU81" s="322">
        <v>0</v>
      </c>
      <c r="DV81" s="322">
        <v>0</v>
      </c>
      <c r="DW81" s="322">
        <v>0</v>
      </c>
      <c r="DX81" s="322"/>
      <c r="DY81" s="322"/>
      <c r="DZ81" s="322"/>
      <c r="EA81" s="322"/>
      <c r="EB81" s="322"/>
      <c r="EC81" s="226"/>
      <c r="ED81" s="322">
        <v>0</v>
      </c>
      <c r="EE81" s="322">
        <v>0</v>
      </c>
      <c r="EF81" s="322"/>
      <c r="EG81" s="226"/>
      <c r="EH81" s="322"/>
      <c r="EI81" s="322">
        <v>0</v>
      </c>
      <c r="EJ81" s="226"/>
      <c r="EK81" s="226"/>
      <c r="EL81" s="226"/>
      <c r="EM81" s="226"/>
      <c r="EN81" s="226"/>
      <c r="EO81" s="226"/>
      <c r="EP81" s="226"/>
      <c r="EQ81" s="226"/>
      <c r="ER81" s="322"/>
      <c r="ES81" s="322"/>
      <c r="ET81" s="322"/>
      <c r="EU81" s="322"/>
      <c r="EV81" s="322"/>
      <c r="EW81" s="322"/>
      <c r="EX81" s="322">
        <v>1</v>
      </c>
      <c r="EY81" s="322"/>
      <c r="EZ81" s="344"/>
      <c r="FA81" s="322">
        <v>0</v>
      </c>
      <c r="FB81" s="322"/>
      <c r="FC81" s="322"/>
      <c r="FD81" s="226"/>
      <c r="FE81" s="466"/>
      <c r="FF81" s="322">
        <v>0</v>
      </c>
      <c r="FG81" s="322">
        <v>0</v>
      </c>
      <c r="FH81" s="322">
        <v>0</v>
      </c>
      <c r="FI81" s="465" t="s">
        <v>656</v>
      </c>
      <c r="FJ81" s="465" t="s">
        <v>656</v>
      </c>
      <c r="FK81" s="465"/>
      <c r="FL81" s="465" t="s">
        <v>656</v>
      </c>
      <c r="FM81" s="322"/>
      <c r="FN81" s="322"/>
      <c r="FO81" s="465"/>
      <c r="FP81" s="465"/>
      <c r="FQ81" s="465"/>
      <c r="FR81" s="465"/>
      <c r="FS81" s="465"/>
      <c r="FT81" s="465"/>
      <c r="FU81" s="226"/>
      <c r="FV81" s="465"/>
      <c r="FW81" s="465"/>
      <c r="FX81" s="465"/>
      <c r="FY81" s="226"/>
      <c r="FZ81" s="465"/>
      <c r="GA81" s="465"/>
      <c r="GB81" s="465"/>
      <c r="GC81" s="465"/>
      <c r="GD81" s="465"/>
      <c r="GE81" s="465"/>
      <c r="GF81" s="465"/>
      <c r="GG81" s="465">
        <v>0</v>
      </c>
      <c r="GH81" s="465">
        <v>0</v>
      </c>
      <c r="GI81" s="226"/>
      <c r="GJ81" s="465"/>
      <c r="GK81" s="465"/>
      <c r="GL81" s="465"/>
      <c r="GM81" s="465"/>
      <c r="GN81" s="465"/>
      <c r="GO81" s="226"/>
      <c r="GP81" s="465"/>
      <c r="GQ81" s="226"/>
      <c r="GR81" s="465"/>
      <c r="GS81" s="465"/>
      <c r="GT81" s="465"/>
      <c r="GU81" s="465"/>
      <c r="GV81" s="465"/>
      <c r="GW81" s="226"/>
      <c r="GX81" s="322"/>
      <c r="GY81" s="322"/>
      <c r="GZ81" s="465"/>
      <c r="HA81" s="322"/>
      <c r="HB81" s="322"/>
      <c r="HC81" s="322"/>
      <c r="HD81" s="322"/>
      <c r="HE81" s="322">
        <v>0</v>
      </c>
      <c r="HF81" s="226"/>
      <c r="HG81" s="343" t="s">
        <v>656</v>
      </c>
      <c r="HH81" s="343" t="s">
        <v>656</v>
      </c>
      <c r="HI81" s="343" t="s">
        <v>656</v>
      </c>
      <c r="HJ81" s="322">
        <v>0</v>
      </c>
      <c r="HK81" s="343" t="s">
        <v>656</v>
      </c>
      <c r="HL81" s="226"/>
      <c r="HM81" s="322"/>
      <c r="HN81" s="226"/>
      <c r="HO81" s="322">
        <v>0</v>
      </c>
      <c r="HP81" s="322">
        <v>1</v>
      </c>
      <c r="HQ81" s="322"/>
      <c r="HR81" s="322"/>
      <c r="HS81" s="322"/>
      <c r="HT81" s="322"/>
      <c r="HU81" s="322"/>
      <c r="HV81" s="322"/>
      <c r="HW81" s="322">
        <v>0</v>
      </c>
      <c r="HX81" s="322"/>
      <c r="HY81" s="322"/>
      <c r="HZ81" s="322"/>
      <c r="IA81" s="322"/>
      <c r="IB81" s="322"/>
      <c r="IC81" s="322"/>
      <c r="ID81" s="322"/>
      <c r="IE81" s="322"/>
      <c r="IF81" s="322"/>
      <c r="IG81" s="322"/>
      <c r="IH81" s="344"/>
      <c r="II81" s="322"/>
      <c r="IJ81" s="322"/>
      <c r="IK81" s="322"/>
      <c r="IL81" s="322"/>
      <c r="IM81" s="322"/>
      <c r="IN81" s="322"/>
      <c r="IO81" s="322"/>
      <c r="IP81" s="322"/>
      <c r="IQ81" s="322"/>
      <c r="IR81" s="322">
        <v>0</v>
      </c>
      <c r="IS81" s="322"/>
      <c r="IT81" s="322"/>
      <c r="IU81" s="322"/>
      <c r="IV81" s="322"/>
      <c r="IW81" s="322"/>
      <c r="IX81" s="322"/>
      <c r="IY81" s="322">
        <v>0</v>
      </c>
      <c r="IZ81" s="322"/>
      <c r="JA81" s="322"/>
      <c r="JB81" s="322"/>
      <c r="JC81" s="322" t="s">
        <v>656</v>
      </c>
      <c r="JD81" s="322" t="s">
        <v>656</v>
      </c>
      <c r="JE81" s="226"/>
      <c r="JF81" s="226"/>
      <c r="JG81" s="226"/>
      <c r="JH81" s="322"/>
      <c r="JI81" s="322"/>
      <c r="JJ81" s="305" t="s">
        <v>656</v>
      </c>
      <c r="JK81" s="345"/>
      <c r="JL81" s="322"/>
      <c r="JM81" s="322">
        <v>0</v>
      </c>
      <c r="JN81" s="226"/>
      <c r="JO81" s="226"/>
      <c r="JP81" s="226"/>
      <c r="JQ81" s="322"/>
      <c r="JR81" s="322"/>
      <c r="JS81" s="322"/>
      <c r="JT81" s="322"/>
      <c r="JU81" s="322"/>
      <c r="JV81" s="322"/>
      <c r="JW81" s="322">
        <v>0</v>
      </c>
      <c r="JX81" s="322" t="s">
        <v>656</v>
      </c>
      <c r="JY81" s="322"/>
      <c r="JZ81" s="322">
        <v>0</v>
      </c>
      <c r="KA81" s="322"/>
      <c r="KB81" s="322"/>
      <c r="KC81" s="322"/>
      <c r="KD81" s="322"/>
      <c r="KE81" s="232"/>
      <c r="KF81" s="322"/>
      <c r="KG81" s="322" t="s">
        <v>470</v>
      </c>
      <c r="KH81" s="322">
        <v>0</v>
      </c>
      <c r="KI81" s="322">
        <v>0</v>
      </c>
      <c r="KJ81" s="322"/>
      <c r="KK81" s="322">
        <v>0</v>
      </c>
      <c r="KL81" s="322">
        <v>0</v>
      </c>
      <c r="KM81" s="322"/>
      <c r="KN81" s="322"/>
      <c r="KO81" s="322"/>
      <c r="KP81" s="322"/>
      <c r="KQ81" s="226"/>
      <c r="KR81" s="226"/>
      <c r="KS81" s="226"/>
      <c r="KT81" s="226"/>
      <c r="KU81" s="226"/>
      <c r="KV81" s="322" t="s">
        <v>656</v>
      </c>
      <c r="KW81" s="322"/>
      <c r="KX81" s="383"/>
      <c r="KY81" s="386"/>
      <c r="KZ81" s="322"/>
      <c r="LA81" s="322"/>
      <c r="LB81" s="322"/>
      <c r="LC81" s="322"/>
      <c r="LD81" s="322"/>
      <c r="LE81" s="322"/>
      <c r="LF81" s="322"/>
      <c r="LG81" s="322"/>
      <c r="LH81" s="322"/>
      <c r="LI81" s="322"/>
      <c r="LJ81" s="322"/>
      <c r="LK81" s="322"/>
      <c r="LL81" s="322"/>
      <c r="LM81" s="226"/>
      <c r="LN81" s="322">
        <v>0</v>
      </c>
      <c r="LO81" s="322">
        <v>0</v>
      </c>
      <c r="LP81" s="322">
        <v>0</v>
      </c>
      <c r="LQ81" s="322">
        <v>0</v>
      </c>
      <c r="LR81" s="322">
        <v>0</v>
      </c>
      <c r="LS81" s="322">
        <v>0</v>
      </c>
      <c r="LT81" s="346">
        <v>0</v>
      </c>
      <c r="LU81" s="322">
        <v>0</v>
      </c>
      <c r="LV81" s="322"/>
      <c r="LW81" s="322"/>
      <c r="LX81" s="322"/>
      <c r="LY81" s="322"/>
      <c r="LZ81" s="322"/>
      <c r="MA81" s="349"/>
      <c r="MB81" s="349"/>
      <c r="MC81" s="322">
        <v>0</v>
      </c>
      <c r="MD81" s="322">
        <v>0</v>
      </c>
      <c r="ME81" s="322">
        <v>0</v>
      </c>
      <c r="MF81" s="322">
        <v>0</v>
      </c>
      <c r="MG81" s="226"/>
      <c r="MH81" s="226"/>
      <c r="MI81" s="226"/>
      <c r="MJ81" s="347"/>
      <c r="MK81" s="347"/>
      <c r="ML81" s="347">
        <v>1</v>
      </c>
      <c r="MM81" s="347"/>
      <c r="MN81" s="348"/>
      <c r="MO81" s="348"/>
      <c r="MP81" s="348"/>
      <c r="MQ81" s="348"/>
      <c r="MR81" s="348">
        <v>2</v>
      </c>
      <c r="MS81" s="348"/>
      <c r="MT81" s="347"/>
      <c r="MU81" s="348"/>
      <c r="MV81" s="347"/>
      <c r="MW81" s="347"/>
      <c r="MX81" s="226"/>
      <c r="MY81" s="226"/>
      <c r="MZ81" s="226"/>
      <c r="NA81" s="226"/>
    </row>
    <row r="82" spans="1:365" ht="34" x14ac:dyDescent="0.2">
      <c r="A82" s="1216"/>
      <c r="B82" s="213" t="s">
        <v>168</v>
      </c>
      <c r="C82" s="202" t="s">
        <v>169</v>
      </c>
      <c r="D82" s="221" t="s">
        <v>117</v>
      </c>
      <c r="E82" s="226"/>
      <c r="F82" s="226"/>
      <c r="G82" s="322" t="s">
        <v>656</v>
      </c>
      <c r="H82" s="322" t="s">
        <v>656</v>
      </c>
      <c r="I82" s="322" t="s">
        <v>656</v>
      </c>
      <c r="J82" s="322" t="s">
        <v>656</v>
      </c>
      <c r="K82" s="322"/>
      <c r="L82" s="322"/>
      <c r="M82" s="467"/>
      <c r="N82" s="322"/>
      <c r="O82" s="322"/>
      <c r="P82" s="463"/>
      <c r="Q82" s="322"/>
      <c r="R82" s="322"/>
      <c r="S82" s="322"/>
      <c r="T82" s="322"/>
      <c r="U82" s="322"/>
      <c r="V82" s="322"/>
      <c r="W82" s="226"/>
      <c r="X82" s="226"/>
      <c r="Y82" s="226"/>
      <c r="Z82" s="226"/>
      <c r="AA82" s="226"/>
      <c r="AB82" s="226"/>
      <c r="AC82" s="226"/>
      <c r="AD82" s="226"/>
      <c r="AE82" s="226"/>
      <c r="AF82" s="322">
        <v>0</v>
      </c>
      <c r="AG82" s="225"/>
      <c r="AH82" s="226"/>
      <c r="AI82" s="322"/>
      <c r="AJ82" s="322"/>
      <c r="AK82" s="344"/>
      <c r="AL82" s="322"/>
      <c r="AM82" s="226"/>
      <c r="AN82" s="226"/>
      <c r="AO82" s="226"/>
      <c r="AP82" s="226"/>
      <c r="AQ82" s="322"/>
      <c r="AR82" s="322"/>
      <c r="AS82" s="322"/>
      <c r="AT82" s="322"/>
      <c r="AU82" s="322"/>
      <c r="AV82" s="322"/>
      <c r="AW82" s="322">
        <v>0</v>
      </c>
      <c r="AX82" s="322"/>
      <c r="AY82" s="344">
        <v>0</v>
      </c>
      <c r="AZ82" s="322">
        <v>0</v>
      </c>
      <c r="BA82" s="322">
        <v>1</v>
      </c>
      <c r="BB82" s="322"/>
      <c r="BC82" s="322"/>
      <c r="BD82" s="322"/>
      <c r="BE82" s="344"/>
      <c r="BF82" s="322"/>
      <c r="BG82" s="322"/>
      <c r="BH82" s="322" t="s">
        <v>470</v>
      </c>
      <c r="BI82" s="322" t="s">
        <v>656</v>
      </c>
      <c r="BJ82" s="322"/>
      <c r="BK82" s="322">
        <v>0</v>
      </c>
      <c r="BL82" s="322"/>
      <c r="BM82" s="322"/>
      <c r="BN82" s="226"/>
      <c r="BO82" s="322"/>
      <c r="BP82" s="322">
        <v>0</v>
      </c>
      <c r="BQ82" s="322"/>
      <c r="BR82" s="468" t="s">
        <v>117</v>
      </c>
      <c r="BS82" s="322" t="s">
        <v>656</v>
      </c>
      <c r="BT82" s="322"/>
      <c r="BU82" s="322">
        <v>0</v>
      </c>
      <c r="BV82" s="322"/>
      <c r="BW82" s="322">
        <v>0</v>
      </c>
      <c r="BX82" s="322"/>
      <c r="BY82" s="322"/>
      <c r="BZ82" s="322"/>
      <c r="CA82" s="322"/>
      <c r="CB82" s="322"/>
      <c r="CC82" s="322">
        <v>0</v>
      </c>
      <c r="CD82" s="344"/>
      <c r="CE82" s="344">
        <v>0</v>
      </c>
      <c r="CF82" s="344"/>
      <c r="CG82" s="344">
        <v>0</v>
      </c>
      <c r="CH82" s="344"/>
      <c r="CI82" s="344"/>
      <c r="CJ82" s="344">
        <v>0</v>
      </c>
      <c r="CK82" s="344"/>
      <c r="CL82" s="344"/>
      <c r="CM82" s="344"/>
      <c r="CN82" s="322"/>
      <c r="CO82" s="322">
        <v>0</v>
      </c>
      <c r="CP82" s="322"/>
      <c r="CQ82" s="464"/>
      <c r="CR82" s="465"/>
      <c r="CS82" s="322"/>
      <c r="CT82" s="322"/>
      <c r="CU82" s="322">
        <v>0</v>
      </c>
      <c r="CV82" s="322">
        <v>0</v>
      </c>
      <c r="CW82" s="322" t="s">
        <v>656</v>
      </c>
      <c r="CX82" s="322"/>
      <c r="CY82" s="322"/>
      <c r="CZ82" s="322">
        <v>0</v>
      </c>
      <c r="DA82" s="322" t="s">
        <v>656</v>
      </c>
      <c r="DB82" s="322"/>
      <c r="DC82" s="322">
        <v>0</v>
      </c>
      <c r="DD82" s="322"/>
      <c r="DE82" s="322"/>
      <c r="DF82" s="322">
        <v>0</v>
      </c>
      <c r="DG82" s="322">
        <v>0</v>
      </c>
      <c r="DH82" s="322">
        <v>0</v>
      </c>
      <c r="DI82" s="322">
        <v>0</v>
      </c>
      <c r="DJ82" s="322">
        <v>0</v>
      </c>
      <c r="DK82" s="322">
        <v>0</v>
      </c>
      <c r="DL82" s="322">
        <v>0</v>
      </c>
      <c r="DM82" s="322"/>
      <c r="DN82" s="322"/>
      <c r="DO82" s="322"/>
      <c r="DP82" s="322">
        <v>0</v>
      </c>
      <c r="DQ82" s="322">
        <v>0</v>
      </c>
      <c r="DR82" s="322">
        <v>0</v>
      </c>
      <c r="DS82" s="322">
        <v>0</v>
      </c>
      <c r="DT82" s="322">
        <v>0</v>
      </c>
      <c r="DU82" s="322">
        <v>0</v>
      </c>
      <c r="DV82" s="322">
        <v>0</v>
      </c>
      <c r="DW82" s="322">
        <v>0</v>
      </c>
      <c r="DX82" s="322"/>
      <c r="DY82" s="322"/>
      <c r="DZ82" s="322"/>
      <c r="EA82" s="322"/>
      <c r="EB82" s="322"/>
      <c r="EC82" s="226"/>
      <c r="ED82" s="322">
        <v>0</v>
      </c>
      <c r="EE82" s="322">
        <v>0</v>
      </c>
      <c r="EF82" s="322"/>
      <c r="EG82" s="226"/>
      <c r="EH82" s="322"/>
      <c r="EI82" s="322">
        <v>0</v>
      </c>
      <c r="EJ82" s="226"/>
      <c r="EK82" s="226"/>
      <c r="EL82" s="226"/>
      <c r="EM82" s="226"/>
      <c r="EN82" s="226"/>
      <c r="EO82" s="226"/>
      <c r="EP82" s="226"/>
      <c r="EQ82" s="226"/>
      <c r="ER82" s="322"/>
      <c r="ES82" s="322"/>
      <c r="ET82" s="322"/>
      <c r="EU82" s="322"/>
      <c r="EV82" s="322"/>
      <c r="EW82" s="322"/>
      <c r="EX82" s="322">
        <v>1</v>
      </c>
      <c r="EY82" s="322"/>
      <c r="EZ82" s="344"/>
      <c r="FA82" s="322">
        <v>0</v>
      </c>
      <c r="FB82" s="322"/>
      <c r="FC82" s="322"/>
      <c r="FD82" s="226"/>
      <c r="FE82" s="466"/>
      <c r="FF82" s="322">
        <v>0</v>
      </c>
      <c r="FG82" s="322">
        <v>0</v>
      </c>
      <c r="FH82" s="322">
        <v>0</v>
      </c>
      <c r="FI82" s="465" t="s">
        <v>656</v>
      </c>
      <c r="FJ82" s="465" t="s">
        <v>656</v>
      </c>
      <c r="FK82" s="465"/>
      <c r="FL82" s="465" t="s">
        <v>656</v>
      </c>
      <c r="FM82" s="322"/>
      <c r="FN82" s="322"/>
      <c r="FO82" s="465"/>
      <c r="FP82" s="465"/>
      <c r="FQ82" s="465"/>
      <c r="FR82" s="465"/>
      <c r="FS82" s="465"/>
      <c r="FT82" s="465"/>
      <c r="FU82" s="226"/>
      <c r="FV82" s="465"/>
      <c r="FW82" s="465"/>
      <c r="FX82" s="465"/>
      <c r="FY82" s="226"/>
      <c r="FZ82" s="465"/>
      <c r="GA82" s="465"/>
      <c r="GB82" s="465"/>
      <c r="GC82" s="465"/>
      <c r="GD82" s="465"/>
      <c r="GE82" s="465"/>
      <c r="GF82" s="465"/>
      <c r="GG82" s="465">
        <v>0</v>
      </c>
      <c r="GH82" s="465">
        <v>0</v>
      </c>
      <c r="GI82" s="226"/>
      <c r="GJ82" s="465"/>
      <c r="GK82" s="465"/>
      <c r="GL82" s="465"/>
      <c r="GM82" s="465"/>
      <c r="GN82" s="465"/>
      <c r="GO82" s="226"/>
      <c r="GP82" s="465"/>
      <c r="GQ82" s="226"/>
      <c r="GR82" s="465"/>
      <c r="GS82" s="465"/>
      <c r="GT82" s="465"/>
      <c r="GU82" s="465"/>
      <c r="GV82" s="465"/>
      <c r="GW82" s="226"/>
      <c r="GX82" s="322"/>
      <c r="GY82" s="322"/>
      <c r="GZ82" s="465"/>
      <c r="HA82" s="322"/>
      <c r="HB82" s="322"/>
      <c r="HC82" s="322"/>
      <c r="HD82" s="322"/>
      <c r="HE82" s="322">
        <v>0</v>
      </c>
      <c r="HF82" s="226"/>
      <c r="HG82" s="343" t="s">
        <v>656</v>
      </c>
      <c r="HH82" s="343" t="s">
        <v>656</v>
      </c>
      <c r="HI82" s="343" t="s">
        <v>656</v>
      </c>
      <c r="HJ82" s="322">
        <v>0</v>
      </c>
      <c r="HK82" s="343" t="s">
        <v>656</v>
      </c>
      <c r="HL82" s="226"/>
      <c r="HM82" s="322"/>
      <c r="HN82" s="226"/>
      <c r="HO82" s="322">
        <v>2</v>
      </c>
      <c r="HP82" s="322"/>
      <c r="HQ82" s="322"/>
      <c r="HR82" s="322"/>
      <c r="HS82" s="322"/>
      <c r="HT82" s="322"/>
      <c r="HU82" s="322"/>
      <c r="HV82" s="322"/>
      <c r="HW82" s="322">
        <v>0</v>
      </c>
      <c r="HX82" s="322"/>
      <c r="HY82" s="322"/>
      <c r="HZ82" s="322"/>
      <c r="IA82" s="322"/>
      <c r="IB82" s="322"/>
      <c r="IC82" s="322"/>
      <c r="ID82" s="322"/>
      <c r="IE82" s="322"/>
      <c r="IF82" s="322"/>
      <c r="IG82" s="322"/>
      <c r="IH82" s="344"/>
      <c r="II82" s="322"/>
      <c r="IJ82" s="322"/>
      <c r="IK82" s="322"/>
      <c r="IL82" s="322"/>
      <c r="IM82" s="322"/>
      <c r="IN82" s="322"/>
      <c r="IO82" s="322"/>
      <c r="IP82" s="322"/>
      <c r="IQ82" s="322"/>
      <c r="IR82" s="322">
        <v>0</v>
      </c>
      <c r="IS82" s="322"/>
      <c r="IT82" s="322"/>
      <c r="IU82" s="322"/>
      <c r="IV82" s="322"/>
      <c r="IW82" s="322"/>
      <c r="IX82" s="322"/>
      <c r="IY82" s="322">
        <v>0</v>
      </c>
      <c r="IZ82" s="322"/>
      <c r="JA82" s="322"/>
      <c r="JB82" s="322"/>
      <c r="JC82" s="322" t="s">
        <v>656</v>
      </c>
      <c r="JD82" s="322" t="s">
        <v>656</v>
      </c>
      <c r="JE82" s="226"/>
      <c r="JF82" s="226"/>
      <c r="JG82" s="226"/>
      <c r="JH82" s="322"/>
      <c r="JI82" s="322"/>
      <c r="JJ82" s="305" t="s">
        <v>656</v>
      </c>
      <c r="JK82" s="345"/>
      <c r="JL82" s="322"/>
      <c r="JM82" s="322">
        <v>0</v>
      </c>
      <c r="JN82" s="226"/>
      <c r="JO82" s="226"/>
      <c r="JP82" s="226"/>
      <c r="JQ82" s="322"/>
      <c r="JR82" s="322"/>
      <c r="JS82" s="322"/>
      <c r="JT82" s="322"/>
      <c r="JU82" s="322"/>
      <c r="JV82" s="322"/>
      <c r="JW82" s="322">
        <v>0</v>
      </c>
      <c r="JX82" s="322" t="s">
        <v>656</v>
      </c>
      <c r="JY82" s="322"/>
      <c r="JZ82" s="322">
        <v>0</v>
      </c>
      <c r="KA82" s="322"/>
      <c r="KB82" s="322"/>
      <c r="KC82" s="322"/>
      <c r="KD82" s="322"/>
      <c r="KE82" s="232"/>
      <c r="KF82" s="322"/>
      <c r="KG82" s="322" t="s">
        <v>470</v>
      </c>
      <c r="KH82" s="322">
        <v>0</v>
      </c>
      <c r="KI82" s="322">
        <v>0</v>
      </c>
      <c r="KJ82" s="322"/>
      <c r="KK82" s="322">
        <v>0</v>
      </c>
      <c r="KL82" s="322">
        <v>0</v>
      </c>
      <c r="KM82" s="322"/>
      <c r="KN82" s="322"/>
      <c r="KO82" s="322"/>
      <c r="KP82" s="322"/>
      <c r="KQ82" s="226"/>
      <c r="KR82" s="226"/>
      <c r="KS82" s="226"/>
      <c r="KT82" s="226"/>
      <c r="KU82" s="226"/>
      <c r="KV82" s="322" t="s">
        <v>656</v>
      </c>
      <c r="KW82" s="322"/>
      <c r="KX82" s="383"/>
      <c r="KY82" s="386"/>
      <c r="KZ82" s="322"/>
      <c r="LA82" s="322"/>
      <c r="LB82" s="322"/>
      <c r="LC82" s="322"/>
      <c r="LD82" s="322"/>
      <c r="LE82" s="322"/>
      <c r="LF82" s="322"/>
      <c r="LG82" s="322"/>
      <c r="LH82" s="322"/>
      <c r="LI82" s="322"/>
      <c r="LJ82" s="322"/>
      <c r="LK82" s="322"/>
      <c r="LL82" s="322"/>
      <c r="LM82" s="226"/>
      <c r="LN82" s="322">
        <v>0</v>
      </c>
      <c r="LO82" s="322">
        <v>0</v>
      </c>
      <c r="LP82" s="322">
        <v>0</v>
      </c>
      <c r="LQ82" s="322">
        <v>0</v>
      </c>
      <c r="LR82" s="322">
        <v>0</v>
      </c>
      <c r="LS82" s="322">
        <v>0</v>
      </c>
      <c r="LT82" s="346">
        <v>0</v>
      </c>
      <c r="LU82" s="322">
        <v>0</v>
      </c>
      <c r="LV82" s="322"/>
      <c r="LW82" s="322"/>
      <c r="LX82" s="322"/>
      <c r="LY82" s="322"/>
      <c r="LZ82" s="322"/>
      <c r="MA82" s="294"/>
      <c r="MB82" s="294"/>
      <c r="MC82" s="322">
        <v>1</v>
      </c>
      <c r="MD82" s="322">
        <v>0</v>
      </c>
      <c r="ME82" s="322">
        <v>0</v>
      </c>
      <c r="MF82" s="322">
        <v>0</v>
      </c>
      <c r="MG82" s="226"/>
      <c r="MH82" s="226"/>
      <c r="MI82" s="226"/>
      <c r="MJ82" s="347"/>
      <c r="MK82" s="347"/>
      <c r="ML82" s="347"/>
      <c r="MM82" s="347"/>
      <c r="MN82" s="348">
        <v>1</v>
      </c>
      <c r="MO82" s="348"/>
      <c r="MP82" s="348"/>
      <c r="MQ82" s="348"/>
      <c r="MR82" s="348"/>
      <c r="MS82" s="348"/>
      <c r="MT82" s="347"/>
      <c r="MU82" s="348"/>
      <c r="MV82" s="347"/>
      <c r="MW82" s="347"/>
      <c r="MX82" s="226"/>
      <c r="MY82" s="226"/>
      <c r="MZ82" s="226"/>
      <c r="NA82" s="226"/>
    </row>
    <row r="83" spans="1:365" ht="34" x14ac:dyDescent="0.2">
      <c r="A83" s="1216"/>
      <c r="B83" s="201" t="s">
        <v>170</v>
      </c>
      <c r="C83" s="202" t="s">
        <v>6189</v>
      </c>
      <c r="D83" s="215" t="s">
        <v>117</v>
      </c>
      <c r="E83" s="322">
        <v>1</v>
      </c>
      <c r="F83" s="322"/>
      <c r="G83" s="322" t="s">
        <v>656</v>
      </c>
      <c r="H83" s="322" t="s">
        <v>656</v>
      </c>
      <c r="I83" s="349" t="s">
        <v>656</v>
      </c>
      <c r="J83" s="322" t="s">
        <v>656</v>
      </c>
      <c r="K83" s="322"/>
      <c r="L83" s="322"/>
      <c r="M83" s="467"/>
      <c r="N83" s="322"/>
      <c r="O83" s="322"/>
      <c r="P83" s="463"/>
      <c r="Q83" s="322"/>
      <c r="R83" s="322"/>
      <c r="S83" s="322"/>
      <c r="T83" s="322"/>
      <c r="U83" s="322"/>
      <c r="V83" s="322"/>
      <c r="W83" s="226"/>
      <c r="X83" s="226"/>
      <c r="Y83" s="226"/>
      <c r="Z83" s="226"/>
      <c r="AA83" s="226"/>
      <c r="AB83" s="226"/>
      <c r="AC83" s="226"/>
      <c r="AD83" s="226"/>
      <c r="AE83" s="226"/>
      <c r="AF83" s="322">
        <v>0</v>
      </c>
      <c r="AG83" s="225"/>
      <c r="AH83" s="226"/>
      <c r="AI83" s="322"/>
      <c r="AJ83" s="322"/>
      <c r="AK83" s="344"/>
      <c r="AL83" s="322"/>
      <c r="AM83" s="226"/>
      <c r="AN83" s="226"/>
      <c r="AO83" s="226"/>
      <c r="AP83" s="226"/>
      <c r="AQ83" s="322"/>
      <c r="AR83" s="322">
        <v>5</v>
      </c>
      <c r="AS83" s="322"/>
      <c r="AT83" s="322"/>
      <c r="AU83" s="322"/>
      <c r="AV83" s="322"/>
      <c r="AW83" s="322">
        <v>1</v>
      </c>
      <c r="AX83" s="322"/>
      <c r="AY83" s="344">
        <v>0</v>
      </c>
      <c r="AZ83" s="322">
        <v>0</v>
      </c>
      <c r="BA83" s="322"/>
      <c r="BB83" s="322"/>
      <c r="BC83" s="322"/>
      <c r="BD83" s="322"/>
      <c r="BE83" s="344"/>
      <c r="BF83" s="322"/>
      <c r="BG83" s="322">
        <v>2</v>
      </c>
      <c r="BH83" s="322" t="s">
        <v>470</v>
      </c>
      <c r="BI83" s="322">
        <v>1</v>
      </c>
      <c r="BJ83" s="322"/>
      <c r="BK83" s="322">
        <v>0</v>
      </c>
      <c r="BL83" s="322"/>
      <c r="BM83" s="322"/>
      <c r="BN83" s="226"/>
      <c r="BO83" s="322"/>
      <c r="BP83" s="322">
        <v>0</v>
      </c>
      <c r="BQ83" s="322"/>
      <c r="BR83" s="233" t="s">
        <v>117</v>
      </c>
      <c r="BS83" s="322" t="s">
        <v>656</v>
      </c>
      <c r="BT83" s="322">
        <v>3</v>
      </c>
      <c r="BU83" s="322">
        <v>0</v>
      </c>
      <c r="BV83" s="322"/>
      <c r="BW83" s="322">
        <v>0</v>
      </c>
      <c r="BX83" s="322"/>
      <c r="BY83" s="322"/>
      <c r="BZ83" s="322">
        <v>2</v>
      </c>
      <c r="CA83" s="322">
        <v>1</v>
      </c>
      <c r="CB83" s="322">
        <v>1</v>
      </c>
      <c r="CC83" s="322">
        <v>0</v>
      </c>
      <c r="CD83" s="344"/>
      <c r="CE83" s="344">
        <v>0</v>
      </c>
      <c r="CF83" s="344"/>
      <c r="CG83" s="344">
        <v>0</v>
      </c>
      <c r="CH83" s="344"/>
      <c r="CI83" s="344"/>
      <c r="CJ83" s="344">
        <v>0</v>
      </c>
      <c r="CK83" s="344"/>
      <c r="CL83" s="344"/>
      <c r="CM83" s="344"/>
      <c r="CN83" s="322"/>
      <c r="CO83" s="322">
        <v>0</v>
      </c>
      <c r="CP83" s="322"/>
      <c r="CQ83" s="464"/>
      <c r="CR83" s="465"/>
      <c r="CS83" s="322"/>
      <c r="CT83" s="322"/>
      <c r="CU83" s="322">
        <v>0</v>
      </c>
      <c r="CV83" s="322"/>
      <c r="CW83" s="322" t="s">
        <v>656</v>
      </c>
      <c r="CX83" s="322"/>
      <c r="CY83" s="322"/>
      <c r="CZ83" s="322"/>
      <c r="DA83" s="322">
        <v>14</v>
      </c>
      <c r="DB83" s="322"/>
      <c r="DC83" s="322">
        <v>0</v>
      </c>
      <c r="DD83" s="322"/>
      <c r="DE83" s="322"/>
      <c r="DF83" s="322">
        <v>0</v>
      </c>
      <c r="DG83" s="322"/>
      <c r="DH83" s="322">
        <v>0</v>
      </c>
      <c r="DI83" s="322">
        <v>0</v>
      </c>
      <c r="DJ83" s="322">
        <v>0</v>
      </c>
      <c r="DK83" s="322">
        <v>0</v>
      </c>
      <c r="DL83" s="322">
        <v>0</v>
      </c>
      <c r="DM83" s="322"/>
      <c r="DN83" s="322"/>
      <c r="DO83" s="322"/>
      <c r="DP83" s="322">
        <v>0</v>
      </c>
      <c r="DQ83" s="322">
        <v>1</v>
      </c>
      <c r="DR83" s="322">
        <v>0</v>
      </c>
      <c r="DS83" s="322">
        <v>1</v>
      </c>
      <c r="DT83" s="322">
        <v>0</v>
      </c>
      <c r="DU83" s="322">
        <v>0</v>
      </c>
      <c r="DV83" s="322">
        <v>0</v>
      </c>
      <c r="DW83" s="322">
        <v>0</v>
      </c>
      <c r="DX83" s="322"/>
      <c r="DY83" s="322"/>
      <c r="DZ83" s="322">
        <v>1</v>
      </c>
      <c r="EA83" s="322"/>
      <c r="EB83" s="322"/>
      <c r="EC83" s="226"/>
      <c r="ED83" s="322">
        <v>0</v>
      </c>
      <c r="EE83" s="322"/>
      <c r="EF83" s="322"/>
      <c r="EG83" s="226"/>
      <c r="EH83" s="322"/>
      <c r="EI83" s="322">
        <v>0</v>
      </c>
      <c r="EJ83" s="226"/>
      <c r="EK83" s="226"/>
      <c r="EL83" s="226"/>
      <c r="EM83" s="226"/>
      <c r="EN83" s="226"/>
      <c r="EO83" s="226"/>
      <c r="EP83" s="226"/>
      <c r="EQ83" s="226"/>
      <c r="ER83" s="322"/>
      <c r="ES83" s="322"/>
      <c r="ET83" s="322"/>
      <c r="EU83" s="322"/>
      <c r="EV83" s="322"/>
      <c r="EW83" s="322"/>
      <c r="EX83" s="322"/>
      <c r="EY83" s="322"/>
      <c r="EZ83" s="344"/>
      <c r="FA83" s="322">
        <v>0</v>
      </c>
      <c r="FB83" s="322"/>
      <c r="FC83" s="322">
        <v>1</v>
      </c>
      <c r="FD83" s="226"/>
      <c r="FE83" s="466"/>
      <c r="FF83" s="322">
        <v>0</v>
      </c>
      <c r="FG83" s="322">
        <v>0</v>
      </c>
      <c r="FH83" s="322">
        <v>0</v>
      </c>
      <c r="FI83" s="465" t="s">
        <v>656</v>
      </c>
      <c r="FJ83" s="465" t="s">
        <v>656</v>
      </c>
      <c r="FK83" s="465"/>
      <c r="FL83" s="465" t="s">
        <v>656</v>
      </c>
      <c r="FM83" s="322"/>
      <c r="FN83" s="322"/>
      <c r="FO83" s="465"/>
      <c r="FP83" s="465"/>
      <c r="FQ83" s="465"/>
      <c r="FR83" s="465"/>
      <c r="FS83" s="465"/>
      <c r="FT83" s="465"/>
      <c r="FU83" s="226"/>
      <c r="FV83" s="465"/>
      <c r="FW83" s="465"/>
      <c r="FX83" s="465"/>
      <c r="FY83" s="226"/>
      <c r="FZ83" s="465"/>
      <c r="GA83" s="465"/>
      <c r="GB83" s="465"/>
      <c r="GC83" s="465"/>
      <c r="GD83" s="465"/>
      <c r="GE83" s="465"/>
      <c r="GF83" s="465"/>
      <c r="GG83" s="465">
        <v>0</v>
      </c>
      <c r="GH83" s="465">
        <v>0</v>
      </c>
      <c r="GI83" s="226"/>
      <c r="GJ83" s="465"/>
      <c r="GK83" s="465"/>
      <c r="GL83" s="465"/>
      <c r="GM83" s="465"/>
      <c r="GN83" s="465"/>
      <c r="GO83" s="226"/>
      <c r="GP83" s="465"/>
      <c r="GQ83" s="226"/>
      <c r="GR83" s="465"/>
      <c r="GS83" s="465"/>
      <c r="GT83" s="465"/>
      <c r="GU83" s="465"/>
      <c r="GV83" s="465"/>
      <c r="GW83" s="226"/>
      <c r="GX83" s="322"/>
      <c r="GY83" s="322"/>
      <c r="GZ83" s="465"/>
      <c r="HA83" s="322"/>
      <c r="HB83" s="322"/>
      <c r="HC83" s="322"/>
      <c r="HD83" s="322"/>
      <c r="HE83" s="322">
        <f>3+1</f>
        <v>4</v>
      </c>
      <c r="HF83" s="226"/>
      <c r="HG83" s="343" t="s">
        <v>656</v>
      </c>
      <c r="HH83" s="343" t="s">
        <v>656</v>
      </c>
      <c r="HI83" s="343" t="s">
        <v>656</v>
      </c>
      <c r="HJ83" s="322"/>
      <c r="HK83" s="343" t="s">
        <v>656</v>
      </c>
      <c r="HL83" s="226"/>
      <c r="HM83" s="322"/>
      <c r="HN83" s="226"/>
      <c r="HO83" s="322"/>
      <c r="HP83" s="322"/>
      <c r="HQ83" s="322"/>
      <c r="HR83" s="322"/>
      <c r="HS83" s="322"/>
      <c r="HT83" s="322"/>
      <c r="HU83" s="322"/>
      <c r="HV83" s="322">
        <v>2</v>
      </c>
      <c r="HW83" s="322">
        <v>0</v>
      </c>
      <c r="HX83" s="322"/>
      <c r="HY83" s="322"/>
      <c r="HZ83" s="322"/>
      <c r="IA83" s="322"/>
      <c r="IB83" s="322"/>
      <c r="IC83" s="322"/>
      <c r="ID83" s="322"/>
      <c r="IE83" s="322">
        <v>1</v>
      </c>
      <c r="IF83" s="322"/>
      <c r="IG83" s="322"/>
      <c r="IH83" s="344"/>
      <c r="II83" s="322"/>
      <c r="IJ83" s="322"/>
      <c r="IK83" s="322"/>
      <c r="IL83" s="322"/>
      <c r="IM83" s="322"/>
      <c r="IN83" s="322"/>
      <c r="IO83" s="322"/>
      <c r="IP83" s="322"/>
      <c r="IQ83" s="322"/>
      <c r="IR83" s="322"/>
      <c r="IS83" s="322"/>
      <c r="IT83" s="322"/>
      <c r="IU83" s="322"/>
      <c r="IV83" s="322"/>
      <c r="IW83" s="322"/>
      <c r="IX83" s="322"/>
      <c r="IY83" s="322">
        <v>0</v>
      </c>
      <c r="IZ83" s="322"/>
      <c r="JA83" s="322"/>
      <c r="JB83" s="322"/>
      <c r="JC83" s="322">
        <v>1</v>
      </c>
      <c r="JD83" s="322" t="s">
        <v>656</v>
      </c>
      <c r="JE83" s="226"/>
      <c r="JF83" s="226"/>
      <c r="JG83" s="226"/>
      <c r="JH83" s="322"/>
      <c r="JI83" s="322"/>
      <c r="JJ83" s="322">
        <v>23</v>
      </c>
      <c r="JK83" s="345"/>
      <c r="JL83" s="322"/>
      <c r="JM83" s="322">
        <v>0</v>
      </c>
      <c r="JN83" s="226"/>
      <c r="JO83" s="226"/>
      <c r="JP83" s="226"/>
      <c r="JQ83" s="322"/>
      <c r="JR83" s="322"/>
      <c r="JS83" s="322"/>
      <c r="JT83" s="322"/>
      <c r="JU83" s="322"/>
      <c r="JV83" s="322"/>
      <c r="JW83" s="322">
        <v>0</v>
      </c>
      <c r="JX83" s="322" t="s">
        <v>656</v>
      </c>
      <c r="JY83" s="322"/>
      <c r="JZ83" s="322">
        <v>0</v>
      </c>
      <c r="KA83" s="322">
        <v>1</v>
      </c>
      <c r="KB83" s="322"/>
      <c r="KC83" s="322"/>
      <c r="KD83" s="322"/>
      <c r="KE83" s="232"/>
      <c r="KF83" s="322"/>
      <c r="KG83" s="322" t="s">
        <v>470</v>
      </c>
      <c r="KH83" s="322">
        <v>0</v>
      </c>
      <c r="KI83" s="322">
        <v>0</v>
      </c>
      <c r="KJ83" s="322"/>
      <c r="KK83" s="322">
        <v>0</v>
      </c>
      <c r="KL83" s="322">
        <v>0</v>
      </c>
      <c r="KM83" s="322"/>
      <c r="KN83" s="322"/>
      <c r="KO83" s="322"/>
      <c r="KP83" s="322"/>
      <c r="KQ83" s="226"/>
      <c r="KR83" s="226"/>
      <c r="KS83" s="226"/>
      <c r="KT83" s="226"/>
      <c r="KU83" s="226"/>
      <c r="KV83" s="322">
        <v>1</v>
      </c>
      <c r="KW83" s="322"/>
      <c r="KX83" s="383"/>
      <c r="KY83" s="386"/>
      <c r="KZ83" s="322"/>
      <c r="LA83" s="322"/>
      <c r="LB83" s="322"/>
      <c r="LC83" s="322">
        <v>1</v>
      </c>
      <c r="LD83" s="322"/>
      <c r="LE83" s="322"/>
      <c r="LF83" s="322"/>
      <c r="LG83" s="322"/>
      <c r="LH83" s="322"/>
      <c r="LI83" s="322"/>
      <c r="LJ83" s="322">
        <v>1</v>
      </c>
      <c r="LK83" s="322"/>
      <c r="LL83" s="322"/>
      <c r="LM83" s="226"/>
      <c r="LN83" s="322">
        <v>0</v>
      </c>
      <c r="LO83" s="322">
        <v>0</v>
      </c>
      <c r="LP83" s="322">
        <v>0</v>
      </c>
      <c r="LQ83" s="322">
        <v>2</v>
      </c>
      <c r="LR83" s="322">
        <v>0</v>
      </c>
      <c r="LS83" s="322">
        <v>1</v>
      </c>
      <c r="LT83" s="346">
        <v>0</v>
      </c>
      <c r="LU83" s="322">
        <v>0</v>
      </c>
      <c r="LV83" s="322"/>
      <c r="LW83" s="322"/>
      <c r="LX83" s="322"/>
      <c r="LY83" s="322"/>
      <c r="LZ83" s="322"/>
      <c r="MA83" s="225"/>
      <c r="MB83" s="225"/>
      <c r="MC83" s="322">
        <v>0</v>
      </c>
      <c r="MD83" s="322">
        <v>0</v>
      </c>
      <c r="ME83" s="322">
        <v>0</v>
      </c>
      <c r="MF83" s="322"/>
      <c r="MG83" s="226"/>
      <c r="MH83" s="226"/>
      <c r="MI83" s="226"/>
      <c r="MJ83" s="347"/>
      <c r="MK83" s="347"/>
      <c r="ML83" s="347"/>
      <c r="MM83" s="347"/>
      <c r="MN83" s="348"/>
      <c r="MO83" s="348">
        <v>4</v>
      </c>
      <c r="MP83" s="348">
        <v>1</v>
      </c>
      <c r="MQ83" s="348">
        <v>1</v>
      </c>
      <c r="MR83" s="348"/>
      <c r="MS83" s="348"/>
      <c r="MT83" s="347"/>
      <c r="MU83" s="348"/>
      <c r="MV83" s="347">
        <v>1</v>
      </c>
      <c r="MW83" s="347"/>
      <c r="MX83" s="226"/>
      <c r="MY83" s="226"/>
      <c r="MZ83" s="226"/>
      <c r="NA83" s="226"/>
    </row>
    <row r="84" spans="1:365" ht="34" x14ac:dyDescent="0.2">
      <c r="A84" s="1216"/>
      <c r="B84" s="201" t="s">
        <v>172</v>
      </c>
      <c r="C84" s="202" t="s">
        <v>9560</v>
      </c>
      <c r="D84" s="215" t="s">
        <v>6188</v>
      </c>
      <c r="E84" s="322">
        <f>SUM(E60:E83)</f>
        <v>7</v>
      </c>
      <c r="F84" s="322">
        <f>SUM(F60:F83)</f>
        <v>1</v>
      </c>
      <c r="G84" s="349">
        <f t="shared" ref="G84:R84" si="14">SUM(G60:G83)</f>
        <v>5</v>
      </c>
      <c r="H84" s="349">
        <f t="shared" si="14"/>
        <v>6</v>
      </c>
      <c r="I84" s="349">
        <f t="shared" si="14"/>
        <v>2</v>
      </c>
      <c r="J84" s="349">
        <f t="shared" si="14"/>
        <v>2</v>
      </c>
      <c r="K84" s="349">
        <f t="shared" si="14"/>
        <v>4</v>
      </c>
      <c r="L84" s="349">
        <f t="shared" si="14"/>
        <v>6</v>
      </c>
      <c r="M84" s="349">
        <f t="shared" si="14"/>
        <v>5</v>
      </c>
      <c r="N84" s="349">
        <f t="shared" si="14"/>
        <v>6</v>
      </c>
      <c r="O84" s="349">
        <f t="shared" si="14"/>
        <v>19</v>
      </c>
      <c r="P84" s="469">
        <f t="shared" si="14"/>
        <v>2</v>
      </c>
      <c r="Q84" s="349">
        <f t="shared" si="14"/>
        <v>6</v>
      </c>
      <c r="R84" s="349">
        <f t="shared" si="14"/>
        <v>4</v>
      </c>
      <c r="S84" s="349">
        <f>SUM(S60:S83)</f>
        <v>4</v>
      </c>
      <c r="T84" s="349">
        <f>SUM(T60:T83)</f>
        <v>1</v>
      </c>
      <c r="U84" s="349">
        <f>SUM(U60:U83)</f>
        <v>1</v>
      </c>
      <c r="V84" s="349">
        <f>SUM(V60:V83)</f>
        <v>27</v>
      </c>
      <c r="W84" s="226"/>
      <c r="X84" s="226"/>
      <c r="Y84" s="226"/>
      <c r="Z84" s="226"/>
      <c r="AA84" s="226"/>
      <c r="AB84" s="226"/>
      <c r="AC84" s="226"/>
      <c r="AD84" s="226"/>
      <c r="AE84" s="226"/>
      <c r="AF84" s="349">
        <f>SUM(AF60:AF83)</f>
        <v>3</v>
      </c>
      <c r="AG84" s="225">
        <f>SUM(AG60:AG83)</f>
        <v>4</v>
      </c>
      <c r="AH84" s="226"/>
      <c r="AI84" s="349">
        <f>SUM(AI60:AI83)</f>
        <v>1</v>
      </c>
      <c r="AJ84" s="349">
        <f>SUM(AJ60:AJ83)</f>
        <v>1</v>
      </c>
      <c r="AK84" s="470">
        <f>SUM(AK60:AK83)</f>
        <v>6</v>
      </c>
      <c r="AL84" s="349">
        <f>SUM(AL60:AL83)</f>
        <v>1</v>
      </c>
      <c r="AM84" s="226"/>
      <c r="AN84" s="226"/>
      <c r="AO84" s="226"/>
      <c r="AP84" s="226"/>
      <c r="AQ84" s="349">
        <f>SUM(AQ60:AQ83)</f>
        <v>9</v>
      </c>
      <c r="AR84" s="349">
        <f>SUM(AR60:AR83)</f>
        <v>23</v>
      </c>
      <c r="AS84" s="349">
        <v>19</v>
      </c>
      <c r="AT84" s="349">
        <f t="shared" ref="AT84:BK84" si="15">SUM(AT60:AT83)</f>
        <v>6</v>
      </c>
      <c r="AU84" s="349">
        <f t="shared" si="15"/>
        <v>1</v>
      </c>
      <c r="AV84" s="349">
        <f t="shared" si="15"/>
        <v>10</v>
      </c>
      <c r="AW84" s="349">
        <f t="shared" si="15"/>
        <v>6</v>
      </c>
      <c r="AX84" s="349">
        <f t="shared" si="15"/>
        <v>1</v>
      </c>
      <c r="AY84" s="470">
        <f t="shared" si="15"/>
        <v>7</v>
      </c>
      <c r="AZ84" s="349">
        <f t="shared" si="15"/>
        <v>13</v>
      </c>
      <c r="BA84" s="349">
        <f t="shared" si="15"/>
        <v>10</v>
      </c>
      <c r="BB84" s="349">
        <f t="shared" si="15"/>
        <v>9</v>
      </c>
      <c r="BC84" s="349">
        <f t="shared" si="15"/>
        <v>1</v>
      </c>
      <c r="BD84" s="349">
        <f t="shared" si="15"/>
        <v>9</v>
      </c>
      <c r="BE84" s="470">
        <f t="shared" si="15"/>
        <v>1</v>
      </c>
      <c r="BF84" s="349">
        <f t="shared" si="15"/>
        <v>3</v>
      </c>
      <c r="BG84" s="349">
        <f t="shared" si="15"/>
        <v>14</v>
      </c>
      <c r="BH84" s="349">
        <f t="shared" si="15"/>
        <v>7</v>
      </c>
      <c r="BI84" s="349">
        <f t="shared" si="15"/>
        <v>14</v>
      </c>
      <c r="BJ84" s="349">
        <f t="shared" si="15"/>
        <v>5</v>
      </c>
      <c r="BK84" s="349">
        <f t="shared" si="15"/>
        <v>29</v>
      </c>
      <c r="BL84" s="349">
        <f>SUM(BL60:BL83)</f>
        <v>22</v>
      </c>
      <c r="BM84" s="349">
        <f>SUM(BM60:BM83)</f>
        <v>1</v>
      </c>
      <c r="BN84" s="226"/>
      <c r="BO84" s="349">
        <f t="shared" ref="BO84:CM84" si="16">SUM(BO60:BO83)</f>
        <v>2</v>
      </c>
      <c r="BP84" s="349">
        <f t="shared" si="16"/>
        <v>3</v>
      </c>
      <c r="BQ84" s="349">
        <f t="shared" si="16"/>
        <v>1</v>
      </c>
      <c r="BR84" s="349">
        <f t="shared" si="16"/>
        <v>2</v>
      </c>
      <c r="BS84" s="349">
        <f t="shared" si="16"/>
        <v>1</v>
      </c>
      <c r="BT84" s="349">
        <f t="shared" si="16"/>
        <v>4</v>
      </c>
      <c r="BU84" s="349">
        <f t="shared" si="16"/>
        <v>2</v>
      </c>
      <c r="BV84" s="349">
        <f t="shared" si="16"/>
        <v>2</v>
      </c>
      <c r="BW84" s="349">
        <f t="shared" si="16"/>
        <v>1</v>
      </c>
      <c r="BX84" s="349">
        <f t="shared" si="16"/>
        <v>1</v>
      </c>
      <c r="BY84" s="349">
        <f t="shared" si="16"/>
        <v>2</v>
      </c>
      <c r="BZ84" s="349">
        <f t="shared" si="16"/>
        <v>2</v>
      </c>
      <c r="CA84" s="349">
        <f t="shared" si="16"/>
        <v>1</v>
      </c>
      <c r="CB84" s="349">
        <f t="shared" si="16"/>
        <v>1</v>
      </c>
      <c r="CC84" s="349">
        <f t="shared" si="16"/>
        <v>3</v>
      </c>
      <c r="CD84" s="470">
        <f t="shared" si="16"/>
        <v>1</v>
      </c>
      <c r="CE84" s="470">
        <f t="shared" si="16"/>
        <v>1</v>
      </c>
      <c r="CF84" s="470">
        <f t="shared" si="16"/>
        <v>1</v>
      </c>
      <c r="CG84" s="470">
        <f t="shared" si="16"/>
        <v>1</v>
      </c>
      <c r="CH84" s="470">
        <f t="shared" si="16"/>
        <v>1</v>
      </c>
      <c r="CI84" s="470">
        <f t="shared" si="16"/>
        <v>1</v>
      </c>
      <c r="CJ84" s="470">
        <f t="shared" si="16"/>
        <v>1</v>
      </c>
      <c r="CK84" s="470">
        <f t="shared" si="16"/>
        <v>1</v>
      </c>
      <c r="CL84" s="470">
        <f t="shared" si="16"/>
        <v>1</v>
      </c>
      <c r="CM84" s="470">
        <f t="shared" si="16"/>
        <v>2</v>
      </c>
      <c r="CN84" s="349">
        <v>1</v>
      </c>
      <c r="CO84" s="349">
        <v>3</v>
      </c>
      <c r="CP84" s="349">
        <f t="shared" ref="CP84:DA84" si="17">SUM(CP60:CP83)</f>
        <v>3</v>
      </c>
      <c r="CQ84" s="471">
        <f t="shared" si="17"/>
        <v>1</v>
      </c>
      <c r="CR84" s="472">
        <f t="shared" si="17"/>
        <v>19</v>
      </c>
      <c r="CS84" s="349">
        <f t="shared" si="17"/>
        <v>1</v>
      </c>
      <c r="CT84" s="349">
        <f t="shared" si="17"/>
        <v>1</v>
      </c>
      <c r="CU84" s="349">
        <f t="shared" si="17"/>
        <v>1</v>
      </c>
      <c r="CV84" s="349">
        <f t="shared" si="17"/>
        <v>2</v>
      </c>
      <c r="CW84" s="349">
        <f t="shared" si="17"/>
        <v>1</v>
      </c>
      <c r="CX84" s="349">
        <f t="shared" si="17"/>
        <v>2</v>
      </c>
      <c r="CY84" s="349">
        <f t="shared" si="17"/>
        <v>1</v>
      </c>
      <c r="CZ84" s="349">
        <f t="shared" si="17"/>
        <v>3</v>
      </c>
      <c r="DA84" s="349">
        <f t="shared" si="17"/>
        <v>523</v>
      </c>
      <c r="DB84" s="349">
        <f t="shared" ref="DB84:EB84" si="18">SUM(DB60:DB83)</f>
        <v>1</v>
      </c>
      <c r="DC84" s="349">
        <f t="shared" si="18"/>
        <v>1</v>
      </c>
      <c r="DD84" s="349">
        <f t="shared" si="18"/>
        <v>2</v>
      </c>
      <c r="DE84" s="349">
        <f t="shared" si="18"/>
        <v>2</v>
      </c>
      <c r="DF84" s="349">
        <f t="shared" si="18"/>
        <v>5</v>
      </c>
      <c r="DG84" s="349">
        <f t="shared" si="18"/>
        <v>1</v>
      </c>
      <c r="DH84" s="349">
        <f t="shared" si="18"/>
        <v>1</v>
      </c>
      <c r="DI84" s="349">
        <f t="shared" si="18"/>
        <v>1</v>
      </c>
      <c r="DJ84" s="349">
        <f t="shared" si="18"/>
        <v>2</v>
      </c>
      <c r="DK84" s="349">
        <f t="shared" si="18"/>
        <v>2</v>
      </c>
      <c r="DL84" s="349">
        <f t="shared" si="18"/>
        <v>1</v>
      </c>
      <c r="DM84" s="349">
        <f t="shared" si="18"/>
        <v>1</v>
      </c>
      <c r="DN84" s="349">
        <f t="shared" si="18"/>
        <v>2</v>
      </c>
      <c r="DO84" s="349">
        <f t="shared" si="18"/>
        <v>1</v>
      </c>
      <c r="DP84" s="349">
        <f t="shared" si="18"/>
        <v>2</v>
      </c>
      <c r="DQ84" s="349">
        <f t="shared" si="18"/>
        <v>2</v>
      </c>
      <c r="DR84" s="349">
        <f t="shared" si="18"/>
        <v>1</v>
      </c>
      <c r="DS84" s="349">
        <f t="shared" si="18"/>
        <v>2</v>
      </c>
      <c r="DT84" s="349">
        <f t="shared" si="18"/>
        <v>2</v>
      </c>
      <c r="DU84" s="349">
        <f t="shared" si="18"/>
        <v>0</v>
      </c>
      <c r="DV84" s="349">
        <f t="shared" si="18"/>
        <v>1</v>
      </c>
      <c r="DW84" s="349">
        <f t="shared" si="18"/>
        <v>3</v>
      </c>
      <c r="DX84" s="349">
        <f t="shared" si="18"/>
        <v>1</v>
      </c>
      <c r="DY84" s="349">
        <f t="shared" si="18"/>
        <v>7</v>
      </c>
      <c r="DZ84" s="349">
        <f t="shared" si="18"/>
        <v>13</v>
      </c>
      <c r="EA84" s="349">
        <f t="shared" si="18"/>
        <v>12</v>
      </c>
      <c r="EB84" s="349">
        <f t="shared" si="18"/>
        <v>3</v>
      </c>
      <c r="EC84" s="226"/>
      <c r="ED84" s="349">
        <f>SUM(ED60:ED83)</f>
        <v>8</v>
      </c>
      <c r="EE84" s="349">
        <f>SUM(EE60:EE83)</f>
        <v>12</v>
      </c>
      <c r="EF84" s="349">
        <f>SUM(EF60:EF83)</f>
        <v>1</v>
      </c>
      <c r="EG84" s="226"/>
      <c r="EH84" s="349">
        <f>SUM(EH60:EH83)</f>
        <v>1</v>
      </c>
      <c r="EI84" s="349">
        <f>SUM(EI60:EI83)</f>
        <v>1</v>
      </c>
      <c r="EJ84" s="226"/>
      <c r="EK84" s="226"/>
      <c r="EL84" s="226"/>
      <c r="EM84" s="226"/>
      <c r="EN84" s="226"/>
      <c r="EO84" s="226"/>
      <c r="EP84" s="226"/>
      <c r="EQ84" s="226"/>
      <c r="ER84" s="349">
        <f t="shared" ref="ER84:EW84" si="19">SUM(ER60:ER83)</f>
        <v>1</v>
      </c>
      <c r="ES84" s="349">
        <f t="shared" si="19"/>
        <v>4</v>
      </c>
      <c r="ET84" s="349">
        <f t="shared" si="19"/>
        <v>9</v>
      </c>
      <c r="EU84" s="322">
        <f t="shared" si="19"/>
        <v>5</v>
      </c>
      <c r="EV84" s="322">
        <f t="shared" si="19"/>
        <v>1</v>
      </c>
      <c r="EW84" s="349">
        <f t="shared" si="19"/>
        <v>4</v>
      </c>
      <c r="EX84" s="349">
        <f t="shared" ref="EX84:FC84" si="20">SUM(EX60:EX83)</f>
        <v>11</v>
      </c>
      <c r="EY84" s="349">
        <f t="shared" si="20"/>
        <v>1</v>
      </c>
      <c r="EZ84" s="470">
        <f t="shared" si="20"/>
        <v>5</v>
      </c>
      <c r="FA84" s="349">
        <f t="shared" si="20"/>
        <v>1</v>
      </c>
      <c r="FB84" s="349">
        <f t="shared" si="20"/>
        <v>4</v>
      </c>
      <c r="FC84" s="349">
        <f t="shared" si="20"/>
        <v>1</v>
      </c>
      <c r="FD84" s="226"/>
      <c r="FE84" s="473">
        <f t="shared" ref="FE84:FJ84" si="21">SUM(FE60:FE83)</f>
        <v>1</v>
      </c>
      <c r="FF84" s="349">
        <f t="shared" si="21"/>
        <v>1</v>
      </c>
      <c r="FG84" s="349">
        <f t="shared" si="21"/>
        <v>3</v>
      </c>
      <c r="FH84" s="322">
        <f t="shared" si="21"/>
        <v>4</v>
      </c>
      <c r="FI84" s="472">
        <f t="shared" si="21"/>
        <v>3</v>
      </c>
      <c r="FJ84" s="472">
        <f t="shared" si="21"/>
        <v>11</v>
      </c>
      <c r="FK84" s="472"/>
      <c r="FL84" s="472">
        <f>SUM(FL60:FL83)</f>
        <v>3</v>
      </c>
      <c r="FM84" s="349">
        <f>SUM(FM60:FM83)</f>
        <v>2</v>
      </c>
      <c r="FN84" s="349"/>
      <c r="FO84" s="472">
        <f>SUM(FO60:FO83)</f>
        <v>1</v>
      </c>
      <c r="FP84" s="472"/>
      <c r="FQ84" s="472">
        <f>SUM(FQ60:FQ83)</f>
        <v>4</v>
      </c>
      <c r="FR84" s="472">
        <f>SUM(FR60:FR83)</f>
        <v>1</v>
      </c>
      <c r="FS84" s="472"/>
      <c r="FT84" s="472">
        <f>SUM(FT60:FT83)</f>
        <v>1</v>
      </c>
      <c r="FU84" s="226"/>
      <c r="FV84" s="472">
        <f>SUM(FV60:FV83)</f>
        <v>1</v>
      </c>
      <c r="FW84" s="472">
        <f>SUM(FW60:FW83)</f>
        <v>4</v>
      </c>
      <c r="FX84" s="472">
        <f>SUM(FX60:FX83)</f>
        <v>1</v>
      </c>
      <c r="FY84" s="226"/>
      <c r="FZ84" s="472">
        <f>SUM(FZ60:FZ83)</f>
        <v>2</v>
      </c>
      <c r="GA84" s="472">
        <f>SUM(GA60:GA83)</f>
        <v>1</v>
      </c>
      <c r="GB84" s="472">
        <f>SUM(GB60:GB83)</f>
        <v>1</v>
      </c>
      <c r="GC84" s="472"/>
      <c r="GD84" s="472">
        <f>SUM(GD60:GD83)</f>
        <v>1</v>
      </c>
      <c r="GE84" s="472">
        <f>SUM(GE60:GE83)</f>
        <v>4</v>
      </c>
      <c r="GF84" s="472">
        <f>SUM(GF60:GF83)</f>
        <v>7</v>
      </c>
      <c r="GG84" s="472">
        <f>SUM(GG60:GG83)</f>
        <v>8</v>
      </c>
      <c r="GH84" s="472">
        <f>SUM(GH60:GH83)</f>
        <v>1</v>
      </c>
      <c r="GI84" s="226"/>
      <c r="GJ84" s="472">
        <f>SUM(GJ60:GJ83)</f>
        <v>2</v>
      </c>
      <c r="GK84" s="472">
        <f>SUM(GK60:GK83)</f>
        <v>9</v>
      </c>
      <c r="GL84" s="472">
        <f>SUM(GL60:GL83)</f>
        <v>4</v>
      </c>
      <c r="GM84" s="472">
        <f>SUM(GM60:GM83)</f>
        <v>1</v>
      </c>
      <c r="GN84" s="472">
        <f>SUM(GN60:GN83)</f>
        <v>3</v>
      </c>
      <c r="GO84" s="226"/>
      <c r="GP84" s="472">
        <f>SUM(GP60:GP83)</f>
        <v>1</v>
      </c>
      <c r="GQ84" s="226"/>
      <c r="GR84" s="472">
        <f>SUM(GR60:GR83)</f>
        <v>1</v>
      </c>
      <c r="GS84" s="472">
        <f>SUM(GS60:GS83)</f>
        <v>3</v>
      </c>
      <c r="GT84" s="472"/>
      <c r="GU84" s="472">
        <f>SUM(GU60:GU83)</f>
        <v>5</v>
      </c>
      <c r="GV84" s="472">
        <f>SUM(GV60:GV83)</f>
        <v>1</v>
      </c>
      <c r="GW84" s="226"/>
      <c r="GX84" s="349">
        <f t="shared" ref="GX84:HE84" si="22">SUM(GX60:GX83)</f>
        <v>1</v>
      </c>
      <c r="GY84" s="349">
        <f t="shared" si="22"/>
        <v>1</v>
      </c>
      <c r="GZ84" s="472">
        <f t="shared" si="22"/>
        <v>1</v>
      </c>
      <c r="HA84" s="349">
        <f t="shared" si="22"/>
        <v>30</v>
      </c>
      <c r="HB84" s="349">
        <f t="shared" si="22"/>
        <v>4</v>
      </c>
      <c r="HC84" s="349">
        <f t="shared" si="22"/>
        <v>5</v>
      </c>
      <c r="HD84" s="349">
        <f t="shared" si="22"/>
        <v>1</v>
      </c>
      <c r="HE84" s="349">
        <f t="shared" si="22"/>
        <v>15</v>
      </c>
      <c r="HF84" s="226"/>
      <c r="HG84" s="350">
        <f>SUM(HG60:HG83)</f>
        <v>1</v>
      </c>
      <c r="HH84" s="350">
        <f>SUM(HH60:HH83)</f>
        <v>3</v>
      </c>
      <c r="HI84" s="350">
        <f>SUM(HI60:HI83)</f>
        <v>1</v>
      </c>
      <c r="HJ84" s="349">
        <f>SUM(HJ60:HJ83)</f>
        <v>55</v>
      </c>
      <c r="HK84" s="350">
        <f>SUM(HK60:HK83)</f>
        <v>3</v>
      </c>
      <c r="HL84" s="226"/>
      <c r="HM84" s="349">
        <f>SUM(HM60:HM83)</f>
        <v>135</v>
      </c>
      <c r="HN84" s="226"/>
      <c r="HO84" s="349">
        <f t="shared" ref="HO84:JD84" si="23">SUM(HO60:HO83)</f>
        <v>22</v>
      </c>
      <c r="HP84" s="349">
        <f t="shared" si="23"/>
        <v>6</v>
      </c>
      <c r="HQ84" s="349">
        <f t="shared" si="23"/>
        <v>25</v>
      </c>
      <c r="HR84" s="349">
        <f t="shared" si="23"/>
        <v>1</v>
      </c>
      <c r="HS84" s="349">
        <f t="shared" si="23"/>
        <v>1</v>
      </c>
      <c r="HT84" s="349">
        <f t="shared" si="23"/>
        <v>2</v>
      </c>
      <c r="HU84" s="349">
        <f t="shared" si="23"/>
        <v>1</v>
      </c>
      <c r="HV84" s="349">
        <f t="shared" si="23"/>
        <v>8</v>
      </c>
      <c r="HW84" s="349">
        <f t="shared" si="23"/>
        <v>3</v>
      </c>
      <c r="HX84" s="349">
        <f t="shared" si="23"/>
        <v>25</v>
      </c>
      <c r="HY84" s="322">
        <f t="shared" si="23"/>
        <v>2</v>
      </c>
      <c r="HZ84" s="349">
        <f t="shared" si="23"/>
        <v>3</v>
      </c>
      <c r="IA84" s="349">
        <f t="shared" si="23"/>
        <v>1</v>
      </c>
      <c r="IB84" s="349">
        <f t="shared" si="23"/>
        <v>1</v>
      </c>
      <c r="IC84" s="349">
        <f t="shared" si="23"/>
        <v>1</v>
      </c>
      <c r="ID84" s="349">
        <f t="shared" si="23"/>
        <v>1</v>
      </c>
      <c r="IE84" s="349">
        <f t="shared" si="23"/>
        <v>1</v>
      </c>
      <c r="IF84" s="349">
        <f t="shared" si="23"/>
        <v>1</v>
      </c>
      <c r="IG84" s="349">
        <f t="shared" si="23"/>
        <v>1</v>
      </c>
      <c r="IH84" s="351">
        <f t="shared" si="23"/>
        <v>1</v>
      </c>
      <c r="II84" s="349">
        <f t="shared" si="23"/>
        <v>1</v>
      </c>
      <c r="IJ84" s="349">
        <f t="shared" si="23"/>
        <v>1</v>
      </c>
      <c r="IK84" s="349">
        <f t="shared" si="23"/>
        <v>1</v>
      </c>
      <c r="IL84" s="322">
        <f t="shared" si="23"/>
        <v>1</v>
      </c>
      <c r="IM84" s="322">
        <f t="shared" si="23"/>
        <v>1</v>
      </c>
      <c r="IN84" s="349">
        <f t="shared" si="23"/>
        <v>1</v>
      </c>
      <c r="IO84" s="349">
        <f t="shared" si="23"/>
        <v>1</v>
      </c>
      <c r="IP84" s="349">
        <f t="shared" si="23"/>
        <v>1</v>
      </c>
      <c r="IQ84" s="349">
        <f t="shared" si="23"/>
        <v>1</v>
      </c>
      <c r="IR84" s="349">
        <f t="shared" si="23"/>
        <v>1</v>
      </c>
      <c r="IS84" s="349">
        <f t="shared" si="23"/>
        <v>1</v>
      </c>
      <c r="IT84" s="349">
        <f t="shared" si="23"/>
        <v>1</v>
      </c>
      <c r="IU84" s="349">
        <f t="shared" si="23"/>
        <v>1</v>
      </c>
      <c r="IV84" s="349">
        <f t="shared" si="23"/>
        <v>1</v>
      </c>
      <c r="IW84" s="349">
        <f t="shared" si="23"/>
        <v>1</v>
      </c>
      <c r="IX84" s="349">
        <f t="shared" si="23"/>
        <v>2</v>
      </c>
      <c r="IY84" s="349">
        <f t="shared" si="23"/>
        <v>1</v>
      </c>
      <c r="IZ84" s="349">
        <f t="shared" si="23"/>
        <v>1</v>
      </c>
      <c r="JA84" s="349">
        <f t="shared" si="23"/>
        <v>1</v>
      </c>
      <c r="JB84" s="349">
        <f t="shared" si="23"/>
        <v>1</v>
      </c>
      <c r="JC84" s="349">
        <f t="shared" si="23"/>
        <v>10</v>
      </c>
      <c r="JD84" s="349">
        <f t="shared" si="23"/>
        <v>5</v>
      </c>
      <c r="JE84" s="226"/>
      <c r="JF84" s="226"/>
      <c r="JG84" s="226"/>
      <c r="JH84" s="349">
        <f t="shared" ref="JH84:JM84" si="24">SUM(JH60:JH83)</f>
        <v>10</v>
      </c>
      <c r="JI84" s="349">
        <f t="shared" si="24"/>
        <v>4</v>
      </c>
      <c r="JJ84" s="349">
        <f t="shared" si="24"/>
        <v>69</v>
      </c>
      <c r="JK84" s="352">
        <f t="shared" si="24"/>
        <v>1</v>
      </c>
      <c r="JL84" s="349">
        <f t="shared" si="24"/>
        <v>4</v>
      </c>
      <c r="JM84" s="349">
        <f t="shared" si="24"/>
        <v>1</v>
      </c>
      <c r="JN84" s="226"/>
      <c r="JO84" s="226"/>
      <c r="JP84" s="226"/>
      <c r="JQ84" s="349">
        <f t="shared" ref="JQ84:JX84" si="25">SUM(JQ60:JQ83)</f>
        <v>2</v>
      </c>
      <c r="JR84" s="349">
        <f t="shared" si="25"/>
        <v>12</v>
      </c>
      <c r="JS84" s="349">
        <f t="shared" si="25"/>
        <v>3</v>
      </c>
      <c r="JT84" s="349">
        <f t="shared" si="25"/>
        <v>12</v>
      </c>
      <c r="JU84" s="349">
        <f t="shared" si="25"/>
        <v>12</v>
      </c>
      <c r="JV84" s="349">
        <f t="shared" si="25"/>
        <v>8</v>
      </c>
      <c r="JW84" s="349">
        <f t="shared" si="25"/>
        <v>1</v>
      </c>
      <c r="JX84" s="349">
        <f t="shared" si="25"/>
        <v>9</v>
      </c>
      <c r="JY84" s="349">
        <f t="shared" ref="JY84:KP84" si="26">SUM(JY60:JY83)</f>
        <v>22</v>
      </c>
      <c r="JZ84" s="349">
        <f t="shared" si="26"/>
        <v>5</v>
      </c>
      <c r="KA84" s="349">
        <f t="shared" si="26"/>
        <v>1</v>
      </c>
      <c r="KB84" s="349">
        <f t="shared" si="26"/>
        <v>1</v>
      </c>
      <c r="KC84" s="349">
        <f t="shared" si="26"/>
        <v>4</v>
      </c>
      <c r="KD84" s="349">
        <f t="shared" si="26"/>
        <v>5</v>
      </c>
      <c r="KE84" s="232">
        <f t="shared" si="26"/>
        <v>1</v>
      </c>
      <c r="KF84" s="349">
        <f t="shared" si="26"/>
        <v>1</v>
      </c>
      <c r="KG84" s="349">
        <f t="shared" si="26"/>
        <v>3</v>
      </c>
      <c r="KH84" s="349">
        <f t="shared" si="26"/>
        <v>3</v>
      </c>
      <c r="KI84" s="349">
        <f t="shared" si="26"/>
        <v>1</v>
      </c>
      <c r="KJ84" s="349">
        <f t="shared" si="26"/>
        <v>8</v>
      </c>
      <c r="KK84" s="349">
        <f t="shared" si="26"/>
        <v>6</v>
      </c>
      <c r="KL84" s="349">
        <f t="shared" si="26"/>
        <v>3</v>
      </c>
      <c r="KM84" s="349">
        <f t="shared" si="26"/>
        <v>1</v>
      </c>
      <c r="KN84" s="349">
        <f t="shared" si="26"/>
        <v>1</v>
      </c>
      <c r="KO84" s="349">
        <f t="shared" si="26"/>
        <v>1</v>
      </c>
      <c r="KP84" s="349">
        <f t="shared" si="26"/>
        <v>6</v>
      </c>
      <c r="KQ84" s="226"/>
      <c r="KR84" s="226"/>
      <c r="KS84" s="226"/>
      <c r="KT84" s="226"/>
      <c r="KU84" s="226"/>
      <c r="KV84" s="349">
        <f>SUM(KV60:KV83)</f>
        <v>12</v>
      </c>
      <c r="KW84" s="349">
        <f>SUM(KW60:KW83)</f>
        <v>2</v>
      </c>
      <c r="KX84" s="806">
        <v>1</v>
      </c>
      <c r="KY84" s="807">
        <f t="shared" ref="KY84:LL84" si="27">SUM(KY60:KY83)</f>
        <v>3</v>
      </c>
      <c r="KZ84" s="349">
        <f t="shared" si="27"/>
        <v>1</v>
      </c>
      <c r="LA84" s="349">
        <f t="shared" si="27"/>
        <v>1</v>
      </c>
      <c r="LB84" s="349">
        <f t="shared" si="27"/>
        <v>1</v>
      </c>
      <c r="LC84" s="349">
        <f t="shared" si="27"/>
        <v>1</v>
      </c>
      <c r="LD84" s="349">
        <f t="shared" si="27"/>
        <v>1</v>
      </c>
      <c r="LE84" s="349">
        <f t="shared" si="27"/>
        <v>1</v>
      </c>
      <c r="LF84" s="349">
        <f t="shared" si="27"/>
        <v>1</v>
      </c>
      <c r="LG84" s="349">
        <f t="shared" si="27"/>
        <v>1</v>
      </c>
      <c r="LH84" s="349">
        <f t="shared" si="27"/>
        <v>1</v>
      </c>
      <c r="LI84" s="349">
        <f t="shared" si="27"/>
        <v>2</v>
      </c>
      <c r="LJ84" s="349">
        <f t="shared" si="27"/>
        <v>1</v>
      </c>
      <c r="LK84" s="349">
        <f t="shared" si="27"/>
        <v>3</v>
      </c>
      <c r="LL84" s="349">
        <f t="shared" si="27"/>
        <v>27</v>
      </c>
      <c r="LM84" s="226"/>
      <c r="LN84" s="349">
        <f>SUM(LN60:LN83)</f>
        <v>3</v>
      </c>
      <c r="LO84" s="349">
        <f>SUM(LO60:LO83)</f>
        <v>5</v>
      </c>
      <c r="LP84" s="349">
        <v>4</v>
      </c>
      <c r="LQ84" s="349">
        <v>21</v>
      </c>
      <c r="LR84" s="349">
        <v>1</v>
      </c>
      <c r="LS84" s="349">
        <v>5</v>
      </c>
      <c r="LT84" s="353">
        <v>4</v>
      </c>
      <c r="LU84" s="349">
        <f t="shared" ref="LU84:LZ84" si="28">SUM(LU60:LU83)</f>
        <v>12</v>
      </c>
      <c r="LV84" s="349">
        <f t="shared" si="28"/>
        <v>3</v>
      </c>
      <c r="LW84" s="349">
        <f t="shared" si="28"/>
        <v>1</v>
      </c>
      <c r="LX84" s="349">
        <f t="shared" si="28"/>
        <v>1</v>
      </c>
      <c r="LY84" s="349">
        <f t="shared" si="28"/>
        <v>1</v>
      </c>
      <c r="LZ84" s="349">
        <f t="shared" si="28"/>
        <v>3</v>
      </c>
      <c r="MA84" s="225">
        <v>1</v>
      </c>
      <c r="MB84" s="322">
        <f>SUM(MB60:MB83)</f>
        <v>2</v>
      </c>
      <c r="MC84" s="349">
        <v>5</v>
      </c>
      <c r="MD84" s="349">
        <v>4</v>
      </c>
      <c r="ME84" s="349">
        <v>1</v>
      </c>
      <c r="MF84" s="349">
        <v>3</v>
      </c>
      <c r="MG84" s="226"/>
      <c r="MH84" s="226"/>
      <c r="MI84" s="226"/>
      <c r="MJ84" s="354">
        <f>SUM(MJ60:MJ83)</f>
        <v>12</v>
      </c>
      <c r="MK84" s="354"/>
      <c r="ML84" s="354">
        <f t="shared" ref="ML84:MW84" si="29">SUM(ML60:ML83)</f>
        <v>19</v>
      </c>
      <c r="MM84" s="354">
        <f t="shared" si="29"/>
        <v>24</v>
      </c>
      <c r="MN84" s="355">
        <f t="shared" si="29"/>
        <v>34</v>
      </c>
      <c r="MO84" s="355">
        <f t="shared" si="29"/>
        <v>28</v>
      </c>
      <c r="MP84" s="355">
        <f t="shared" si="29"/>
        <v>41</v>
      </c>
      <c r="MQ84" s="355">
        <f t="shared" si="29"/>
        <v>24</v>
      </c>
      <c r="MR84" s="355">
        <f t="shared" si="29"/>
        <v>23</v>
      </c>
      <c r="MS84" s="355">
        <f t="shared" si="29"/>
        <v>16</v>
      </c>
      <c r="MT84" s="347">
        <f t="shared" si="29"/>
        <v>20</v>
      </c>
      <c r="MU84" s="355">
        <f t="shared" si="29"/>
        <v>12</v>
      </c>
      <c r="MV84" s="354">
        <f t="shared" si="29"/>
        <v>29</v>
      </c>
      <c r="MW84" s="354">
        <f t="shared" si="29"/>
        <v>7</v>
      </c>
      <c r="MX84" s="226"/>
      <c r="MY84" s="226"/>
      <c r="MZ84" s="226"/>
      <c r="NA84" s="226"/>
    </row>
    <row r="85" spans="1:365" ht="289" x14ac:dyDescent="0.2">
      <c r="A85" s="1216" t="s">
        <v>175</v>
      </c>
      <c r="B85" s="201" t="s">
        <v>176</v>
      </c>
      <c r="C85" s="202" t="s">
        <v>6187</v>
      </c>
      <c r="D85" s="219" t="s">
        <v>178</v>
      </c>
      <c r="E85" s="294">
        <v>14.478</v>
      </c>
      <c r="F85" s="294">
        <v>0.6</v>
      </c>
      <c r="G85" s="294">
        <v>3.4369999999999998</v>
      </c>
      <c r="H85" s="294">
        <v>3.677</v>
      </c>
      <c r="I85" s="225">
        <v>0.47</v>
      </c>
      <c r="J85" s="294">
        <v>0.157</v>
      </c>
      <c r="K85" s="294">
        <v>4.4189999999999996</v>
      </c>
      <c r="L85" s="294">
        <f>0.988+0.599+0.736+1.16+0.317+0.593</f>
        <v>4.3929999999999998</v>
      </c>
      <c r="M85" s="294">
        <v>0.81100000000000005</v>
      </c>
      <c r="N85" s="294">
        <v>4.1500000000000004</v>
      </c>
      <c r="O85" s="294">
        <v>16.8</v>
      </c>
      <c r="P85" s="437">
        <v>1.26</v>
      </c>
      <c r="Q85" s="294">
        <v>10.096</v>
      </c>
      <c r="R85" s="322" t="s">
        <v>6186</v>
      </c>
      <c r="S85" s="294">
        <v>1.1659999999999999</v>
      </c>
      <c r="T85" s="294">
        <v>0.15</v>
      </c>
      <c r="U85" s="294">
        <v>1.2</v>
      </c>
      <c r="V85" s="294" t="s">
        <v>6185</v>
      </c>
      <c r="W85" s="226"/>
      <c r="X85" s="226"/>
      <c r="Y85" s="226"/>
      <c r="Z85" s="226"/>
      <c r="AA85" s="226"/>
      <c r="AB85" s="226"/>
      <c r="AC85" s="226"/>
      <c r="AD85" s="226"/>
      <c r="AE85" s="226"/>
      <c r="AF85" s="294">
        <v>1.2</v>
      </c>
      <c r="AG85" s="225">
        <v>0.78200000000000003</v>
      </c>
      <c r="AH85" s="226"/>
      <c r="AI85" s="294">
        <v>5.7750000000000004</v>
      </c>
      <c r="AJ85" s="294">
        <v>0.42099999999999999</v>
      </c>
      <c r="AK85" s="229">
        <v>4.7450000000000001</v>
      </c>
      <c r="AL85" s="294">
        <v>0.5</v>
      </c>
      <c r="AM85" s="226"/>
      <c r="AN85" s="226"/>
      <c r="AO85" s="226"/>
      <c r="AP85" s="226"/>
      <c r="AQ85" s="294">
        <v>5.0339999999999998</v>
      </c>
      <c r="AR85" s="294">
        <v>4.2149999999999999</v>
      </c>
      <c r="AS85" s="294">
        <v>3.3690000000000002</v>
      </c>
      <c r="AT85" s="294">
        <v>9.5299999999999994</v>
      </c>
      <c r="AU85" s="294">
        <v>5</v>
      </c>
      <c r="AV85" s="225">
        <v>12.8</v>
      </c>
      <c r="AW85" s="226">
        <v>11050</v>
      </c>
      <c r="AX85" s="294">
        <v>1.2</v>
      </c>
      <c r="AY85" s="296"/>
      <c r="AZ85" s="294">
        <v>2.92</v>
      </c>
      <c r="BA85" s="294">
        <v>6278</v>
      </c>
      <c r="BB85" s="294" t="s">
        <v>6184</v>
      </c>
      <c r="BC85" s="294">
        <v>25</v>
      </c>
      <c r="BD85" s="294">
        <v>9.8759999999999994</v>
      </c>
      <c r="BE85" s="296">
        <v>1.7130000000000001</v>
      </c>
      <c r="BF85" s="294">
        <v>5.2</v>
      </c>
      <c r="BG85" s="294">
        <v>4.5</v>
      </c>
      <c r="BH85" s="294">
        <v>3.254</v>
      </c>
      <c r="BI85" s="294">
        <v>9.0500000000000007</v>
      </c>
      <c r="BJ85" s="294">
        <v>1.8520000000000001</v>
      </c>
      <c r="BK85" s="294">
        <v>11.345000000000001</v>
      </c>
      <c r="BL85" s="294">
        <v>3.5</v>
      </c>
      <c r="BM85" s="294">
        <v>110</v>
      </c>
      <c r="BN85" s="226"/>
      <c r="BO85" s="294">
        <v>1.2</v>
      </c>
      <c r="BP85" s="294">
        <v>0</v>
      </c>
      <c r="BQ85" s="294">
        <v>2.7789999999999999</v>
      </c>
      <c r="BR85" s="436" t="s">
        <v>178</v>
      </c>
      <c r="BS85" s="322">
        <v>600</v>
      </c>
      <c r="BT85" s="294">
        <v>4.9409999999999998</v>
      </c>
      <c r="BU85" s="294">
        <v>0.2</v>
      </c>
      <c r="BV85" s="294">
        <v>0.5</v>
      </c>
      <c r="BW85" s="294">
        <v>0.1</v>
      </c>
      <c r="BX85" s="294">
        <v>0.26500000000000001</v>
      </c>
      <c r="BY85" s="294">
        <v>6.3</v>
      </c>
      <c r="BZ85" s="294">
        <v>3.1E-2</v>
      </c>
      <c r="CA85" s="294">
        <v>0.56999999999999995</v>
      </c>
      <c r="CB85" s="294">
        <v>0.56999999999999995</v>
      </c>
      <c r="CC85" s="294">
        <v>3.24</v>
      </c>
      <c r="CD85" s="296">
        <v>0.45</v>
      </c>
      <c r="CE85" s="296">
        <v>2.4969999999999999</v>
      </c>
      <c r="CF85" s="296">
        <v>1.78</v>
      </c>
      <c r="CG85" s="296">
        <v>0.27</v>
      </c>
      <c r="CH85" s="296">
        <v>3.2919999999999998</v>
      </c>
      <c r="CI85" s="296">
        <v>1.766</v>
      </c>
      <c r="CJ85" s="296">
        <v>9.5470000000000006</v>
      </c>
      <c r="CK85" s="296">
        <v>2.722</v>
      </c>
      <c r="CL85" s="296">
        <v>2.7</v>
      </c>
      <c r="CM85" s="296">
        <v>1.0049999999999999</v>
      </c>
      <c r="CN85" s="294">
        <v>5.8999999999999997E-2</v>
      </c>
      <c r="CO85" s="294">
        <v>9.6449999999999996</v>
      </c>
      <c r="CP85" s="294">
        <v>3.7</v>
      </c>
      <c r="CQ85" s="438">
        <v>4671</v>
      </c>
      <c r="CR85" s="439">
        <v>1204900</v>
      </c>
      <c r="CS85" s="294">
        <v>4.3</v>
      </c>
      <c r="CT85" s="294">
        <v>3.5990000000000002</v>
      </c>
      <c r="CU85" s="294">
        <v>2.206</v>
      </c>
      <c r="CV85" s="294">
        <v>1.9970000000000001</v>
      </c>
      <c r="CW85" s="294">
        <v>3.927</v>
      </c>
      <c r="CX85" s="294">
        <v>1.202</v>
      </c>
      <c r="CY85" s="294">
        <v>0.48</v>
      </c>
      <c r="CZ85" s="294">
        <v>3.3</v>
      </c>
      <c r="DA85" s="294">
        <v>64.5</v>
      </c>
      <c r="DB85" s="294">
        <v>0.45</v>
      </c>
      <c r="DC85" s="294">
        <v>0.55600000000000005</v>
      </c>
      <c r="DD85" s="294">
        <v>5.6</v>
      </c>
      <c r="DE85" s="294">
        <v>0.1</v>
      </c>
      <c r="DF85" s="232">
        <v>195</v>
      </c>
      <c r="DG85" s="294">
        <v>1.698</v>
      </c>
      <c r="DH85" s="294">
        <v>5.6</v>
      </c>
      <c r="DI85" s="294" t="s">
        <v>6183</v>
      </c>
      <c r="DJ85" s="294">
        <v>7231</v>
      </c>
      <c r="DK85" s="294">
        <v>4.157</v>
      </c>
      <c r="DL85" s="294">
        <v>701</v>
      </c>
      <c r="DM85" s="294">
        <v>0.83199999999999996</v>
      </c>
      <c r="DN85" s="294">
        <v>0.69</v>
      </c>
      <c r="DO85" s="294">
        <v>1.6</v>
      </c>
      <c r="DP85" s="294">
        <v>2.419</v>
      </c>
      <c r="DQ85" s="294">
        <v>1.3</v>
      </c>
      <c r="DR85" s="294">
        <v>4.7690000000000001</v>
      </c>
      <c r="DS85" s="294">
        <v>1.806</v>
      </c>
      <c r="DT85" s="294">
        <v>2.6789999999999998</v>
      </c>
      <c r="DU85" s="294">
        <v>2.488</v>
      </c>
      <c r="DV85" s="294">
        <v>16.414000000000001</v>
      </c>
      <c r="DW85" s="225">
        <v>4</v>
      </c>
      <c r="DX85" s="294">
        <v>0.5</v>
      </c>
      <c r="DY85" s="294">
        <v>661.81500000000005</v>
      </c>
      <c r="DZ85" s="294">
        <v>2.7530000000000001</v>
      </c>
      <c r="EA85" s="294">
        <v>0.312</v>
      </c>
      <c r="EB85" s="294">
        <v>0.96799999999999997</v>
      </c>
      <c r="EC85" s="226"/>
      <c r="ED85" s="294">
        <v>5.7</v>
      </c>
      <c r="EE85" s="294">
        <v>3.4</v>
      </c>
      <c r="EF85" s="294">
        <v>25</v>
      </c>
      <c r="EG85" s="226"/>
      <c r="EH85" s="294">
        <v>2.6589999999999998</v>
      </c>
      <c r="EI85" s="294">
        <v>3.5649999999999999</v>
      </c>
      <c r="EJ85" s="226"/>
      <c r="EK85" s="226"/>
      <c r="EL85" s="226"/>
      <c r="EM85" s="226"/>
      <c r="EN85" s="226"/>
      <c r="EO85" s="226"/>
      <c r="EP85" s="226"/>
      <c r="EQ85" s="226"/>
      <c r="ER85" s="294">
        <v>235.03899999999999</v>
      </c>
      <c r="ES85" s="294">
        <v>0.38700000000000001</v>
      </c>
      <c r="ET85" s="294">
        <v>0.57399999999999995</v>
      </c>
      <c r="EU85" s="294">
        <v>0.47799999999999998</v>
      </c>
      <c r="EV85" s="294">
        <v>9.2999999999999999E-2</v>
      </c>
      <c r="EW85" s="294">
        <v>7.6639999999999997</v>
      </c>
      <c r="EX85" s="294">
        <v>24.175000000000001</v>
      </c>
      <c r="EY85" s="294">
        <v>9.8000000000000004E-2</v>
      </c>
      <c r="EZ85" s="296">
        <v>5.2</v>
      </c>
      <c r="FA85" s="294">
        <v>0.66600000000000004</v>
      </c>
      <c r="FB85" s="294">
        <v>0.71699999999999997</v>
      </c>
      <c r="FC85" s="294">
        <v>0.13500000000000001</v>
      </c>
      <c r="FD85" s="226"/>
      <c r="FE85" s="440">
        <v>0.5</v>
      </c>
      <c r="FF85" s="294">
        <v>0.505</v>
      </c>
      <c r="FG85" s="294">
        <f>5.42+0.35+0.249</f>
        <v>6.0189999999999992</v>
      </c>
      <c r="FH85" s="294">
        <v>10.403</v>
      </c>
      <c r="FI85" s="439">
        <v>3.2</v>
      </c>
      <c r="FJ85" s="439">
        <v>11.996</v>
      </c>
      <c r="FK85" s="439"/>
      <c r="FL85" s="439">
        <v>0.7</v>
      </c>
      <c r="FM85" s="294">
        <v>32.951999999999998</v>
      </c>
      <c r="FN85" s="294"/>
      <c r="FO85" s="439">
        <v>2.8639999999999999</v>
      </c>
      <c r="FP85" s="439"/>
      <c r="FQ85" s="439" t="s">
        <v>3007</v>
      </c>
      <c r="FR85" s="439">
        <v>0.14099999999999999</v>
      </c>
      <c r="FS85" s="439"/>
      <c r="FT85" s="439">
        <v>0.85099999999999998</v>
      </c>
      <c r="FU85" s="226"/>
      <c r="FV85" s="439">
        <v>0.61699999999999999</v>
      </c>
      <c r="FW85" s="439">
        <v>1.236</v>
      </c>
      <c r="FX85" s="294">
        <v>0.60499999999999998</v>
      </c>
      <c r="FY85" s="226"/>
      <c r="FZ85" s="439">
        <v>1.2</v>
      </c>
      <c r="GA85" s="439">
        <v>4.1180000000000003</v>
      </c>
      <c r="GB85" s="439">
        <v>1E-3</v>
      </c>
      <c r="GC85" s="439"/>
      <c r="GD85" s="439">
        <v>0.28199999999999997</v>
      </c>
      <c r="GE85" s="439">
        <v>1.4350000000000001</v>
      </c>
      <c r="GF85" s="439">
        <v>2.9849999999999999</v>
      </c>
      <c r="GG85" s="439">
        <v>3.827</v>
      </c>
      <c r="GH85" s="439">
        <v>0.77600000000000002</v>
      </c>
      <c r="GI85" s="226"/>
      <c r="GJ85" s="439">
        <v>0.16500000000000001</v>
      </c>
      <c r="GK85" s="439">
        <v>5.069</v>
      </c>
      <c r="GL85" s="439">
        <v>3.1</v>
      </c>
      <c r="GM85" s="439">
        <v>1.998</v>
      </c>
      <c r="GN85" s="439">
        <v>1.5509999999999999</v>
      </c>
      <c r="GO85" s="226"/>
      <c r="GP85" s="439">
        <v>0.85</v>
      </c>
      <c r="GQ85" s="226"/>
      <c r="GR85" s="439">
        <v>0.36799999999999999</v>
      </c>
      <c r="GS85" s="439">
        <v>0.79400000000000004</v>
      </c>
      <c r="GT85" s="439"/>
      <c r="GU85" s="439">
        <v>3.5910000000000002</v>
      </c>
      <c r="GV85" s="439">
        <v>0.11</v>
      </c>
      <c r="GW85" s="226"/>
      <c r="GX85" s="294">
        <v>0.4</v>
      </c>
      <c r="GY85" s="294">
        <v>0.25</v>
      </c>
      <c r="GZ85" s="439">
        <v>0.40699999999999997</v>
      </c>
      <c r="HA85" s="294">
        <v>14</v>
      </c>
      <c r="HB85" s="294">
        <v>0.77700000000000002</v>
      </c>
      <c r="HC85" s="294"/>
      <c r="HD85" s="294">
        <v>29.853000000000002</v>
      </c>
      <c r="HE85" s="294">
        <f>(30000+30000+99840+5000+99840+18000+18000+6000+9397+3000+5000+45000+5000)/1000</f>
        <v>374.077</v>
      </c>
      <c r="HF85" s="226"/>
      <c r="HG85" s="295">
        <v>0.36799999999999999</v>
      </c>
      <c r="HH85" s="295">
        <v>2.8</v>
      </c>
      <c r="HI85" s="295">
        <v>1.18</v>
      </c>
      <c r="HJ85" s="294">
        <v>2.5</v>
      </c>
      <c r="HK85" s="295">
        <v>2.4</v>
      </c>
      <c r="HL85" s="226"/>
      <c r="HM85" s="294">
        <v>29.187999999999999</v>
      </c>
      <c r="HN85" s="226"/>
      <c r="HO85" s="294">
        <v>4.2</v>
      </c>
      <c r="HP85" s="294">
        <v>0.41199999999999998</v>
      </c>
      <c r="HQ85" s="294">
        <v>2.1619999999999999</v>
      </c>
      <c r="HR85" s="294">
        <v>0.253</v>
      </c>
      <c r="HS85" s="294">
        <v>0.5</v>
      </c>
      <c r="HT85" s="294">
        <v>1</v>
      </c>
      <c r="HU85" s="294">
        <v>0.24</v>
      </c>
      <c r="HV85" s="294">
        <v>8.1</v>
      </c>
      <c r="HW85" s="294">
        <v>0</v>
      </c>
      <c r="HX85" s="225">
        <v>4.2770000000000001</v>
      </c>
      <c r="HY85" s="294">
        <v>102.5</v>
      </c>
      <c r="HZ85" s="294">
        <v>0</v>
      </c>
      <c r="IA85" s="294">
        <v>0.1</v>
      </c>
      <c r="IB85" s="294">
        <v>4.4589999999999996</v>
      </c>
      <c r="IC85" s="294">
        <v>4.4589999999999996</v>
      </c>
      <c r="ID85" s="342">
        <v>5</v>
      </c>
      <c r="IE85" s="294">
        <v>10</v>
      </c>
      <c r="IF85" s="342">
        <v>14</v>
      </c>
      <c r="IG85" s="342">
        <v>0.5</v>
      </c>
      <c r="IH85" s="356">
        <v>0.9</v>
      </c>
      <c r="II85" s="342">
        <v>1</v>
      </c>
      <c r="IJ85" s="342">
        <v>1</v>
      </c>
      <c r="IK85" s="342">
        <v>1.5</v>
      </c>
      <c r="IL85" s="342">
        <v>6.1</v>
      </c>
      <c r="IM85" s="342">
        <v>0.7</v>
      </c>
      <c r="IN85" s="294">
        <v>0.2</v>
      </c>
      <c r="IO85" s="342">
        <v>5.1589999999999998</v>
      </c>
      <c r="IP85" s="342">
        <v>5.1589999999999998</v>
      </c>
      <c r="IQ85" s="342">
        <v>5.1589999999999998</v>
      </c>
      <c r="IR85" s="323">
        <v>0.03</v>
      </c>
      <c r="IS85" s="342">
        <v>0.83</v>
      </c>
      <c r="IT85" s="342">
        <v>1.3149999999999999</v>
      </c>
      <c r="IU85" s="342">
        <v>1.5920000000000001</v>
      </c>
      <c r="IV85" s="294">
        <v>0.1</v>
      </c>
      <c r="IW85" s="294">
        <v>1</v>
      </c>
      <c r="IX85" s="294">
        <v>1.5</v>
      </c>
      <c r="IY85" s="294">
        <v>8.6999999999999994E-2</v>
      </c>
      <c r="IZ85" s="294">
        <v>1</v>
      </c>
      <c r="JA85" s="294">
        <v>0.8</v>
      </c>
      <c r="JB85" s="294">
        <v>1.4</v>
      </c>
      <c r="JC85" s="294">
        <v>3365</v>
      </c>
      <c r="JD85" s="294"/>
      <c r="JE85" s="226"/>
      <c r="JF85" s="226"/>
      <c r="JG85" s="226"/>
      <c r="JH85" s="294">
        <v>4.7140000000000004</v>
      </c>
      <c r="JI85" s="294">
        <v>48.524000000000001</v>
      </c>
      <c r="JJ85" s="294">
        <v>208.83099999999999</v>
      </c>
      <c r="JK85" s="298">
        <v>39.201999999999998</v>
      </c>
      <c r="JL85" s="294">
        <v>2.8010000000000002</v>
      </c>
      <c r="JM85" s="294">
        <v>0.188</v>
      </c>
      <c r="JN85" s="226"/>
      <c r="JO85" s="226"/>
      <c r="JP85" s="226"/>
      <c r="JQ85" s="294">
        <v>24.091000000000001</v>
      </c>
      <c r="JR85" s="294">
        <v>16192</v>
      </c>
      <c r="JS85" s="294">
        <v>14.661</v>
      </c>
      <c r="JT85" s="294">
        <v>8.2210000000000001</v>
      </c>
      <c r="JU85" s="294">
        <v>47.576000000000001</v>
      </c>
      <c r="JV85" s="294">
        <v>45.552</v>
      </c>
      <c r="JW85" s="294">
        <v>6.8890000000000002</v>
      </c>
      <c r="JX85" s="294" t="s">
        <v>656</v>
      </c>
      <c r="JY85" s="294">
        <v>10.462</v>
      </c>
      <c r="JZ85" s="294">
        <v>1.49</v>
      </c>
      <c r="KA85" s="294">
        <v>0.16300000000000001</v>
      </c>
      <c r="KB85" s="294">
        <v>20</v>
      </c>
      <c r="KC85" s="294">
        <v>5</v>
      </c>
      <c r="KD85" s="294">
        <v>23.5</v>
      </c>
      <c r="KE85" s="232">
        <v>2</v>
      </c>
      <c r="KF85" s="294">
        <v>2.1</v>
      </c>
      <c r="KG85" s="294">
        <v>4.2850000000000001</v>
      </c>
      <c r="KH85" s="294">
        <v>1.2589999999999999</v>
      </c>
      <c r="KI85" s="294">
        <v>0.9</v>
      </c>
      <c r="KJ85" s="294">
        <v>15.866</v>
      </c>
      <c r="KK85" s="294">
        <v>4.4999999999999998E-2</v>
      </c>
      <c r="KL85" s="294">
        <v>0.91700000000000004</v>
      </c>
      <c r="KM85" s="349"/>
      <c r="KN85" s="320">
        <v>13.25</v>
      </c>
      <c r="KO85" s="323">
        <v>0.5</v>
      </c>
      <c r="KP85" s="294">
        <v>5.1440000000000001</v>
      </c>
      <c r="KQ85" s="226"/>
      <c r="KR85" s="226"/>
      <c r="KS85" s="226"/>
      <c r="KT85" s="226"/>
      <c r="KU85" s="226"/>
      <c r="KV85" s="322">
        <v>21</v>
      </c>
      <c r="KW85" s="294">
        <f>(83+54)/1000</f>
        <v>0.13700000000000001</v>
      </c>
      <c r="KX85" s="802">
        <v>1.7629999999999999</v>
      </c>
      <c r="KY85" s="803">
        <v>1.5</v>
      </c>
      <c r="KZ85" s="294">
        <v>0.73299999999999998</v>
      </c>
      <c r="LA85" s="294">
        <v>0.10100000000000001</v>
      </c>
      <c r="LB85" s="294">
        <v>1.5780000000000001</v>
      </c>
      <c r="LC85" s="294">
        <v>0.248</v>
      </c>
      <c r="LD85" s="294">
        <v>0.86</v>
      </c>
      <c r="LE85" s="294">
        <v>0.5</v>
      </c>
      <c r="LF85" s="294">
        <v>2.2559999999999998</v>
      </c>
      <c r="LG85" s="294">
        <v>7.9950000000000001</v>
      </c>
      <c r="LH85" s="294">
        <v>1.4259999999999999</v>
      </c>
      <c r="LI85" s="294">
        <v>15.1</v>
      </c>
      <c r="LJ85" s="294">
        <v>0.98199999999999998</v>
      </c>
      <c r="LK85" s="294">
        <f>0.241+0.451+0.427</f>
        <v>1.119</v>
      </c>
      <c r="LL85" s="322">
        <v>5928</v>
      </c>
      <c r="LM85" s="226"/>
      <c r="LN85" s="294">
        <v>40.61</v>
      </c>
      <c r="LO85" s="294">
        <v>52.743000000000002</v>
      </c>
      <c r="LP85" s="294">
        <v>11.5</v>
      </c>
      <c r="LQ85" s="294">
        <v>86.58</v>
      </c>
      <c r="LR85" s="294">
        <v>5.7830000000000004</v>
      </c>
      <c r="LS85" s="294">
        <v>184.3</v>
      </c>
      <c r="LT85" s="302">
        <v>73</v>
      </c>
      <c r="LU85" s="342">
        <v>2.7</v>
      </c>
      <c r="LV85" s="294">
        <v>11.095000000000001</v>
      </c>
      <c r="LW85" s="294">
        <v>2.6930000000000001</v>
      </c>
      <c r="LX85" s="294">
        <v>1.708</v>
      </c>
      <c r="LY85" s="294">
        <v>1.306</v>
      </c>
      <c r="LZ85" s="294">
        <v>2660</v>
      </c>
      <c r="MA85" s="294">
        <v>0.58199999999999996</v>
      </c>
      <c r="MB85" s="294">
        <v>0.73299999999999998</v>
      </c>
      <c r="MC85" s="294">
        <v>13.396000000000001</v>
      </c>
      <c r="MD85" s="294">
        <v>1.18</v>
      </c>
      <c r="ME85" s="342">
        <v>1.5</v>
      </c>
      <c r="MF85" s="322">
        <v>6.5</v>
      </c>
      <c r="MG85" s="226"/>
      <c r="MH85" s="226"/>
      <c r="MI85" s="226"/>
      <c r="MJ85" s="303">
        <v>48.430999999999997</v>
      </c>
      <c r="MK85" s="303"/>
      <c r="ML85" s="303">
        <v>24</v>
      </c>
      <c r="MM85" s="303">
        <v>107.122</v>
      </c>
      <c r="MN85" s="348">
        <v>109488</v>
      </c>
      <c r="MO85" s="304">
        <v>29.213999999999999</v>
      </c>
      <c r="MP85" s="304">
        <v>33.417000000000002</v>
      </c>
      <c r="MQ85" s="304" t="s">
        <v>6182</v>
      </c>
      <c r="MR85" s="304">
        <v>9.4359999999999999</v>
      </c>
      <c r="MS85" s="304">
        <v>7.5</v>
      </c>
      <c r="MT85" s="303">
        <v>17.138999999999999</v>
      </c>
      <c r="MU85" s="304">
        <v>17.724</v>
      </c>
      <c r="MV85" s="303">
        <f>42.693-0.774+0.054</f>
        <v>41.972999999999999</v>
      </c>
      <c r="MW85" s="303">
        <v>5.6269999999999998</v>
      </c>
      <c r="MX85" s="226"/>
      <c r="MY85" s="226"/>
      <c r="MZ85" s="226"/>
      <c r="NA85" s="226"/>
    </row>
    <row r="86" spans="1:365" ht="409.6" x14ac:dyDescent="0.2">
      <c r="A86" s="1216"/>
      <c r="B86" s="1217" t="s">
        <v>179</v>
      </c>
      <c r="C86" s="1218" t="s">
        <v>180</v>
      </c>
      <c r="D86" s="215" t="s">
        <v>15</v>
      </c>
      <c r="E86" s="225" t="s">
        <v>6181</v>
      </c>
      <c r="F86" s="225" t="s">
        <v>6180</v>
      </c>
      <c r="G86" s="225" t="s">
        <v>6179</v>
      </c>
      <c r="H86" s="225" t="s">
        <v>6179</v>
      </c>
      <c r="I86" s="225" t="s">
        <v>6179</v>
      </c>
      <c r="J86" s="225" t="s">
        <v>6179</v>
      </c>
      <c r="K86" s="225" t="s">
        <v>9481</v>
      </c>
      <c r="L86" s="225" t="s">
        <v>6177</v>
      </c>
      <c r="M86" s="225" t="s">
        <v>6178</v>
      </c>
      <c r="N86" s="225" t="s">
        <v>6177</v>
      </c>
      <c r="O86" s="225" t="s">
        <v>6176</v>
      </c>
      <c r="P86" s="400" t="s">
        <v>6175</v>
      </c>
      <c r="Q86" s="225" t="s">
        <v>6174</v>
      </c>
      <c r="R86" s="322" t="s">
        <v>6173</v>
      </c>
      <c r="S86" s="225" t="s">
        <v>6172</v>
      </c>
      <c r="T86" s="225" t="s">
        <v>6171</v>
      </c>
      <c r="U86" s="225" t="s">
        <v>6170</v>
      </c>
      <c r="V86" s="225" t="s">
        <v>6169</v>
      </c>
      <c r="W86" s="226"/>
      <c r="X86" s="226"/>
      <c r="Y86" s="226"/>
      <c r="Z86" s="226"/>
      <c r="AA86" s="226"/>
      <c r="AB86" s="226"/>
      <c r="AC86" s="226"/>
      <c r="AD86" s="226"/>
      <c r="AE86" s="226"/>
      <c r="AF86" s="225" t="s">
        <v>6168</v>
      </c>
      <c r="AG86" s="225" t="s">
        <v>6167</v>
      </c>
      <c r="AH86" s="226"/>
      <c r="AI86" s="225" t="s">
        <v>6166</v>
      </c>
      <c r="AJ86" s="225" t="s">
        <v>6165</v>
      </c>
      <c r="AK86" s="296" t="s">
        <v>6164</v>
      </c>
      <c r="AL86" s="225" t="s">
        <v>470</v>
      </c>
      <c r="AM86" s="226"/>
      <c r="AN86" s="226"/>
      <c r="AO86" s="226"/>
      <c r="AP86" s="226"/>
      <c r="AQ86" s="225" t="s">
        <v>6084</v>
      </c>
      <c r="AR86" s="225" t="s">
        <v>6163</v>
      </c>
      <c r="AS86" s="225" t="s">
        <v>6163</v>
      </c>
      <c r="AT86" s="225" t="s">
        <v>6162</v>
      </c>
      <c r="AU86" s="225" t="s">
        <v>6161</v>
      </c>
      <c r="AV86" s="294" t="s">
        <v>6160</v>
      </c>
      <c r="AW86" s="294" t="s">
        <v>6159</v>
      </c>
      <c r="AX86" s="225"/>
      <c r="AY86" s="229" t="s">
        <v>6158</v>
      </c>
      <c r="AZ86" s="225"/>
      <c r="BA86" s="225" t="s">
        <v>6157</v>
      </c>
      <c r="BB86" s="225" t="s">
        <v>6156</v>
      </c>
      <c r="BC86" s="225" t="s">
        <v>6155</v>
      </c>
      <c r="BD86" s="225" t="s">
        <v>6154</v>
      </c>
      <c r="BE86" s="229" t="s">
        <v>6153</v>
      </c>
      <c r="BF86" s="225"/>
      <c r="BG86" s="225"/>
      <c r="BH86" s="225" t="s">
        <v>6152</v>
      </c>
      <c r="BI86" s="225" t="s">
        <v>6151</v>
      </c>
      <c r="BJ86" s="225"/>
      <c r="BK86" s="225" t="s">
        <v>1924</v>
      </c>
      <c r="BL86" s="225"/>
      <c r="BM86" s="225"/>
      <c r="BN86" s="226"/>
      <c r="BO86" s="225" t="s">
        <v>6150</v>
      </c>
      <c r="BP86" s="225"/>
      <c r="BQ86" s="225"/>
      <c r="BR86" s="233" t="s">
        <v>15</v>
      </c>
      <c r="BS86" s="225" t="s">
        <v>656</v>
      </c>
      <c r="BT86" s="225"/>
      <c r="BU86" s="225" t="s">
        <v>5999</v>
      </c>
      <c r="BV86" s="225" t="s">
        <v>6148</v>
      </c>
      <c r="BW86" s="225"/>
      <c r="BX86" s="225" t="s">
        <v>6149</v>
      </c>
      <c r="BY86" s="225" t="s">
        <v>6148</v>
      </c>
      <c r="BZ86" s="225" t="s">
        <v>6147</v>
      </c>
      <c r="CA86" s="225"/>
      <c r="CB86" s="225"/>
      <c r="CC86" s="225" t="s">
        <v>6146</v>
      </c>
      <c r="CD86" s="229" t="s">
        <v>6145</v>
      </c>
      <c r="CE86" s="229" t="s">
        <v>6144</v>
      </c>
      <c r="CF86" s="229" t="s">
        <v>6143</v>
      </c>
      <c r="CG86" s="229" t="s">
        <v>6142</v>
      </c>
      <c r="CH86" s="229"/>
      <c r="CI86" s="229"/>
      <c r="CJ86" s="229"/>
      <c r="CK86" s="229" t="s">
        <v>6141</v>
      </c>
      <c r="CL86" s="229"/>
      <c r="CM86" s="229" t="s">
        <v>6140</v>
      </c>
      <c r="CN86" s="225" t="s">
        <v>6139</v>
      </c>
      <c r="CO86" s="225"/>
      <c r="CP86" s="226" t="s">
        <v>6138</v>
      </c>
      <c r="CQ86" s="406"/>
      <c r="CR86" s="394" t="s">
        <v>6137</v>
      </c>
      <c r="CS86" s="225" t="s">
        <v>6136</v>
      </c>
      <c r="CT86" s="225"/>
      <c r="CU86" s="225"/>
      <c r="CV86" s="225"/>
      <c r="CW86" s="225" t="s">
        <v>656</v>
      </c>
      <c r="CX86" s="225">
        <v>0</v>
      </c>
      <c r="CY86" s="225"/>
      <c r="CZ86" s="225" t="s">
        <v>6135</v>
      </c>
      <c r="DA86" s="225" t="s">
        <v>6134</v>
      </c>
      <c r="DB86" s="225" t="s">
        <v>6133</v>
      </c>
      <c r="DC86" s="225" t="s">
        <v>6132</v>
      </c>
      <c r="DD86" s="225"/>
      <c r="DE86" s="225"/>
      <c r="DF86" s="225" t="s">
        <v>470</v>
      </c>
      <c r="DG86" s="225" t="s">
        <v>6131</v>
      </c>
      <c r="DH86" s="225"/>
      <c r="DI86" s="225"/>
      <c r="DJ86" s="225" t="s">
        <v>6130</v>
      </c>
      <c r="DK86" s="225" t="s">
        <v>5996</v>
      </c>
      <c r="DL86" s="225" t="s">
        <v>6129</v>
      </c>
      <c r="DM86" s="224" t="s">
        <v>6128</v>
      </c>
      <c r="DN86" s="225" t="s">
        <v>6127</v>
      </c>
      <c r="DO86" s="225"/>
      <c r="DP86" s="225" t="s">
        <v>6126</v>
      </c>
      <c r="DQ86" s="225" t="s">
        <v>6126</v>
      </c>
      <c r="DR86" s="225" t="s">
        <v>6126</v>
      </c>
      <c r="DS86" s="225" t="s">
        <v>6126</v>
      </c>
      <c r="DT86" s="225" t="s">
        <v>6125</v>
      </c>
      <c r="DU86" s="225" t="s">
        <v>6124</v>
      </c>
      <c r="DV86" s="225" t="s">
        <v>6123</v>
      </c>
      <c r="DW86" s="246" t="s">
        <v>6122</v>
      </c>
      <c r="DX86" s="225" t="s">
        <v>6121</v>
      </c>
      <c r="DY86" s="225" t="s">
        <v>6120</v>
      </c>
      <c r="DZ86" s="225" t="s">
        <v>6119</v>
      </c>
      <c r="EA86" s="225"/>
      <c r="EB86" s="225"/>
      <c r="EC86" s="226"/>
      <c r="ED86" s="225"/>
      <c r="EE86" s="225" t="s">
        <v>656</v>
      </c>
      <c r="EF86" s="225"/>
      <c r="EG86" s="226"/>
      <c r="EH86" s="225" t="s">
        <v>5889</v>
      </c>
      <c r="EI86" s="225" t="s">
        <v>6118</v>
      </c>
      <c r="EJ86" s="226"/>
      <c r="EK86" s="226"/>
      <c r="EL86" s="226"/>
      <c r="EM86" s="226"/>
      <c r="EN86" s="226"/>
      <c r="EO86" s="226"/>
      <c r="EP86" s="226"/>
      <c r="EQ86" s="226"/>
      <c r="ER86" s="225" t="s">
        <v>2187</v>
      </c>
      <c r="ES86" s="225" t="s">
        <v>6114</v>
      </c>
      <c r="ET86" s="225" t="s">
        <v>6116</v>
      </c>
      <c r="EU86" s="225" t="s">
        <v>6117</v>
      </c>
      <c r="EV86" s="225" t="s">
        <v>6116</v>
      </c>
      <c r="EW86" s="225" t="s">
        <v>6115</v>
      </c>
      <c r="EX86" s="225" t="s">
        <v>6114</v>
      </c>
      <c r="EY86" s="225" t="s">
        <v>6113</v>
      </c>
      <c r="EZ86" s="229" t="s">
        <v>6112</v>
      </c>
      <c r="FA86" s="226" t="s">
        <v>6111</v>
      </c>
      <c r="FB86" s="226" t="s">
        <v>6110</v>
      </c>
      <c r="FC86" s="226" t="s">
        <v>6109</v>
      </c>
      <c r="FD86" s="226"/>
      <c r="FE86" s="404" t="s">
        <v>6108</v>
      </c>
      <c r="FF86" s="225" t="s">
        <v>470</v>
      </c>
      <c r="FG86" s="225" t="s">
        <v>470</v>
      </c>
      <c r="FH86" s="225" t="s">
        <v>470</v>
      </c>
      <c r="FI86" s="394" t="s">
        <v>6107</v>
      </c>
      <c r="FJ86" s="394" t="s">
        <v>6106</v>
      </c>
      <c r="FK86" s="394"/>
      <c r="FL86" s="394" t="s">
        <v>656</v>
      </c>
      <c r="FM86" s="225" t="s">
        <v>6105</v>
      </c>
      <c r="FN86" s="225"/>
      <c r="FO86" s="394" t="s">
        <v>6104</v>
      </c>
      <c r="FP86" s="394"/>
      <c r="FQ86" s="394" t="s">
        <v>539</v>
      </c>
      <c r="FR86" s="394" t="s">
        <v>6103</v>
      </c>
      <c r="FS86" s="394"/>
      <c r="FT86" s="394"/>
      <c r="FU86" s="226"/>
      <c r="FV86" s="394"/>
      <c r="FW86" s="394" t="s">
        <v>6102</v>
      </c>
      <c r="FX86" s="225" t="s">
        <v>6101</v>
      </c>
      <c r="FY86" s="226"/>
      <c r="FZ86" s="394"/>
      <c r="GA86" s="394" t="s">
        <v>6100</v>
      </c>
      <c r="GB86" s="394" t="s">
        <v>6099</v>
      </c>
      <c r="GC86" s="394"/>
      <c r="GD86" s="394"/>
      <c r="GE86" s="394" t="s">
        <v>6098</v>
      </c>
      <c r="GF86" s="394" t="s">
        <v>6098</v>
      </c>
      <c r="GG86" s="394" t="s">
        <v>6097</v>
      </c>
      <c r="GH86" s="394" t="s">
        <v>6096</v>
      </c>
      <c r="GI86" s="226"/>
      <c r="GJ86" s="394" t="s">
        <v>6095</v>
      </c>
      <c r="GK86" s="394" t="s">
        <v>6094</v>
      </c>
      <c r="GL86" s="394" t="s">
        <v>6093</v>
      </c>
      <c r="GM86" s="394" t="s">
        <v>5699</v>
      </c>
      <c r="GN86" s="394"/>
      <c r="GO86" s="226"/>
      <c r="GP86" s="394" t="s">
        <v>6092</v>
      </c>
      <c r="GQ86" s="226"/>
      <c r="GR86" s="394"/>
      <c r="GS86" s="394" t="s">
        <v>6091</v>
      </c>
      <c r="GT86" s="394"/>
      <c r="GU86" s="394" t="s">
        <v>470</v>
      </c>
      <c r="GV86" s="394" t="s">
        <v>6090</v>
      </c>
      <c r="GW86" s="226"/>
      <c r="GX86" s="225" t="s">
        <v>6089</v>
      </c>
      <c r="GY86" s="225" t="s">
        <v>6089</v>
      </c>
      <c r="GZ86" s="394" t="s">
        <v>1924</v>
      </c>
      <c r="HA86" s="225" t="s">
        <v>6088</v>
      </c>
      <c r="HB86" s="225" t="s">
        <v>6087</v>
      </c>
      <c r="HC86" s="225" t="s">
        <v>470</v>
      </c>
      <c r="HD86" s="225" t="s">
        <v>6086</v>
      </c>
      <c r="HE86" s="225" t="s">
        <v>6085</v>
      </c>
      <c r="HF86" s="226"/>
      <c r="HG86" s="227" t="s">
        <v>6084</v>
      </c>
      <c r="HH86" s="227" t="s">
        <v>6083</v>
      </c>
      <c r="HI86" s="227" t="s">
        <v>656</v>
      </c>
      <c r="HJ86" s="225" t="s">
        <v>656</v>
      </c>
      <c r="HK86" s="227" t="s">
        <v>6082</v>
      </c>
      <c r="HL86" s="226"/>
      <c r="HM86" s="225" t="s">
        <v>6081</v>
      </c>
      <c r="HN86" s="226"/>
      <c r="HO86" s="225" t="s">
        <v>6080</v>
      </c>
      <c r="HP86" s="225" t="s">
        <v>6079</v>
      </c>
      <c r="HQ86" s="225" t="s">
        <v>6078</v>
      </c>
      <c r="HR86" s="225" t="s">
        <v>6077</v>
      </c>
      <c r="HS86" s="225" t="s">
        <v>6076</v>
      </c>
      <c r="HT86" s="225" t="s">
        <v>6076</v>
      </c>
      <c r="HU86" s="225" t="s">
        <v>6075</v>
      </c>
      <c r="HV86" s="225" t="s">
        <v>6074</v>
      </c>
      <c r="HW86" s="225" t="s">
        <v>470</v>
      </c>
      <c r="HX86" s="225" t="s">
        <v>6073</v>
      </c>
      <c r="HY86" s="225"/>
      <c r="HZ86" s="225" t="s">
        <v>656</v>
      </c>
      <c r="IA86" s="225"/>
      <c r="IB86" s="225" t="s">
        <v>9521</v>
      </c>
      <c r="IC86" s="225" t="s">
        <v>6072</v>
      </c>
      <c r="ID86" s="225" t="s">
        <v>6071</v>
      </c>
      <c r="IE86" s="225" t="s">
        <v>6071</v>
      </c>
      <c r="IF86" s="225" t="s">
        <v>6071</v>
      </c>
      <c r="IG86" s="225" t="s">
        <v>6070</v>
      </c>
      <c r="IH86" s="229" t="s">
        <v>6069</v>
      </c>
      <c r="II86" s="357" t="s">
        <v>6068</v>
      </c>
      <c r="IJ86" s="225" t="s">
        <v>6067</v>
      </c>
      <c r="IK86" s="225" t="s">
        <v>6067</v>
      </c>
      <c r="IL86" s="226" t="s">
        <v>6066</v>
      </c>
      <c r="IM86" s="226" t="s">
        <v>6066</v>
      </c>
      <c r="IN86" s="225" t="s">
        <v>6065</v>
      </c>
      <c r="IO86" s="225" t="s">
        <v>6064</v>
      </c>
      <c r="IP86" s="225" t="s">
        <v>6064</v>
      </c>
      <c r="IQ86" s="225" t="s">
        <v>6064</v>
      </c>
      <c r="IR86" s="225" t="s">
        <v>6063</v>
      </c>
      <c r="IS86" s="225" t="s">
        <v>6062</v>
      </c>
      <c r="IT86" s="225" t="s">
        <v>6061</v>
      </c>
      <c r="IU86" s="225" t="s">
        <v>6060</v>
      </c>
      <c r="IV86" s="225" t="s">
        <v>6059</v>
      </c>
      <c r="IW86" s="225" t="s">
        <v>6058</v>
      </c>
      <c r="IX86" s="225" t="s">
        <v>6057</v>
      </c>
      <c r="IY86" s="225" t="s">
        <v>6056</v>
      </c>
      <c r="IZ86" s="225"/>
      <c r="JA86" s="225"/>
      <c r="JB86" s="225"/>
      <c r="JC86" s="225" t="s">
        <v>6055</v>
      </c>
      <c r="JD86" s="225"/>
      <c r="JE86" s="226"/>
      <c r="JF86" s="226"/>
      <c r="JG86" s="226"/>
      <c r="JH86" s="225" t="s">
        <v>6054</v>
      </c>
      <c r="JI86" s="225" t="s">
        <v>6053</v>
      </c>
      <c r="JJ86" s="225" t="s">
        <v>6052</v>
      </c>
      <c r="JK86" s="237" t="s">
        <v>6051</v>
      </c>
      <c r="JL86" s="225" t="s">
        <v>656</v>
      </c>
      <c r="JM86" s="225" t="s">
        <v>6050</v>
      </c>
      <c r="JN86" s="226"/>
      <c r="JO86" s="226"/>
      <c r="JP86" s="226"/>
      <c r="JQ86" s="225"/>
      <c r="JR86" s="225" t="s">
        <v>470</v>
      </c>
      <c r="JS86" s="225" t="s">
        <v>470</v>
      </c>
      <c r="JT86" s="225" t="s">
        <v>6049</v>
      </c>
      <c r="JU86" s="225" t="s">
        <v>6048</v>
      </c>
      <c r="JV86" s="225" t="s">
        <v>6047</v>
      </c>
      <c r="JW86" s="225" t="s">
        <v>6046</v>
      </c>
      <c r="JX86" s="225" t="s">
        <v>656</v>
      </c>
      <c r="JY86" s="225" t="s">
        <v>6045</v>
      </c>
      <c r="JZ86" s="225">
        <v>0</v>
      </c>
      <c r="KA86" s="225" t="s">
        <v>6044</v>
      </c>
      <c r="KB86" s="225"/>
      <c r="KC86" s="225" t="s">
        <v>6043</v>
      </c>
      <c r="KD86" s="225" t="s">
        <v>6042</v>
      </c>
      <c r="KE86" s="232" t="s">
        <v>6041</v>
      </c>
      <c r="KF86" s="225" t="s">
        <v>6040</v>
      </c>
      <c r="KG86" s="225" t="s">
        <v>6039</v>
      </c>
      <c r="KH86" s="225" t="s">
        <v>6038</v>
      </c>
      <c r="KI86" s="225" t="s">
        <v>6037</v>
      </c>
      <c r="KJ86" s="225" t="s">
        <v>6036</v>
      </c>
      <c r="KK86" s="294" t="s">
        <v>6035</v>
      </c>
      <c r="KL86" s="225" t="s">
        <v>6034</v>
      </c>
      <c r="KM86" s="322" t="s">
        <v>470</v>
      </c>
      <c r="KN86" s="225" t="s">
        <v>6033</v>
      </c>
      <c r="KO86" s="322" t="s">
        <v>6032</v>
      </c>
      <c r="KP86" s="225" t="s">
        <v>6031</v>
      </c>
      <c r="KQ86" s="226"/>
      <c r="KR86" s="226"/>
      <c r="KS86" s="226"/>
      <c r="KT86" s="226"/>
      <c r="KU86" s="226"/>
      <c r="KV86" s="225" t="s">
        <v>6030</v>
      </c>
      <c r="KW86" s="225" t="s">
        <v>6029</v>
      </c>
      <c r="KX86" s="228" t="s">
        <v>9301</v>
      </c>
      <c r="KY86" s="793"/>
      <c r="KZ86" s="225"/>
      <c r="LA86" s="225"/>
      <c r="LB86" s="225"/>
      <c r="LC86" s="225"/>
      <c r="LD86" s="225"/>
      <c r="LE86" s="225" t="s">
        <v>9203</v>
      </c>
      <c r="LF86" s="225"/>
      <c r="LG86" s="225"/>
      <c r="LH86" s="225"/>
      <c r="LI86" s="225" t="s">
        <v>9134</v>
      </c>
      <c r="LJ86" s="225" t="s">
        <v>9134</v>
      </c>
      <c r="LK86" s="225" t="s">
        <v>6028</v>
      </c>
      <c r="LL86" s="225" t="s">
        <v>5556</v>
      </c>
      <c r="LM86" s="226"/>
      <c r="LN86" s="225" t="s">
        <v>470</v>
      </c>
      <c r="LO86" s="225"/>
      <c r="LP86" s="225" t="s">
        <v>6027</v>
      </c>
      <c r="LQ86" s="225" t="s">
        <v>6026</v>
      </c>
      <c r="LR86" s="225" t="s">
        <v>6025</v>
      </c>
      <c r="LS86" s="225" t="s">
        <v>9530</v>
      </c>
      <c r="LT86" s="234" t="s">
        <v>6024</v>
      </c>
      <c r="LU86" s="225"/>
      <c r="LV86" s="225" t="s">
        <v>6023</v>
      </c>
      <c r="LW86" s="225" t="s">
        <v>6022</v>
      </c>
      <c r="LX86" s="225" t="s">
        <v>6021</v>
      </c>
      <c r="LY86" s="225" t="s">
        <v>6020</v>
      </c>
      <c r="LZ86" s="225" t="s">
        <v>6019</v>
      </c>
      <c r="MA86" s="225"/>
      <c r="MB86" s="225" t="s">
        <v>6018</v>
      </c>
      <c r="MC86" s="225" t="s">
        <v>6017</v>
      </c>
      <c r="MD86" s="225" t="s">
        <v>6016</v>
      </c>
      <c r="ME86" s="225" t="s">
        <v>6015</v>
      </c>
      <c r="MF86" s="225"/>
      <c r="MG86" s="226"/>
      <c r="MH86" s="226"/>
      <c r="MI86" s="226"/>
      <c r="MJ86" s="235" t="s">
        <v>6014</v>
      </c>
      <c r="MK86" s="235"/>
      <c r="ML86" s="235" t="s">
        <v>6013</v>
      </c>
      <c r="MM86" s="235" t="s">
        <v>6012</v>
      </c>
      <c r="MN86" s="236" t="s">
        <v>6011</v>
      </c>
      <c r="MO86" s="236" t="s">
        <v>6010</v>
      </c>
      <c r="MP86" s="236" t="s">
        <v>6009</v>
      </c>
      <c r="MQ86" s="236" t="s">
        <v>6008</v>
      </c>
      <c r="MR86" s="236" t="s">
        <v>1924</v>
      </c>
      <c r="MS86" s="236" t="s">
        <v>1924</v>
      </c>
      <c r="MT86" s="235" t="s">
        <v>6007</v>
      </c>
      <c r="MU86" s="236" t="s">
        <v>6006</v>
      </c>
      <c r="MV86" s="235" t="s">
        <v>6005</v>
      </c>
      <c r="MW86" s="235"/>
      <c r="MX86" s="226"/>
      <c r="MY86" s="226"/>
      <c r="MZ86" s="226"/>
      <c r="NA86" s="226"/>
    </row>
    <row r="87" spans="1:365" ht="272" x14ac:dyDescent="0.2">
      <c r="A87" s="1216"/>
      <c r="B87" s="1217"/>
      <c r="C87" s="1218"/>
      <c r="D87" s="215" t="s">
        <v>34</v>
      </c>
      <c r="E87" s="225"/>
      <c r="F87" s="225"/>
      <c r="G87" s="225" t="s">
        <v>656</v>
      </c>
      <c r="H87" s="225" t="s">
        <v>656</v>
      </c>
      <c r="I87" s="225" t="s">
        <v>656</v>
      </c>
      <c r="J87" s="225"/>
      <c r="K87" s="225" t="s">
        <v>1924</v>
      </c>
      <c r="L87" s="225"/>
      <c r="M87" s="225" t="s">
        <v>1924</v>
      </c>
      <c r="N87" s="225" t="s">
        <v>1924</v>
      </c>
      <c r="O87" s="225" t="s">
        <v>1924</v>
      </c>
      <c r="P87" s="400" t="s">
        <v>1924</v>
      </c>
      <c r="Q87" s="225" t="s">
        <v>470</v>
      </c>
      <c r="R87" s="322" t="s">
        <v>5934</v>
      </c>
      <c r="S87" s="225"/>
      <c r="T87" s="225" t="s">
        <v>6004</v>
      </c>
      <c r="U87" s="225"/>
      <c r="V87" s="225" t="s">
        <v>6003</v>
      </c>
      <c r="W87" s="226"/>
      <c r="X87" s="226"/>
      <c r="Y87" s="226"/>
      <c r="Z87" s="226"/>
      <c r="AA87" s="226"/>
      <c r="AB87" s="226"/>
      <c r="AC87" s="226"/>
      <c r="AD87" s="226"/>
      <c r="AE87" s="226"/>
      <c r="AF87" s="225" t="s">
        <v>470</v>
      </c>
      <c r="AG87" s="225"/>
      <c r="AH87" s="226"/>
      <c r="AI87" s="225" t="s">
        <v>470</v>
      </c>
      <c r="AJ87" s="225"/>
      <c r="AK87" s="456" t="s">
        <v>6002</v>
      </c>
      <c r="AL87" s="225"/>
      <c r="AM87" s="226"/>
      <c r="AN87" s="226"/>
      <c r="AO87" s="226"/>
      <c r="AP87" s="226"/>
      <c r="AQ87" s="225"/>
      <c r="AR87" s="225"/>
      <c r="AS87" s="225"/>
      <c r="AT87" s="225"/>
      <c r="AU87" s="225"/>
      <c r="AV87" s="368" t="s">
        <v>6001</v>
      </c>
      <c r="AW87" s="225"/>
      <c r="AX87" s="225"/>
      <c r="AY87" s="229" t="s">
        <v>2234</v>
      </c>
      <c r="AZ87" s="225"/>
      <c r="BA87" s="225" t="s">
        <v>6000</v>
      </c>
      <c r="BB87" s="225"/>
      <c r="BC87" s="225"/>
      <c r="BD87" s="225"/>
      <c r="BE87" s="229"/>
      <c r="BF87" s="225"/>
      <c r="BG87" s="225"/>
      <c r="BH87" s="225" t="s">
        <v>470</v>
      </c>
      <c r="BI87" s="225"/>
      <c r="BJ87" s="225"/>
      <c r="BK87" s="225" t="s">
        <v>1924</v>
      </c>
      <c r="BL87" s="225"/>
      <c r="BM87" s="225"/>
      <c r="BN87" s="226"/>
      <c r="BO87" s="225"/>
      <c r="BP87" s="225"/>
      <c r="BQ87" s="225"/>
      <c r="BR87" s="233" t="s">
        <v>34</v>
      </c>
      <c r="BS87" s="225" t="s">
        <v>656</v>
      </c>
      <c r="BT87" s="225"/>
      <c r="BU87" s="225" t="s">
        <v>5999</v>
      </c>
      <c r="BV87" s="225"/>
      <c r="BW87" s="225"/>
      <c r="BX87" s="225"/>
      <c r="BY87" s="225"/>
      <c r="BZ87" s="225"/>
      <c r="CA87" s="225"/>
      <c r="CB87" s="225"/>
      <c r="CC87" s="225"/>
      <c r="CD87" s="229"/>
      <c r="CE87" s="229"/>
      <c r="CF87" s="229"/>
      <c r="CG87" s="430" t="s">
        <v>4847</v>
      </c>
      <c r="CH87" s="229"/>
      <c r="CI87" s="229"/>
      <c r="CJ87" s="229"/>
      <c r="CK87" s="229"/>
      <c r="CL87" s="229"/>
      <c r="CM87" s="229"/>
      <c r="CN87" s="225"/>
      <c r="CO87" s="225"/>
      <c r="CP87" s="225"/>
      <c r="CQ87" s="406" t="s">
        <v>5998</v>
      </c>
      <c r="CR87" s="394"/>
      <c r="CS87" s="225"/>
      <c r="CT87" s="225"/>
      <c r="CU87" s="225"/>
      <c r="CV87" s="225"/>
      <c r="CW87" s="225" t="s">
        <v>656</v>
      </c>
      <c r="CX87" s="225">
        <v>0</v>
      </c>
      <c r="CY87" s="225"/>
      <c r="CZ87" s="225"/>
      <c r="DA87" s="225"/>
      <c r="DB87" s="225" t="s">
        <v>5997</v>
      </c>
      <c r="DC87" s="225"/>
      <c r="DD87" s="225"/>
      <c r="DE87" s="225"/>
      <c r="DF87" s="225"/>
      <c r="DG87" s="225"/>
      <c r="DH87" s="225"/>
      <c r="DI87" s="225"/>
      <c r="DJ87" s="225"/>
      <c r="DK87" s="225" t="s">
        <v>5996</v>
      </c>
      <c r="DL87" s="225" t="s">
        <v>470</v>
      </c>
      <c r="DM87" s="225" t="s">
        <v>5900</v>
      </c>
      <c r="DN87" s="279" t="s">
        <v>5899</v>
      </c>
      <c r="DO87" s="225"/>
      <c r="DP87" s="225" t="s">
        <v>470</v>
      </c>
      <c r="DQ87" s="225" t="s">
        <v>470</v>
      </c>
      <c r="DR87" s="225" t="s">
        <v>470</v>
      </c>
      <c r="DS87" s="225" t="s">
        <v>470</v>
      </c>
      <c r="DT87" s="225" t="s">
        <v>470</v>
      </c>
      <c r="DU87" s="225" t="s">
        <v>1924</v>
      </c>
      <c r="DV87" s="225" t="s">
        <v>5995</v>
      </c>
      <c r="DW87" s="246" t="s">
        <v>2234</v>
      </c>
      <c r="DX87" s="225" t="s">
        <v>5994</v>
      </c>
      <c r="DY87" s="225"/>
      <c r="DZ87" s="225" t="s">
        <v>470</v>
      </c>
      <c r="EA87" s="225"/>
      <c r="EB87" s="225"/>
      <c r="EC87" s="226"/>
      <c r="ED87" s="225"/>
      <c r="EE87" s="225" t="s">
        <v>656</v>
      </c>
      <c r="EF87" s="263"/>
      <c r="EG87" s="226"/>
      <c r="EH87" s="225"/>
      <c r="EI87" s="260" t="s">
        <v>5993</v>
      </c>
      <c r="EJ87" s="226"/>
      <c r="EK87" s="226"/>
      <c r="EL87" s="226"/>
      <c r="EM87" s="226"/>
      <c r="EN87" s="226"/>
      <c r="EO87" s="226"/>
      <c r="EP87" s="226"/>
      <c r="EQ87" s="226"/>
      <c r="ER87" s="225"/>
      <c r="ES87" s="225"/>
      <c r="ET87" s="225"/>
      <c r="EU87" s="225"/>
      <c r="EV87" s="225"/>
      <c r="EW87" s="225"/>
      <c r="EX87" s="225"/>
      <c r="EY87" s="225"/>
      <c r="EZ87" s="229"/>
      <c r="FA87" s="225"/>
      <c r="FB87" s="260" t="s">
        <v>5371</v>
      </c>
      <c r="FC87" s="225"/>
      <c r="FD87" s="226"/>
      <c r="FE87" s="404"/>
      <c r="FF87" s="225" t="s">
        <v>470</v>
      </c>
      <c r="FG87" s="225" t="s">
        <v>470</v>
      </c>
      <c r="FH87" s="392" t="s">
        <v>470</v>
      </c>
      <c r="FI87" s="394" t="s">
        <v>656</v>
      </c>
      <c r="FJ87" s="394" t="s">
        <v>656</v>
      </c>
      <c r="FK87" s="394"/>
      <c r="FL87" s="394" t="s">
        <v>656</v>
      </c>
      <c r="FM87" s="225" t="s">
        <v>470</v>
      </c>
      <c r="FN87" s="225"/>
      <c r="FO87" s="394"/>
      <c r="FP87" s="394"/>
      <c r="FQ87" s="394" t="s">
        <v>539</v>
      </c>
      <c r="FR87" s="388" t="s">
        <v>4908</v>
      </c>
      <c r="FS87" s="388"/>
      <c r="FT87" s="394"/>
      <c r="FU87" s="226"/>
      <c r="FV87" s="394"/>
      <c r="FW87" s="388" t="s">
        <v>5992</v>
      </c>
      <c r="FX87" s="260" t="s">
        <v>470</v>
      </c>
      <c r="FY87" s="226"/>
      <c r="FZ87" s="394"/>
      <c r="GA87" s="394"/>
      <c r="GB87" s="394"/>
      <c r="GC87" s="394"/>
      <c r="GD87" s="394"/>
      <c r="GE87" s="394"/>
      <c r="GF87" s="394"/>
      <c r="GG87" s="394" t="s">
        <v>4906</v>
      </c>
      <c r="GH87" s="394" t="s">
        <v>4906</v>
      </c>
      <c r="GI87" s="226"/>
      <c r="GJ87" s="394"/>
      <c r="GK87" s="388" t="s">
        <v>5991</v>
      </c>
      <c r="GL87" s="394"/>
      <c r="GM87" s="394"/>
      <c r="GN87" s="394"/>
      <c r="GO87" s="226"/>
      <c r="GP87" s="394"/>
      <c r="GQ87" s="226"/>
      <c r="GR87" s="394"/>
      <c r="GS87" s="394" t="s">
        <v>470</v>
      </c>
      <c r="GT87" s="394"/>
      <c r="GU87" s="394"/>
      <c r="GV87" s="394"/>
      <c r="GW87" s="226"/>
      <c r="GX87" s="225"/>
      <c r="GY87" s="225"/>
      <c r="GZ87" s="394"/>
      <c r="HA87" s="225"/>
      <c r="HB87" s="225"/>
      <c r="HC87" s="225"/>
      <c r="HD87" s="225"/>
      <c r="HE87" s="225"/>
      <c r="HF87" s="226"/>
      <c r="HG87" s="227" t="s">
        <v>656</v>
      </c>
      <c r="HH87" s="227" t="s">
        <v>656</v>
      </c>
      <c r="HI87" s="227" t="s">
        <v>656</v>
      </c>
      <c r="HJ87" s="225" t="s">
        <v>656</v>
      </c>
      <c r="HK87" s="261" t="s">
        <v>5990</v>
      </c>
      <c r="HL87" s="226"/>
      <c r="HM87" s="225"/>
      <c r="HN87" s="226"/>
      <c r="HO87" s="225"/>
      <c r="HP87" s="225" t="s">
        <v>1924</v>
      </c>
      <c r="HQ87" s="225"/>
      <c r="HR87" s="225"/>
      <c r="HS87" s="225"/>
      <c r="HT87" s="225"/>
      <c r="HU87" s="225"/>
      <c r="HV87" s="225"/>
      <c r="HW87" s="225"/>
      <c r="HX87" s="225"/>
      <c r="HY87" s="225"/>
      <c r="HZ87" s="225" t="s">
        <v>656</v>
      </c>
      <c r="IA87" s="225"/>
      <c r="IB87" s="225"/>
      <c r="IC87" s="332"/>
      <c r="ID87" s="260" t="s">
        <v>5989</v>
      </c>
      <c r="IE87" s="264" t="s">
        <v>5989</v>
      </c>
      <c r="IF87" s="260" t="s">
        <v>5989</v>
      </c>
      <c r="IG87" s="260" t="s">
        <v>4400</v>
      </c>
      <c r="IH87" s="278" t="s">
        <v>5988</v>
      </c>
      <c r="II87" s="260" t="s">
        <v>5987</v>
      </c>
      <c r="IJ87" s="260" t="s">
        <v>5986</v>
      </c>
      <c r="IK87" s="260" t="s">
        <v>5986</v>
      </c>
      <c r="IL87" s="226" t="s">
        <v>5985</v>
      </c>
      <c r="IM87" s="226" t="s">
        <v>5985</v>
      </c>
      <c r="IN87" s="260" t="s">
        <v>5984</v>
      </c>
      <c r="IO87" s="260" t="s">
        <v>5983</v>
      </c>
      <c r="IP87" s="260" t="s">
        <v>5983</v>
      </c>
      <c r="IQ87" s="260" t="s">
        <v>5983</v>
      </c>
      <c r="IR87" s="260" t="s">
        <v>5982</v>
      </c>
      <c r="IS87" s="260" t="s">
        <v>5981</v>
      </c>
      <c r="IT87" s="260" t="s">
        <v>5980</v>
      </c>
      <c r="IU87" s="260" t="s">
        <v>5979</v>
      </c>
      <c r="IV87" s="225" t="s">
        <v>5978</v>
      </c>
      <c r="IW87" s="260" t="s">
        <v>5977</v>
      </c>
      <c r="IX87" s="260" t="s">
        <v>5976</v>
      </c>
      <c r="IY87" s="260" t="s">
        <v>5975</v>
      </c>
      <c r="IZ87" s="225"/>
      <c r="JA87" s="225"/>
      <c r="JB87" s="225"/>
      <c r="JC87" s="225" t="s">
        <v>656</v>
      </c>
      <c r="JD87" s="225"/>
      <c r="JE87" s="226"/>
      <c r="JF87" s="226"/>
      <c r="JG87" s="226"/>
      <c r="JH87" s="225"/>
      <c r="JI87" s="225"/>
      <c r="JJ87" s="225" t="s">
        <v>656</v>
      </c>
      <c r="JK87" s="237" t="s">
        <v>5974</v>
      </c>
      <c r="JL87" s="225" t="s">
        <v>656</v>
      </c>
      <c r="JM87" s="225"/>
      <c r="JN87" s="226"/>
      <c r="JO87" s="226"/>
      <c r="JP87" s="226"/>
      <c r="JQ87" s="225"/>
      <c r="JR87" s="225" t="s">
        <v>656</v>
      </c>
      <c r="JS87" s="225"/>
      <c r="JT87" s="260" t="s">
        <v>5973</v>
      </c>
      <c r="JU87" s="225"/>
      <c r="JV87" s="260" t="s">
        <v>5972</v>
      </c>
      <c r="JW87" s="225" t="s">
        <v>656</v>
      </c>
      <c r="JX87" s="225" t="s">
        <v>656</v>
      </c>
      <c r="JY87" s="225"/>
      <c r="JZ87" s="225">
        <v>0</v>
      </c>
      <c r="KA87" s="225"/>
      <c r="KB87" s="225"/>
      <c r="KC87" s="225" t="s">
        <v>3007</v>
      </c>
      <c r="KD87" s="225" t="s">
        <v>656</v>
      </c>
      <c r="KE87" s="232" t="s">
        <v>656</v>
      </c>
      <c r="KF87" s="225" t="s">
        <v>656</v>
      </c>
      <c r="KG87" s="225" t="s">
        <v>470</v>
      </c>
      <c r="KH87" s="260" t="s">
        <v>5067</v>
      </c>
      <c r="KI87" s="225" t="s">
        <v>470</v>
      </c>
      <c r="KJ87" s="225"/>
      <c r="KK87" s="225" t="s">
        <v>656</v>
      </c>
      <c r="KL87" s="225" t="s">
        <v>656</v>
      </c>
      <c r="KM87" s="349"/>
      <c r="KN87" s="225" t="s">
        <v>656</v>
      </c>
      <c r="KO87" s="322" t="s">
        <v>656</v>
      </c>
      <c r="KP87" s="225"/>
      <c r="KQ87" s="226"/>
      <c r="KR87" s="226"/>
      <c r="KS87" s="226"/>
      <c r="KT87" s="226"/>
      <c r="KU87" s="226"/>
      <c r="KV87" s="225" t="s">
        <v>656</v>
      </c>
      <c r="KW87" s="225"/>
      <c r="KX87" s="228"/>
      <c r="KY87" s="793"/>
      <c r="KZ87" s="225"/>
      <c r="LA87" s="225"/>
      <c r="LB87" s="225"/>
      <c r="LC87" s="225"/>
      <c r="LD87" s="225"/>
      <c r="LE87" s="225"/>
      <c r="LF87" s="225"/>
      <c r="LG87" s="225"/>
      <c r="LH87" s="225"/>
      <c r="LI87" s="225"/>
      <c r="LJ87" s="225"/>
      <c r="LK87" s="225"/>
      <c r="LL87" s="225"/>
      <c r="LM87" s="226"/>
      <c r="LN87" s="225"/>
      <c r="LO87" s="225"/>
      <c r="LP87" s="225" t="s">
        <v>5473</v>
      </c>
      <c r="LQ87" s="225"/>
      <c r="LR87" s="225"/>
      <c r="LS87" s="225"/>
      <c r="LT87" s="234"/>
      <c r="LU87" s="225"/>
      <c r="LV87" s="225" t="s">
        <v>470</v>
      </c>
      <c r="LW87" s="225"/>
      <c r="LX87" s="225"/>
      <c r="LY87" s="225"/>
      <c r="LZ87" s="260" t="s">
        <v>5971</v>
      </c>
      <c r="MA87" s="225"/>
      <c r="MB87" s="225"/>
      <c r="MC87" s="225"/>
      <c r="MD87" s="225" t="s">
        <v>470</v>
      </c>
      <c r="ME87" s="225"/>
      <c r="MF87" s="225"/>
      <c r="MG87" s="226"/>
      <c r="MH87" s="226"/>
      <c r="MI87" s="226"/>
      <c r="MJ87" s="235"/>
      <c r="MK87" s="235"/>
      <c r="ML87" s="235" t="s">
        <v>656</v>
      </c>
      <c r="MM87" s="235"/>
      <c r="MN87" s="286" t="s">
        <v>5970</v>
      </c>
      <c r="MO87" s="236"/>
      <c r="MP87" s="335" t="s">
        <v>5810</v>
      </c>
      <c r="MQ87" s="236"/>
      <c r="MR87" s="236"/>
      <c r="MS87" s="236"/>
      <c r="MT87" s="235" t="s">
        <v>5969</v>
      </c>
      <c r="MU87" s="236"/>
      <c r="MV87" s="269"/>
      <c r="MW87" s="235" t="s">
        <v>470</v>
      </c>
      <c r="MX87" s="226"/>
      <c r="MY87" s="226"/>
      <c r="MZ87" s="226"/>
      <c r="NA87" s="226"/>
    </row>
    <row r="88" spans="1:365" ht="204" x14ac:dyDescent="0.2">
      <c r="A88" s="1216"/>
      <c r="B88" s="201" t="s">
        <v>181</v>
      </c>
      <c r="C88" s="202" t="s">
        <v>5968</v>
      </c>
      <c r="D88" s="215" t="s">
        <v>64</v>
      </c>
      <c r="E88" s="225" t="s">
        <v>5967</v>
      </c>
      <c r="F88" s="225" t="s">
        <v>5966</v>
      </c>
      <c r="G88" s="305">
        <f>G85/G89</f>
        <v>0.14289871944121071</v>
      </c>
      <c r="H88" s="305">
        <f>H85/H89</f>
        <v>4.5171435240353316E-2</v>
      </c>
      <c r="I88" s="294">
        <f>I85/I89*100</f>
        <v>1.9562141013901608</v>
      </c>
      <c r="J88" s="305">
        <f>J85/J89</f>
        <v>9.1614635000291759E-3</v>
      </c>
      <c r="K88" s="225" t="s">
        <v>5965</v>
      </c>
      <c r="L88" s="310">
        <f>4.393/29.092*100</f>
        <v>15.100371236078647</v>
      </c>
      <c r="M88" s="310">
        <f>0.811/29.092*100</f>
        <v>2.7877079609514648</v>
      </c>
      <c r="N88" s="310">
        <f>4.15/29.092*100</f>
        <v>14.265090059122784</v>
      </c>
      <c r="O88" s="310">
        <f>O85/O89*100</f>
        <v>14.672360940079127</v>
      </c>
      <c r="P88" s="400">
        <v>5.6</v>
      </c>
      <c r="Q88" s="225">
        <v>17.600000000000001</v>
      </c>
      <c r="R88" s="322" t="s">
        <v>5964</v>
      </c>
      <c r="S88" s="225"/>
      <c r="T88" s="225">
        <v>3.3</v>
      </c>
      <c r="U88" s="225">
        <v>3.66</v>
      </c>
      <c r="V88" s="312">
        <v>1</v>
      </c>
      <c r="W88" s="226"/>
      <c r="X88" s="226"/>
      <c r="Y88" s="226"/>
      <c r="Z88" s="226"/>
      <c r="AA88" s="226"/>
      <c r="AB88" s="226"/>
      <c r="AC88" s="226"/>
      <c r="AD88" s="226"/>
      <c r="AE88" s="226"/>
      <c r="AF88" s="359">
        <f>AF85/AF89</f>
        <v>4.1958041958041953E-2</v>
      </c>
      <c r="AG88" s="225">
        <v>3.5000000000000003E-2</v>
      </c>
      <c r="AH88" s="226"/>
      <c r="AI88" s="225">
        <v>100</v>
      </c>
      <c r="AJ88" s="225">
        <v>4.8</v>
      </c>
      <c r="AK88" s="337">
        <f>100*AK85/AK89</f>
        <v>1.3531355958787112</v>
      </c>
      <c r="AL88" s="225">
        <v>4.5999999999999996</v>
      </c>
      <c r="AM88" s="226"/>
      <c r="AN88" s="226"/>
      <c r="AO88" s="226"/>
      <c r="AP88" s="226"/>
      <c r="AQ88" s="225">
        <v>45.87</v>
      </c>
      <c r="AR88" s="305">
        <v>8.5000000000000006E-3</v>
      </c>
      <c r="AS88" s="305">
        <v>6.7999999999999996E-3</v>
      </c>
      <c r="AT88" s="225">
        <v>56.8</v>
      </c>
      <c r="AU88" s="225">
        <v>23.1</v>
      </c>
      <c r="AV88" s="225">
        <v>82.6</v>
      </c>
      <c r="AW88" s="225">
        <v>63.9</v>
      </c>
      <c r="AX88" s="225">
        <v>15.63</v>
      </c>
      <c r="AY88" s="317">
        <v>0.97</v>
      </c>
      <c r="AZ88" s="310">
        <v>4.0999999999999996</v>
      </c>
      <c r="BA88" s="225">
        <v>35.67</v>
      </c>
      <c r="BB88" s="225">
        <v>17.8</v>
      </c>
      <c r="BC88" s="225">
        <v>59</v>
      </c>
      <c r="BD88" s="225">
        <v>82.93</v>
      </c>
      <c r="BE88" s="229">
        <v>12.6</v>
      </c>
      <c r="BF88" s="225">
        <v>2</v>
      </c>
      <c r="BG88" s="225">
        <v>19.86</v>
      </c>
      <c r="BH88" s="225">
        <v>13.5</v>
      </c>
      <c r="BI88" s="312">
        <v>0.84699999999999998</v>
      </c>
      <c r="BJ88" s="225"/>
      <c r="BK88" s="225">
        <v>88.8</v>
      </c>
      <c r="BL88" s="225"/>
      <c r="BM88" s="225"/>
      <c r="BN88" s="226"/>
      <c r="BO88" s="225">
        <v>100</v>
      </c>
      <c r="BP88" s="225">
        <v>100</v>
      </c>
      <c r="BQ88" s="225">
        <v>100</v>
      </c>
      <c r="BR88" s="233" t="s">
        <v>5963</v>
      </c>
      <c r="BS88" s="323">
        <f>BS85/BS89</f>
        <v>0.1000667111407605</v>
      </c>
      <c r="BT88" s="225">
        <v>100</v>
      </c>
      <c r="BU88" s="225">
        <v>4.8</v>
      </c>
      <c r="BV88" s="225">
        <v>10</v>
      </c>
      <c r="BW88" s="225"/>
      <c r="BX88" s="225" t="s">
        <v>5962</v>
      </c>
      <c r="BY88" s="225">
        <v>100</v>
      </c>
      <c r="BZ88" s="225">
        <v>0.3</v>
      </c>
      <c r="CA88" s="225">
        <v>62</v>
      </c>
      <c r="CB88" s="225">
        <v>62</v>
      </c>
      <c r="CC88" s="225">
        <v>4.4999999999999998E-2</v>
      </c>
      <c r="CD88" s="229">
        <v>24</v>
      </c>
      <c r="CE88" s="229"/>
      <c r="CF88" s="474">
        <v>1</v>
      </c>
      <c r="CG88" s="229">
        <v>6.4550000000000001</v>
      </c>
      <c r="CH88" s="229">
        <v>100</v>
      </c>
      <c r="CI88" s="229">
        <v>100</v>
      </c>
      <c r="CJ88" s="229">
        <v>77.900000000000006</v>
      </c>
      <c r="CK88" s="229">
        <v>100</v>
      </c>
      <c r="CL88" s="229">
        <v>33.6</v>
      </c>
      <c r="CM88" s="229">
        <v>87</v>
      </c>
      <c r="CN88" s="225">
        <v>0.2</v>
      </c>
      <c r="CO88" s="225">
        <v>100</v>
      </c>
      <c r="CP88" s="225" t="s">
        <v>5961</v>
      </c>
      <c r="CQ88" s="406">
        <v>41.8</v>
      </c>
      <c r="CR88" s="394">
        <v>100</v>
      </c>
      <c r="CS88" s="225">
        <v>100</v>
      </c>
      <c r="CT88" s="225">
        <v>57</v>
      </c>
      <c r="CU88" s="225">
        <v>26.6</v>
      </c>
      <c r="CV88" s="225">
        <v>100</v>
      </c>
      <c r="CW88" s="225">
        <v>100</v>
      </c>
      <c r="CX88" s="225">
        <v>2.5</v>
      </c>
      <c r="CY88" s="225">
        <v>77</v>
      </c>
      <c r="CZ88" s="225">
        <v>5.6</v>
      </c>
      <c r="DA88" s="225">
        <v>19</v>
      </c>
      <c r="DB88" s="225">
        <v>0.02</v>
      </c>
      <c r="DC88" s="225">
        <v>2.2599999999999998</v>
      </c>
      <c r="DD88" s="225"/>
      <c r="DE88" s="225">
        <v>26</v>
      </c>
      <c r="DF88" s="225">
        <v>37.6</v>
      </c>
      <c r="DG88" s="225">
        <v>100</v>
      </c>
      <c r="DH88" s="225" t="s">
        <v>5960</v>
      </c>
      <c r="DI88" s="225">
        <v>99</v>
      </c>
      <c r="DJ88" s="225">
        <v>100</v>
      </c>
      <c r="DK88" s="225">
        <v>67</v>
      </c>
      <c r="DL88" s="225">
        <v>85</v>
      </c>
      <c r="DM88" s="225">
        <v>100</v>
      </c>
      <c r="DN88" s="225">
        <v>7.1</v>
      </c>
      <c r="DO88" s="225">
        <v>100</v>
      </c>
      <c r="DP88" s="225">
        <v>92.79</v>
      </c>
      <c r="DQ88" s="225">
        <v>100</v>
      </c>
      <c r="DR88" s="225">
        <v>89.9</v>
      </c>
      <c r="DS88" s="225">
        <v>80.7</v>
      </c>
      <c r="DT88" s="225">
        <v>100</v>
      </c>
      <c r="DU88" s="225">
        <v>81.900000000000006</v>
      </c>
      <c r="DV88" s="225">
        <v>100</v>
      </c>
      <c r="DW88" s="225">
        <v>100</v>
      </c>
      <c r="DX88" s="225">
        <v>1.6</v>
      </c>
      <c r="DY88" s="312">
        <v>0.59950000000000003</v>
      </c>
      <c r="DZ88" s="225">
        <v>28.5</v>
      </c>
      <c r="EA88" s="225">
        <v>1.62</v>
      </c>
      <c r="EB88" s="225">
        <v>4</v>
      </c>
      <c r="EC88" s="226"/>
      <c r="ED88" s="225">
        <v>15.622999999999999</v>
      </c>
      <c r="EE88" s="225">
        <v>20</v>
      </c>
      <c r="EF88" s="225">
        <v>68.522999999999996</v>
      </c>
      <c r="EG88" s="226"/>
      <c r="EH88" s="225">
        <v>82</v>
      </c>
      <c r="EI88" s="305">
        <v>0.76400000000000001</v>
      </c>
      <c r="EJ88" s="226"/>
      <c r="EK88" s="226"/>
      <c r="EL88" s="226"/>
      <c r="EM88" s="226"/>
      <c r="EN88" s="226"/>
      <c r="EO88" s="226"/>
      <c r="EP88" s="226"/>
      <c r="EQ88" s="226"/>
      <c r="ER88" s="225">
        <v>100</v>
      </c>
      <c r="ES88" s="225">
        <v>0.67</v>
      </c>
      <c r="ET88" s="225">
        <v>0.49</v>
      </c>
      <c r="EU88" s="305">
        <f>EU85/EU89</f>
        <v>4.1171403962101637E-3</v>
      </c>
      <c r="EV88" s="305">
        <f>EV85/EV89</f>
        <v>8.0103359173126613E-4</v>
      </c>
      <c r="EW88" s="225">
        <v>6.09</v>
      </c>
      <c r="EX88" s="225">
        <v>52.81</v>
      </c>
      <c r="EY88" s="305">
        <v>9.64E-2</v>
      </c>
      <c r="EZ88" s="229">
        <v>2.2999999999999998</v>
      </c>
      <c r="FA88" s="305">
        <v>6.3E-2</v>
      </c>
      <c r="FB88" s="225">
        <v>9.1999999999999993</v>
      </c>
      <c r="FC88" s="305">
        <v>7.0000000000000001E-3</v>
      </c>
      <c r="FD88" s="226"/>
      <c r="FE88" s="404" t="s">
        <v>5959</v>
      </c>
      <c r="FF88" s="225">
        <v>77.900000000000006</v>
      </c>
      <c r="FG88" s="305">
        <f>FG85/FG89</f>
        <v>0.24978213055567078</v>
      </c>
      <c r="FH88" s="310">
        <f>FH85*100/FH89</f>
        <v>0.92373154512592426</v>
      </c>
      <c r="FI88" s="394">
        <v>3.7</v>
      </c>
      <c r="FJ88" s="394">
        <v>0.8</v>
      </c>
      <c r="FK88" s="394"/>
      <c r="FL88" s="394">
        <v>0.8</v>
      </c>
      <c r="FM88" s="225">
        <v>79.7</v>
      </c>
      <c r="FN88" s="225"/>
      <c r="FO88" s="394">
        <v>11.4</v>
      </c>
      <c r="FP88" s="394"/>
      <c r="FQ88" s="394"/>
      <c r="FR88" s="394"/>
      <c r="FS88" s="394"/>
      <c r="FT88" s="394">
        <v>100</v>
      </c>
      <c r="FU88" s="226"/>
      <c r="FV88" s="394">
        <v>100</v>
      </c>
      <c r="FW88" s="394">
        <v>24.297000000000001</v>
      </c>
      <c r="FX88" s="225">
        <v>100</v>
      </c>
      <c r="FY88" s="226"/>
      <c r="FZ88" s="394"/>
      <c r="GA88" s="394">
        <v>91.3</v>
      </c>
      <c r="GB88" s="394"/>
      <c r="GC88" s="394"/>
      <c r="GD88" s="394"/>
      <c r="GE88" s="445">
        <v>0.21929999999999999</v>
      </c>
      <c r="GF88" s="445">
        <v>0.3286</v>
      </c>
      <c r="GG88" s="394">
        <v>63.57</v>
      </c>
      <c r="GH88" s="450">
        <f>GH85/GH89*100</f>
        <v>2.6320252348811182</v>
      </c>
      <c r="GI88" s="226"/>
      <c r="GJ88" s="394">
        <v>1.6</v>
      </c>
      <c r="GK88" s="394">
        <v>78.989999999999995</v>
      </c>
      <c r="GL88" s="394"/>
      <c r="GM88" s="445">
        <f>GM85/GM89</f>
        <v>0.21795571070142905</v>
      </c>
      <c r="GN88" s="394">
        <v>1.4</v>
      </c>
      <c r="GO88" s="226"/>
      <c r="GP88" s="445">
        <f>GP85/GP89</f>
        <v>0.12818579399788871</v>
      </c>
      <c r="GQ88" s="226"/>
      <c r="GR88" s="445">
        <f>GR85/GR89</f>
        <v>0.16958525345622119</v>
      </c>
      <c r="GS88" s="394">
        <v>8.6210640608000002</v>
      </c>
      <c r="GT88" s="394"/>
      <c r="GU88" s="445">
        <f>GU85/GU89</f>
        <v>0.86886039196709419</v>
      </c>
      <c r="GV88" s="394">
        <v>12.95</v>
      </c>
      <c r="GW88" s="226"/>
      <c r="GX88" s="225">
        <f>GX85/GX89*100</f>
        <v>80</v>
      </c>
      <c r="GY88" s="310">
        <f>GY85/GY89*100</f>
        <v>5.6818181818181817</v>
      </c>
      <c r="GZ88" s="445">
        <f>GZ85/GZ89</f>
        <v>0.5327225130890052</v>
      </c>
      <c r="HA88" s="254">
        <v>2.7</v>
      </c>
      <c r="HB88" s="225"/>
      <c r="HC88" s="225"/>
      <c r="HD88" s="225">
        <v>100</v>
      </c>
      <c r="HE88" s="310">
        <f>HE85/HE89*100</f>
        <v>36.418677962570477</v>
      </c>
      <c r="HF88" s="226"/>
      <c r="HG88" s="227" t="s">
        <v>5958</v>
      </c>
      <c r="HH88" s="227">
        <v>7.9</v>
      </c>
      <c r="HI88" s="227">
        <v>14.25</v>
      </c>
      <c r="HJ88" s="225">
        <v>6.1</v>
      </c>
      <c r="HK88" s="358" t="e">
        <f>#REF!/#REF!*100</f>
        <v>#REF!</v>
      </c>
      <c r="HL88" s="226"/>
      <c r="HM88" s="225">
        <v>40</v>
      </c>
      <c r="HN88" s="226"/>
      <c r="HO88" s="225">
        <v>8.9441629000000002</v>
      </c>
      <c r="HP88" s="305">
        <f>HP85/HP89</f>
        <v>1.4593886153519179E-2</v>
      </c>
      <c r="HQ88" s="225" t="e">
        <f>HQ85/HQ90</f>
        <v>#VALUE!</v>
      </c>
      <c r="HR88" s="359">
        <f>HR85/HR89</f>
        <v>1.1469241579400698E-3</v>
      </c>
      <c r="HS88" s="225">
        <v>0.5</v>
      </c>
      <c r="HT88" s="225">
        <v>1</v>
      </c>
      <c r="HU88" s="305">
        <f>HU85/HU89</f>
        <v>2.7088953350564919E-3</v>
      </c>
      <c r="HV88" s="225">
        <v>3</v>
      </c>
      <c r="HW88" s="359">
        <f>HW85/HW89</f>
        <v>0</v>
      </c>
      <c r="HX88" s="360">
        <f>HX85/HX89</f>
        <v>2.5728482398517771E-2</v>
      </c>
      <c r="HY88" s="225">
        <v>14.95</v>
      </c>
      <c r="HZ88" s="225">
        <v>0</v>
      </c>
      <c r="IA88" s="360">
        <f>IA85/IA89</f>
        <v>6.1274509803921573E-2</v>
      </c>
      <c r="IB88" s="225">
        <v>22.7</v>
      </c>
      <c r="IC88" s="225">
        <v>100</v>
      </c>
      <c r="ID88" s="361">
        <f>ID85/ID89*100</f>
        <v>12.112109687265328</v>
      </c>
      <c r="IE88" s="310">
        <f>IE85/IE89*100</f>
        <v>24.224219374530655</v>
      </c>
      <c r="IF88" s="361">
        <f>IF85/IF89*100</f>
        <v>33.91390712434292</v>
      </c>
      <c r="IG88" s="312">
        <f t="shared" ref="IG88:IL88" si="30">IG85/IG89</f>
        <v>0.55555555555555558</v>
      </c>
      <c r="IH88" s="307">
        <f t="shared" si="30"/>
        <v>0.9</v>
      </c>
      <c r="II88" s="305">
        <f t="shared" si="30"/>
        <v>0.83333333333333337</v>
      </c>
      <c r="IJ88" s="305">
        <f t="shared" si="30"/>
        <v>0.52631578947368418</v>
      </c>
      <c r="IK88" s="305">
        <f t="shared" si="30"/>
        <v>0.78947368421052633</v>
      </c>
      <c r="IL88" s="362">
        <f t="shared" si="30"/>
        <v>0.3652694610778443</v>
      </c>
      <c r="IM88" s="362">
        <v>3.7100000000000001E-2</v>
      </c>
      <c r="IN88" s="310">
        <f>IN85/IN89*100</f>
        <v>16.963528413910094</v>
      </c>
      <c r="IO88" s="310">
        <f>IO85/IO89*100</f>
        <v>100</v>
      </c>
      <c r="IP88" s="310">
        <f>IP85/IP89*100</f>
        <v>100</v>
      </c>
      <c r="IQ88" s="310">
        <f>IQ85/IQ89*100</f>
        <v>100</v>
      </c>
      <c r="IR88" s="305">
        <f>IR85/IR89</f>
        <v>2.5974025974025972E-2</v>
      </c>
      <c r="IS88" s="310">
        <f>IS85/IS89*100</f>
        <v>93.785310734463266</v>
      </c>
      <c r="IT88" s="310">
        <f>IT85/IT89*100</f>
        <v>59.745570195365737</v>
      </c>
      <c r="IU88" s="310">
        <f>IU85/IU89*100</f>
        <v>66.333333333333343</v>
      </c>
      <c r="IV88" s="310">
        <f>IV85/IV89*100</f>
        <v>1.8875047187617968</v>
      </c>
      <c r="IW88" s="321">
        <f>IW85/IW89*100</f>
        <v>74.183976261127597</v>
      </c>
      <c r="IX88" s="225">
        <v>66.5</v>
      </c>
      <c r="IY88" s="305">
        <v>8.6999999999999994E-2</v>
      </c>
      <c r="IZ88" s="312">
        <v>1</v>
      </c>
      <c r="JA88" s="312">
        <v>0.66</v>
      </c>
      <c r="JB88" s="312">
        <v>1</v>
      </c>
      <c r="JC88" s="305">
        <f>JC85/JC89</f>
        <v>0.23379420551657054</v>
      </c>
      <c r="JD88" s="225"/>
      <c r="JE88" s="226"/>
      <c r="JF88" s="226"/>
      <c r="JG88" s="226"/>
      <c r="JH88" s="225">
        <v>20</v>
      </c>
      <c r="JI88" s="225">
        <v>76.13</v>
      </c>
      <c r="JJ88" s="305">
        <f>JJ85/JJ89</f>
        <v>0.13157344274317626</v>
      </c>
      <c r="JK88" s="363">
        <f>JK85/JK89</f>
        <v>1</v>
      </c>
      <c r="JL88" s="225">
        <v>12.7</v>
      </c>
      <c r="JM88" s="305">
        <f>JM85/JM89</f>
        <v>3.0501160017521942E-3</v>
      </c>
      <c r="JN88" s="226"/>
      <c r="JO88" s="226"/>
      <c r="JP88" s="226"/>
      <c r="JQ88" s="225">
        <v>3.85</v>
      </c>
      <c r="JR88" s="225">
        <v>48.3</v>
      </c>
      <c r="JS88" s="225">
        <v>48.88</v>
      </c>
      <c r="JT88" s="225">
        <v>14.35</v>
      </c>
      <c r="JU88" s="225">
        <v>28.3</v>
      </c>
      <c r="JV88" s="225">
        <v>28.3</v>
      </c>
      <c r="JW88" s="359">
        <f>JW85/JW89</f>
        <v>0.18413877900138995</v>
      </c>
      <c r="JX88" s="225" t="s">
        <v>656</v>
      </c>
      <c r="JY88" s="361">
        <v>18.195</v>
      </c>
      <c r="JZ88" s="305" t="s">
        <v>5835</v>
      </c>
      <c r="KA88" s="225">
        <v>0.12</v>
      </c>
      <c r="KB88" s="359">
        <f>KB85/KB89</f>
        <v>0.27394258163488933</v>
      </c>
      <c r="KC88" s="225">
        <v>13.6</v>
      </c>
      <c r="KD88" s="359">
        <f>KD85/KD89</f>
        <v>0.43925233644859812</v>
      </c>
      <c r="KE88" s="232">
        <f>KE85/KE89</f>
        <v>7.781495603454984E-2</v>
      </c>
      <c r="KF88" s="323">
        <f>KF85/KF89*100</f>
        <v>1.8036743423030344</v>
      </c>
      <c r="KG88" s="225">
        <v>7.09</v>
      </c>
      <c r="KH88" s="225">
        <v>1.98</v>
      </c>
      <c r="KI88" s="310">
        <f>KI85/KI89*100</f>
        <v>3.6457911366766593</v>
      </c>
      <c r="KJ88" s="225">
        <v>22.58</v>
      </c>
      <c r="KK88" s="225">
        <v>0.06</v>
      </c>
      <c r="KL88" s="225">
        <v>0.81</v>
      </c>
      <c r="KM88" s="349"/>
      <c r="KN88" s="225">
        <v>65.83</v>
      </c>
      <c r="KO88" s="323">
        <v>1.7</v>
      </c>
      <c r="KP88" s="305">
        <v>0.222</v>
      </c>
      <c r="KQ88" s="226"/>
      <c r="KR88" s="226"/>
      <c r="KS88" s="226"/>
      <c r="KT88" s="226"/>
      <c r="KU88" s="226"/>
      <c r="KV88" s="362">
        <f>KV85/KV89</f>
        <v>2.5343953656770456E-2</v>
      </c>
      <c r="KW88" s="225">
        <f>KW85*100/KW89</f>
        <v>0.16623994369683659</v>
      </c>
      <c r="KX88" s="228">
        <v>100</v>
      </c>
      <c r="KY88" s="793">
        <v>22.38</v>
      </c>
      <c r="KZ88" s="225">
        <v>100</v>
      </c>
      <c r="LA88" s="225">
        <f>+LA85/LA89</f>
        <v>1.8707167994072977E-2</v>
      </c>
      <c r="LB88" s="305">
        <v>0.23549999999999999</v>
      </c>
      <c r="LC88" s="312">
        <v>0.03</v>
      </c>
      <c r="LD88" s="225">
        <v>100</v>
      </c>
      <c r="LE88" s="225">
        <v>3.1</v>
      </c>
      <c r="LF88" s="225">
        <v>100</v>
      </c>
      <c r="LG88" s="225">
        <v>100</v>
      </c>
      <c r="LH88" s="225">
        <v>100</v>
      </c>
      <c r="LI88" s="225">
        <v>41.7</v>
      </c>
      <c r="LJ88" s="225">
        <v>19.48</v>
      </c>
      <c r="LK88" s="310">
        <f>(LK85/LK89)*100</f>
        <v>2.9241141423643775</v>
      </c>
      <c r="LL88" s="225">
        <v>0.96</v>
      </c>
      <c r="LM88" s="226"/>
      <c r="LN88" s="225">
        <f>LN85/LN89*100</f>
        <v>100</v>
      </c>
      <c r="LO88" s="225">
        <v>100</v>
      </c>
      <c r="LP88" s="225">
        <v>26.827999999999999</v>
      </c>
      <c r="LQ88" s="225">
        <v>191.7</v>
      </c>
      <c r="LR88" s="225">
        <v>0.87</v>
      </c>
      <c r="LS88" s="360">
        <v>0.4654745668535637</v>
      </c>
      <c r="LT88" s="234">
        <v>26</v>
      </c>
      <c r="LU88" s="361">
        <f>LU85/LU89*100</f>
        <v>8.9108910891089117</v>
      </c>
      <c r="LV88" s="225">
        <v>100</v>
      </c>
      <c r="LW88" s="305">
        <v>0.98</v>
      </c>
      <c r="LX88" s="305">
        <f>LX85/LX89</f>
        <v>1.2341040462427746</v>
      </c>
      <c r="LY88" s="225">
        <v>45.2</v>
      </c>
      <c r="LZ88" s="225">
        <v>100</v>
      </c>
      <c r="MA88" s="225">
        <v>100</v>
      </c>
      <c r="MB88" s="225">
        <v>27</v>
      </c>
      <c r="MC88" s="225">
        <v>10.39</v>
      </c>
      <c r="MD88" s="305">
        <v>8.9999999999999993E-3</v>
      </c>
      <c r="ME88" s="362">
        <v>4.1300000000000003E-2</v>
      </c>
      <c r="MF88" s="225">
        <v>34.5</v>
      </c>
      <c r="MG88" s="226"/>
      <c r="MH88" s="226"/>
      <c r="MI88" s="226"/>
      <c r="MJ88" s="235">
        <v>100</v>
      </c>
      <c r="MK88" s="235"/>
      <c r="ML88" s="325">
        <f>ML85/ML89*100</f>
        <v>73.651261277849386</v>
      </c>
      <c r="MM88" s="235">
        <v>100</v>
      </c>
      <c r="MN88" s="236">
        <v>100</v>
      </c>
      <c r="MO88" s="236">
        <f>100+13.8</f>
        <v>113.8</v>
      </c>
      <c r="MP88" s="236">
        <v>100</v>
      </c>
      <c r="MQ88" s="236" t="s">
        <v>5957</v>
      </c>
      <c r="MR88" s="236">
        <v>100</v>
      </c>
      <c r="MS88" s="314">
        <f>MS85/MS89</f>
        <v>0.76064908722109537</v>
      </c>
      <c r="MT88" s="364">
        <v>1</v>
      </c>
      <c r="MU88" s="236">
        <v>100</v>
      </c>
      <c r="MV88" s="325">
        <f>MV85/MV89*100</f>
        <v>98.313540861499547</v>
      </c>
      <c r="MW88" s="235">
        <v>100</v>
      </c>
      <c r="MX88" s="226"/>
      <c r="MY88" s="226"/>
      <c r="MZ88" s="226"/>
      <c r="NA88" s="226"/>
    </row>
    <row r="89" spans="1:365" ht="204" x14ac:dyDescent="0.2">
      <c r="A89" s="1216"/>
      <c r="B89" s="1216" t="s">
        <v>183</v>
      </c>
      <c r="C89" s="1218" t="s">
        <v>5956</v>
      </c>
      <c r="D89" s="215" t="s">
        <v>178</v>
      </c>
      <c r="E89" s="225" t="s">
        <v>5955</v>
      </c>
      <c r="F89" s="225" t="s">
        <v>5955</v>
      </c>
      <c r="G89" s="294">
        <v>24.052</v>
      </c>
      <c r="H89" s="294">
        <v>81.400999999999996</v>
      </c>
      <c r="I89" s="299">
        <v>24.026</v>
      </c>
      <c r="J89" s="294">
        <v>17.137</v>
      </c>
      <c r="K89" s="294">
        <v>21.164999999999999</v>
      </c>
      <c r="L89" s="294">
        <v>29.091999999999999</v>
      </c>
      <c r="M89" s="294">
        <v>29.091999999999999</v>
      </c>
      <c r="N89" s="294">
        <v>29.091999999999999</v>
      </c>
      <c r="O89" s="294">
        <v>114.501</v>
      </c>
      <c r="P89" s="437">
        <v>22.646999999999998</v>
      </c>
      <c r="Q89" s="294">
        <v>57.271999999999998</v>
      </c>
      <c r="R89" s="322" t="s">
        <v>5954</v>
      </c>
      <c r="S89" s="294">
        <v>35.731000000000002</v>
      </c>
      <c r="T89" s="294">
        <v>4.5369999999999999</v>
      </c>
      <c r="U89" s="294">
        <v>32.773000000000003</v>
      </c>
      <c r="V89" s="225">
        <v>301.04000000000002</v>
      </c>
      <c r="W89" s="226"/>
      <c r="X89" s="226"/>
      <c r="Y89" s="226"/>
      <c r="Z89" s="226"/>
      <c r="AA89" s="226"/>
      <c r="AB89" s="226"/>
      <c r="AC89" s="226"/>
      <c r="AD89" s="226"/>
      <c r="AE89" s="226"/>
      <c r="AF89" s="294">
        <v>28.6</v>
      </c>
      <c r="AG89" s="225">
        <v>22.265000000000001</v>
      </c>
      <c r="AH89" s="226"/>
      <c r="AI89" s="294">
        <v>5.7750000000000004</v>
      </c>
      <c r="AJ89" s="294">
        <v>8.6920000000000002</v>
      </c>
      <c r="AK89" s="475">
        <v>350.66699999999997</v>
      </c>
      <c r="AL89" s="294">
        <v>10.808999999999999</v>
      </c>
      <c r="AM89" s="226"/>
      <c r="AN89" s="226"/>
      <c r="AO89" s="226"/>
      <c r="AP89" s="226"/>
      <c r="AQ89" s="294">
        <v>10.975</v>
      </c>
      <c r="AR89" s="294">
        <v>495.82499999999999</v>
      </c>
      <c r="AS89" s="294">
        <v>495.82499999999999</v>
      </c>
      <c r="AT89" s="294">
        <v>16.780999999999999</v>
      </c>
      <c r="AU89" s="294" t="s">
        <v>5953</v>
      </c>
      <c r="AV89" s="225">
        <v>15.496</v>
      </c>
      <c r="AW89" s="294" t="s">
        <v>5952</v>
      </c>
      <c r="AX89" s="294">
        <v>7.68</v>
      </c>
      <c r="AY89" s="296">
        <v>10.481</v>
      </c>
      <c r="AZ89" s="294">
        <v>71.278999999999996</v>
      </c>
      <c r="BA89" s="294">
        <v>17.600000000000001</v>
      </c>
      <c r="BB89" s="294">
        <v>43.65</v>
      </c>
      <c r="BC89" s="294">
        <v>41.968000000000004</v>
      </c>
      <c r="BD89" s="294">
        <v>11.909000000000001</v>
      </c>
      <c r="BE89" s="296">
        <v>13.539</v>
      </c>
      <c r="BF89" s="294">
        <v>258.43700000000001</v>
      </c>
      <c r="BG89" s="294">
        <v>22661</v>
      </c>
      <c r="BH89" s="294">
        <v>24.103000000000002</v>
      </c>
      <c r="BI89" s="294">
        <v>10.683999999999999</v>
      </c>
      <c r="BJ89" s="294">
        <v>43.381</v>
      </c>
      <c r="BK89" s="294">
        <v>12.775</v>
      </c>
      <c r="BL89" s="294">
        <v>10.035</v>
      </c>
      <c r="BM89" s="294">
        <v>110.60599999999999</v>
      </c>
      <c r="BN89" s="226"/>
      <c r="BO89" s="294">
        <v>1200</v>
      </c>
      <c r="BP89" s="294">
        <v>1.6</v>
      </c>
      <c r="BQ89" s="294">
        <v>2.7789999999999999</v>
      </c>
      <c r="BR89" s="233" t="s">
        <v>5951</v>
      </c>
      <c r="BS89" s="322">
        <v>5996</v>
      </c>
      <c r="BT89" s="294"/>
      <c r="BU89" s="294">
        <v>4209</v>
      </c>
      <c r="BV89" s="294">
        <v>5</v>
      </c>
      <c r="BW89" s="294">
        <v>7.7930000000000001</v>
      </c>
      <c r="BX89" s="294" t="s">
        <v>5950</v>
      </c>
      <c r="BY89" s="294">
        <v>6.3</v>
      </c>
      <c r="BZ89" s="294">
        <v>10.217000000000001</v>
      </c>
      <c r="CA89" s="294">
        <v>1.117</v>
      </c>
      <c r="CB89" s="294">
        <v>1.117</v>
      </c>
      <c r="CC89" s="294">
        <v>7.1710000000000003</v>
      </c>
      <c r="CD89" s="296">
        <v>1.78</v>
      </c>
      <c r="CE89" s="296">
        <v>2.4969999999999999</v>
      </c>
      <c r="CF89" s="296">
        <v>1.78</v>
      </c>
      <c r="CG89" s="296">
        <v>4.1829999999999998</v>
      </c>
      <c r="CH89" s="296">
        <v>3.2919999999999998</v>
      </c>
      <c r="CI89" s="296">
        <v>1.766</v>
      </c>
      <c r="CJ89" s="296">
        <v>12.250999999999999</v>
      </c>
      <c r="CK89" s="296">
        <v>2.722</v>
      </c>
      <c r="CL89" s="296">
        <v>3.1</v>
      </c>
      <c r="CM89" s="296">
        <v>1.0049999999999999</v>
      </c>
      <c r="CN89" s="294">
        <v>26.253</v>
      </c>
      <c r="CO89" s="294">
        <v>9.6449999999999996</v>
      </c>
      <c r="CP89" s="294" t="s">
        <v>5949</v>
      </c>
      <c r="CQ89" s="438">
        <v>11156</v>
      </c>
      <c r="CR89" s="465">
        <v>1204900</v>
      </c>
      <c r="CS89" s="294">
        <v>4.3</v>
      </c>
      <c r="CT89" s="294">
        <v>6.282</v>
      </c>
      <c r="CU89" s="294">
        <v>8.2910000000000004</v>
      </c>
      <c r="CV89" s="294">
        <v>1.9970000000000001</v>
      </c>
      <c r="CW89" s="294">
        <v>3.927</v>
      </c>
      <c r="CX89" s="294">
        <v>47.356000000000002</v>
      </c>
      <c r="CY89" s="294">
        <v>4.3840000000000003</v>
      </c>
      <c r="CZ89" s="294">
        <v>58.68</v>
      </c>
      <c r="DA89" s="294">
        <v>341.63499999999999</v>
      </c>
      <c r="DB89" s="294">
        <v>27596</v>
      </c>
      <c r="DC89" s="294" t="s">
        <v>5948</v>
      </c>
      <c r="DD89" s="294">
        <v>6.1719999999999997</v>
      </c>
      <c r="DE89" s="294">
        <v>2.621</v>
      </c>
      <c r="DF89" s="322">
        <v>519.20000000000005</v>
      </c>
      <c r="DG89" s="294">
        <v>128.762</v>
      </c>
      <c r="DH89" s="294">
        <v>5.6</v>
      </c>
      <c r="DI89" s="294" t="s">
        <v>5947</v>
      </c>
      <c r="DJ89" s="294">
        <v>7231</v>
      </c>
      <c r="DK89" s="294">
        <v>6.1609999999999996</v>
      </c>
      <c r="DL89" s="294">
        <v>11877</v>
      </c>
      <c r="DM89" s="322">
        <v>832</v>
      </c>
      <c r="DN89" s="294">
        <v>9.68</v>
      </c>
      <c r="DO89" s="294" t="s">
        <v>5946</v>
      </c>
      <c r="DP89" s="294" t="s">
        <v>5945</v>
      </c>
      <c r="DQ89" s="294" t="s">
        <v>5944</v>
      </c>
      <c r="DR89" s="294" t="s">
        <v>5943</v>
      </c>
      <c r="DS89" s="294" t="s">
        <v>5942</v>
      </c>
      <c r="DT89" s="294" t="s">
        <v>5941</v>
      </c>
      <c r="DU89" s="294">
        <v>3.0369999999999999</v>
      </c>
      <c r="DV89" s="294">
        <v>16.414000000000001</v>
      </c>
      <c r="DW89" s="225">
        <v>4</v>
      </c>
      <c r="DX89" s="294">
        <v>31.462</v>
      </c>
      <c r="DY89" s="294">
        <v>1103.9570000000001</v>
      </c>
      <c r="DZ89" s="294">
        <v>9.6620000000000008</v>
      </c>
      <c r="EA89" s="294">
        <v>19.606000000000002</v>
      </c>
      <c r="EB89" s="294">
        <v>23.529</v>
      </c>
      <c r="EC89" s="226"/>
      <c r="ED89" s="294">
        <v>36.484000000000002</v>
      </c>
      <c r="EE89" s="294">
        <v>17</v>
      </c>
      <c r="EF89" s="294">
        <v>36.484000000000002</v>
      </c>
      <c r="EG89" s="226"/>
      <c r="EH89" s="294">
        <v>3.2080000000000002</v>
      </c>
      <c r="EI89" s="294">
        <v>4.665</v>
      </c>
      <c r="EJ89" s="226"/>
      <c r="EK89" s="226"/>
      <c r="EL89" s="226"/>
      <c r="EM89" s="226"/>
      <c r="EN89" s="226"/>
      <c r="EO89" s="226"/>
      <c r="EP89" s="226"/>
      <c r="EQ89" s="226"/>
      <c r="ER89" s="294">
        <v>235.03899999999999</v>
      </c>
      <c r="ES89" s="294">
        <v>57.405000000000001</v>
      </c>
      <c r="ET89" s="294">
        <v>116.1</v>
      </c>
      <c r="EU89" s="294">
        <v>116.1</v>
      </c>
      <c r="EV89" s="294">
        <v>116.1</v>
      </c>
      <c r="EW89" s="294">
        <v>125.545</v>
      </c>
      <c r="EX89" s="294">
        <v>45.779000000000003</v>
      </c>
      <c r="EY89" s="294">
        <v>1.0169999999999999</v>
      </c>
      <c r="EZ89" s="296">
        <v>224.86099999999999</v>
      </c>
      <c r="FA89" s="294">
        <v>10.542999999999999</v>
      </c>
      <c r="FB89" s="294">
        <v>7.8339999999999996</v>
      </c>
      <c r="FC89" s="294">
        <v>2.544</v>
      </c>
      <c r="FD89" s="226"/>
      <c r="FE89" s="440">
        <v>48.103999999999999</v>
      </c>
      <c r="FF89" s="294">
        <v>0.64800000000000002</v>
      </c>
      <c r="FG89" s="294">
        <v>24.097000000000001</v>
      </c>
      <c r="FH89" s="294">
        <v>1126.193</v>
      </c>
      <c r="FI89" s="439"/>
      <c r="FJ89" s="439">
        <v>85.78</v>
      </c>
      <c r="FK89" s="439"/>
      <c r="FL89" s="439">
        <v>85.78</v>
      </c>
      <c r="FM89" s="294">
        <v>41.341000000000001</v>
      </c>
      <c r="FN89" s="294"/>
      <c r="FO89" s="439">
        <v>25.088000000000001</v>
      </c>
      <c r="FP89" s="439"/>
      <c r="FQ89" s="439">
        <v>572.30799999999999</v>
      </c>
      <c r="FR89" s="439"/>
      <c r="FS89" s="439"/>
      <c r="FT89" s="439">
        <v>0.85699999999999998</v>
      </c>
      <c r="FU89" s="226"/>
      <c r="FV89" s="439">
        <v>0.61399999999999999</v>
      </c>
      <c r="FW89" s="439">
        <v>5.0869999999999997</v>
      </c>
      <c r="FX89" s="294">
        <v>8.8290000000000006</v>
      </c>
      <c r="FY89" s="226"/>
      <c r="FZ89" s="448">
        <v>19.600000000000001</v>
      </c>
      <c r="GA89" s="439"/>
      <c r="GB89" s="439">
        <v>0.6</v>
      </c>
      <c r="GC89" s="448"/>
      <c r="GD89" s="439">
        <v>16.530999999999999</v>
      </c>
      <c r="GE89" s="439">
        <v>6.5449999999999999</v>
      </c>
      <c r="GF89" s="439">
        <v>9.0839999999999996</v>
      </c>
      <c r="GG89" s="439">
        <v>6.02</v>
      </c>
      <c r="GH89" s="439">
        <v>29.483000000000001</v>
      </c>
      <c r="GI89" s="226"/>
      <c r="GJ89" s="394">
        <v>10.545</v>
      </c>
      <c r="GK89" s="439">
        <v>6.4169999999999998</v>
      </c>
      <c r="GL89" s="439" t="s">
        <v>5940</v>
      </c>
      <c r="GM89" s="439">
        <v>9.1669999999999998</v>
      </c>
      <c r="GN89" s="439">
        <v>106.666</v>
      </c>
      <c r="GO89" s="226"/>
      <c r="GP89" s="439">
        <v>6.6310000000000002</v>
      </c>
      <c r="GQ89" s="226"/>
      <c r="GR89" s="439">
        <v>2.17</v>
      </c>
      <c r="GS89" s="439">
        <v>9.2100000000000009</v>
      </c>
      <c r="GT89" s="439"/>
      <c r="GU89" s="439">
        <v>4.133</v>
      </c>
      <c r="GV89" s="439">
        <v>0.84899999999999998</v>
      </c>
      <c r="GW89" s="226"/>
      <c r="GX89" s="294">
        <v>0.5</v>
      </c>
      <c r="GY89" s="294">
        <v>4.4000000000000004</v>
      </c>
      <c r="GZ89" s="439">
        <v>0.76400000000000001</v>
      </c>
      <c r="HA89" s="294">
        <v>509.51299999999998</v>
      </c>
      <c r="HB89" s="294">
        <v>39.25</v>
      </c>
      <c r="HC89" s="294"/>
      <c r="HD89" s="294">
        <v>29.853000000000002</v>
      </c>
      <c r="HE89" s="294">
        <f>1027157/1000</f>
        <v>1027.1569999999999</v>
      </c>
      <c r="HF89" s="226"/>
      <c r="HG89" s="295">
        <v>118.622</v>
      </c>
      <c r="HH89" s="295">
        <v>35.607999999999997</v>
      </c>
      <c r="HI89" s="295">
        <v>8.2799999999999994</v>
      </c>
      <c r="HJ89" s="294">
        <v>41301</v>
      </c>
      <c r="HK89" s="295">
        <v>197.21</v>
      </c>
      <c r="HL89" s="226"/>
      <c r="HM89" s="294">
        <v>72.97</v>
      </c>
      <c r="HN89" s="226"/>
      <c r="HO89" s="294">
        <v>46.957999999999998</v>
      </c>
      <c r="HP89" s="294">
        <v>28.231000000000002</v>
      </c>
      <c r="HQ89" s="294">
        <v>220.59</v>
      </c>
      <c r="HR89" s="294">
        <v>220.59</v>
      </c>
      <c r="HS89" s="294">
        <v>104.252</v>
      </c>
      <c r="HT89" s="294">
        <v>104.252</v>
      </c>
      <c r="HU89" s="294">
        <v>88.596999999999994</v>
      </c>
      <c r="HV89" s="294">
        <v>268133</v>
      </c>
      <c r="HW89" s="294">
        <v>29.428000000000001</v>
      </c>
      <c r="HX89" s="294">
        <v>166.23599999999999</v>
      </c>
      <c r="HY89" s="294">
        <v>685.61900000000003</v>
      </c>
      <c r="HZ89" s="294">
        <v>70.099999999999994</v>
      </c>
      <c r="IA89" s="294">
        <v>1.6319999999999999</v>
      </c>
      <c r="IB89" s="294">
        <v>4.4589999999999996</v>
      </c>
      <c r="IC89" s="294">
        <v>4.4589999999999996</v>
      </c>
      <c r="ID89" s="342">
        <v>41.280999999999999</v>
      </c>
      <c r="IE89" s="342">
        <v>41.280999999999999</v>
      </c>
      <c r="IF89" s="342">
        <v>41.280999999999999</v>
      </c>
      <c r="IG89" s="342">
        <v>0.9</v>
      </c>
      <c r="IH89" s="356">
        <v>1</v>
      </c>
      <c r="II89" s="342">
        <v>1.2</v>
      </c>
      <c r="IJ89" s="342">
        <v>1.9</v>
      </c>
      <c r="IK89" s="342">
        <v>1.9</v>
      </c>
      <c r="IL89" s="342">
        <v>16.7</v>
      </c>
      <c r="IM89" s="342">
        <v>16.7</v>
      </c>
      <c r="IN89" s="294">
        <v>1.179</v>
      </c>
      <c r="IO89" s="365">
        <v>5.1589999999999998</v>
      </c>
      <c r="IP89" s="365">
        <v>5.1589999999999998</v>
      </c>
      <c r="IQ89" s="365">
        <v>5.1589999999999998</v>
      </c>
      <c r="IR89" s="342">
        <v>1.155</v>
      </c>
      <c r="IS89" s="342">
        <v>0.88500000000000001</v>
      </c>
      <c r="IT89" s="342">
        <v>2.2010000000000001</v>
      </c>
      <c r="IU89" s="342">
        <v>2.4</v>
      </c>
      <c r="IV89" s="294">
        <v>5.298</v>
      </c>
      <c r="IW89" s="294">
        <v>1.3480000000000001</v>
      </c>
      <c r="IX89" s="294">
        <v>2.2559999999999998</v>
      </c>
      <c r="IY89" s="294">
        <v>0.998</v>
      </c>
      <c r="IZ89" s="294">
        <v>1</v>
      </c>
      <c r="JA89" s="294">
        <v>1.2</v>
      </c>
      <c r="JB89" s="294">
        <v>1.4</v>
      </c>
      <c r="JC89" s="294">
        <v>14393</v>
      </c>
      <c r="JD89" s="294">
        <v>65.099999999999994</v>
      </c>
      <c r="JE89" s="226"/>
      <c r="JF89" s="226"/>
      <c r="JG89" s="226"/>
      <c r="JH89" s="294">
        <v>23.626000000000001</v>
      </c>
      <c r="JI89" s="294">
        <v>63.734999999999999</v>
      </c>
      <c r="JJ89" s="294">
        <v>1587.182</v>
      </c>
      <c r="JK89" s="298">
        <v>39.201999999999998</v>
      </c>
      <c r="JL89" s="294">
        <v>22.048999999999999</v>
      </c>
      <c r="JM89" s="294">
        <v>61.637</v>
      </c>
      <c r="JN89" s="226"/>
      <c r="JO89" s="226"/>
      <c r="JP89" s="226"/>
      <c r="JQ89" s="294">
        <v>24.091000000000001</v>
      </c>
      <c r="JR89" s="294">
        <v>33.497</v>
      </c>
      <c r="JS89" s="294">
        <v>29.995999999999999</v>
      </c>
      <c r="JT89" s="294">
        <v>57.305999999999997</v>
      </c>
      <c r="JU89" s="294">
        <v>160.90100000000001</v>
      </c>
      <c r="JV89" s="294">
        <v>160.90100000000001</v>
      </c>
      <c r="JW89" s="294">
        <v>37.411999999999999</v>
      </c>
      <c r="JX89" s="294">
        <v>97.037000000000006</v>
      </c>
      <c r="JY89" s="294">
        <v>54.546999999999997</v>
      </c>
      <c r="JZ89" s="294">
        <v>70.81</v>
      </c>
      <c r="KA89" s="294">
        <v>127.304</v>
      </c>
      <c r="KB89" s="294">
        <v>73.007999999999996</v>
      </c>
      <c r="KC89" s="294">
        <v>36.707999999999998</v>
      </c>
      <c r="KD89" s="294">
        <v>53.5</v>
      </c>
      <c r="KE89" s="232">
        <v>25.702000000000002</v>
      </c>
      <c r="KF89" s="225">
        <v>116.429</v>
      </c>
      <c r="KG89" s="294">
        <v>63.460999999999999</v>
      </c>
      <c r="KH89" s="294">
        <v>63.454999999999998</v>
      </c>
      <c r="KI89" s="294">
        <v>24.686</v>
      </c>
      <c r="KJ89" s="294">
        <v>70.262</v>
      </c>
      <c r="KK89" s="294">
        <v>69.41</v>
      </c>
      <c r="KL89" s="294">
        <v>107.34099999999999</v>
      </c>
      <c r="KM89" s="294">
        <v>211066</v>
      </c>
      <c r="KN89" s="320">
        <v>20.13</v>
      </c>
      <c r="KO89" s="323">
        <v>29.63</v>
      </c>
      <c r="KP89" s="294">
        <v>23.161999999999999</v>
      </c>
      <c r="KQ89" s="226"/>
      <c r="KR89" s="226"/>
      <c r="KS89" s="226"/>
      <c r="KT89" s="226"/>
      <c r="KU89" s="226"/>
      <c r="KV89" s="225">
        <v>828.6</v>
      </c>
      <c r="KW89" s="294">
        <f>82411/1000</f>
        <v>82.411000000000001</v>
      </c>
      <c r="KX89" s="802">
        <v>1.7629999999999999</v>
      </c>
      <c r="KY89" s="803">
        <v>6.7009999999999996</v>
      </c>
      <c r="KZ89" s="294">
        <v>0.73299999999999998</v>
      </c>
      <c r="LA89" s="294">
        <v>5.399</v>
      </c>
      <c r="LB89" s="294">
        <v>6.7</v>
      </c>
      <c r="LC89" s="294">
        <v>9.4559999999999995</v>
      </c>
      <c r="LD89" s="294">
        <v>0.86</v>
      </c>
      <c r="LE89" s="294">
        <v>16.600000000000001</v>
      </c>
      <c r="LF89" s="294">
        <v>2.2559999999999998</v>
      </c>
      <c r="LG89" s="294">
        <v>7.9950000000000001</v>
      </c>
      <c r="LH89" s="294">
        <v>1.4259999999999999</v>
      </c>
      <c r="LI89" s="294">
        <v>36.200000000000003</v>
      </c>
      <c r="LJ89" s="294">
        <v>5.04</v>
      </c>
      <c r="LK89" s="294">
        <v>38.268000000000001</v>
      </c>
      <c r="LL89" s="294">
        <v>613.48</v>
      </c>
      <c r="LM89" s="226"/>
      <c r="LN89" s="294">
        <v>40.61</v>
      </c>
      <c r="LO89" s="294">
        <v>52.743000000000002</v>
      </c>
      <c r="LP89" s="294">
        <v>45.8</v>
      </c>
      <c r="LQ89" s="294">
        <v>45.158999999999999</v>
      </c>
      <c r="LR89" s="294">
        <v>22.1</v>
      </c>
      <c r="LS89" s="294">
        <v>395.94</v>
      </c>
      <c r="LT89" s="302">
        <v>280.834</v>
      </c>
      <c r="LU89" s="342">
        <v>30.3</v>
      </c>
      <c r="LV89" s="294">
        <v>11.095000000000001</v>
      </c>
      <c r="LW89" s="294">
        <v>2.7469999999999999</v>
      </c>
      <c r="LX89" s="294">
        <v>1.3839999999999999</v>
      </c>
      <c r="LY89" s="294">
        <v>3.4620000000000002</v>
      </c>
      <c r="LZ89" s="294">
        <v>2.66</v>
      </c>
      <c r="MA89" s="294">
        <v>0.58199999999999996</v>
      </c>
      <c r="MB89" s="294">
        <v>2.69</v>
      </c>
      <c r="MC89" s="294">
        <v>128.86500000000001</v>
      </c>
      <c r="MD89" s="294">
        <v>126.86799999999999</v>
      </c>
      <c r="ME89" s="342">
        <v>36.200000000000003</v>
      </c>
      <c r="MF89" s="322">
        <v>19.3</v>
      </c>
      <c r="MG89" s="226"/>
      <c r="MH89" s="226"/>
      <c r="MI89" s="226"/>
      <c r="MJ89" s="303">
        <v>48.430999999999997</v>
      </c>
      <c r="MK89" s="303"/>
      <c r="ML89" s="303">
        <v>32.585999999999999</v>
      </c>
      <c r="MM89" s="303">
        <v>107.122</v>
      </c>
      <c r="MN89" s="348">
        <v>109488</v>
      </c>
      <c r="MO89" s="304">
        <v>29.213999999999999</v>
      </c>
      <c r="MP89" s="304">
        <v>33.417000000000002</v>
      </c>
      <c r="MQ89" s="304">
        <v>67.319999999999993</v>
      </c>
      <c r="MR89" s="304">
        <v>9.4359999999999999</v>
      </c>
      <c r="MS89" s="304">
        <v>9.86</v>
      </c>
      <c r="MT89" s="303">
        <v>17.138999999999999</v>
      </c>
      <c r="MU89" s="304">
        <v>17.724</v>
      </c>
      <c r="MV89" s="303">
        <v>42.692999999999998</v>
      </c>
      <c r="MW89" s="303">
        <v>5.6269999999999998</v>
      </c>
      <c r="MX89" s="226"/>
      <c r="MY89" s="226"/>
      <c r="MZ89" s="226"/>
      <c r="NA89" s="226"/>
    </row>
    <row r="90" spans="1:365" ht="409.6" x14ac:dyDescent="0.2">
      <c r="A90" s="1216"/>
      <c r="B90" s="1216"/>
      <c r="C90" s="1218"/>
      <c r="D90" s="215" t="s">
        <v>34</v>
      </c>
      <c r="E90" s="305"/>
      <c r="F90" s="305"/>
      <c r="G90" s="369" t="s">
        <v>5939</v>
      </c>
      <c r="H90" s="369" t="s">
        <v>5939</v>
      </c>
      <c r="I90" s="369" t="s">
        <v>5939</v>
      </c>
      <c r="J90" s="369" t="s">
        <v>5939</v>
      </c>
      <c r="K90" s="305" t="s">
        <v>5938</v>
      </c>
      <c r="L90" s="392" t="s">
        <v>5936</v>
      </c>
      <c r="M90" s="289" t="s">
        <v>5936</v>
      </c>
      <c r="N90" s="289" t="s">
        <v>5936</v>
      </c>
      <c r="O90" s="369" t="s">
        <v>5937</v>
      </c>
      <c r="P90" s="442" t="s">
        <v>5936</v>
      </c>
      <c r="Q90" s="305" t="s">
        <v>5935</v>
      </c>
      <c r="R90" s="322" t="s">
        <v>5934</v>
      </c>
      <c r="S90" s="318" t="s">
        <v>5933</v>
      </c>
      <c r="T90" s="370" t="s">
        <v>850</v>
      </c>
      <c r="U90" s="369" t="s">
        <v>1902</v>
      </c>
      <c r="V90" s="225" t="s">
        <v>5932</v>
      </c>
      <c r="W90" s="226"/>
      <c r="X90" s="226"/>
      <c r="Y90" s="226"/>
      <c r="Z90" s="226"/>
      <c r="AA90" s="226"/>
      <c r="AB90" s="226"/>
      <c r="AC90" s="226"/>
      <c r="AD90" s="226"/>
      <c r="AE90" s="226"/>
      <c r="AF90" s="305" t="s">
        <v>5931</v>
      </c>
      <c r="AG90" s="225" t="s">
        <v>5930</v>
      </c>
      <c r="AH90" s="226"/>
      <c r="AI90" s="332" t="s">
        <v>5929</v>
      </c>
      <c r="AJ90" s="331" t="s">
        <v>5929</v>
      </c>
      <c r="AK90" s="476" t="s">
        <v>2060</v>
      </c>
      <c r="AL90" s="332" t="s">
        <v>5929</v>
      </c>
      <c r="AM90" s="226"/>
      <c r="AN90" s="226"/>
      <c r="AO90" s="226"/>
      <c r="AP90" s="226"/>
      <c r="AQ90" s="331" t="s">
        <v>5928</v>
      </c>
      <c r="AR90" s="305" t="s">
        <v>1031</v>
      </c>
      <c r="AS90" s="305" t="s">
        <v>1031</v>
      </c>
      <c r="AT90" s="332" t="s">
        <v>5927</v>
      </c>
      <c r="AU90" s="332" t="s">
        <v>5926</v>
      </c>
      <c r="AV90" s="305" t="s">
        <v>5925</v>
      </c>
      <c r="AW90" s="305"/>
      <c r="AX90" s="305" t="s">
        <v>5924</v>
      </c>
      <c r="AY90" s="317" t="s">
        <v>5917</v>
      </c>
      <c r="AZ90" s="332" t="s">
        <v>1902</v>
      </c>
      <c r="BA90" s="305" t="s">
        <v>5923</v>
      </c>
      <c r="BB90" s="305" t="s">
        <v>5922</v>
      </c>
      <c r="BC90" s="305" t="s">
        <v>5921</v>
      </c>
      <c r="BD90" s="305" t="s">
        <v>5917</v>
      </c>
      <c r="BE90" s="317"/>
      <c r="BF90" s="305"/>
      <c r="BG90" s="332" t="s">
        <v>5920</v>
      </c>
      <c r="BH90" s="332" t="s">
        <v>5919</v>
      </c>
      <c r="BI90" s="332" t="s">
        <v>5917</v>
      </c>
      <c r="BJ90" s="305" t="s">
        <v>5918</v>
      </c>
      <c r="BK90" s="305" t="s">
        <v>5917</v>
      </c>
      <c r="BL90" s="305"/>
      <c r="BM90" s="331" t="s">
        <v>5916</v>
      </c>
      <c r="BN90" s="226"/>
      <c r="BO90" s="305"/>
      <c r="BP90" s="305" t="s">
        <v>5903</v>
      </c>
      <c r="BQ90" s="264" t="s">
        <v>5169</v>
      </c>
      <c r="BR90" s="233" t="s">
        <v>34</v>
      </c>
      <c r="BS90" s="305" t="s">
        <v>5915</v>
      </c>
      <c r="BT90" s="305"/>
      <c r="BU90" s="331" t="s">
        <v>5914</v>
      </c>
      <c r="BV90" s="305"/>
      <c r="BW90" s="305"/>
      <c r="BX90" s="305"/>
      <c r="BY90" s="305"/>
      <c r="BZ90" s="477" t="s">
        <v>5913</v>
      </c>
      <c r="CA90" s="305"/>
      <c r="CB90" s="305"/>
      <c r="CC90" s="305"/>
      <c r="CD90" s="478" t="s">
        <v>5912</v>
      </c>
      <c r="CE90" s="479" t="s">
        <v>5908</v>
      </c>
      <c r="CF90" s="480" t="s">
        <v>5908</v>
      </c>
      <c r="CG90" s="317" t="s">
        <v>5908</v>
      </c>
      <c r="CH90" s="479" t="s">
        <v>5908</v>
      </c>
      <c r="CI90" s="317" t="s">
        <v>5162</v>
      </c>
      <c r="CJ90" s="317" t="s">
        <v>5911</v>
      </c>
      <c r="CK90" s="479" t="s">
        <v>5908</v>
      </c>
      <c r="CL90" s="317"/>
      <c r="CM90" s="317"/>
      <c r="CN90" s="305" t="s">
        <v>5910</v>
      </c>
      <c r="CO90" s="305" t="s">
        <v>5909</v>
      </c>
      <c r="CP90" s="305"/>
      <c r="CQ90" s="444" t="s">
        <v>5907</v>
      </c>
      <c r="CR90" s="445"/>
      <c r="CS90" s="305"/>
      <c r="CT90" s="305" t="s">
        <v>5898</v>
      </c>
      <c r="CU90" s="305" t="s">
        <v>5908</v>
      </c>
      <c r="CV90" s="305" t="s">
        <v>5898</v>
      </c>
      <c r="CW90" s="305" t="s">
        <v>5898</v>
      </c>
      <c r="CX90" s="332" t="s">
        <v>5898</v>
      </c>
      <c r="CY90" s="305" t="s">
        <v>5898</v>
      </c>
      <c r="CZ90" s="305"/>
      <c r="DA90" s="305" t="s">
        <v>5907</v>
      </c>
      <c r="DB90" s="305" t="s">
        <v>5906</v>
      </c>
      <c r="DC90" s="305"/>
      <c r="DD90" s="305" t="s">
        <v>1902</v>
      </c>
      <c r="DE90" s="305"/>
      <c r="DF90" s="332" t="s">
        <v>5905</v>
      </c>
      <c r="DG90" s="332" t="s">
        <v>5904</v>
      </c>
      <c r="DH90" s="305" t="s">
        <v>5903</v>
      </c>
      <c r="DI90" s="305"/>
      <c r="DJ90" s="305"/>
      <c r="DK90" s="305" t="s">
        <v>5902</v>
      </c>
      <c r="DL90" s="305" t="s">
        <v>5901</v>
      </c>
      <c r="DM90" s="305" t="s">
        <v>5900</v>
      </c>
      <c r="DN90" s="279" t="s">
        <v>5899</v>
      </c>
      <c r="DO90" s="305"/>
      <c r="DP90" s="225" t="s">
        <v>470</v>
      </c>
      <c r="DQ90" s="225" t="s">
        <v>470</v>
      </c>
      <c r="DR90" s="225" t="s">
        <v>470</v>
      </c>
      <c r="DS90" s="305" t="s">
        <v>5898</v>
      </c>
      <c r="DT90" s="225" t="s">
        <v>470</v>
      </c>
      <c r="DU90" s="332" t="s">
        <v>1902</v>
      </c>
      <c r="DV90" s="332" t="s">
        <v>1902</v>
      </c>
      <c r="DW90" s="246" t="s">
        <v>5897</v>
      </c>
      <c r="DX90" s="331" t="s">
        <v>5896</v>
      </c>
      <c r="DY90" s="369" t="s">
        <v>5895</v>
      </c>
      <c r="DZ90" s="369" t="s">
        <v>5894</v>
      </c>
      <c r="EA90" s="225" t="s">
        <v>5893</v>
      </c>
      <c r="EB90" s="369" t="s">
        <v>5892</v>
      </c>
      <c r="EC90" s="226"/>
      <c r="ED90" s="369" t="s">
        <v>5890</v>
      </c>
      <c r="EE90" s="369" t="s">
        <v>5891</v>
      </c>
      <c r="EF90" s="369" t="s">
        <v>5890</v>
      </c>
      <c r="EG90" s="226"/>
      <c r="EH90" s="305" t="s">
        <v>5889</v>
      </c>
      <c r="EI90" s="332" t="s">
        <v>5888</v>
      </c>
      <c r="EJ90" s="226"/>
      <c r="EK90" s="226"/>
      <c r="EL90" s="226"/>
      <c r="EM90" s="226"/>
      <c r="EN90" s="226"/>
      <c r="EO90" s="226"/>
      <c r="EP90" s="226"/>
      <c r="EQ90" s="226"/>
      <c r="ER90" s="369" t="s">
        <v>5887</v>
      </c>
      <c r="ES90" s="369" t="s">
        <v>5886</v>
      </c>
      <c r="ET90" s="331" t="s">
        <v>5885</v>
      </c>
      <c r="EU90" s="331" t="s">
        <v>5885</v>
      </c>
      <c r="EV90" s="331" t="s">
        <v>5885</v>
      </c>
      <c r="EW90" s="264" t="s">
        <v>5884</v>
      </c>
      <c r="EX90" s="369" t="s">
        <v>5883</v>
      </c>
      <c r="EY90" s="260" t="s">
        <v>5882</v>
      </c>
      <c r="EZ90" s="260" t="s">
        <v>1288</v>
      </c>
      <c r="FA90" s="264" t="s">
        <v>1288</v>
      </c>
      <c r="FB90" s="332" t="s">
        <v>1242</v>
      </c>
      <c r="FC90" s="264" t="s">
        <v>5881</v>
      </c>
      <c r="FD90" s="226"/>
      <c r="FE90" s="446" t="s">
        <v>5880</v>
      </c>
      <c r="FF90" s="481" t="s">
        <v>5879</v>
      </c>
      <c r="FG90" s="331" t="s">
        <v>5878</v>
      </c>
      <c r="FH90" s="427" t="s">
        <v>5877</v>
      </c>
      <c r="FI90" s="457" t="s">
        <v>5876</v>
      </c>
      <c r="FJ90" s="457" t="s">
        <v>5876</v>
      </c>
      <c r="FK90" s="457"/>
      <c r="FL90" s="457" t="s">
        <v>5876</v>
      </c>
      <c r="FM90" s="482" t="s">
        <v>5875</v>
      </c>
      <c r="FN90" s="482"/>
      <c r="FO90" s="457" t="s">
        <v>5874</v>
      </c>
      <c r="FP90" s="457"/>
      <c r="FQ90" s="457" t="s">
        <v>5805</v>
      </c>
      <c r="FR90" s="445"/>
      <c r="FS90" s="445"/>
      <c r="FT90" s="445"/>
      <c r="FU90" s="226"/>
      <c r="FV90" s="445"/>
      <c r="FW90" s="457" t="s">
        <v>5873</v>
      </c>
      <c r="FX90" s="332" t="s">
        <v>5866</v>
      </c>
      <c r="FY90" s="226"/>
      <c r="FZ90" s="445"/>
      <c r="GA90" s="445"/>
      <c r="GB90" s="445"/>
      <c r="GC90" s="445"/>
      <c r="GD90" s="457" t="s">
        <v>5872</v>
      </c>
      <c r="GE90" s="457" t="s">
        <v>5871</v>
      </c>
      <c r="GF90" s="457" t="s">
        <v>5870</v>
      </c>
      <c r="GG90" s="457" t="s">
        <v>5869</v>
      </c>
      <c r="GH90" s="457" t="s">
        <v>5868</v>
      </c>
      <c r="GI90" s="226"/>
      <c r="GJ90" s="457" t="s">
        <v>5867</v>
      </c>
      <c r="GK90" s="445"/>
      <c r="GL90" s="457" t="s">
        <v>5866</v>
      </c>
      <c r="GM90" s="457" t="s">
        <v>5865</v>
      </c>
      <c r="GN90" s="457" t="s">
        <v>5864</v>
      </c>
      <c r="GO90" s="226"/>
      <c r="GP90" s="445"/>
      <c r="GQ90" s="226"/>
      <c r="GR90" s="445"/>
      <c r="GS90" s="457" t="s">
        <v>5863</v>
      </c>
      <c r="GT90" s="457"/>
      <c r="GU90" s="457" t="s">
        <v>5805</v>
      </c>
      <c r="GV90" s="457" t="s">
        <v>5805</v>
      </c>
      <c r="GW90" s="226"/>
      <c r="GX90" s="305"/>
      <c r="GY90" s="305"/>
      <c r="GZ90" s="445" t="s">
        <v>5862</v>
      </c>
      <c r="HA90" s="331" t="s">
        <v>5861</v>
      </c>
      <c r="HB90" s="332" t="s">
        <v>3069</v>
      </c>
      <c r="HC90" s="305"/>
      <c r="HD90" s="305" t="s">
        <v>5860</v>
      </c>
      <c r="HE90" s="305" t="s">
        <v>5859</v>
      </c>
      <c r="HF90" s="226"/>
      <c r="HG90" s="366" t="s">
        <v>5858</v>
      </c>
      <c r="HH90" s="366" t="s">
        <v>5857</v>
      </c>
      <c r="HI90" s="306" t="s">
        <v>656</v>
      </c>
      <c r="HJ90" s="263" t="s">
        <v>5856</v>
      </c>
      <c r="HK90" s="367" t="s">
        <v>5855</v>
      </c>
      <c r="HL90" s="226"/>
      <c r="HM90" s="305"/>
      <c r="HN90" s="226"/>
      <c r="HO90" s="332" t="s">
        <v>5854</v>
      </c>
      <c r="HP90" s="331" t="s">
        <v>5853</v>
      </c>
      <c r="HQ90" s="332" t="s">
        <v>5843</v>
      </c>
      <c r="HR90" s="305" t="s">
        <v>5852</v>
      </c>
      <c r="HS90" s="305" t="s">
        <v>5851</v>
      </c>
      <c r="HT90" s="305" t="s">
        <v>5851</v>
      </c>
      <c r="HU90" s="305" t="s">
        <v>5850</v>
      </c>
      <c r="HV90" s="305" t="s">
        <v>5843</v>
      </c>
      <c r="HW90" s="332" t="s">
        <v>5843</v>
      </c>
      <c r="HX90" s="332" t="s">
        <v>5843</v>
      </c>
      <c r="HY90" s="368" t="s">
        <v>5822</v>
      </c>
      <c r="HZ90" s="332" t="s">
        <v>5843</v>
      </c>
      <c r="IA90" s="305"/>
      <c r="IB90" s="332" t="s">
        <v>5849</v>
      </c>
      <c r="IC90" s="332" t="s">
        <v>5849</v>
      </c>
      <c r="ID90" s="332" t="s">
        <v>5848</v>
      </c>
      <c r="IE90" s="331" t="s">
        <v>5843</v>
      </c>
      <c r="IF90" s="332" t="s">
        <v>5843</v>
      </c>
      <c r="IG90" s="332" t="s">
        <v>5843</v>
      </c>
      <c r="IH90" s="317" t="s">
        <v>5843</v>
      </c>
      <c r="II90" s="332" t="s">
        <v>5843</v>
      </c>
      <c r="IJ90" s="332" t="s">
        <v>5843</v>
      </c>
      <c r="IK90" s="332" t="s">
        <v>5843</v>
      </c>
      <c r="IL90" s="332" t="s">
        <v>5843</v>
      </c>
      <c r="IM90" s="332" t="s">
        <v>5843</v>
      </c>
      <c r="IN90" s="260" t="s">
        <v>5843</v>
      </c>
      <c r="IO90" s="260" t="s">
        <v>5848</v>
      </c>
      <c r="IP90" s="260" t="s">
        <v>5848</v>
      </c>
      <c r="IQ90" s="260" t="s">
        <v>5848</v>
      </c>
      <c r="IR90" s="332" t="s">
        <v>5848</v>
      </c>
      <c r="IS90" s="332" t="s">
        <v>5847</v>
      </c>
      <c r="IT90" s="332" t="s">
        <v>5846</v>
      </c>
      <c r="IU90" s="332" t="s">
        <v>5846</v>
      </c>
      <c r="IV90" s="332" t="s">
        <v>5846</v>
      </c>
      <c r="IW90" s="332" t="s">
        <v>5846</v>
      </c>
      <c r="IX90" s="305" t="s">
        <v>5845</v>
      </c>
      <c r="IY90" s="332" t="s">
        <v>5844</v>
      </c>
      <c r="IZ90" s="305"/>
      <c r="JA90" s="305"/>
      <c r="JB90" s="305"/>
      <c r="JC90" s="332" t="s">
        <v>5843</v>
      </c>
      <c r="JD90" s="331" t="s">
        <v>5842</v>
      </c>
      <c r="JE90" s="226"/>
      <c r="JF90" s="226"/>
      <c r="JG90" s="226"/>
      <c r="JH90" s="369" t="s">
        <v>5841</v>
      </c>
      <c r="JI90" s="370" t="s">
        <v>5822</v>
      </c>
      <c r="JJ90" s="369" t="s">
        <v>5840</v>
      </c>
      <c r="JK90" s="371" t="s">
        <v>5839</v>
      </c>
      <c r="JL90" s="369" t="s">
        <v>5838</v>
      </c>
      <c r="JM90" s="305" t="s">
        <v>5837</v>
      </c>
      <c r="JN90" s="226"/>
      <c r="JO90" s="226"/>
      <c r="JP90" s="226"/>
      <c r="JQ90" s="332" t="s">
        <v>5826</v>
      </c>
      <c r="JR90" s="332" t="s">
        <v>5826</v>
      </c>
      <c r="JS90" s="332" t="s">
        <v>5836</v>
      </c>
      <c r="JT90" s="332" t="s">
        <v>1902</v>
      </c>
      <c r="JU90" s="332" t="s">
        <v>5834</v>
      </c>
      <c r="JV90" s="332" t="s">
        <v>5834</v>
      </c>
      <c r="JW90" s="332" t="s">
        <v>5834</v>
      </c>
      <c r="JX90" s="305" t="s">
        <v>5834</v>
      </c>
      <c r="JY90" s="294" t="s">
        <v>5834</v>
      </c>
      <c r="JZ90" s="305" t="s">
        <v>5835</v>
      </c>
      <c r="KA90" s="332" t="s">
        <v>5805</v>
      </c>
      <c r="KB90" s="332" t="s">
        <v>5834</v>
      </c>
      <c r="KC90" s="305" t="s">
        <v>3007</v>
      </c>
      <c r="KD90" s="305" t="s">
        <v>5833</v>
      </c>
      <c r="KE90" s="232" t="s">
        <v>5832</v>
      </c>
      <c r="KF90" s="332" t="s">
        <v>5831</v>
      </c>
      <c r="KG90" s="332" t="s">
        <v>5830</v>
      </c>
      <c r="KH90" s="332" t="s">
        <v>5826</v>
      </c>
      <c r="KI90" s="305" t="s">
        <v>5829</v>
      </c>
      <c r="KJ90" s="332" t="s">
        <v>5826</v>
      </c>
      <c r="KK90" s="294" t="s">
        <v>5826</v>
      </c>
      <c r="KL90" s="332" t="s">
        <v>5826</v>
      </c>
      <c r="KM90" s="305" t="s">
        <v>5828</v>
      </c>
      <c r="KN90" s="305" t="s">
        <v>5827</v>
      </c>
      <c r="KO90" s="322" t="s">
        <v>5826</v>
      </c>
      <c r="KP90" s="225"/>
      <c r="KQ90" s="226"/>
      <c r="KR90" s="226"/>
      <c r="KS90" s="226"/>
      <c r="KT90" s="226"/>
      <c r="KU90" s="226"/>
      <c r="KV90" s="369" t="s">
        <v>5805</v>
      </c>
      <c r="KW90" s="305"/>
      <c r="KX90" s="808" t="s">
        <v>2270</v>
      </c>
      <c r="KY90" s="809" t="s">
        <v>9284</v>
      </c>
      <c r="KZ90" s="810" t="s">
        <v>2270</v>
      </c>
      <c r="LA90" s="331" t="s">
        <v>2214</v>
      </c>
      <c r="LB90" s="810" t="s">
        <v>9241</v>
      </c>
      <c r="LC90" s="397" t="s">
        <v>9225</v>
      </c>
      <c r="LD90" s="810" t="s">
        <v>2270</v>
      </c>
      <c r="LE90" s="369" t="s">
        <v>2270</v>
      </c>
      <c r="LF90" s="810" t="s">
        <v>2270</v>
      </c>
      <c r="LG90" s="331" t="s">
        <v>9183</v>
      </c>
      <c r="LH90" s="810" t="s">
        <v>2270</v>
      </c>
      <c r="LI90" s="331" t="s">
        <v>9152</v>
      </c>
      <c r="LJ90" s="369" t="s">
        <v>9135</v>
      </c>
      <c r="LK90" s="369" t="s">
        <v>1560</v>
      </c>
      <c r="LL90" s="369" t="s">
        <v>5825</v>
      </c>
      <c r="LM90" s="226"/>
      <c r="LN90" s="305" t="s">
        <v>5822</v>
      </c>
      <c r="LO90" s="332" t="s">
        <v>5824</v>
      </c>
      <c r="LP90" s="305" t="s">
        <v>5823</v>
      </c>
      <c r="LQ90" s="305" t="s">
        <v>5822</v>
      </c>
      <c r="LR90" s="305" t="s">
        <v>5822</v>
      </c>
      <c r="LS90" s="332" t="s">
        <v>1902</v>
      </c>
      <c r="LT90" s="311" t="s">
        <v>5821</v>
      </c>
      <c r="LU90" s="305" t="s">
        <v>5820</v>
      </c>
      <c r="LV90" s="305" t="s">
        <v>5820</v>
      </c>
      <c r="LW90" s="332" t="s">
        <v>5819</v>
      </c>
      <c r="LX90" s="331" t="s">
        <v>5818</v>
      </c>
      <c r="LY90" s="260" t="s">
        <v>5817</v>
      </c>
      <c r="LZ90" s="260" t="s">
        <v>5817</v>
      </c>
      <c r="MA90" s="260" t="s">
        <v>5817</v>
      </c>
      <c r="MB90" s="260" t="s">
        <v>5817</v>
      </c>
      <c r="MC90" s="305" t="s">
        <v>5816</v>
      </c>
      <c r="MD90" s="305" t="s">
        <v>5815</v>
      </c>
      <c r="ME90" s="332" t="s">
        <v>5814</v>
      </c>
      <c r="MF90" s="332" t="s">
        <v>5813</v>
      </c>
      <c r="MG90" s="226"/>
      <c r="MH90" s="226"/>
      <c r="MI90" s="226"/>
      <c r="MJ90" s="334" t="s">
        <v>5812</v>
      </c>
      <c r="MK90" s="334"/>
      <c r="ML90" s="372" t="s">
        <v>5811</v>
      </c>
      <c r="MM90" s="284" t="s">
        <v>5809</v>
      </c>
      <c r="MN90" s="373" t="s">
        <v>5805</v>
      </c>
      <c r="MO90" s="374" t="s">
        <v>5810</v>
      </c>
      <c r="MP90" s="335" t="s">
        <v>5810</v>
      </c>
      <c r="MQ90" s="373" t="s">
        <v>5809</v>
      </c>
      <c r="MR90" s="375" t="s">
        <v>1902</v>
      </c>
      <c r="MS90" s="376" t="s">
        <v>5808</v>
      </c>
      <c r="MT90" s="377" t="s">
        <v>5807</v>
      </c>
      <c r="MU90" s="376" t="s">
        <v>5806</v>
      </c>
      <c r="MV90" s="377" t="s">
        <v>5805</v>
      </c>
      <c r="MW90" s="378" t="s">
        <v>1902</v>
      </c>
      <c r="MX90" s="226"/>
      <c r="MY90" s="226"/>
      <c r="MZ90" s="226"/>
      <c r="NA90" s="226"/>
    </row>
    <row r="91" spans="1:365" ht="153" x14ac:dyDescent="0.2">
      <c r="A91" s="1216" t="s">
        <v>5804</v>
      </c>
      <c r="B91" s="201" t="s">
        <v>187</v>
      </c>
      <c r="C91" s="202" t="s">
        <v>188</v>
      </c>
      <c r="D91" s="215" t="s">
        <v>102</v>
      </c>
      <c r="E91" s="225" t="s">
        <v>539</v>
      </c>
      <c r="F91" s="225" t="s">
        <v>539</v>
      </c>
      <c r="G91" s="225" t="s">
        <v>539</v>
      </c>
      <c r="H91" s="225" t="s">
        <v>539</v>
      </c>
      <c r="I91" s="225" t="s">
        <v>539</v>
      </c>
      <c r="J91" s="225" t="s">
        <v>539</v>
      </c>
      <c r="K91" s="225" t="s">
        <v>470</v>
      </c>
      <c r="L91" s="225" t="s">
        <v>470</v>
      </c>
      <c r="M91" s="225" t="s">
        <v>470</v>
      </c>
      <c r="N91" s="225" t="s">
        <v>470</v>
      </c>
      <c r="O91" s="225" t="s">
        <v>470</v>
      </c>
      <c r="P91" s="400" t="s">
        <v>470</v>
      </c>
      <c r="Q91" s="226" t="s">
        <v>470</v>
      </c>
      <c r="R91" s="322" t="s">
        <v>470</v>
      </c>
      <c r="S91" s="226" t="s">
        <v>470</v>
      </c>
      <c r="T91" s="225" t="s">
        <v>470</v>
      </c>
      <c r="U91" s="225" t="s">
        <v>539</v>
      </c>
      <c r="V91" s="225" t="s">
        <v>5803</v>
      </c>
      <c r="W91" s="226"/>
      <c r="X91" s="226"/>
      <c r="Y91" s="226"/>
      <c r="Z91" s="226"/>
      <c r="AA91" s="226"/>
      <c r="AB91" s="226"/>
      <c r="AC91" s="226"/>
      <c r="AD91" s="226"/>
      <c r="AE91" s="226"/>
      <c r="AF91" s="225" t="s">
        <v>470</v>
      </c>
      <c r="AG91" s="225" t="s">
        <v>479</v>
      </c>
      <c r="AH91" s="226"/>
      <c r="AI91" s="225" t="s">
        <v>470</v>
      </c>
      <c r="AJ91" s="225" t="s">
        <v>470</v>
      </c>
      <c r="AK91" s="229" t="s">
        <v>470</v>
      </c>
      <c r="AL91" s="225" t="s">
        <v>470</v>
      </c>
      <c r="AM91" s="226"/>
      <c r="AN91" s="226"/>
      <c r="AO91" s="226"/>
      <c r="AP91" s="226"/>
      <c r="AQ91" s="225" t="s">
        <v>470</v>
      </c>
      <c r="AR91" s="225" t="s">
        <v>470</v>
      </c>
      <c r="AS91" s="225" t="s">
        <v>470</v>
      </c>
      <c r="AT91" s="225"/>
      <c r="AU91" s="225" t="s">
        <v>656</v>
      </c>
      <c r="AV91" s="322" t="s">
        <v>470</v>
      </c>
      <c r="AW91" s="225" t="s">
        <v>470</v>
      </c>
      <c r="AX91" s="225"/>
      <c r="AY91" s="229" t="s">
        <v>470</v>
      </c>
      <c r="AZ91" s="225" t="s">
        <v>470</v>
      </c>
      <c r="BA91" s="225" t="s">
        <v>539</v>
      </c>
      <c r="BB91" s="225" t="s">
        <v>470</v>
      </c>
      <c r="BC91" s="225" t="s">
        <v>470</v>
      </c>
      <c r="BD91" s="225"/>
      <c r="BE91" s="229" t="s">
        <v>470</v>
      </c>
      <c r="BF91" s="225" t="s">
        <v>470</v>
      </c>
      <c r="BG91" s="225" t="s">
        <v>470</v>
      </c>
      <c r="BH91" s="225" t="s">
        <v>470</v>
      </c>
      <c r="BI91" s="225" t="s">
        <v>470</v>
      </c>
      <c r="BJ91" s="225" t="s">
        <v>470</v>
      </c>
      <c r="BK91" s="225" t="s">
        <v>470</v>
      </c>
      <c r="BL91" s="225"/>
      <c r="BM91" s="225" t="s">
        <v>470</v>
      </c>
      <c r="BN91" s="226"/>
      <c r="BO91" s="225" t="s">
        <v>470</v>
      </c>
      <c r="BP91" s="225" t="s">
        <v>470</v>
      </c>
      <c r="BQ91" s="225" t="s">
        <v>470</v>
      </c>
      <c r="BR91" s="233" t="s">
        <v>470</v>
      </c>
      <c r="BS91" s="225" t="s">
        <v>873</v>
      </c>
      <c r="BT91" s="225" t="s">
        <v>470</v>
      </c>
      <c r="BU91" s="225" t="s">
        <v>470</v>
      </c>
      <c r="BV91" s="225" t="s">
        <v>470</v>
      </c>
      <c r="BW91" s="225"/>
      <c r="BX91" s="225" t="s">
        <v>470</v>
      </c>
      <c r="BY91" s="225" t="s">
        <v>470</v>
      </c>
      <c r="BZ91" s="225" t="s">
        <v>470</v>
      </c>
      <c r="CA91" s="225" t="s">
        <v>470</v>
      </c>
      <c r="CB91" s="225" t="s">
        <v>470</v>
      </c>
      <c r="CC91" s="225" t="s">
        <v>470</v>
      </c>
      <c r="CD91" s="229" t="s">
        <v>470</v>
      </c>
      <c r="CE91" s="229" t="s">
        <v>470</v>
      </c>
      <c r="CF91" s="229" t="s">
        <v>470</v>
      </c>
      <c r="CG91" s="229" t="s">
        <v>470</v>
      </c>
      <c r="CH91" s="229" t="s">
        <v>470</v>
      </c>
      <c r="CI91" s="229" t="s">
        <v>470</v>
      </c>
      <c r="CJ91" s="229" t="s">
        <v>470</v>
      </c>
      <c r="CK91" s="229" t="s">
        <v>470</v>
      </c>
      <c r="CL91" s="229" t="s">
        <v>470</v>
      </c>
      <c r="CM91" s="229" t="s">
        <v>470</v>
      </c>
      <c r="CN91" s="225" t="s">
        <v>470</v>
      </c>
      <c r="CO91" s="225" t="s">
        <v>470</v>
      </c>
      <c r="CP91" s="225" t="s">
        <v>470</v>
      </c>
      <c r="CQ91" s="406" t="s">
        <v>470</v>
      </c>
      <c r="CR91" s="394" t="s">
        <v>470</v>
      </c>
      <c r="CS91" s="225" t="s">
        <v>470</v>
      </c>
      <c r="CT91" s="225" t="s">
        <v>470</v>
      </c>
      <c r="CU91" s="402" t="s">
        <v>470</v>
      </c>
      <c r="CV91" s="225" t="s">
        <v>470</v>
      </c>
      <c r="CW91" s="225" t="s">
        <v>470</v>
      </c>
      <c r="CX91" s="225" t="s">
        <v>470</v>
      </c>
      <c r="CY91" s="225" t="s">
        <v>470</v>
      </c>
      <c r="CZ91" s="225" t="s">
        <v>470</v>
      </c>
      <c r="DA91" s="225" t="s">
        <v>689</v>
      </c>
      <c r="DB91" s="225" t="s">
        <v>470</v>
      </c>
      <c r="DC91" s="225" t="s">
        <v>470</v>
      </c>
      <c r="DD91" s="225" t="s">
        <v>470</v>
      </c>
      <c r="DE91" s="225" t="s">
        <v>470</v>
      </c>
      <c r="DF91" s="225" t="s">
        <v>470</v>
      </c>
      <c r="DG91" s="225" t="s">
        <v>470</v>
      </c>
      <c r="DH91" s="225" t="s">
        <v>470</v>
      </c>
      <c r="DI91" s="225" t="s">
        <v>470</v>
      </c>
      <c r="DJ91" s="225" t="s">
        <v>470</v>
      </c>
      <c r="DK91" s="225" t="s">
        <v>470</v>
      </c>
      <c r="DL91" s="225" t="s">
        <v>470</v>
      </c>
      <c r="DM91" s="225" t="s">
        <v>470</v>
      </c>
      <c r="DN91" s="225" t="s">
        <v>470</v>
      </c>
      <c r="DO91" s="225" t="s">
        <v>470</v>
      </c>
      <c r="DP91" s="225" t="s">
        <v>470</v>
      </c>
      <c r="DQ91" s="225" t="s">
        <v>470</v>
      </c>
      <c r="DR91" s="225" t="s">
        <v>470</v>
      </c>
      <c r="DS91" s="225" t="s">
        <v>470</v>
      </c>
      <c r="DT91" s="225" t="s">
        <v>470</v>
      </c>
      <c r="DU91" s="225" t="s">
        <v>470</v>
      </c>
      <c r="DV91" s="225" t="s">
        <v>470</v>
      </c>
      <c r="DW91" s="246" t="s">
        <v>470</v>
      </c>
      <c r="DX91" s="225" t="s">
        <v>470</v>
      </c>
      <c r="DY91" s="225" t="s">
        <v>539</v>
      </c>
      <c r="DZ91" s="225" t="s">
        <v>470</v>
      </c>
      <c r="EA91" s="225" t="s">
        <v>470</v>
      </c>
      <c r="EB91" s="225" t="s">
        <v>470</v>
      </c>
      <c r="EC91" s="226"/>
      <c r="ED91" s="225" t="s">
        <v>470</v>
      </c>
      <c r="EE91" s="225" t="s">
        <v>470</v>
      </c>
      <c r="EF91" s="225" t="s">
        <v>470</v>
      </c>
      <c r="EG91" s="226"/>
      <c r="EH91" s="225" t="s">
        <v>470</v>
      </c>
      <c r="EI91" s="225" t="s">
        <v>470</v>
      </c>
      <c r="EJ91" s="226"/>
      <c r="EK91" s="226"/>
      <c r="EL91" s="226"/>
      <c r="EM91" s="226"/>
      <c r="EN91" s="226"/>
      <c r="EO91" s="226"/>
      <c r="EP91" s="226"/>
      <c r="EQ91" s="226"/>
      <c r="ER91" s="225" t="s">
        <v>470</v>
      </c>
      <c r="ES91" s="225" t="s">
        <v>470</v>
      </c>
      <c r="ET91" s="225" t="s">
        <v>470</v>
      </c>
      <c r="EU91" s="225" t="s">
        <v>470</v>
      </c>
      <c r="EV91" s="225" t="s">
        <v>470</v>
      </c>
      <c r="EW91" s="225" t="s">
        <v>470</v>
      </c>
      <c r="EX91" s="225" t="s">
        <v>470</v>
      </c>
      <c r="EY91" s="225" t="s">
        <v>470</v>
      </c>
      <c r="EZ91" s="229" t="s">
        <v>470</v>
      </c>
      <c r="FA91" s="225" t="s">
        <v>470</v>
      </c>
      <c r="FB91" s="225" t="s">
        <v>470</v>
      </c>
      <c r="FC91" s="225" t="s">
        <v>470</v>
      </c>
      <c r="FD91" s="226"/>
      <c r="FE91" s="404" t="s">
        <v>539</v>
      </c>
      <c r="FF91" s="225" t="s">
        <v>470</v>
      </c>
      <c r="FG91" s="225" t="s">
        <v>470</v>
      </c>
      <c r="FH91" s="225" t="s">
        <v>470</v>
      </c>
      <c r="FI91" s="394" t="s">
        <v>470</v>
      </c>
      <c r="FJ91" s="394" t="s">
        <v>470</v>
      </c>
      <c r="FK91" s="394"/>
      <c r="FL91" s="394" t="s">
        <v>470</v>
      </c>
      <c r="FM91" s="225" t="s">
        <v>470</v>
      </c>
      <c r="FN91" s="225"/>
      <c r="FO91" s="394" t="s">
        <v>470</v>
      </c>
      <c r="FP91" s="394"/>
      <c r="FQ91" s="394" t="s">
        <v>470</v>
      </c>
      <c r="FR91" s="394" t="s">
        <v>479</v>
      </c>
      <c r="FS91" s="394"/>
      <c r="FT91" s="394" t="s">
        <v>470</v>
      </c>
      <c r="FU91" s="226"/>
      <c r="FV91" s="394" t="s">
        <v>470</v>
      </c>
      <c r="FW91" s="394" t="s">
        <v>470</v>
      </c>
      <c r="FX91" s="394" t="s">
        <v>470</v>
      </c>
      <c r="FY91" s="226"/>
      <c r="FZ91" s="394" t="s">
        <v>470</v>
      </c>
      <c r="GA91" s="394" t="s">
        <v>470</v>
      </c>
      <c r="GB91" s="394" t="s">
        <v>470</v>
      </c>
      <c r="GC91" s="394"/>
      <c r="GD91" s="394" t="s">
        <v>470</v>
      </c>
      <c r="GE91" s="394" t="s">
        <v>5802</v>
      </c>
      <c r="GF91" s="394" t="s">
        <v>5802</v>
      </c>
      <c r="GG91" s="394" t="s">
        <v>470</v>
      </c>
      <c r="GH91" s="394" t="s">
        <v>470</v>
      </c>
      <c r="GI91" s="226"/>
      <c r="GJ91" s="394" t="s">
        <v>470</v>
      </c>
      <c r="GK91" s="394" t="s">
        <v>470</v>
      </c>
      <c r="GL91" s="394" t="s">
        <v>470</v>
      </c>
      <c r="GM91" s="394" t="s">
        <v>470</v>
      </c>
      <c r="GN91" s="394" t="s">
        <v>470</v>
      </c>
      <c r="GO91" s="226"/>
      <c r="GP91" s="394" t="s">
        <v>470</v>
      </c>
      <c r="GQ91" s="226"/>
      <c r="GR91" s="394" t="s">
        <v>470</v>
      </c>
      <c r="GS91" s="394" t="s">
        <v>470</v>
      </c>
      <c r="GT91" s="394"/>
      <c r="GU91" s="394" t="s">
        <v>470</v>
      </c>
      <c r="GV91" s="394" t="s">
        <v>470</v>
      </c>
      <c r="GW91" s="226"/>
      <c r="GX91" s="225" t="s">
        <v>470</v>
      </c>
      <c r="GY91" s="225" t="s">
        <v>470</v>
      </c>
      <c r="GZ91" s="394" t="s">
        <v>470</v>
      </c>
      <c r="HA91" s="225" t="s">
        <v>470</v>
      </c>
      <c r="HB91" s="225" t="s">
        <v>470</v>
      </c>
      <c r="HC91" s="225" t="s">
        <v>470</v>
      </c>
      <c r="HD91" s="225" t="s">
        <v>470</v>
      </c>
      <c r="HE91" s="225" t="s">
        <v>470</v>
      </c>
      <c r="HF91" s="226"/>
      <c r="HG91" s="227" t="s">
        <v>470</v>
      </c>
      <c r="HH91" s="227" t="s">
        <v>479</v>
      </c>
      <c r="HI91" s="227" t="s">
        <v>470</v>
      </c>
      <c r="HJ91" s="225" t="s">
        <v>470</v>
      </c>
      <c r="HK91" s="227" t="s">
        <v>470</v>
      </c>
      <c r="HL91" s="226"/>
      <c r="HM91" s="225" t="s">
        <v>470</v>
      </c>
      <c r="HN91" s="226"/>
      <c r="HO91" s="225" t="s">
        <v>479</v>
      </c>
      <c r="HP91" s="225" t="s">
        <v>470</v>
      </c>
      <c r="HQ91" s="225" t="s">
        <v>873</v>
      </c>
      <c r="HR91" s="225" t="s">
        <v>873</v>
      </c>
      <c r="HS91" s="225" t="s">
        <v>470</v>
      </c>
      <c r="HT91" s="225" t="s">
        <v>470</v>
      </c>
      <c r="HU91" s="225" t="s">
        <v>470</v>
      </c>
      <c r="HV91" s="225" t="s">
        <v>470</v>
      </c>
      <c r="HW91" s="225" t="s">
        <v>470</v>
      </c>
      <c r="HX91" s="225" t="s">
        <v>470</v>
      </c>
      <c r="HY91" s="225" t="s">
        <v>470</v>
      </c>
      <c r="HZ91" s="225" t="s">
        <v>470</v>
      </c>
      <c r="IA91" s="225" t="s">
        <v>470</v>
      </c>
      <c r="IB91" s="225" t="s">
        <v>470</v>
      </c>
      <c r="IC91" s="225" t="s">
        <v>470</v>
      </c>
      <c r="ID91" s="225" t="s">
        <v>470</v>
      </c>
      <c r="IE91" s="225" t="s">
        <v>470</v>
      </c>
      <c r="IF91" s="225" t="s">
        <v>470</v>
      </c>
      <c r="IG91" s="225" t="s">
        <v>470</v>
      </c>
      <c r="IH91" s="229" t="s">
        <v>470</v>
      </c>
      <c r="II91" s="225" t="s">
        <v>470</v>
      </c>
      <c r="IJ91" s="225" t="s">
        <v>470</v>
      </c>
      <c r="IK91" s="225" t="s">
        <v>470</v>
      </c>
      <c r="IL91" s="225" t="s">
        <v>470</v>
      </c>
      <c r="IM91" s="225" t="s">
        <v>470</v>
      </c>
      <c r="IN91" s="225" t="s">
        <v>470</v>
      </c>
      <c r="IO91" s="224" t="s">
        <v>470</v>
      </c>
      <c r="IP91" s="224" t="s">
        <v>470</v>
      </c>
      <c r="IQ91" s="224" t="s">
        <v>470</v>
      </c>
      <c r="IR91" s="225" t="s">
        <v>470</v>
      </c>
      <c r="IS91" s="225" t="s">
        <v>470</v>
      </c>
      <c r="IT91" s="225" t="s">
        <v>470</v>
      </c>
      <c r="IU91" s="225" t="s">
        <v>470</v>
      </c>
      <c r="IV91" s="225" t="s">
        <v>470</v>
      </c>
      <c r="IW91" s="225" t="s">
        <v>470</v>
      </c>
      <c r="IX91" s="225" t="s">
        <v>470</v>
      </c>
      <c r="IY91" s="225" t="s">
        <v>470</v>
      </c>
      <c r="IZ91" s="225" t="s">
        <v>470</v>
      </c>
      <c r="JA91" s="225" t="s">
        <v>470</v>
      </c>
      <c r="JB91" s="225" t="s">
        <v>470</v>
      </c>
      <c r="JC91" s="225" t="s">
        <v>470</v>
      </c>
      <c r="JD91" s="225" t="s">
        <v>470</v>
      </c>
      <c r="JE91" s="226"/>
      <c r="JF91" s="226"/>
      <c r="JG91" s="226"/>
      <c r="JH91" s="225" t="s">
        <v>470</v>
      </c>
      <c r="JI91" s="225" t="s">
        <v>470</v>
      </c>
      <c r="JJ91" s="225" t="s">
        <v>470</v>
      </c>
      <c r="JK91" s="237" t="s">
        <v>470</v>
      </c>
      <c r="JL91" s="225" t="s">
        <v>470</v>
      </c>
      <c r="JM91" s="225" t="s">
        <v>470</v>
      </c>
      <c r="JN91" s="226"/>
      <c r="JO91" s="226"/>
      <c r="JP91" s="226"/>
      <c r="JQ91" s="225" t="s">
        <v>470</v>
      </c>
      <c r="JR91" s="225" t="s">
        <v>470</v>
      </c>
      <c r="JS91" s="225" t="s">
        <v>470</v>
      </c>
      <c r="JT91" s="225" t="s">
        <v>470</v>
      </c>
      <c r="JU91" s="225" t="s">
        <v>470</v>
      </c>
      <c r="JV91" s="225" t="s">
        <v>470</v>
      </c>
      <c r="JW91" s="225" t="s">
        <v>470</v>
      </c>
      <c r="JX91" s="225" t="s">
        <v>470</v>
      </c>
      <c r="JY91" s="225" t="s">
        <v>470</v>
      </c>
      <c r="JZ91" s="225" t="s">
        <v>470</v>
      </c>
      <c r="KA91" s="225" t="s">
        <v>539</v>
      </c>
      <c r="KB91" s="225" t="s">
        <v>470</v>
      </c>
      <c r="KC91" s="225" t="s">
        <v>470</v>
      </c>
      <c r="KD91" s="225" t="s">
        <v>470</v>
      </c>
      <c r="KE91" s="232" t="s">
        <v>470</v>
      </c>
      <c r="KF91" s="225" t="s">
        <v>470</v>
      </c>
      <c r="KG91" s="225" t="s">
        <v>470</v>
      </c>
      <c r="KH91" s="225" t="s">
        <v>470</v>
      </c>
      <c r="KI91" s="225" t="s">
        <v>470</v>
      </c>
      <c r="KJ91" s="225" t="s">
        <v>470</v>
      </c>
      <c r="KK91" s="225" t="s">
        <v>470</v>
      </c>
      <c r="KL91" s="225" t="s">
        <v>470</v>
      </c>
      <c r="KM91" s="225" t="s">
        <v>470</v>
      </c>
      <c r="KN91" s="225" t="s">
        <v>470</v>
      </c>
      <c r="KO91" s="225" t="s">
        <v>470</v>
      </c>
      <c r="KP91" s="225" t="s">
        <v>470</v>
      </c>
      <c r="KQ91" s="226"/>
      <c r="KR91" s="226"/>
      <c r="KS91" s="226"/>
      <c r="KT91" s="226"/>
      <c r="KU91" s="226"/>
      <c r="KV91" s="225" t="s">
        <v>470</v>
      </c>
      <c r="KW91" s="225" t="s">
        <v>470</v>
      </c>
      <c r="KX91" s="228" t="s">
        <v>470</v>
      </c>
      <c r="KY91" s="793" t="s">
        <v>470</v>
      </c>
      <c r="KZ91" s="225" t="s">
        <v>470</v>
      </c>
      <c r="LA91" s="225" t="s">
        <v>470</v>
      </c>
      <c r="LB91" s="225" t="s">
        <v>470</v>
      </c>
      <c r="LC91" s="225" t="s">
        <v>470</v>
      </c>
      <c r="LD91" s="225" t="s">
        <v>470</v>
      </c>
      <c r="LE91" s="225" t="s">
        <v>873</v>
      </c>
      <c r="LF91" s="225" t="s">
        <v>470</v>
      </c>
      <c r="LG91" s="225" t="s">
        <v>470</v>
      </c>
      <c r="LH91" s="225" t="s">
        <v>470</v>
      </c>
      <c r="LI91" s="225" t="s">
        <v>470</v>
      </c>
      <c r="LJ91" s="225" t="s">
        <v>470</v>
      </c>
      <c r="LK91" s="225" t="s">
        <v>470</v>
      </c>
      <c r="LL91" s="225" t="s">
        <v>470</v>
      </c>
      <c r="LM91" s="226"/>
      <c r="LN91" s="225" t="s">
        <v>470</v>
      </c>
      <c r="LO91" s="225" t="s">
        <v>470</v>
      </c>
      <c r="LP91" s="225" t="s">
        <v>470</v>
      </c>
      <c r="LQ91" s="225" t="s">
        <v>540</v>
      </c>
      <c r="LR91" s="225" t="s">
        <v>479</v>
      </c>
      <c r="LS91" s="225" t="s">
        <v>470</v>
      </c>
      <c r="LT91" s="234" t="s">
        <v>470</v>
      </c>
      <c r="LU91" s="225" t="s">
        <v>470</v>
      </c>
      <c r="LV91" s="225" t="s">
        <v>470</v>
      </c>
      <c r="LW91" s="225" t="s">
        <v>470</v>
      </c>
      <c r="LX91" s="225" t="s">
        <v>470</v>
      </c>
      <c r="LY91" s="225" t="s">
        <v>470</v>
      </c>
      <c r="LZ91" s="225" t="s">
        <v>470</v>
      </c>
      <c r="MA91" s="225" t="s">
        <v>470</v>
      </c>
      <c r="MB91" s="225" t="s">
        <v>470</v>
      </c>
      <c r="MC91" s="225" t="s">
        <v>470</v>
      </c>
      <c r="MD91" s="225" t="s">
        <v>470</v>
      </c>
      <c r="ME91" s="225" t="s">
        <v>470</v>
      </c>
      <c r="MF91" s="225" t="s">
        <v>470</v>
      </c>
      <c r="MG91" s="226"/>
      <c r="MH91" s="226"/>
      <c r="MI91" s="226"/>
      <c r="MJ91" s="235" t="s">
        <v>540</v>
      </c>
      <c r="MK91" s="235"/>
      <c r="ML91" s="235" t="s">
        <v>540</v>
      </c>
      <c r="MM91" s="235" t="s">
        <v>479</v>
      </c>
      <c r="MN91" s="236" t="s">
        <v>479</v>
      </c>
      <c r="MO91" s="236" t="s">
        <v>479</v>
      </c>
      <c r="MP91" s="236" t="s">
        <v>479</v>
      </c>
      <c r="MQ91" s="236" t="s">
        <v>479</v>
      </c>
      <c r="MR91" s="236" t="s">
        <v>479</v>
      </c>
      <c r="MS91" s="236" t="s">
        <v>479</v>
      </c>
      <c r="MT91" s="235" t="s">
        <v>470</v>
      </c>
      <c r="MU91" s="236" t="s">
        <v>479</v>
      </c>
      <c r="MV91" s="235" t="s">
        <v>479</v>
      </c>
      <c r="MW91" s="235" t="s">
        <v>479</v>
      </c>
      <c r="MX91" s="226"/>
      <c r="MY91" s="226"/>
      <c r="MZ91" s="226"/>
      <c r="NA91" s="226"/>
    </row>
    <row r="92" spans="1:365" ht="409.6" x14ac:dyDescent="0.2">
      <c r="A92" s="1216"/>
      <c r="B92" s="1217" t="s">
        <v>189</v>
      </c>
      <c r="C92" s="202" t="s">
        <v>5801</v>
      </c>
      <c r="D92" s="215" t="s">
        <v>15</v>
      </c>
      <c r="E92" s="225"/>
      <c r="F92" s="225"/>
      <c r="G92" s="225" t="s">
        <v>656</v>
      </c>
      <c r="H92" s="225" t="s">
        <v>656</v>
      </c>
      <c r="I92" s="225" t="s">
        <v>656</v>
      </c>
      <c r="J92" s="322" t="s">
        <v>656</v>
      </c>
      <c r="K92" s="225" t="s">
        <v>1924</v>
      </c>
      <c r="L92" s="225" t="s">
        <v>1924</v>
      </c>
      <c r="M92" s="225" t="s">
        <v>1924</v>
      </c>
      <c r="N92" s="225" t="s">
        <v>1924</v>
      </c>
      <c r="O92" s="225" t="s">
        <v>1924</v>
      </c>
      <c r="P92" s="400" t="s">
        <v>1924</v>
      </c>
      <c r="Q92" s="417"/>
      <c r="R92" s="322"/>
      <c r="S92" s="225"/>
      <c r="T92" s="225"/>
      <c r="U92" s="225"/>
      <c r="V92" s="225" t="s">
        <v>5800</v>
      </c>
      <c r="W92" s="226"/>
      <c r="X92" s="226"/>
      <c r="Y92" s="226"/>
      <c r="Z92" s="226"/>
      <c r="AA92" s="226"/>
      <c r="AB92" s="226"/>
      <c r="AC92" s="226"/>
      <c r="AD92" s="226"/>
      <c r="AE92" s="226"/>
      <c r="AF92" s="225" t="s">
        <v>470</v>
      </c>
      <c r="AG92" s="225" t="s">
        <v>5799</v>
      </c>
      <c r="AH92" s="226"/>
      <c r="AI92" s="225"/>
      <c r="AJ92" s="225"/>
      <c r="AK92" s="229"/>
      <c r="AL92" s="225"/>
      <c r="AM92" s="226"/>
      <c r="AN92" s="226"/>
      <c r="AO92" s="226"/>
      <c r="AP92" s="226"/>
      <c r="AQ92" s="225"/>
      <c r="AR92" s="225"/>
      <c r="AS92" s="225"/>
      <c r="AT92" s="225"/>
      <c r="AU92" s="225" t="s">
        <v>656</v>
      </c>
      <c r="AV92" s="322"/>
      <c r="AW92" s="225"/>
      <c r="AX92" s="225"/>
      <c r="AY92" s="229" t="s">
        <v>2234</v>
      </c>
      <c r="AZ92" s="225"/>
      <c r="BA92" s="225"/>
      <c r="BB92" s="225"/>
      <c r="BC92" s="225"/>
      <c r="BD92" s="225"/>
      <c r="BE92" s="229"/>
      <c r="BF92" s="225"/>
      <c r="BG92" s="225"/>
      <c r="BH92" s="225" t="s">
        <v>470</v>
      </c>
      <c r="BI92" s="225" t="s">
        <v>656</v>
      </c>
      <c r="BJ92" s="225"/>
      <c r="BK92" s="225" t="s">
        <v>470</v>
      </c>
      <c r="BL92" s="225"/>
      <c r="BM92" s="225"/>
      <c r="BN92" s="226"/>
      <c r="BO92" s="225"/>
      <c r="BP92" s="225"/>
      <c r="BQ92" s="225"/>
      <c r="BR92" s="233" t="s">
        <v>15</v>
      </c>
      <c r="BS92" s="225" t="s">
        <v>656</v>
      </c>
      <c r="BT92" s="225"/>
      <c r="BU92" s="225"/>
      <c r="BV92" s="225"/>
      <c r="BW92" s="225"/>
      <c r="BX92" s="225"/>
      <c r="BY92" s="225"/>
      <c r="BZ92" s="225"/>
      <c r="CA92" s="225"/>
      <c r="CB92" s="225"/>
      <c r="CC92" s="225" t="s">
        <v>470</v>
      </c>
      <c r="CD92" s="229"/>
      <c r="CE92" s="229"/>
      <c r="CF92" s="229"/>
      <c r="CG92" s="229"/>
      <c r="CH92" s="229"/>
      <c r="CI92" s="229"/>
      <c r="CJ92" s="229" t="s">
        <v>470</v>
      </c>
      <c r="CK92" s="229"/>
      <c r="CL92" s="229"/>
      <c r="CM92" s="229"/>
      <c r="CN92" s="225"/>
      <c r="CO92" s="225"/>
      <c r="CP92" s="225"/>
      <c r="CQ92" s="406"/>
      <c r="CR92" s="394"/>
      <c r="CS92" s="225"/>
      <c r="CT92" s="225"/>
      <c r="CU92" s="402" t="s">
        <v>470</v>
      </c>
      <c r="CV92" s="225"/>
      <c r="CW92" s="225" t="s">
        <v>656</v>
      </c>
      <c r="CX92" s="225" t="s">
        <v>470</v>
      </c>
      <c r="CY92" s="225"/>
      <c r="CZ92" s="225"/>
      <c r="DA92" s="225" t="s">
        <v>5798</v>
      </c>
      <c r="DB92" s="225"/>
      <c r="DC92" s="225"/>
      <c r="DD92" s="225"/>
      <c r="DE92" s="225"/>
      <c r="DF92" s="225"/>
      <c r="DG92" s="225"/>
      <c r="DH92" s="225"/>
      <c r="DI92" s="225"/>
      <c r="DJ92" s="225" t="s">
        <v>656</v>
      </c>
      <c r="DK92" s="225"/>
      <c r="DL92" s="225"/>
      <c r="DM92" s="225"/>
      <c r="DN92" s="225" t="s">
        <v>656</v>
      </c>
      <c r="DO92" s="225"/>
      <c r="DP92" s="225" t="s">
        <v>470</v>
      </c>
      <c r="DQ92" s="225" t="s">
        <v>470</v>
      </c>
      <c r="DR92" s="225" t="s">
        <v>470</v>
      </c>
      <c r="DS92" s="225" t="s">
        <v>470</v>
      </c>
      <c r="DT92" s="225" t="s">
        <v>470</v>
      </c>
      <c r="DU92" s="225" t="s">
        <v>470</v>
      </c>
      <c r="DV92" s="225"/>
      <c r="DW92" s="246" t="s">
        <v>2234</v>
      </c>
      <c r="DX92" s="225"/>
      <c r="DY92" s="225"/>
      <c r="DZ92" s="225"/>
      <c r="EA92" s="225"/>
      <c r="EB92" s="225"/>
      <c r="EC92" s="226"/>
      <c r="ED92" s="225">
        <v>0</v>
      </c>
      <c r="EE92" s="225" t="s">
        <v>656</v>
      </c>
      <c r="EF92" s="225"/>
      <c r="EG92" s="226"/>
      <c r="EH92" s="225" t="s">
        <v>470</v>
      </c>
      <c r="EI92" s="225" t="s">
        <v>470</v>
      </c>
      <c r="EJ92" s="226"/>
      <c r="EK92" s="226"/>
      <c r="EL92" s="226"/>
      <c r="EM92" s="226"/>
      <c r="EN92" s="226"/>
      <c r="EO92" s="226"/>
      <c r="EP92" s="226"/>
      <c r="EQ92" s="226"/>
      <c r="ER92" s="225"/>
      <c r="ES92" s="225"/>
      <c r="ET92" s="225"/>
      <c r="EU92" s="225"/>
      <c r="EV92" s="225"/>
      <c r="EW92" s="225"/>
      <c r="EX92" s="225"/>
      <c r="EY92" s="225"/>
      <c r="EZ92" s="229"/>
      <c r="FA92" s="225"/>
      <c r="FB92" s="225"/>
      <c r="FC92" s="225" t="s">
        <v>470</v>
      </c>
      <c r="FD92" s="226"/>
      <c r="FE92" s="404"/>
      <c r="FF92" s="225" t="s">
        <v>470</v>
      </c>
      <c r="FG92" s="225" t="s">
        <v>470</v>
      </c>
      <c r="FH92" s="225" t="s">
        <v>470</v>
      </c>
      <c r="FI92" s="394" t="s">
        <v>656</v>
      </c>
      <c r="FJ92" s="394" t="s">
        <v>656</v>
      </c>
      <c r="FK92" s="394"/>
      <c r="FL92" s="394" t="s">
        <v>656</v>
      </c>
      <c r="FM92" s="225"/>
      <c r="FN92" s="225"/>
      <c r="FO92" s="394"/>
      <c r="FP92" s="394"/>
      <c r="FQ92" s="394" t="s">
        <v>470</v>
      </c>
      <c r="FR92" s="394" t="s">
        <v>5797</v>
      </c>
      <c r="FS92" s="394"/>
      <c r="FT92" s="394"/>
      <c r="FU92" s="226"/>
      <c r="FV92" s="394"/>
      <c r="FW92" s="394"/>
      <c r="FX92" s="394"/>
      <c r="FY92" s="226"/>
      <c r="FZ92" s="394"/>
      <c r="GA92" s="394"/>
      <c r="GB92" s="394"/>
      <c r="GC92" s="394"/>
      <c r="GD92" s="394"/>
      <c r="GE92" s="394"/>
      <c r="GF92" s="394"/>
      <c r="GG92" s="394" t="s">
        <v>4906</v>
      </c>
      <c r="GH92" s="394" t="s">
        <v>4906</v>
      </c>
      <c r="GI92" s="226"/>
      <c r="GJ92" s="394"/>
      <c r="GK92" s="394"/>
      <c r="GL92" s="394"/>
      <c r="GM92" s="394"/>
      <c r="GN92" s="394"/>
      <c r="GO92" s="226"/>
      <c r="GP92" s="394"/>
      <c r="GQ92" s="226"/>
      <c r="GR92" s="394"/>
      <c r="GS92" s="394"/>
      <c r="GT92" s="394"/>
      <c r="GU92" s="394"/>
      <c r="GV92" s="394"/>
      <c r="GW92" s="226"/>
      <c r="GX92" s="225"/>
      <c r="GY92" s="225"/>
      <c r="GZ92" s="394"/>
      <c r="HA92" s="225"/>
      <c r="HB92" s="225" t="s">
        <v>470</v>
      </c>
      <c r="HC92" s="225"/>
      <c r="HD92" s="225"/>
      <c r="HE92" s="225"/>
      <c r="HF92" s="226"/>
      <c r="HG92" s="227" t="s">
        <v>656</v>
      </c>
      <c r="HH92" s="227" t="s">
        <v>5796</v>
      </c>
      <c r="HI92" s="227" t="s">
        <v>656</v>
      </c>
      <c r="HJ92" s="225" t="s">
        <v>656</v>
      </c>
      <c r="HK92" s="227" t="s">
        <v>656</v>
      </c>
      <c r="HL92" s="226"/>
      <c r="HM92" s="225"/>
      <c r="HN92" s="226"/>
      <c r="HO92" s="225" t="s">
        <v>5795</v>
      </c>
      <c r="HP92" s="225"/>
      <c r="HQ92" s="225"/>
      <c r="HR92" s="225"/>
      <c r="HS92" s="225" t="s">
        <v>470</v>
      </c>
      <c r="HT92" s="225" t="s">
        <v>470</v>
      </c>
      <c r="HU92" s="225" t="s">
        <v>470</v>
      </c>
      <c r="HV92" s="225"/>
      <c r="HW92" s="225" t="s">
        <v>470</v>
      </c>
      <c r="HX92" s="225"/>
      <c r="HY92" s="225"/>
      <c r="HZ92" s="225" t="s">
        <v>470</v>
      </c>
      <c r="IA92" s="225"/>
      <c r="IB92" s="225"/>
      <c r="IC92" s="225"/>
      <c r="ID92" s="225"/>
      <c r="IE92" s="225"/>
      <c r="IF92" s="225"/>
      <c r="IG92" s="225"/>
      <c r="IH92" s="229"/>
      <c r="II92" s="225"/>
      <c r="IJ92" s="225"/>
      <c r="IK92" s="225"/>
      <c r="IL92" s="225"/>
      <c r="IM92" s="225"/>
      <c r="IN92" s="225"/>
      <c r="IO92" s="225"/>
      <c r="IP92" s="225"/>
      <c r="IQ92" s="225"/>
      <c r="IR92" s="225"/>
      <c r="IS92" s="225"/>
      <c r="IT92" s="225"/>
      <c r="IU92" s="225"/>
      <c r="IV92" s="225"/>
      <c r="IW92" s="225"/>
      <c r="IX92" s="225"/>
      <c r="IY92" s="225" t="s">
        <v>656</v>
      </c>
      <c r="IZ92" s="225"/>
      <c r="JA92" s="225"/>
      <c r="JB92" s="225"/>
      <c r="JC92" s="225" t="s">
        <v>656</v>
      </c>
      <c r="JD92" s="225" t="s">
        <v>656</v>
      </c>
      <c r="JE92" s="226"/>
      <c r="JF92" s="226"/>
      <c r="JG92" s="226"/>
      <c r="JH92" s="225"/>
      <c r="JI92" s="225"/>
      <c r="JJ92" s="225" t="s">
        <v>656</v>
      </c>
      <c r="JK92" s="237"/>
      <c r="JL92" s="225" t="s">
        <v>656</v>
      </c>
      <c r="JM92" s="225"/>
      <c r="JN92" s="226"/>
      <c r="JO92" s="226"/>
      <c r="JP92" s="226"/>
      <c r="JQ92" s="225" t="s">
        <v>656</v>
      </c>
      <c r="JR92" s="225"/>
      <c r="JS92" s="225"/>
      <c r="JT92" s="225"/>
      <c r="JU92" s="225"/>
      <c r="JV92" s="225"/>
      <c r="JW92" s="225" t="s">
        <v>656</v>
      </c>
      <c r="JX92" s="225" t="s">
        <v>656</v>
      </c>
      <c r="JY92" s="225" t="s">
        <v>470</v>
      </c>
      <c r="JZ92" s="225" t="s">
        <v>470</v>
      </c>
      <c r="KA92" s="225"/>
      <c r="KB92" s="225" t="s">
        <v>470</v>
      </c>
      <c r="KC92" s="225" t="s">
        <v>3007</v>
      </c>
      <c r="KD92" s="225" t="s">
        <v>656</v>
      </c>
      <c r="KE92" s="232"/>
      <c r="KF92" s="225"/>
      <c r="KG92" s="225" t="s">
        <v>470</v>
      </c>
      <c r="KH92" s="225"/>
      <c r="KI92" s="225" t="s">
        <v>470</v>
      </c>
      <c r="KJ92" s="225"/>
      <c r="KK92" s="225"/>
      <c r="KL92" s="225" t="s">
        <v>656</v>
      </c>
      <c r="KM92" s="225" t="s">
        <v>470</v>
      </c>
      <c r="KN92" s="225"/>
      <c r="KO92" s="225"/>
      <c r="KP92" s="225"/>
      <c r="KQ92" s="226"/>
      <c r="KR92" s="226"/>
      <c r="KS92" s="226"/>
      <c r="KT92" s="226"/>
      <c r="KU92" s="226"/>
      <c r="KV92" s="225" t="s">
        <v>656</v>
      </c>
      <c r="KW92" s="225"/>
      <c r="KX92" s="228"/>
      <c r="KY92" s="793"/>
      <c r="KZ92" s="225"/>
      <c r="LA92" s="225"/>
      <c r="LB92" s="225"/>
      <c r="LC92" s="811"/>
      <c r="LD92" s="225"/>
      <c r="LE92" s="225"/>
      <c r="LF92" s="225"/>
      <c r="LG92" s="225"/>
      <c r="LH92" s="225"/>
      <c r="LI92" s="225"/>
      <c r="LJ92" s="225"/>
      <c r="LK92" s="225"/>
      <c r="LL92" s="225"/>
      <c r="LM92" s="226"/>
      <c r="LN92" s="225"/>
      <c r="LO92" s="225"/>
      <c r="LP92" s="225"/>
      <c r="LQ92" s="225" t="s">
        <v>5794</v>
      </c>
      <c r="LR92" s="225" t="s">
        <v>5793</v>
      </c>
      <c r="LS92" s="225"/>
      <c r="LT92" s="234"/>
      <c r="LU92" s="225"/>
      <c r="LV92" s="225"/>
      <c r="LW92" s="225"/>
      <c r="LX92" s="225"/>
      <c r="LY92" s="225"/>
      <c r="LZ92" s="225"/>
      <c r="MA92" s="225"/>
      <c r="MB92" s="225">
        <v>0</v>
      </c>
      <c r="MC92" s="225"/>
      <c r="MD92" s="225"/>
      <c r="ME92" s="225"/>
      <c r="MF92" s="225"/>
      <c r="MG92" s="226"/>
      <c r="MH92" s="226"/>
      <c r="MI92" s="226"/>
      <c r="MJ92" s="235" t="s">
        <v>5790</v>
      </c>
      <c r="MK92" s="235"/>
      <c r="ML92" s="235" t="s">
        <v>5792</v>
      </c>
      <c r="MM92" s="235" t="s">
        <v>5790</v>
      </c>
      <c r="MN92" s="236" t="s">
        <v>5790</v>
      </c>
      <c r="MO92" s="236" t="s">
        <v>5791</v>
      </c>
      <c r="MP92" s="236" t="s">
        <v>5469</v>
      </c>
      <c r="MQ92" s="236" t="s">
        <v>5790</v>
      </c>
      <c r="MR92" s="236" t="s">
        <v>5790</v>
      </c>
      <c r="MS92" s="236" t="s">
        <v>5790</v>
      </c>
      <c r="MT92" s="235"/>
      <c r="MU92" s="236" t="s">
        <v>5469</v>
      </c>
      <c r="MV92" s="235" t="s">
        <v>5790</v>
      </c>
      <c r="MW92" s="235" t="s">
        <v>5790</v>
      </c>
      <c r="MX92" s="226"/>
      <c r="MY92" s="226"/>
      <c r="MZ92" s="226"/>
      <c r="NA92" s="226"/>
    </row>
    <row r="93" spans="1:365" ht="409.6" x14ac:dyDescent="0.2">
      <c r="A93" s="1216"/>
      <c r="B93" s="1217"/>
      <c r="C93" s="202" t="s">
        <v>191</v>
      </c>
      <c r="D93" s="215" t="s">
        <v>34</v>
      </c>
      <c r="E93" s="260" t="s">
        <v>5789</v>
      </c>
      <c r="F93" s="260" t="s">
        <v>5788</v>
      </c>
      <c r="G93" s="225" t="s">
        <v>656</v>
      </c>
      <c r="H93" s="225" t="s">
        <v>656</v>
      </c>
      <c r="I93" s="225" t="s">
        <v>656</v>
      </c>
      <c r="J93" s="322" t="s">
        <v>656</v>
      </c>
      <c r="K93" s="225" t="s">
        <v>1924</v>
      </c>
      <c r="L93" s="225" t="s">
        <v>1924</v>
      </c>
      <c r="M93" s="225" t="s">
        <v>1924</v>
      </c>
      <c r="N93" s="225" t="s">
        <v>1924</v>
      </c>
      <c r="O93" s="225" t="s">
        <v>1924</v>
      </c>
      <c r="P93" s="400" t="s">
        <v>1924</v>
      </c>
      <c r="Q93" s="264" t="s">
        <v>5787</v>
      </c>
      <c r="R93" s="322"/>
      <c r="S93" s="225"/>
      <c r="T93" s="225"/>
      <c r="U93" s="225"/>
      <c r="V93" s="225" t="s">
        <v>5786</v>
      </c>
      <c r="W93" s="226"/>
      <c r="X93" s="226"/>
      <c r="Y93" s="226"/>
      <c r="Z93" s="226"/>
      <c r="AA93" s="226"/>
      <c r="AB93" s="226"/>
      <c r="AC93" s="226"/>
      <c r="AD93" s="226"/>
      <c r="AE93" s="226"/>
      <c r="AF93" s="225" t="s">
        <v>470</v>
      </c>
      <c r="AG93" s="225" t="s">
        <v>5785</v>
      </c>
      <c r="AH93" s="226"/>
      <c r="AI93" s="225"/>
      <c r="AJ93" s="225"/>
      <c r="AK93" s="229"/>
      <c r="AL93" s="225"/>
      <c r="AM93" s="226"/>
      <c r="AN93" s="226"/>
      <c r="AO93" s="226"/>
      <c r="AP93" s="226"/>
      <c r="AQ93" s="225"/>
      <c r="AR93" s="225"/>
      <c r="AS93" s="225"/>
      <c r="AT93" s="225"/>
      <c r="AU93" s="225" t="s">
        <v>656</v>
      </c>
      <c r="AV93" s="322"/>
      <c r="AW93" s="225"/>
      <c r="AX93" s="225"/>
      <c r="AY93" s="229" t="s">
        <v>2234</v>
      </c>
      <c r="AZ93" s="225"/>
      <c r="BA93" s="225"/>
      <c r="BB93" s="225"/>
      <c r="BC93" s="225"/>
      <c r="BD93" s="225"/>
      <c r="BE93" s="229"/>
      <c r="BF93" s="225"/>
      <c r="BG93" s="225"/>
      <c r="BH93" s="225" t="s">
        <v>470</v>
      </c>
      <c r="BI93" s="225" t="s">
        <v>656</v>
      </c>
      <c r="BJ93" s="225"/>
      <c r="BK93" s="225" t="s">
        <v>470</v>
      </c>
      <c r="BL93" s="225"/>
      <c r="BM93" s="225"/>
      <c r="BN93" s="226"/>
      <c r="BO93" s="225"/>
      <c r="BP93" s="225"/>
      <c r="BQ93" s="225"/>
      <c r="BR93" s="264" t="s">
        <v>4854</v>
      </c>
      <c r="BS93" s="225" t="s">
        <v>656</v>
      </c>
      <c r="BT93" s="225"/>
      <c r="BU93" s="225"/>
      <c r="BV93" s="225"/>
      <c r="BW93" s="225"/>
      <c r="BX93" s="225"/>
      <c r="BY93" s="225"/>
      <c r="BZ93" s="225"/>
      <c r="CA93" s="225"/>
      <c r="CB93" s="225"/>
      <c r="CC93" s="225" t="s">
        <v>470</v>
      </c>
      <c r="CD93" s="229"/>
      <c r="CE93" s="229"/>
      <c r="CF93" s="229"/>
      <c r="CG93" s="229"/>
      <c r="CH93" s="229"/>
      <c r="CI93" s="229"/>
      <c r="CJ93" s="229" t="s">
        <v>470</v>
      </c>
      <c r="CK93" s="229"/>
      <c r="CL93" s="229"/>
      <c r="CM93" s="229"/>
      <c r="CN93" s="225"/>
      <c r="CO93" s="225"/>
      <c r="CP93" s="225"/>
      <c r="CQ93" s="406"/>
      <c r="CR93" s="394"/>
      <c r="CS93" s="225"/>
      <c r="CT93" s="225"/>
      <c r="CU93" s="402" t="s">
        <v>470</v>
      </c>
      <c r="CV93" s="225"/>
      <c r="CW93" s="225" t="s">
        <v>656</v>
      </c>
      <c r="CX93" s="225" t="s">
        <v>470</v>
      </c>
      <c r="CY93" s="225"/>
      <c r="CZ93" s="225"/>
      <c r="DA93" s="260" t="s">
        <v>5784</v>
      </c>
      <c r="DB93" s="225"/>
      <c r="DC93" s="225"/>
      <c r="DD93" s="225"/>
      <c r="DE93" s="225"/>
      <c r="DF93" s="225"/>
      <c r="DG93" s="225"/>
      <c r="DH93" s="225"/>
      <c r="DI93" s="225"/>
      <c r="DJ93" s="225" t="s">
        <v>656</v>
      </c>
      <c r="DK93" s="225"/>
      <c r="DL93" s="225"/>
      <c r="DM93" s="225"/>
      <c r="DN93" s="225" t="s">
        <v>656</v>
      </c>
      <c r="DO93" s="225"/>
      <c r="DP93" s="225" t="s">
        <v>470</v>
      </c>
      <c r="DQ93" s="225" t="s">
        <v>470</v>
      </c>
      <c r="DR93" s="225" t="s">
        <v>470</v>
      </c>
      <c r="DS93" s="225" t="s">
        <v>470</v>
      </c>
      <c r="DT93" s="225" t="s">
        <v>470</v>
      </c>
      <c r="DU93" s="225" t="s">
        <v>470</v>
      </c>
      <c r="DV93" s="225"/>
      <c r="DW93" s="246" t="s">
        <v>2234</v>
      </c>
      <c r="DX93" s="225"/>
      <c r="DY93" s="225"/>
      <c r="DZ93" s="225"/>
      <c r="EA93" s="225"/>
      <c r="EB93" s="225"/>
      <c r="EC93" s="226"/>
      <c r="ED93" s="225">
        <v>0</v>
      </c>
      <c r="EE93" s="225" t="s">
        <v>656</v>
      </c>
      <c r="EF93" s="225"/>
      <c r="EG93" s="226"/>
      <c r="EH93" s="225"/>
      <c r="EI93" s="225" t="s">
        <v>470</v>
      </c>
      <c r="EJ93" s="226"/>
      <c r="EK93" s="226"/>
      <c r="EL93" s="226"/>
      <c r="EM93" s="226"/>
      <c r="EN93" s="226"/>
      <c r="EO93" s="226"/>
      <c r="EP93" s="226"/>
      <c r="EQ93" s="226"/>
      <c r="ER93" s="225"/>
      <c r="ES93" s="225"/>
      <c r="ET93" s="225"/>
      <c r="EU93" s="225"/>
      <c r="EV93" s="225"/>
      <c r="EW93" s="225"/>
      <c r="EX93" s="225"/>
      <c r="EY93" s="225"/>
      <c r="EZ93" s="229"/>
      <c r="FA93" s="225"/>
      <c r="FB93" s="225"/>
      <c r="FC93" s="225" t="s">
        <v>470</v>
      </c>
      <c r="FD93" s="226"/>
      <c r="FE93" s="404"/>
      <c r="FF93" s="225" t="s">
        <v>470</v>
      </c>
      <c r="FG93" s="225" t="s">
        <v>470</v>
      </c>
      <c r="FH93" s="225" t="s">
        <v>470</v>
      </c>
      <c r="FI93" s="388" t="s">
        <v>5783</v>
      </c>
      <c r="FJ93" s="388" t="s">
        <v>656</v>
      </c>
      <c r="FK93" s="388"/>
      <c r="FL93" s="388" t="s">
        <v>5782</v>
      </c>
      <c r="FM93" s="225"/>
      <c r="FN93" s="225"/>
      <c r="FO93" s="394"/>
      <c r="FP93" s="394"/>
      <c r="FQ93" s="394" t="s">
        <v>470</v>
      </c>
      <c r="FR93" s="388" t="s">
        <v>5781</v>
      </c>
      <c r="FS93" s="388"/>
      <c r="FT93" s="394"/>
      <c r="FU93" s="226"/>
      <c r="FV93" s="394"/>
      <c r="FW93" s="394"/>
      <c r="FX93" s="394"/>
      <c r="FY93" s="226"/>
      <c r="FZ93" s="394"/>
      <c r="GA93" s="394"/>
      <c r="GB93" s="394"/>
      <c r="GC93" s="394"/>
      <c r="GD93" s="394"/>
      <c r="GE93" s="394"/>
      <c r="GF93" s="394"/>
      <c r="GG93" s="394" t="s">
        <v>4906</v>
      </c>
      <c r="GH93" s="394" t="s">
        <v>4906</v>
      </c>
      <c r="GI93" s="226"/>
      <c r="GJ93" s="394"/>
      <c r="GK93" s="394"/>
      <c r="GL93" s="394"/>
      <c r="GM93" s="394"/>
      <c r="GN93" s="394"/>
      <c r="GO93" s="226"/>
      <c r="GP93" s="394"/>
      <c r="GQ93" s="226"/>
      <c r="GR93" s="394"/>
      <c r="GS93" s="394"/>
      <c r="GT93" s="394"/>
      <c r="GU93" s="394"/>
      <c r="GV93" s="394"/>
      <c r="GW93" s="226"/>
      <c r="GX93" s="225"/>
      <c r="GY93" s="225"/>
      <c r="GZ93" s="394"/>
      <c r="HA93" s="225"/>
      <c r="HB93" s="225" t="s">
        <v>470</v>
      </c>
      <c r="HC93" s="225"/>
      <c r="HD93" s="225"/>
      <c r="HE93" s="225"/>
      <c r="HF93" s="226"/>
      <c r="HG93" s="227" t="s">
        <v>656</v>
      </c>
      <c r="HH93" s="261" t="s">
        <v>5780</v>
      </c>
      <c r="HI93" s="227" t="s">
        <v>656</v>
      </c>
      <c r="HJ93" s="225" t="s">
        <v>656</v>
      </c>
      <c r="HK93" s="227" t="s">
        <v>656</v>
      </c>
      <c r="HL93" s="226"/>
      <c r="HM93" s="225"/>
      <c r="HN93" s="226"/>
      <c r="HO93" s="225"/>
      <c r="HP93" s="225"/>
      <c r="HQ93" s="225"/>
      <c r="HR93" s="225"/>
      <c r="HS93" s="225" t="s">
        <v>470</v>
      </c>
      <c r="HT93" s="225" t="s">
        <v>470</v>
      </c>
      <c r="HU93" s="225" t="s">
        <v>470</v>
      </c>
      <c r="HV93" s="225"/>
      <c r="HW93" s="225"/>
      <c r="HX93" s="225"/>
      <c r="HY93" s="225"/>
      <c r="HZ93" s="225" t="s">
        <v>656</v>
      </c>
      <c r="IA93" s="225"/>
      <c r="IB93" s="225"/>
      <c r="IC93" s="225"/>
      <c r="ID93" s="225"/>
      <c r="IE93" s="225"/>
      <c r="IF93" s="225"/>
      <c r="IG93" s="225"/>
      <c r="IH93" s="229"/>
      <c r="II93" s="225"/>
      <c r="IJ93" s="225"/>
      <c r="IK93" s="225"/>
      <c r="IL93" s="225"/>
      <c r="IM93" s="225"/>
      <c r="IN93" s="225"/>
      <c r="IO93" s="225"/>
      <c r="IP93" s="225"/>
      <c r="IQ93" s="225"/>
      <c r="IR93" s="225"/>
      <c r="IS93" s="225"/>
      <c r="IT93" s="225"/>
      <c r="IU93" s="225"/>
      <c r="IV93" s="225"/>
      <c r="IW93" s="225"/>
      <c r="IX93" s="225"/>
      <c r="IY93" s="225" t="s">
        <v>656</v>
      </c>
      <c r="IZ93" s="225"/>
      <c r="JA93" s="225"/>
      <c r="JB93" s="225"/>
      <c r="JC93" s="225" t="s">
        <v>656</v>
      </c>
      <c r="JD93" s="225" t="s">
        <v>656</v>
      </c>
      <c r="JE93" s="226"/>
      <c r="JF93" s="226"/>
      <c r="JG93" s="226"/>
      <c r="JH93" s="225"/>
      <c r="JI93" s="225"/>
      <c r="JJ93" s="225" t="s">
        <v>656</v>
      </c>
      <c r="JK93" s="237"/>
      <c r="JL93" s="225" t="s">
        <v>656</v>
      </c>
      <c r="JM93" s="225"/>
      <c r="JN93" s="226"/>
      <c r="JO93" s="226"/>
      <c r="JP93" s="226"/>
      <c r="JQ93" s="225" t="s">
        <v>656</v>
      </c>
      <c r="JR93" s="225"/>
      <c r="JS93" s="225"/>
      <c r="JT93" s="225"/>
      <c r="JU93" s="225"/>
      <c r="JV93" s="225"/>
      <c r="JW93" s="225" t="s">
        <v>656</v>
      </c>
      <c r="JX93" s="225" t="s">
        <v>656</v>
      </c>
      <c r="JY93" s="225" t="s">
        <v>470</v>
      </c>
      <c r="JZ93" s="225"/>
      <c r="KA93" s="225"/>
      <c r="KB93" s="225" t="s">
        <v>470</v>
      </c>
      <c r="KC93" s="225" t="s">
        <v>3007</v>
      </c>
      <c r="KD93" s="225" t="s">
        <v>656</v>
      </c>
      <c r="KE93" s="232"/>
      <c r="KF93" s="225"/>
      <c r="KG93" s="225" t="s">
        <v>470</v>
      </c>
      <c r="KH93" s="225"/>
      <c r="KI93" s="225" t="s">
        <v>470</v>
      </c>
      <c r="KJ93" s="225"/>
      <c r="KK93" s="225"/>
      <c r="KL93" s="225" t="s">
        <v>656</v>
      </c>
      <c r="KM93" s="225" t="s">
        <v>470</v>
      </c>
      <c r="KN93" s="225"/>
      <c r="KO93" s="225"/>
      <c r="KP93" s="225"/>
      <c r="KQ93" s="226"/>
      <c r="KR93" s="226"/>
      <c r="KS93" s="226"/>
      <c r="KT93" s="226"/>
      <c r="KU93" s="226"/>
      <c r="KV93" s="225" t="s">
        <v>656</v>
      </c>
      <c r="KW93" s="225"/>
      <c r="KX93" s="228"/>
      <c r="KY93" s="793"/>
      <c r="KZ93" s="225"/>
      <c r="LA93" s="225"/>
      <c r="LB93" s="225"/>
      <c r="LC93" s="225"/>
      <c r="LD93" s="225"/>
      <c r="LE93" s="225"/>
      <c r="LF93" s="225"/>
      <c r="LG93" s="225"/>
      <c r="LH93" s="225"/>
      <c r="LI93" s="331"/>
      <c r="LJ93" s="225"/>
      <c r="LK93" s="225"/>
      <c r="LL93" s="225"/>
      <c r="LM93" s="226"/>
      <c r="LN93" s="225"/>
      <c r="LO93" s="225"/>
      <c r="LP93" s="225"/>
      <c r="LQ93" s="225" t="s">
        <v>5779</v>
      </c>
      <c r="LR93" s="225"/>
      <c r="LS93" s="225"/>
      <c r="LT93" s="234"/>
      <c r="LU93" s="225"/>
      <c r="LV93" s="225"/>
      <c r="LW93" s="225"/>
      <c r="LX93" s="225"/>
      <c r="LY93" s="225"/>
      <c r="LZ93" s="225"/>
      <c r="MA93" s="225"/>
      <c r="MB93" s="225">
        <v>0</v>
      </c>
      <c r="MC93" s="225"/>
      <c r="MD93" s="225"/>
      <c r="ME93" s="225"/>
      <c r="MF93" s="225"/>
      <c r="MG93" s="226"/>
      <c r="MH93" s="226"/>
      <c r="MI93" s="226"/>
      <c r="MJ93" s="275" t="s">
        <v>5778</v>
      </c>
      <c r="MK93" s="275"/>
      <c r="ML93" s="290" t="s">
        <v>5777</v>
      </c>
      <c r="MM93" s="284" t="s">
        <v>5776</v>
      </c>
      <c r="MN93" s="236" t="s">
        <v>5775</v>
      </c>
      <c r="MO93" s="274" t="s">
        <v>5774</v>
      </c>
      <c r="MP93" s="287" t="s">
        <v>5773</v>
      </c>
      <c r="MQ93" s="286" t="s">
        <v>5772</v>
      </c>
      <c r="MR93" s="271" t="s">
        <v>5771</v>
      </c>
      <c r="MS93" s="274" t="s">
        <v>5770</v>
      </c>
      <c r="MT93" s="235"/>
      <c r="MU93" s="274" t="s">
        <v>5769</v>
      </c>
      <c r="MV93" s="275" t="s">
        <v>5768</v>
      </c>
      <c r="MW93" s="235" t="s">
        <v>5767</v>
      </c>
      <c r="MX93" s="226"/>
      <c r="MY93" s="226"/>
      <c r="MZ93" s="226"/>
      <c r="NA93" s="226"/>
    </row>
    <row r="94" spans="1:365" ht="289" x14ac:dyDescent="0.2">
      <c r="A94" s="1216"/>
      <c r="B94" s="201" t="s">
        <v>192</v>
      </c>
      <c r="C94" s="202" t="s">
        <v>193</v>
      </c>
      <c r="D94" s="215" t="s">
        <v>15</v>
      </c>
      <c r="E94" s="322">
        <v>0</v>
      </c>
      <c r="F94" s="322">
        <v>0</v>
      </c>
      <c r="G94" s="225" t="s">
        <v>656</v>
      </c>
      <c r="H94" s="225" t="s">
        <v>656</v>
      </c>
      <c r="I94" s="322" t="s">
        <v>656</v>
      </c>
      <c r="J94" s="322" t="s">
        <v>656</v>
      </c>
      <c r="K94" s="225" t="s">
        <v>1924</v>
      </c>
      <c r="L94" s="225" t="s">
        <v>1924</v>
      </c>
      <c r="M94" s="225" t="s">
        <v>1924</v>
      </c>
      <c r="N94" s="225" t="s">
        <v>1924</v>
      </c>
      <c r="O94" s="225" t="s">
        <v>1924</v>
      </c>
      <c r="P94" s="400" t="s">
        <v>1924</v>
      </c>
      <c r="Q94" s="226" t="s">
        <v>5766</v>
      </c>
      <c r="R94" s="322"/>
      <c r="S94" s="225"/>
      <c r="T94" s="225"/>
      <c r="U94" s="225"/>
      <c r="V94" s="225" t="s">
        <v>5765</v>
      </c>
      <c r="W94" s="226"/>
      <c r="X94" s="226"/>
      <c r="Y94" s="226"/>
      <c r="Z94" s="226"/>
      <c r="AA94" s="226"/>
      <c r="AB94" s="226"/>
      <c r="AC94" s="226"/>
      <c r="AD94" s="226"/>
      <c r="AE94" s="226"/>
      <c r="AF94" s="225" t="s">
        <v>470</v>
      </c>
      <c r="AG94" s="225" t="s">
        <v>5764</v>
      </c>
      <c r="AH94" s="226"/>
      <c r="AI94" s="225"/>
      <c r="AJ94" s="225"/>
      <c r="AK94" s="229"/>
      <c r="AL94" s="225"/>
      <c r="AM94" s="226"/>
      <c r="AN94" s="226"/>
      <c r="AO94" s="226"/>
      <c r="AP94" s="226"/>
      <c r="AQ94" s="225"/>
      <c r="AR94" s="225"/>
      <c r="AS94" s="225"/>
      <c r="AT94" s="225"/>
      <c r="AU94" s="225" t="s">
        <v>656</v>
      </c>
      <c r="AV94" s="225"/>
      <c r="AW94" s="225"/>
      <c r="AX94" s="225"/>
      <c r="AY94" s="229" t="s">
        <v>2234</v>
      </c>
      <c r="AZ94" s="225"/>
      <c r="BA94" s="225"/>
      <c r="BB94" s="225"/>
      <c r="BC94" s="225"/>
      <c r="BD94" s="225"/>
      <c r="BE94" s="229"/>
      <c r="BF94" s="225"/>
      <c r="BG94" s="225"/>
      <c r="BH94" s="225" t="s">
        <v>470</v>
      </c>
      <c r="BI94" s="225" t="s">
        <v>656</v>
      </c>
      <c r="BJ94" s="225"/>
      <c r="BK94" s="225" t="s">
        <v>470</v>
      </c>
      <c r="BL94" s="225"/>
      <c r="BM94" s="225"/>
      <c r="BN94" s="226"/>
      <c r="BO94" s="225"/>
      <c r="BP94" s="225"/>
      <c r="BQ94" s="225"/>
      <c r="BR94" s="233" t="s">
        <v>15</v>
      </c>
      <c r="BS94" s="225" t="s">
        <v>656</v>
      </c>
      <c r="BT94" s="225"/>
      <c r="BU94" s="225"/>
      <c r="BV94" s="225"/>
      <c r="BW94" s="225"/>
      <c r="BX94" s="225"/>
      <c r="BY94" s="225"/>
      <c r="BZ94" s="225"/>
      <c r="CA94" s="225"/>
      <c r="CB94" s="225"/>
      <c r="CC94" s="225"/>
      <c r="CD94" s="229"/>
      <c r="CE94" s="229"/>
      <c r="CF94" s="229"/>
      <c r="CG94" s="229"/>
      <c r="CH94" s="229"/>
      <c r="CI94" s="229"/>
      <c r="CJ94" s="229" t="s">
        <v>470</v>
      </c>
      <c r="CK94" s="229"/>
      <c r="CL94" s="229"/>
      <c r="CM94" s="229"/>
      <c r="CN94" s="225"/>
      <c r="CO94" s="225"/>
      <c r="CP94" s="225"/>
      <c r="CQ94" s="406"/>
      <c r="CR94" s="394"/>
      <c r="CS94" s="225"/>
      <c r="CT94" s="225"/>
      <c r="CU94" s="483" t="s">
        <v>470</v>
      </c>
      <c r="CV94" s="225"/>
      <c r="CW94" s="225" t="s">
        <v>656</v>
      </c>
      <c r="CX94" s="225" t="s">
        <v>470</v>
      </c>
      <c r="CY94" s="225"/>
      <c r="CZ94" s="225"/>
      <c r="DA94" s="225" t="s">
        <v>5763</v>
      </c>
      <c r="DB94" s="225"/>
      <c r="DC94" s="225"/>
      <c r="DD94" s="225"/>
      <c r="DE94" s="225"/>
      <c r="DF94" s="225"/>
      <c r="DG94" s="225"/>
      <c r="DH94" s="225"/>
      <c r="DI94" s="225"/>
      <c r="DJ94" s="225" t="s">
        <v>656</v>
      </c>
      <c r="DK94" s="225"/>
      <c r="DL94" s="225"/>
      <c r="DM94" s="225"/>
      <c r="DN94" s="225" t="s">
        <v>656</v>
      </c>
      <c r="DO94" s="225"/>
      <c r="DP94" s="225" t="s">
        <v>470</v>
      </c>
      <c r="DQ94" s="225" t="s">
        <v>470</v>
      </c>
      <c r="DR94" s="225" t="s">
        <v>470</v>
      </c>
      <c r="DS94" s="225" t="s">
        <v>470</v>
      </c>
      <c r="DT94" s="225" t="s">
        <v>470</v>
      </c>
      <c r="DU94" s="225" t="s">
        <v>470</v>
      </c>
      <c r="DV94" s="225"/>
      <c r="DW94" s="246" t="s">
        <v>2234</v>
      </c>
      <c r="DX94" s="225"/>
      <c r="DY94" s="225"/>
      <c r="DZ94" s="225"/>
      <c r="EA94" s="225"/>
      <c r="EB94" s="225"/>
      <c r="EC94" s="226"/>
      <c r="ED94" s="225">
        <v>0</v>
      </c>
      <c r="EE94" s="225" t="s">
        <v>656</v>
      </c>
      <c r="EF94" s="225"/>
      <c r="EG94" s="226"/>
      <c r="EH94" s="225" t="s">
        <v>470</v>
      </c>
      <c r="EI94" s="225" t="s">
        <v>470</v>
      </c>
      <c r="EJ94" s="226"/>
      <c r="EK94" s="226"/>
      <c r="EL94" s="226"/>
      <c r="EM94" s="226"/>
      <c r="EN94" s="226"/>
      <c r="EO94" s="226"/>
      <c r="EP94" s="226"/>
      <c r="EQ94" s="226"/>
      <c r="ER94" s="225"/>
      <c r="ES94" s="225"/>
      <c r="ET94" s="225"/>
      <c r="EU94" s="225"/>
      <c r="EV94" s="225"/>
      <c r="EW94" s="225"/>
      <c r="EX94" s="225"/>
      <c r="EY94" s="225"/>
      <c r="EZ94" s="229"/>
      <c r="FA94" s="225"/>
      <c r="FB94" s="225"/>
      <c r="FC94" s="225" t="s">
        <v>470</v>
      </c>
      <c r="FD94" s="226"/>
      <c r="FE94" s="404"/>
      <c r="FF94" s="225" t="s">
        <v>470</v>
      </c>
      <c r="FG94" s="225" t="s">
        <v>470</v>
      </c>
      <c r="FH94" s="225" t="s">
        <v>470</v>
      </c>
      <c r="FI94" s="394" t="s">
        <v>656</v>
      </c>
      <c r="FJ94" s="394" t="s">
        <v>656</v>
      </c>
      <c r="FK94" s="394"/>
      <c r="FL94" s="394" t="s">
        <v>656</v>
      </c>
      <c r="FM94" s="225"/>
      <c r="FN94" s="225"/>
      <c r="FO94" s="394"/>
      <c r="FP94" s="394"/>
      <c r="FQ94" s="465" t="s">
        <v>470</v>
      </c>
      <c r="FR94" s="394" t="s">
        <v>5762</v>
      </c>
      <c r="FS94" s="394"/>
      <c r="FT94" s="394"/>
      <c r="FU94" s="226"/>
      <c r="FV94" s="394"/>
      <c r="FW94" s="394"/>
      <c r="FX94" s="394"/>
      <c r="FY94" s="226"/>
      <c r="FZ94" s="394"/>
      <c r="GA94" s="394"/>
      <c r="GB94" s="394"/>
      <c r="GC94" s="394"/>
      <c r="GD94" s="394"/>
      <c r="GE94" s="394"/>
      <c r="GF94" s="394"/>
      <c r="GG94" s="394" t="s">
        <v>4906</v>
      </c>
      <c r="GH94" s="394" t="s">
        <v>4906</v>
      </c>
      <c r="GI94" s="226"/>
      <c r="GJ94" s="394"/>
      <c r="GK94" s="394"/>
      <c r="GL94" s="394"/>
      <c r="GM94" s="394"/>
      <c r="GN94" s="394"/>
      <c r="GO94" s="226"/>
      <c r="GP94" s="394"/>
      <c r="GQ94" s="226"/>
      <c r="GR94" s="394"/>
      <c r="GS94" s="394"/>
      <c r="GT94" s="394"/>
      <c r="GU94" s="394"/>
      <c r="GV94" s="394"/>
      <c r="GW94" s="226"/>
      <c r="GX94" s="225"/>
      <c r="GY94" s="225"/>
      <c r="GZ94" s="394"/>
      <c r="HA94" s="225"/>
      <c r="HB94" s="225" t="s">
        <v>470</v>
      </c>
      <c r="HC94" s="225"/>
      <c r="HD94" s="225"/>
      <c r="HE94" s="225"/>
      <c r="HF94" s="226"/>
      <c r="HG94" s="227" t="s">
        <v>656</v>
      </c>
      <c r="HH94" s="227" t="s">
        <v>5761</v>
      </c>
      <c r="HI94" s="227" t="s">
        <v>656</v>
      </c>
      <c r="HJ94" s="225" t="s">
        <v>656</v>
      </c>
      <c r="HK94" s="227" t="s">
        <v>656</v>
      </c>
      <c r="HL94" s="226"/>
      <c r="HM94" s="225"/>
      <c r="HN94" s="226"/>
      <c r="HO94" s="225" t="s">
        <v>5760</v>
      </c>
      <c r="HP94" s="225"/>
      <c r="HQ94" s="225"/>
      <c r="HR94" s="225"/>
      <c r="HS94" s="225" t="s">
        <v>470</v>
      </c>
      <c r="HT94" s="322" t="s">
        <v>470</v>
      </c>
      <c r="HU94" s="225" t="s">
        <v>470</v>
      </c>
      <c r="HV94" s="225"/>
      <c r="HW94" s="225" t="s">
        <v>470</v>
      </c>
      <c r="HX94" s="225"/>
      <c r="HY94" s="225"/>
      <c r="HZ94" s="225" t="s">
        <v>470</v>
      </c>
      <c r="IA94" s="225"/>
      <c r="IB94" s="225"/>
      <c r="IC94" s="225"/>
      <c r="ID94" s="225"/>
      <c r="IE94" s="225"/>
      <c r="IF94" s="225"/>
      <c r="IG94" s="225"/>
      <c r="IH94" s="229"/>
      <c r="II94" s="225"/>
      <c r="IJ94" s="225"/>
      <c r="IK94" s="225"/>
      <c r="IL94" s="225"/>
      <c r="IM94" s="225"/>
      <c r="IN94" s="225"/>
      <c r="IO94" s="225"/>
      <c r="IP94" s="225"/>
      <c r="IQ94" s="225"/>
      <c r="IR94" s="225"/>
      <c r="IS94" s="225"/>
      <c r="IT94" s="225"/>
      <c r="IU94" s="225"/>
      <c r="IV94" s="225"/>
      <c r="IW94" s="225"/>
      <c r="IX94" s="225"/>
      <c r="IY94" s="225" t="s">
        <v>656</v>
      </c>
      <c r="IZ94" s="225"/>
      <c r="JA94" s="225"/>
      <c r="JB94" s="225"/>
      <c r="JC94" s="225" t="s">
        <v>656</v>
      </c>
      <c r="JD94" s="225" t="s">
        <v>656</v>
      </c>
      <c r="JE94" s="226"/>
      <c r="JF94" s="226"/>
      <c r="JG94" s="226"/>
      <c r="JH94" s="225"/>
      <c r="JI94" s="225"/>
      <c r="JJ94" s="225" t="s">
        <v>656</v>
      </c>
      <c r="JK94" s="237"/>
      <c r="JL94" s="225" t="s">
        <v>656</v>
      </c>
      <c r="JM94" s="225"/>
      <c r="JN94" s="226"/>
      <c r="JO94" s="226"/>
      <c r="JP94" s="226"/>
      <c r="JQ94" s="225" t="s">
        <v>656</v>
      </c>
      <c r="JR94" s="225"/>
      <c r="JS94" s="225"/>
      <c r="JT94" s="225"/>
      <c r="JU94" s="225"/>
      <c r="JV94" s="225"/>
      <c r="JW94" s="225" t="s">
        <v>656</v>
      </c>
      <c r="JX94" s="225" t="s">
        <v>656</v>
      </c>
      <c r="JY94" s="225" t="s">
        <v>470</v>
      </c>
      <c r="JZ94" s="225">
        <v>0</v>
      </c>
      <c r="KA94" s="225"/>
      <c r="KB94" s="225" t="s">
        <v>470</v>
      </c>
      <c r="KC94" s="225" t="s">
        <v>3007</v>
      </c>
      <c r="KD94" s="225" t="s">
        <v>656</v>
      </c>
      <c r="KE94" s="232"/>
      <c r="KF94" s="225"/>
      <c r="KG94" s="225" t="s">
        <v>470</v>
      </c>
      <c r="KH94" s="225"/>
      <c r="KI94" s="225" t="s">
        <v>470</v>
      </c>
      <c r="KJ94" s="225"/>
      <c r="KK94" s="225"/>
      <c r="KL94" s="225" t="s">
        <v>656</v>
      </c>
      <c r="KM94" s="225" t="s">
        <v>470</v>
      </c>
      <c r="KN94" s="225"/>
      <c r="KO94" s="225"/>
      <c r="KP94" s="225"/>
      <c r="KQ94" s="226"/>
      <c r="KR94" s="226"/>
      <c r="KS94" s="226"/>
      <c r="KT94" s="226"/>
      <c r="KU94" s="226"/>
      <c r="KV94" s="225" t="s">
        <v>656</v>
      </c>
      <c r="KW94" s="225"/>
      <c r="KX94" s="228"/>
      <c r="KY94" s="793"/>
      <c r="KZ94" s="225"/>
      <c r="LA94" s="225"/>
      <c r="LB94" s="225"/>
      <c r="LC94" s="225"/>
      <c r="LD94" s="225"/>
      <c r="LE94" s="225"/>
      <c r="LF94" s="225"/>
      <c r="LG94" s="225"/>
      <c r="LH94" s="225"/>
      <c r="LI94" s="225"/>
      <c r="LJ94" s="225"/>
      <c r="LK94" s="225"/>
      <c r="LL94" s="225"/>
      <c r="LM94" s="226"/>
      <c r="LN94" s="225"/>
      <c r="LO94" s="225"/>
      <c r="LP94" s="225"/>
      <c r="LQ94" s="225" t="s">
        <v>5759</v>
      </c>
      <c r="LR94" s="225" t="s">
        <v>5758</v>
      </c>
      <c r="LS94" s="225"/>
      <c r="LT94" s="234"/>
      <c r="LU94" s="225"/>
      <c r="LV94" s="225"/>
      <c r="LW94" s="225"/>
      <c r="LX94" s="225"/>
      <c r="LY94" s="225"/>
      <c r="LZ94" s="225"/>
      <c r="MA94" s="322"/>
      <c r="MB94" s="225">
        <v>0</v>
      </c>
      <c r="MC94" s="225"/>
      <c r="MD94" s="225"/>
      <c r="ME94" s="225"/>
      <c r="MF94" s="225"/>
      <c r="MG94" s="226"/>
      <c r="MH94" s="226"/>
      <c r="MI94" s="226"/>
      <c r="MJ94" s="235" t="s">
        <v>5757</v>
      </c>
      <c r="MK94" s="235"/>
      <c r="ML94" s="235" t="s">
        <v>5756</v>
      </c>
      <c r="MM94" s="235"/>
      <c r="MN94" s="236"/>
      <c r="MO94" s="236" t="s">
        <v>5755</v>
      </c>
      <c r="MP94" s="236" t="s">
        <v>5754</v>
      </c>
      <c r="MQ94" s="236" t="s">
        <v>5753</v>
      </c>
      <c r="MR94" s="236" t="s">
        <v>1482</v>
      </c>
      <c r="MS94" s="236" t="s">
        <v>470</v>
      </c>
      <c r="MT94" s="235"/>
      <c r="MU94" s="236" t="s">
        <v>5752</v>
      </c>
      <c r="MV94" s="235"/>
      <c r="MW94" s="235"/>
      <c r="MX94" s="226"/>
      <c r="MY94" s="226"/>
      <c r="MZ94" s="226"/>
      <c r="NA94" s="226"/>
    </row>
    <row r="95" spans="1:365" ht="136" x14ac:dyDescent="0.2">
      <c r="A95" s="1216"/>
      <c r="B95" s="201" t="s">
        <v>194</v>
      </c>
      <c r="C95" s="202" t="s">
        <v>195</v>
      </c>
      <c r="D95" s="215" t="s">
        <v>117</v>
      </c>
      <c r="E95" s="322">
        <v>0</v>
      </c>
      <c r="F95" s="322">
        <v>0</v>
      </c>
      <c r="G95" s="225" t="s">
        <v>656</v>
      </c>
      <c r="H95" s="225" t="s">
        <v>656</v>
      </c>
      <c r="I95" s="225" t="s">
        <v>656</v>
      </c>
      <c r="J95" s="322" t="s">
        <v>656</v>
      </c>
      <c r="K95" s="322">
        <v>0</v>
      </c>
      <c r="L95" s="322">
        <v>0</v>
      </c>
      <c r="M95" s="322">
        <v>0</v>
      </c>
      <c r="N95" s="322">
        <v>0</v>
      </c>
      <c r="O95" s="322">
        <v>0</v>
      </c>
      <c r="P95" s="463">
        <v>0</v>
      </c>
      <c r="Q95" s="460">
        <v>0</v>
      </c>
      <c r="R95" s="322"/>
      <c r="S95" s="322"/>
      <c r="T95" s="322"/>
      <c r="U95" s="322"/>
      <c r="V95" s="322" t="s">
        <v>5751</v>
      </c>
      <c r="W95" s="226"/>
      <c r="X95" s="226"/>
      <c r="Y95" s="226"/>
      <c r="Z95" s="226"/>
      <c r="AA95" s="226"/>
      <c r="AB95" s="226"/>
      <c r="AC95" s="226"/>
      <c r="AD95" s="226"/>
      <c r="AE95" s="226"/>
      <c r="AF95" s="322" t="s">
        <v>470</v>
      </c>
      <c r="AG95" s="225">
        <v>2</v>
      </c>
      <c r="AH95" s="226"/>
      <c r="AI95" s="322"/>
      <c r="AJ95" s="322"/>
      <c r="AK95" s="344"/>
      <c r="AL95" s="322"/>
      <c r="AM95" s="226"/>
      <c r="AN95" s="226"/>
      <c r="AO95" s="226"/>
      <c r="AP95" s="226"/>
      <c r="AQ95" s="322"/>
      <c r="AR95" s="322"/>
      <c r="AS95" s="322"/>
      <c r="AT95" s="322"/>
      <c r="AU95" s="322" t="s">
        <v>656</v>
      </c>
      <c r="AV95" s="225"/>
      <c r="AW95" s="322"/>
      <c r="AX95" s="322"/>
      <c r="AY95" s="344" t="s">
        <v>2234</v>
      </c>
      <c r="AZ95" s="322"/>
      <c r="BA95" s="322"/>
      <c r="BB95" s="322"/>
      <c r="BC95" s="322"/>
      <c r="BD95" s="322"/>
      <c r="BE95" s="344"/>
      <c r="BF95" s="322"/>
      <c r="BG95" s="322"/>
      <c r="BH95" s="322" t="s">
        <v>470</v>
      </c>
      <c r="BI95" s="322" t="s">
        <v>656</v>
      </c>
      <c r="BJ95" s="322"/>
      <c r="BK95" s="322">
        <v>0</v>
      </c>
      <c r="BL95" s="322"/>
      <c r="BM95" s="322"/>
      <c r="BN95" s="226"/>
      <c r="BO95" s="322"/>
      <c r="BP95" s="322"/>
      <c r="BQ95" s="322"/>
      <c r="BR95" s="233" t="s">
        <v>117</v>
      </c>
      <c r="BS95" s="322" t="s">
        <v>656</v>
      </c>
      <c r="BT95" s="322"/>
      <c r="BU95" s="322"/>
      <c r="BV95" s="322"/>
      <c r="BW95" s="322"/>
      <c r="BX95" s="322"/>
      <c r="BY95" s="322"/>
      <c r="BZ95" s="322"/>
      <c r="CA95" s="322"/>
      <c r="CB95" s="322"/>
      <c r="CC95" s="322">
        <v>0</v>
      </c>
      <c r="CD95" s="344"/>
      <c r="CE95" s="344"/>
      <c r="CF95" s="344"/>
      <c r="CG95" s="344">
        <v>0</v>
      </c>
      <c r="CH95" s="344"/>
      <c r="CI95" s="344"/>
      <c r="CJ95" s="344">
        <v>0</v>
      </c>
      <c r="CK95" s="344"/>
      <c r="CL95" s="344"/>
      <c r="CM95" s="344"/>
      <c r="CN95" s="322"/>
      <c r="CO95" s="322"/>
      <c r="CP95" s="322"/>
      <c r="CQ95" s="464"/>
      <c r="CR95" s="465"/>
      <c r="CS95" s="322"/>
      <c r="CT95" s="322"/>
      <c r="CU95" s="483">
        <v>0</v>
      </c>
      <c r="CV95" s="322"/>
      <c r="CW95" s="322" t="s">
        <v>656</v>
      </c>
      <c r="CX95" s="322" t="s">
        <v>470</v>
      </c>
      <c r="CY95" s="322"/>
      <c r="CZ95" s="322"/>
      <c r="DA95" s="322">
        <v>3</v>
      </c>
      <c r="DB95" s="322"/>
      <c r="DC95" s="322"/>
      <c r="DD95" s="322"/>
      <c r="DE95" s="322"/>
      <c r="DF95" s="322"/>
      <c r="DG95" s="322"/>
      <c r="DH95" s="322"/>
      <c r="DI95" s="322"/>
      <c r="DJ95" s="322" t="s">
        <v>656</v>
      </c>
      <c r="DK95" s="322"/>
      <c r="DL95" s="322"/>
      <c r="DM95" s="322"/>
      <c r="DN95" s="322" t="s">
        <v>656</v>
      </c>
      <c r="DO95" s="322"/>
      <c r="DP95" s="225">
        <v>0</v>
      </c>
      <c r="DQ95" s="225">
        <v>0</v>
      </c>
      <c r="DR95" s="225">
        <v>0</v>
      </c>
      <c r="DS95" s="225">
        <v>0</v>
      </c>
      <c r="DT95" s="225">
        <v>0</v>
      </c>
      <c r="DU95" s="322">
        <v>0</v>
      </c>
      <c r="DV95" s="322"/>
      <c r="DW95" s="246" t="s">
        <v>2234</v>
      </c>
      <c r="DX95" s="322"/>
      <c r="DY95" s="322"/>
      <c r="DZ95" s="322"/>
      <c r="EA95" s="322"/>
      <c r="EB95" s="322"/>
      <c r="EC95" s="226"/>
      <c r="ED95" s="322">
        <v>0</v>
      </c>
      <c r="EE95" s="322" t="s">
        <v>656</v>
      </c>
      <c r="EF95" s="322"/>
      <c r="EG95" s="226"/>
      <c r="EH95" s="322" t="s">
        <v>470</v>
      </c>
      <c r="EI95" s="322" t="s">
        <v>470</v>
      </c>
      <c r="EJ95" s="226"/>
      <c r="EK95" s="226"/>
      <c r="EL95" s="226"/>
      <c r="EM95" s="226"/>
      <c r="EN95" s="226"/>
      <c r="EO95" s="226"/>
      <c r="EP95" s="226"/>
      <c r="EQ95" s="226"/>
      <c r="ER95" s="322"/>
      <c r="ES95" s="322"/>
      <c r="ET95" s="225"/>
      <c r="EU95" s="225"/>
      <c r="EV95" s="225"/>
      <c r="EW95" s="322"/>
      <c r="EX95" s="322"/>
      <c r="EY95" s="322"/>
      <c r="EZ95" s="344">
        <v>11</v>
      </c>
      <c r="FA95" s="322"/>
      <c r="FB95" s="322"/>
      <c r="FC95" s="322" t="s">
        <v>470</v>
      </c>
      <c r="FD95" s="226"/>
      <c r="FE95" s="466"/>
      <c r="FF95" s="225" t="s">
        <v>470</v>
      </c>
      <c r="FG95" s="225" t="s">
        <v>470</v>
      </c>
      <c r="FH95" s="225" t="s">
        <v>470</v>
      </c>
      <c r="FI95" s="465">
        <v>4</v>
      </c>
      <c r="FJ95" s="465" t="s">
        <v>656</v>
      </c>
      <c r="FK95" s="465"/>
      <c r="FL95" s="465" t="s">
        <v>656</v>
      </c>
      <c r="FM95" s="322"/>
      <c r="FN95" s="322"/>
      <c r="FO95" s="465"/>
      <c r="FP95" s="465"/>
      <c r="FQ95" s="465" t="s">
        <v>470</v>
      </c>
      <c r="FR95" s="465">
        <v>5</v>
      </c>
      <c r="FS95" s="465"/>
      <c r="FT95" s="465"/>
      <c r="FU95" s="226"/>
      <c r="FV95" s="465"/>
      <c r="FW95" s="465"/>
      <c r="FX95" s="465"/>
      <c r="FY95" s="226"/>
      <c r="FZ95" s="465"/>
      <c r="GA95" s="465"/>
      <c r="GB95" s="465"/>
      <c r="GC95" s="465"/>
      <c r="GD95" s="465"/>
      <c r="GE95" s="465"/>
      <c r="GF95" s="465"/>
      <c r="GG95" s="394" t="s">
        <v>4906</v>
      </c>
      <c r="GH95" s="394" t="s">
        <v>4906</v>
      </c>
      <c r="GI95" s="226"/>
      <c r="GJ95" s="465"/>
      <c r="GK95" s="465"/>
      <c r="GL95" s="465"/>
      <c r="GM95" s="465"/>
      <c r="GN95" s="465"/>
      <c r="GO95" s="226"/>
      <c r="GP95" s="465"/>
      <c r="GQ95" s="226"/>
      <c r="GR95" s="465"/>
      <c r="GS95" s="465"/>
      <c r="GT95" s="465"/>
      <c r="GU95" s="465"/>
      <c r="GV95" s="465"/>
      <c r="GW95" s="226"/>
      <c r="GX95" s="322"/>
      <c r="GY95" s="322"/>
      <c r="GZ95" s="465"/>
      <c r="HA95" s="322"/>
      <c r="HB95" s="322" t="s">
        <v>470</v>
      </c>
      <c r="HC95" s="322"/>
      <c r="HD95" s="322"/>
      <c r="HE95" s="322"/>
      <c r="HF95" s="226"/>
      <c r="HG95" s="343" t="s">
        <v>656</v>
      </c>
      <c r="HH95" s="343">
        <v>9</v>
      </c>
      <c r="HI95" s="343" t="s">
        <v>656</v>
      </c>
      <c r="HJ95" s="322" t="s">
        <v>656</v>
      </c>
      <c r="HK95" s="343" t="s">
        <v>656</v>
      </c>
      <c r="HL95" s="226"/>
      <c r="HM95" s="322"/>
      <c r="HN95" s="226"/>
      <c r="HO95" s="322">
        <v>1</v>
      </c>
      <c r="HP95" s="322"/>
      <c r="HQ95" s="322"/>
      <c r="HR95" s="322"/>
      <c r="HS95" s="225" t="s">
        <v>470</v>
      </c>
      <c r="HT95" s="322" t="s">
        <v>470</v>
      </c>
      <c r="HU95" s="225" t="s">
        <v>470</v>
      </c>
      <c r="HV95" s="322"/>
      <c r="HW95" s="322">
        <v>0</v>
      </c>
      <c r="HX95" s="322"/>
      <c r="HY95" s="322"/>
      <c r="HZ95" s="322">
        <v>0</v>
      </c>
      <c r="IA95" s="322"/>
      <c r="IB95" s="322"/>
      <c r="IC95" s="322"/>
      <c r="ID95" s="322"/>
      <c r="IE95" s="322"/>
      <c r="IF95" s="322"/>
      <c r="IG95" s="322"/>
      <c r="IH95" s="344"/>
      <c r="II95" s="322"/>
      <c r="IJ95" s="322"/>
      <c r="IK95" s="322"/>
      <c r="IL95" s="225"/>
      <c r="IM95" s="225"/>
      <c r="IN95" s="322"/>
      <c r="IO95" s="322"/>
      <c r="IP95" s="322"/>
      <c r="IQ95" s="322"/>
      <c r="IR95" s="322"/>
      <c r="IS95" s="322"/>
      <c r="IT95" s="322"/>
      <c r="IU95" s="322"/>
      <c r="IV95" s="322"/>
      <c r="IW95" s="322"/>
      <c r="IX95" s="322"/>
      <c r="IY95" s="322" t="s">
        <v>656</v>
      </c>
      <c r="IZ95" s="322"/>
      <c r="JA95" s="322"/>
      <c r="JB95" s="322"/>
      <c r="JC95" s="322" t="s">
        <v>656</v>
      </c>
      <c r="JD95" s="322" t="s">
        <v>656</v>
      </c>
      <c r="JE95" s="226"/>
      <c r="JF95" s="226"/>
      <c r="JG95" s="226"/>
      <c r="JH95" s="322"/>
      <c r="JI95" s="322"/>
      <c r="JJ95" s="322" t="s">
        <v>656</v>
      </c>
      <c r="JK95" s="345"/>
      <c r="JL95" s="322" t="s">
        <v>656</v>
      </c>
      <c r="JM95" s="322"/>
      <c r="JN95" s="226"/>
      <c r="JO95" s="226"/>
      <c r="JP95" s="226"/>
      <c r="JQ95" s="322" t="s">
        <v>656</v>
      </c>
      <c r="JR95" s="322"/>
      <c r="JS95" s="322"/>
      <c r="JT95" s="322"/>
      <c r="JU95" s="322"/>
      <c r="JV95" s="322"/>
      <c r="JW95" s="322" t="s">
        <v>656</v>
      </c>
      <c r="JX95" s="225" t="s">
        <v>656</v>
      </c>
      <c r="JY95" s="225" t="s">
        <v>470</v>
      </c>
      <c r="JZ95" s="322">
        <v>0</v>
      </c>
      <c r="KA95" s="322"/>
      <c r="KB95" s="322">
        <v>0</v>
      </c>
      <c r="KC95" s="225" t="s">
        <v>3007</v>
      </c>
      <c r="KD95" s="322" t="s">
        <v>656</v>
      </c>
      <c r="KE95" s="232"/>
      <c r="KF95" s="322"/>
      <c r="KG95" s="322" t="s">
        <v>470</v>
      </c>
      <c r="KH95" s="322"/>
      <c r="KI95" s="322">
        <v>0</v>
      </c>
      <c r="KJ95" s="322"/>
      <c r="KK95" s="322"/>
      <c r="KL95" s="322" t="s">
        <v>656</v>
      </c>
      <c r="KM95" s="225" t="s">
        <v>470</v>
      </c>
      <c r="KN95" s="322"/>
      <c r="KO95" s="322"/>
      <c r="KP95" s="322"/>
      <c r="KQ95" s="226"/>
      <c r="KR95" s="226"/>
      <c r="KS95" s="226"/>
      <c r="KT95" s="226"/>
      <c r="KU95" s="226"/>
      <c r="KV95" s="322" t="s">
        <v>656</v>
      </c>
      <c r="KW95" s="322"/>
      <c r="KX95" s="383"/>
      <c r="KY95" s="386"/>
      <c r="KZ95" s="322"/>
      <c r="LA95" s="322"/>
      <c r="LB95" s="322"/>
      <c r="LC95" s="322"/>
      <c r="LD95" s="322"/>
      <c r="LE95" s="322"/>
      <c r="LF95" s="322"/>
      <c r="LG95" s="322"/>
      <c r="LH95" s="322"/>
      <c r="LI95" s="322"/>
      <c r="LJ95" s="322"/>
      <c r="LK95" s="322"/>
      <c r="LL95" s="322"/>
      <c r="LM95" s="226"/>
      <c r="LN95" s="322">
        <v>0</v>
      </c>
      <c r="LO95" s="322">
        <v>0</v>
      </c>
      <c r="LP95" s="322">
        <v>0</v>
      </c>
      <c r="LQ95" s="322">
        <v>3</v>
      </c>
      <c r="LR95" s="322">
        <v>3</v>
      </c>
      <c r="LS95" s="322"/>
      <c r="LT95" s="346">
        <v>0</v>
      </c>
      <c r="LU95" s="322" t="e">
        <v>#REF!</v>
      </c>
      <c r="LV95" s="322"/>
      <c r="LW95" s="322"/>
      <c r="LX95" s="322"/>
      <c r="LY95" s="322"/>
      <c r="LZ95" s="322"/>
      <c r="MA95" s="322">
        <v>10</v>
      </c>
      <c r="MB95" s="322">
        <v>0</v>
      </c>
      <c r="MC95" s="322">
        <v>0</v>
      </c>
      <c r="MD95" s="322">
        <v>0</v>
      </c>
      <c r="ME95" s="322">
        <v>0</v>
      </c>
      <c r="MF95" s="322">
        <v>0</v>
      </c>
      <c r="MG95" s="226"/>
      <c r="MH95" s="226"/>
      <c r="MI95" s="226"/>
      <c r="MJ95" s="325">
        <v>3</v>
      </c>
      <c r="MK95" s="325"/>
      <c r="ML95" s="347">
        <v>6</v>
      </c>
      <c r="MM95" s="347">
        <v>5</v>
      </c>
      <c r="MN95" s="348">
        <v>3</v>
      </c>
      <c r="MO95" s="348">
        <v>20</v>
      </c>
      <c r="MP95" s="348">
        <v>10</v>
      </c>
      <c r="MQ95" s="348"/>
      <c r="MR95" s="348">
        <v>3</v>
      </c>
      <c r="MS95" s="348">
        <v>12</v>
      </c>
      <c r="MT95" s="347"/>
      <c r="MU95" s="348">
        <v>19</v>
      </c>
      <c r="MV95" s="347"/>
      <c r="MW95" s="347"/>
      <c r="MX95" s="226"/>
      <c r="MY95" s="226"/>
      <c r="MZ95" s="226"/>
      <c r="NA95" s="226"/>
    </row>
    <row r="96" spans="1:365" ht="187" x14ac:dyDescent="0.2">
      <c r="A96" s="1216"/>
      <c r="B96" s="201" t="s">
        <v>5750</v>
      </c>
      <c r="C96" s="202" t="s">
        <v>197</v>
      </c>
      <c r="D96" s="215" t="s">
        <v>117</v>
      </c>
      <c r="E96" s="322">
        <v>0</v>
      </c>
      <c r="F96" s="322">
        <v>0</v>
      </c>
      <c r="G96" s="225" t="s">
        <v>656</v>
      </c>
      <c r="H96" s="322" t="s">
        <v>656</v>
      </c>
      <c r="I96" s="322" t="s">
        <v>656</v>
      </c>
      <c r="J96" s="225" t="s">
        <v>656</v>
      </c>
      <c r="K96" s="322">
        <v>0</v>
      </c>
      <c r="L96" s="322">
        <v>0</v>
      </c>
      <c r="M96" s="322">
        <v>0</v>
      </c>
      <c r="N96" s="322">
        <v>0</v>
      </c>
      <c r="O96" s="322">
        <v>0</v>
      </c>
      <c r="P96" s="463">
        <v>0</v>
      </c>
      <c r="Q96" s="460" t="s">
        <v>5749</v>
      </c>
      <c r="R96" s="322"/>
      <c r="S96" s="322"/>
      <c r="T96" s="322"/>
      <c r="U96" s="322" t="s">
        <v>5748</v>
      </c>
      <c r="V96" s="322" t="s">
        <v>5747</v>
      </c>
      <c r="W96" s="226"/>
      <c r="X96" s="226"/>
      <c r="Y96" s="226"/>
      <c r="Z96" s="226"/>
      <c r="AA96" s="226"/>
      <c r="AB96" s="226"/>
      <c r="AC96" s="226"/>
      <c r="AD96" s="226"/>
      <c r="AE96" s="226"/>
      <c r="AF96" s="322" t="s">
        <v>470</v>
      </c>
      <c r="AG96" s="225" t="s">
        <v>470</v>
      </c>
      <c r="AH96" s="226"/>
      <c r="AI96" s="322"/>
      <c r="AJ96" s="322"/>
      <c r="AK96" s="344"/>
      <c r="AL96" s="322"/>
      <c r="AM96" s="226"/>
      <c r="AN96" s="226"/>
      <c r="AO96" s="226"/>
      <c r="AP96" s="226"/>
      <c r="AQ96" s="322"/>
      <c r="AR96" s="322"/>
      <c r="AS96" s="322"/>
      <c r="AT96" s="322"/>
      <c r="AU96" s="322" t="s">
        <v>656</v>
      </c>
      <c r="AV96" s="322"/>
      <c r="AW96" s="322"/>
      <c r="AX96" s="322"/>
      <c r="AY96" s="344" t="s">
        <v>2234</v>
      </c>
      <c r="AZ96" s="322"/>
      <c r="BA96" s="322"/>
      <c r="BB96" s="322"/>
      <c r="BC96" s="322"/>
      <c r="BD96" s="322"/>
      <c r="BE96" s="344"/>
      <c r="BF96" s="322"/>
      <c r="BG96" s="322"/>
      <c r="BH96" s="322" t="s">
        <v>470</v>
      </c>
      <c r="BI96" s="322" t="s">
        <v>656</v>
      </c>
      <c r="BJ96" s="322"/>
      <c r="BK96" s="322">
        <v>0</v>
      </c>
      <c r="BL96" s="322"/>
      <c r="BM96" s="322"/>
      <c r="BN96" s="226"/>
      <c r="BO96" s="322"/>
      <c r="BP96" s="322"/>
      <c r="BQ96" s="322"/>
      <c r="BR96" s="233" t="s">
        <v>117</v>
      </c>
      <c r="BS96" s="322" t="s">
        <v>656</v>
      </c>
      <c r="BT96" s="322"/>
      <c r="BU96" s="322"/>
      <c r="BV96" s="322"/>
      <c r="BW96" s="322"/>
      <c r="BX96" s="322"/>
      <c r="BY96" s="322"/>
      <c r="BZ96" s="322"/>
      <c r="CA96" s="322"/>
      <c r="CB96" s="322"/>
      <c r="CC96" s="322">
        <v>0</v>
      </c>
      <c r="CD96" s="344"/>
      <c r="CE96" s="344"/>
      <c r="CF96" s="344"/>
      <c r="CG96" s="344">
        <v>0</v>
      </c>
      <c r="CH96" s="344"/>
      <c r="CI96" s="344"/>
      <c r="CJ96" s="344">
        <v>0</v>
      </c>
      <c r="CK96" s="344"/>
      <c r="CL96" s="344"/>
      <c r="CM96" s="344"/>
      <c r="CN96" s="322"/>
      <c r="CO96" s="322"/>
      <c r="CP96" s="322"/>
      <c r="CQ96" s="464"/>
      <c r="CR96" s="465"/>
      <c r="CS96" s="322"/>
      <c r="CT96" s="322"/>
      <c r="CU96" s="483">
        <v>0</v>
      </c>
      <c r="CV96" s="322"/>
      <c r="CW96" s="322" t="s">
        <v>656</v>
      </c>
      <c r="CX96" s="322" t="s">
        <v>470</v>
      </c>
      <c r="CY96" s="322"/>
      <c r="CZ96" s="322"/>
      <c r="DA96" s="322">
        <v>20</v>
      </c>
      <c r="DB96" s="322"/>
      <c r="DC96" s="322"/>
      <c r="DD96" s="322"/>
      <c r="DE96" s="322"/>
      <c r="DF96" s="322"/>
      <c r="DG96" s="322"/>
      <c r="DH96" s="322"/>
      <c r="DI96" s="322"/>
      <c r="DJ96" s="322" t="s">
        <v>656</v>
      </c>
      <c r="DK96" s="322"/>
      <c r="DL96" s="322"/>
      <c r="DM96" s="322"/>
      <c r="DN96" s="322" t="s">
        <v>656</v>
      </c>
      <c r="DO96" s="322"/>
      <c r="DP96" s="225">
        <v>0</v>
      </c>
      <c r="DQ96" s="225">
        <v>0</v>
      </c>
      <c r="DR96" s="225">
        <v>0</v>
      </c>
      <c r="DS96" s="225">
        <v>0</v>
      </c>
      <c r="DT96" s="225">
        <v>0</v>
      </c>
      <c r="DU96" s="322">
        <v>0</v>
      </c>
      <c r="DV96" s="322"/>
      <c r="DW96" s="246" t="s">
        <v>2234</v>
      </c>
      <c r="DX96" s="322"/>
      <c r="DY96" s="322"/>
      <c r="DZ96" s="322"/>
      <c r="EA96" s="322"/>
      <c r="EB96" s="322"/>
      <c r="EC96" s="226"/>
      <c r="ED96" s="322">
        <v>0</v>
      </c>
      <c r="EE96" s="322" t="s">
        <v>656</v>
      </c>
      <c r="EF96" s="322"/>
      <c r="EG96" s="226"/>
      <c r="EH96" s="322" t="s">
        <v>470</v>
      </c>
      <c r="EI96" s="322" t="s">
        <v>5746</v>
      </c>
      <c r="EJ96" s="226"/>
      <c r="EK96" s="226"/>
      <c r="EL96" s="226"/>
      <c r="EM96" s="226"/>
      <c r="EN96" s="226"/>
      <c r="EO96" s="226"/>
      <c r="EP96" s="226"/>
      <c r="EQ96" s="226"/>
      <c r="ER96" s="322"/>
      <c r="ES96" s="322"/>
      <c r="ET96" s="225"/>
      <c r="EU96" s="225"/>
      <c r="EV96" s="225"/>
      <c r="EW96" s="322"/>
      <c r="EX96" s="322"/>
      <c r="EY96" s="322"/>
      <c r="EZ96" s="344"/>
      <c r="FA96" s="322">
        <v>0</v>
      </c>
      <c r="FB96" s="322"/>
      <c r="FC96" s="322" t="s">
        <v>470</v>
      </c>
      <c r="FD96" s="226"/>
      <c r="FE96" s="466"/>
      <c r="FF96" s="225" t="s">
        <v>470</v>
      </c>
      <c r="FG96" s="225" t="s">
        <v>470</v>
      </c>
      <c r="FH96" s="225" t="s">
        <v>470</v>
      </c>
      <c r="FI96" s="465" t="s">
        <v>656</v>
      </c>
      <c r="FJ96" s="465" t="s">
        <v>656</v>
      </c>
      <c r="FK96" s="465"/>
      <c r="FL96" s="465" t="s">
        <v>656</v>
      </c>
      <c r="FM96" s="322" t="s">
        <v>5745</v>
      </c>
      <c r="FN96" s="322"/>
      <c r="FO96" s="465"/>
      <c r="FP96" s="465"/>
      <c r="FQ96" s="465" t="s">
        <v>470</v>
      </c>
      <c r="FR96" s="465" t="s">
        <v>5744</v>
      </c>
      <c r="FS96" s="465"/>
      <c r="FT96" s="465"/>
      <c r="FU96" s="226"/>
      <c r="FV96" s="465"/>
      <c r="FW96" s="465"/>
      <c r="FX96" s="465"/>
      <c r="FY96" s="226"/>
      <c r="FZ96" s="465"/>
      <c r="GA96" s="465"/>
      <c r="GB96" s="465"/>
      <c r="GC96" s="465"/>
      <c r="GD96" s="465"/>
      <c r="GE96" s="465" t="s">
        <v>470</v>
      </c>
      <c r="GF96" s="465" t="s">
        <v>470</v>
      </c>
      <c r="GG96" s="394" t="s">
        <v>4906</v>
      </c>
      <c r="GH96" s="394" t="s">
        <v>4906</v>
      </c>
      <c r="GI96" s="226"/>
      <c r="GJ96" s="465"/>
      <c r="GK96" s="465"/>
      <c r="GL96" s="465"/>
      <c r="GM96" s="465"/>
      <c r="GN96" s="465"/>
      <c r="GO96" s="226"/>
      <c r="GP96" s="465"/>
      <c r="GQ96" s="226"/>
      <c r="GR96" s="465"/>
      <c r="GS96" s="465"/>
      <c r="GT96" s="465"/>
      <c r="GU96" s="465"/>
      <c r="GV96" s="465"/>
      <c r="GW96" s="226"/>
      <c r="GX96" s="322"/>
      <c r="GY96" s="322"/>
      <c r="GZ96" s="465"/>
      <c r="HA96" s="322"/>
      <c r="HB96" s="322" t="s">
        <v>470</v>
      </c>
      <c r="HC96" s="322"/>
      <c r="HD96" s="322"/>
      <c r="HE96" s="322"/>
      <c r="HF96" s="226"/>
      <c r="HG96" s="343" t="s">
        <v>656</v>
      </c>
      <c r="HH96" s="343" t="s">
        <v>5743</v>
      </c>
      <c r="HI96" s="343" t="s">
        <v>656</v>
      </c>
      <c r="HJ96" s="322">
        <v>10</v>
      </c>
      <c r="HK96" s="343" t="s">
        <v>656</v>
      </c>
      <c r="HL96" s="226"/>
      <c r="HM96" s="322"/>
      <c r="HN96" s="226"/>
      <c r="HO96" s="322">
        <v>0</v>
      </c>
      <c r="HP96" s="322"/>
      <c r="HQ96" s="322"/>
      <c r="HR96" s="322"/>
      <c r="HS96" s="225" t="s">
        <v>470</v>
      </c>
      <c r="HT96" s="322" t="s">
        <v>470</v>
      </c>
      <c r="HU96" s="225" t="s">
        <v>470</v>
      </c>
      <c r="HV96" s="322"/>
      <c r="HW96" s="322">
        <v>0</v>
      </c>
      <c r="HX96" s="322"/>
      <c r="HY96" s="322"/>
      <c r="HZ96" s="322">
        <v>0</v>
      </c>
      <c r="IA96" s="322"/>
      <c r="IB96" s="322"/>
      <c r="IC96" s="322"/>
      <c r="ID96" s="322"/>
      <c r="IE96" s="322"/>
      <c r="IF96" s="322"/>
      <c r="IG96" s="322"/>
      <c r="IH96" s="344"/>
      <c r="II96" s="322"/>
      <c r="IJ96" s="322"/>
      <c r="IK96" s="322"/>
      <c r="IL96" s="225"/>
      <c r="IM96" s="225"/>
      <c r="IN96" s="322"/>
      <c r="IO96" s="322"/>
      <c r="IP96" s="322"/>
      <c r="IQ96" s="322"/>
      <c r="IR96" s="322"/>
      <c r="IS96" s="322"/>
      <c r="IT96" s="322"/>
      <c r="IU96" s="322"/>
      <c r="IV96" s="322"/>
      <c r="IW96" s="322"/>
      <c r="IX96" s="322"/>
      <c r="IY96" s="322" t="s">
        <v>656</v>
      </c>
      <c r="IZ96" s="322"/>
      <c r="JA96" s="322"/>
      <c r="JB96" s="322"/>
      <c r="JC96" s="322" t="s">
        <v>656</v>
      </c>
      <c r="JD96" s="322" t="s">
        <v>656</v>
      </c>
      <c r="JE96" s="226"/>
      <c r="JF96" s="226"/>
      <c r="JG96" s="226"/>
      <c r="JH96" s="322"/>
      <c r="JI96" s="322"/>
      <c r="JJ96" s="322" t="s">
        <v>656</v>
      </c>
      <c r="JK96" s="345"/>
      <c r="JL96" s="322" t="s">
        <v>656</v>
      </c>
      <c r="JM96" s="322"/>
      <c r="JN96" s="226"/>
      <c r="JO96" s="226"/>
      <c r="JP96" s="226"/>
      <c r="JQ96" s="322" t="s">
        <v>656</v>
      </c>
      <c r="JR96" s="322"/>
      <c r="JS96" s="322"/>
      <c r="JT96" s="322"/>
      <c r="JU96" s="322"/>
      <c r="JV96" s="322"/>
      <c r="JW96" s="322" t="s">
        <v>656</v>
      </c>
      <c r="JX96" s="225" t="s">
        <v>656</v>
      </c>
      <c r="JY96" s="225" t="s">
        <v>470</v>
      </c>
      <c r="JZ96" s="322">
        <v>0</v>
      </c>
      <c r="KA96" s="322"/>
      <c r="KB96" s="322">
        <v>0</v>
      </c>
      <c r="KC96" s="225" t="s">
        <v>3007</v>
      </c>
      <c r="KD96" s="322" t="s">
        <v>656</v>
      </c>
      <c r="KE96" s="232"/>
      <c r="KF96" s="322"/>
      <c r="KG96" s="322" t="s">
        <v>470</v>
      </c>
      <c r="KH96" s="322"/>
      <c r="KI96" s="322">
        <v>0</v>
      </c>
      <c r="KJ96" s="322"/>
      <c r="KK96" s="322"/>
      <c r="KL96" s="322" t="s">
        <v>656</v>
      </c>
      <c r="KM96" s="225" t="s">
        <v>470</v>
      </c>
      <c r="KN96" s="322"/>
      <c r="KO96" s="322"/>
      <c r="KP96" s="322"/>
      <c r="KQ96" s="226"/>
      <c r="KR96" s="226"/>
      <c r="KS96" s="226"/>
      <c r="KT96" s="226"/>
      <c r="KU96" s="226"/>
      <c r="KV96" s="322" t="s">
        <v>656</v>
      </c>
      <c r="KW96" s="322"/>
      <c r="KX96" s="383"/>
      <c r="KY96" s="386"/>
      <c r="KZ96" s="322"/>
      <c r="LA96" s="322"/>
      <c r="LB96" s="322"/>
      <c r="LC96" s="322"/>
      <c r="LD96" s="322"/>
      <c r="LE96" s="322"/>
      <c r="LF96" s="322"/>
      <c r="LG96" s="322"/>
      <c r="LH96" s="322"/>
      <c r="LI96" s="322"/>
      <c r="LJ96" s="322"/>
      <c r="LK96" s="322"/>
      <c r="LL96" s="322"/>
      <c r="LM96" s="226"/>
      <c r="LN96" s="322">
        <v>0</v>
      </c>
      <c r="LO96" s="322">
        <v>0</v>
      </c>
      <c r="LP96" s="322">
        <v>0</v>
      </c>
      <c r="LQ96" s="322">
        <v>25</v>
      </c>
      <c r="LR96" s="322">
        <v>30</v>
      </c>
      <c r="LS96" s="322"/>
      <c r="LT96" s="346">
        <v>0</v>
      </c>
      <c r="LU96" s="322" t="e">
        <v>#REF!</v>
      </c>
      <c r="LV96" s="322"/>
      <c r="LW96" s="322"/>
      <c r="LX96" s="322"/>
      <c r="LY96" s="322"/>
      <c r="LZ96" s="322"/>
      <c r="MA96" s="322">
        <v>2</v>
      </c>
      <c r="MB96" s="322">
        <v>10</v>
      </c>
      <c r="MC96" s="322">
        <v>0</v>
      </c>
      <c r="MD96" s="322">
        <v>0</v>
      </c>
      <c r="ME96" s="322">
        <v>0</v>
      </c>
      <c r="MF96" s="322">
        <v>0</v>
      </c>
      <c r="MG96" s="226"/>
      <c r="MH96" s="226"/>
      <c r="MI96" s="226"/>
      <c r="MJ96" s="325">
        <v>42</v>
      </c>
      <c r="MK96" s="325"/>
      <c r="ML96" s="379" t="s">
        <v>5742</v>
      </c>
      <c r="MM96" s="347" t="s">
        <v>5741</v>
      </c>
      <c r="MN96" s="348"/>
      <c r="MO96" s="348">
        <v>72</v>
      </c>
      <c r="MP96" s="348" t="s">
        <v>5740</v>
      </c>
      <c r="MQ96" s="348">
        <v>3</v>
      </c>
      <c r="MR96" s="348"/>
      <c r="MS96" s="348">
        <v>34</v>
      </c>
      <c r="MT96" s="347"/>
      <c r="MU96" s="348">
        <v>24</v>
      </c>
      <c r="MV96" s="347"/>
      <c r="MW96" s="347"/>
      <c r="MX96" s="226"/>
      <c r="MY96" s="226"/>
      <c r="MZ96" s="226"/>
      <c r="NA96" s="226"/>
    </row>
    <row r="97" spans="1:365" ht="68" x14ac:dyDescent="0.2">
      <c r="A97" s="1216"/>
      <c r="B97" s="201" t="s">
        <v>198</v>
      </c>
      <c r="C97" s="202" t="s">
        <v>199</v>
      </c>
      <c r="D97" s="215" t="s">
        <v>117</v>
      </c>
      <c r="E97" s="225" t="s">
        <v>5739</v>
      </c>
      <c r="F97" s="225">
        <v>17</v>
      </c>
      <c r="G97" s="225">
        <v>5</v>
      </c>
      <c r="H97" s="322">
        <v>5</v>
      </c>
      <c r="I97" s="225">
        <v>1</v>
      </c>
      <c r="J97" s="225">
        <v>1</v>
      </c>
      <c r="K97" s="322">
        <v>2</v>
      </c>
      <c r="L97" s="322">
        <v>1</v>
      </c>
      <c r="M97" s="322">
        <v>3</v>
      </c>
      <c r="N97" s="322">
        <v>3</v>
      </c>
      <c r="O97" s="322">
        <v>9</v>
      </c>
      <c r="P97" s="463">
        <v>1</v>
      </c>
      <c r="Q97" s="460">
        <v>18</v>
      </c>
      <c r="R97" s="322"/>
      <c r="S97" s="460">
        <v>3</v>
      </c>
      <c r="T97" s="322">
        <v>2</v>
      </c>
      <c r="U97" s="322">
        <v>1</v>
      </c>
      <c r="V97" s="322"/>
      <c r="W97" s="226"/>
      <c r="X97" s="226"/>
      <c r="Y97" s="226"/>
      <c r="Z97" s="226"/>
      <c r="AA97" s="226"/>
      <c r="AB97" s="226"/>
      <c r="AC97" s="226"/>
      <c r="AD97" s="226"/>
      <c r="AE97" s="226"/>
      <c r="AF97" s="322" t="s">
        <v>470</v>
      </c>
      <c r="AG97" s="225">
        <v>5</v>
      </c>
      <c r="AH97" s="226"/>
      <c r="AI97" s="322">
        <v>2</v>
      </c>
      <c r="AJ97" s="322">
        <v>1</v>
      </c>
      <c r="AK97" s="344">
        <v>20</v>
      </c>
      <c r="AL97" s="322">
        <v>3</v>
      </c>
      <c r="AM97" s="226"/>
      <c r="AN97" s="226"/>
      <c r="AO97" s="226"/>
      <c r="AP97" s="226"/>
      <c r="AQ97" s="322">
        <v>23</v>
      </c>
      <c r="AR97" s="322"/>
      <c r="AS97" s="322"/>
      <c r="AT97" s="322"/>
      <c r="AU97" s="322" t="s">
        <v>656</v>
      </c>
      <c r="AV97" s="225"/>
      <c r="AW97" s="322"/>
      <c r="AX97" s="322"/>
      <c r="AY97" s="344" t="s">
        <v>2234</v>
      </c>
      <c r="AZ97" s="322"/>
      <c r="BA97" s="322">
        <v>1</v>
      </c>
      <c r="BB97" s="322"/>
      <c r="BC97" s="322"/>
      <c r="BD97" s="322"/>
      <c r="BE97" s="344"/>
      <c r="BF97" s="322"/>
      <c r="BG97" s="322">
        <v>1</v>
      </c>
      <c r="BH97" s="322" t="s">
        <v>470</v>
      </c>
      <c r="BI97" s="322" t="s">
        <v>656</v>
      </c>
      <c r="BJ97" s="322"/>
      <c r="BK97" s="322">
        <v>0</v>
      </c>
      <c r="BL97" s="322"/>
      <c r="BM97" s="322">
        <v>4</v>
      </c>
      <c r="BN97" s="226"/>
      <c r="BO97" s="322"/>
      <c r="BP97" s="322"/>
      <c r="BQ97" s="322"/>
      <c r="BR97" s="233">
        <v>2</v>
      </c>
      <c r="BS97" s="322" t="s">
        <v>656</v>
      </c>
      <c r="BT97" s="322"/>
      <c r="BU97" s="322"/>
      <c r="BV97" s="322">
        <v>4</v>
      </c>
      <c r="BW97" s="322"/>
      <c r="BX97" s="322"/>
      <c r="BY97" s="322">
        <v>4</v>
      </c>
      <c r="BZ97" s="322"/>
      <c r="CA97" s="322"/>
      <c r="CB97" s="322"/>
      <c r="CC97" s="322"/>
      <c r="CD97" s="344"/>
      <c r="CE97" s="344"/>
      <c r="CF97" s="344"/>
      <c r="CG97" s="344">
        <v>2</v>
      </c>
      <c r="CH97" s="344"/>
      <c r="CI97" s="344"/>
      <c r="CJ97" s="344">
        <v>0</v>
      </c>
      <c r="CK97" s="344"/>
      <c r="CL97" s="344"/>
      <c r="CM97" s="344"/>
      <c r="CN97" s="322">
        <v>1</v>
      </c>
      <c r="CO97" s="322"/>
      <c r="CP97" s="322"/>
      <c r="CQ97" s="464"/>
      <c r="CR97" s="465">
        <v>5</v>
      </c>
      <c r="CS97" s="322"/>
      <c r="CT97" s="322"/>
      <c r="CU97" s="322">
        <v>2</v>
      </c>
      <c r="CV97" s="322"/>
      <c r="CW97" s="322" t="s">
        <v>656</v>
      </c>
      <c r="CX97" s="322">
        <v>1</v>
      </c>
      <c r="CY97" s="322">
        <v>1</v>
      </c>
      <c r="CZ97" s="322"/>
      <c r="DA97" s="322">
        <v>5</v>
      </c>
      <c r="DB97" s="322"/>
      <c r="DC97" s="322">
        <v>3</v>
      </c>
      <c r="DD97" s="322"/>
      <c r="DE97" s="322"/>
      <c r="DF97" s="322"/>
      <c r="DG97" s="322"/>
      <c r="DH97" s="322"/>
      <c r="DI97" s="322"/>
      <c r="DJ97" s="322" t="s">
        <v>656</v>
      </c>
      <c r="DK97" s="322"/>
      <c r="DL97" s="322"/>
      <c r="DM97" s="322"/>
      <c r="DN97" s="322" t="s">
        <v>656</v>
      </c>
      <c r="DO97" s="322"/>
      <c r="DP97" s="225">
        <v>0</v>
      </c>
      <c r="DQ97" s="225">
        <v>0</v>
      </c>
      <c r="DR97" s="225">
        <v>0</v>
      </c>
      <c r="DS97" s="225">
        <v>2</v>
      </c>
      <c r="DT97" s="225">
        <v>0</v>
      </c>
      <c r="DU97" s="322">
        <v>0</v>
      </c>
      <c r="DV97" s="322"/>
      <c r="DW97" s="246" t="s">
        <v>2234</v>
      </c>
      <c r="DX97" s="322"/>
      <c r="DY97" s="322"/>
      <c r="DZ97" s="322"/>
      <c r="EA97" s="322">
        <v>4</v>
      </c>
      <c r="EB97" s="322"/>
      <c r="EC97" s="226"/>
      <c r="ED97" s="322">
        <v>17</v>
      </c>
      <c r="EE97" s="322" t="s">
        <v>656</v>
      </c>
      <c r="EF97" s="322">
        <v>16</v>
      </c>
      <c r="EG97" s="226"/>
      <c r="EH97" s="322" t="s">
        <v>470</v>
      </c>
      <c r="EI97" s="322">
        <v>5</v>
      </c>
      <c r="EJ97" s="226"/>
      <c r="EK97" s="226"/>
      <c r="EL97" s="226"/>
      <c r="EM97" s="226"/>
      <c r="EN97" s="226"/>
      <c r="EO97" s="226"/>
      <c r="EP97" s="226"/>
      <c r="EQ97" s="226"/>
      <c r="ER97" s="322">
        <v>2</v>
      </c>
      <c r="ES97" s="322">
        <v>4</v>
      </c>
      <c r="ET97" s="225">
        <v>3</v>
      </c>
      <c r="EU97" s="225">
        <v>3</v>
      </c>
      <c r="EV97" s="225">
        <v>3</v>
      </c>
      <c r="EW97" s="322">
        <v>8</v>
      </c>
      <c r="EX97" s="322">
        <v>2</v>
      </c>
      <c r="EY97" s="322"/>
      <c r="EZ97" s="344">
        <v>1</v>
      </c>
      <c r="FA97" s="322">
        <v>2</v>
      </c>
      <c r="FB97" s="322"/>
      <c r="FC97" s="322">
        <v>2</v>
      </c>
      <c r="FD97" s="226"/>
      <c r="FE97" s="466"/>
      <c r="FF97" s="225">
        <v>2</v>
      </c>
      <c r="FG97" s="225">
        <v>4</v>
      </c>
      <c r="FH97" s="322">
        <v>22</v>
      </c>
      <c r="FI97" s="465" t="s">
        <v>656</v>
      </c>
      <c r="FJ97" s="465">
        <v>12</v>
      </c>
      <c r="FK97" s="465"/>
      <c r="FL97" s="465">
        <v>12</v>
      </c>
      <c r="FM97" s="322">
        <v>2</v>
      </c>
      <c r="FN97" s="322"/>
      <c r="FO97" s="465">
        <v>6</v>
      </c>
      <c r="FP97" s="465"/>
      <c r="FQ97" s="465">
        <v>4</v>
      </c>
      <c r="FR97" s="465">
        <v>7</v>
      </c>
      <c r="FS97" s="465"/>
      <c r="FT97" s="465"/>
      <c r="FU97" s="226"/>
      <c r="FV97" s="465"/>
      <c r="FW97" s="465"/>
      <c r="FX97" s="465"/>
      <c r="FY97" s="226"/>
      <c r="FZ97" s="465"/>
      <c r="GA97" s="465"/>
      <c r="GB97" s="465"/>
      <c r="GC97" s="465"/>
      <c r="GD97" s="465"/>
      <c r="GE97" s="465"/>
      <c r="GF97" s="465"/>
      <c r="GG97" s="465">
        <v>2</v>
      </c>
      <c r="GH97" s="484"/>
      <c r="GI97" s="226"/>
      <c r="GJ97" s="465"/>
      <c r="GK97" s="465"/>
      <c r="GL97" s="465">
        <v>3</v>
      </c>
      <c r="GM97" s="465"/>
      <c r="GN97" s="465"/>
      <c r="GO97" s="226"/>
      <c r="GP97" s="465"/>
      <c r="GQ97" s="226"/>
      <c r="GR97" s="465"/>
      <c r="GS97" s="465"/>
      <c r="GT97" s="465"/>
      <c r="GU97" s="465"/>
      <c r="GV97" s="465"/>
      <c r="GW97" s="226"/>
      <c r="GX97" s="322"/>
      <c r="GY97" s="322"/>
      <c r="GZ97" s="465"/>
      <c r="HA97" s="322">
        <v>4</v>
      </c>
      <c r="HB97" s="322" t="s">
        <v>470</v>
      </c>
      <c r="HC97" s="322"/>
      <c r="HD97" s="322"/>
      <c r="HE97" s="322"/>
      <c r="HF97" s="226"/>
      <c r="HG97" s="343" t="s">
        <v>656</v>
      </c>
      <c r="HH97" s="343">
        <v>10</v>
      </c>
      <c r="HI97" s="343">
        <v>1</v>
      </c>
      <c r="HJ97" s="322">
        <v>4</v>
      </c>
      <c r="HK97" s="343">
        <v>1</v>
      </c>
      <c r="HL97" s="226"/>
      <c r="HM97" s="322">
        <v>21</v>
      </c>
      <c r="HN97" s="226"/>
      <c r="HO97" s="322">
        <v>0</v>
      </c>
      <c r="HP97" s="322">
        <v>2</v>
      </c>
      <c r="HQ97" s="322"/>
      <c r="HR97" s="322"/>
      <c r="HS97" s="322">
        <v>35</v>
      </c>
      <c r="HT97" s="322">
        <v>35</v>
      </c>
      <c r="HU97" s="322">
        <v>3</v>
      </c>
      <c r="HV97" s="322"/>
      <c r="HW97" s="322">
        <v>3</v>
      </c>
      <c r="HX97" s="322">
        <v>27</v>
      </c>
      <c r="HY97" s="322">
        <v>23</v>
      </c>
      <c r="HZ97" s="322">
        <v>0</v>
      </c>
      <c r="IA97" s="322">
        <v>1</v>
      </c>
      <c r="IB97" s="322"/>
      <c r="IC97" s="322"/>
      <c r="ID97" s="322"/>
      <c r="IE97" s="322"/>
      <c r="IF97" s="322"/>
      <c r="IG97" s="322"/>
      <c r="IH97" s="344"/>
      <c r="II97" s="322"/>
      <c r="IJ97" s="322"/>
      <c r="IK97" s="322"/>
      <c r="IL97" s="225"/>
      <c r="IM97" s="225"/>
      <c r="IN97" s="322"/>
      <c r="IO97" s="322"/>
      <c r="IP97" s="322"/>
      <c r="IQ97" s="322"/>
      <c r="IR97" s="322"/>
      <c r="IS97" s="322"/>
      <c r="IT97" s="322"/>
      <c r="IU97" s="322">
        <v>1</v>
      </c>
      <c r="IV97" s="322"/>
      <c r="IW97" s="322"/>
      <c r="IX97" s="322"/>
      <c r="IY97" s="322">
        <v>1</v>
      </c>
      <c r="IZ97" s="322"/>
      <c r="JA97" s="322"/>
      <c r="JB97" s="322"/>
      <c r="JC97" s="322" t="s">
        <v>656</v>
      </c>
      <c r="JD97" s="322">
        <v>3</v>
      </c>
      <c r="JE97" s="226"/>
      <c r="JF97" s="226"/>
      <c r="JG97" s="226"/>
      <c r="JH97" s="322">
        <v>1</v>
      </c>
      <c r="JI97" s="322"/>
      <c r="JJ97" s="322">
        <v>64</v>
      </c>
      <c r="JK97" s="345"/>
      <c r="JL97" s="322" t="s">
        <v>656</v>
      </c>
      <c r="JM97" s="322"/>
      <c r="JN97" s="226"/>
      <c r="JO97" s="226"/>
      <c r="JP97" s="226"/>
      <c r="JQ97" s="322"/>
      <c r="JR97" s="322"/>
      <c r="JS97" s="322"/>
      <c r="JT97" s="322">
        <v>5</v>
      </c>
      <c r="JU97" s="322"/>
      <c r="JV97" s="322">
        <v>3</v>
      </c>
      <c r="JW97" s="322">
        <v>4</v>
      </c>
      <c r="JX97" s="225" t="s">
        <v>656</v>
      </c>
      <c r="JY97" s="322">
        <v>25</v>
      </c>
      <c r="JZ97" s="322">
        <v>0</v>
      </c>
      <c r="KA97" s="322">
        <v>4</v>
      </c>
      <c r="KB97" s="322">
        <v>0</v>
      </c>
      <c r="KC97" s="322">
        <v>5</v>
      </c>
      <c r="KD97" s="322">
        <v>15</v>
      </c>
      <c r="KE97" s="232">
        <v>2</v>
      </c>
      <c r="KF97" s="322">
        <v>15</v>
      </c>
      <c r="KG97" s="322">
        <v>5</v>
      </c>
      <c r="KH97" s="322">
        <v>20</v>
      </c>
      <c r="KI97" s="322">
        <v>2</v>
      </c>
      <c r="KJ97" s="322">
        <v>4</v>
      </c>
      <c r="KK97" s="322">
        <v>4</v>
      </c>
      <c r="KL97" s="322">
        <v>2</v>
      </c>
      <c r="KM97" s="225">
        <v>10</v>
      </c>
      <c r="KN97" s="322"/>
      <c r="KO97" s="322"/>
      <c r="KP97" s="322">
        <v>6</v>
      </c>
      <c r="KQ97" s="226"/>
      <c r="KR97" s="226"/>
      <c r="KS97" s="226"/>
      <c r="KT97" s="226"/>
      <c r="KU97" s="226"/>
      <c r="KV97" s="322">
        <v>2</v>
      </c>
      <c r="KW97" s="322">
        <v>1</v>
      </c>
      <c r="KX97" s="383">
        <v>1</v>
      </c>
      <c r="KY97" s="386">
        <v>8</v>
      </c>
      <c r="KZ97" s="322">
        <v>1</v>
      </c>
      <c r="LA97" s="322">
        <v>4</v>
      </c>
      <c r="LB97" s="322">
        <v>1</v>
      </c>
      <c r="LC97" s="322">
        <v>7</v>
      </c>
      <c r="LD97" s="322">
        <v>1</v>
      </c>
      <c r="LE97" s="322"/>
      <c r="LF97" s="322">
        <v>1</v>
      </c>
      <c r="LG97" s="322">
        <v>1</v>
      </c>
      <c r="LH97" s="322">
        <v>1</v>
      </c>
      <c r="LI97" s="322">
        <v>2</v>
      </c>
      <c r="LJ97" s="322">
        <v>2</v>
      </c>
      <c r="LK97" s="322"/>
      <c r="LL97" s="322"/>
      <c r="LM97" s="226"/>
      <c r="LN97" s="322">
        <v>1</v>
      </c>
      <c r="LO97" s="322">
        <v>2</v>
      </c>
      <c r="LP97" s="322">
        <v>2</v>
      </c>
      <c r="LQ97" s="322">
        <v>8</v>
      </c>
      <c r="LR97" s="322">
        <v>1</v>
      </c>
      <c r="LS97" s="322">
        <v>13</v>
      </c>
      <c r="LT97" s="346">
        <v>2</v>
      </c>
      <c r="LU97" s="322">
        <v>23</v>
      </c>
      <c r="LV97" s="322"/>
      <c r="LW97" s="322">
        <v>2</v>
      </c>
      <c r="LX97" s="322"/>
      <c r="LY97" s="322"/>
      <c r="LZ97" s="322">
        <v>3</v>
      </c>
      <c r="MA97" s="225"/>
      <c r="MB97" s="322">
        <v>1</v>
      </c>
      <c r="MC97" s="322">
        <v>0</v>
      </c>
      <c r="MD97" s="322">
        <v>3</v>
      </c>
      <c r="ME97" s="322">
        <v>0</v>
      </c>
      <c r="MF97" s="322">
        <v>4</v>
      </c>
      <c r="MG97" s="226"/>
      <c r="MH97" s="226"/>
      <c r="MI97" s="226"/>
      <c r="MJ97" s="325">
        <v>5</v>
      </c>
      <c r="MK97" s="325"/>
      <c r="ML97" s="347">
        <v>4</v>
      </c>
      <c r="MM97" s="347">
        <v>5</v>
      </c>
      <c r="MN97" s="348">
        <v>3</v>
      </c>
      <c r="MO97" s="348">
        <v>0</v>
      </c>
      <c r="MP97" s="348">
        <v>5</v>
      </c>
      <c r="MQ97" s="348"/>
      <c r="MR97" s="348">
        <v>5</v>
      </c>
      <c r="MS97" s="348"/>
      <c r="MT97" s="347"/>
      <c r="MU97" s="348"/>
      <c r="MV97" s="347">
        <v>3</v>
      </c>
      <c r="MW97" s="347">
        <f>2+5</f>
        <v>7</v>
      </c>
      <c r="MX97" s="226"/>
      <c r="MY97" s="226"/>
      <c r="MZ97" s="226"/>
      <c r="NA97" s="226"/>
    </row>
    <row r="98" spans="1:365" ht="68" x14ac:dyDescent="0.2">
      <c r="A98" s="1216" t="s">
        <v>201</v>
      </c>
      <c r="B98" s="1217" t="s">
        <v>202</v>
      </c>
      <c r="C98" s="1218" t="s">
        <v>203</v>
      </c>
      <c r="D98" s="215" t="s">
        <v>204</v>
      </c>
      <c r="E98" s="225" t="s">
        <v>470</v>
      </c>
      <c r="F98" s="225" t="s">
        <v>470</v>
      </c>
      <c r="G98" s="225" t="s">
        <v>539</v>
      </c>
      <c r="H98" s="225" t="s">
        <v>539</v>
      </c>
      <c r="I98" s="225" t="s">
        <v>540</v>
      </c>
      <c r="J98" s="225" t="s">
        <v>539</v>
      </c>
      <c r="K98" s="225" t="s">
        <v>470</v>
      </c>
      <c r="L98" s="225" t="s">
        <v>479</v>
      </c>
      <c r="M98" s="225" t="s">
        <v>470</v>
      </c>
      <c r="N98" s="225" t="s">
        <v>470</v>
      </c>
      <c r="O98" s="225" t="s">
        <v>470</v>
      </c>
      <c r="P98" s="400" t="s">
        <v>470</v>
      </c>
      <c r="Q98" s="225" t="s">
        <v>470</v>
      </c>
      <c r="R98" s="322" t="s">
        <v>479</v>
      </c>
      <c r="S98" s="226" t="s">
        <v>470</v>
      </c>
      <c r="T98" s="225" t="s">
        <v>5738</v>
      </c>
      <c r="U98" s="225" t="s">
        <v>540</v>
      </c>
      <c r="V98" s="225" t="s">
        <v>470</v>
      </c>
      <c r="W98" s="226"/>
      <c r="X98" s="226"/>
      <c r="Y98" s="226"/>
      <c r="Z98" s="226"/>
      <c r="AA98" s="226"/>
      <c r="AB98" s="226"/>
      <c r="AC98" s="226"/>
      <c r="AD98" s="226"/>
      <c r="AE98" s="226"/>
      <c r="AF98" s="225" t="s">
        <v>479</v>
      </c>
      <c r="AG98" s="225" t="s">
        <v>470</v>
      </c>
      <c r="AH98" s="226"/>
      <c r="AI98" s="225" t="s">
        <v>470</v>
      </c>
      <c r="AJ98" s="225" t="s">
        <v>470</v>
      </c>
      <c r="AK98" s="344" t="s">
        <v>479</v>
      </c>
      <c r="AL98" s="225" t="s">
        <v>479</v>
      </c>
      <c r="AM98" s="226"/>
      <c r="AN98" s="226"/>
      <c r="AO98" s="226"/>
      <c r="AP98" s="226"/>
      <c r="AQ98" s="225" t="s">
        <v>470</v>
      </c>
      <c r="AR98" s="225" t="s">
        <v>470</v>
      </c>
      <c r="AS98" s="225" t="s">
        <v>479</v>
      </c>
      <c r="AT98" s="225" t="s">
        <v>479</v>
      </c>
      <c r="AU98" s="225" t="s">
        <v>479</v>
      </c>
      <c r="AV98" s="225" t="s">
        <v>479</v>
      </c>
      <c r="AW98" s="225" t="s">
        <v>689</v>
      </c>
      <c r="AX98" s="225" t="s">
        <v>479</v>
      </c>
      <c r="AY98" s="229" t="s">
        <v>479</v>
      </c>
      <c r="AZ98" s="225" t="s">
        <v>479</v>
      </c>
      <c r="BA98" s="225" t="s">
        <v>539</v>
      </c>
      <c r="BB98" s="225" t="s">
        <v>479</v>
      </c>
      <c r="BC98" s="226" t="s">
        <v>479</v>
      </c>
      <c r="BD98" s="225" t="s">
        <v>479</v>
      </c>
      <c r="BE98" s="229" t="s">
        <v>5737</v>
      </c>
      <c r="BF98" s="225" t="s">
        <v>479</v>
      </c>
      <c r="BG98" s="225" t="s">
        <v>479</v>
      </c>
      <c r="BH98" s="225" t="s">
        <v>540</v>
      </c>
      <c r="BI98" s="225" t="s">
        <v>479</v>
      </c>
      <c r="BJ98" s="225" t="s">
        <v>479</v>
      </c>
      <c r="BK98" s="225" t="s">
        <v>479</v>
      </c>
      <c r="BL98" s="225"/>
      <c r="BM98" s="225" t="s">
        <v>479</v>
      </c>
      <c r="BN98" s="226"/>
      <c r="BO98" s="225" t="s">
        <v>479</v>
      </c>
      <c r="BP98" s="225" t="s">
        <v>479</v>
      </c>
      <c r="BQ98" s="225" t="s">
        <v>479</v>
      </c>
      <c r="BR98" s="233" t="s">
        <v>479</v>
      </c>
      <c r="BS98" s="225"/>
      <c r="BT98" s="225" t="s">
        <v>479</v>
      </c>
      <c r="BU98" s="225" t="s">
        <v>479</v>
      </c>
      <c r="BV98" s="225" t="s">
        <v>470</v>
      </c>
      <c r="BW98" s="225" t="s">
        <v>479</v>
      </c>
      <c r="BX98" s="225" t="s">
        <v>479</v>
      </c>
      <c r="BY98" s="225" t="s">
        <v>479</v>
      </c>
      <c r="BZ98" s="225"/>
      <c r="CA98" s="225" t="s">
        <v>479</v>
      </c>
      <c r="CB98" s="225" t="s">
        <v>479</v>
      </c>
      <c r="CC98" s="225" t="s">
        <v>479</v>
      </c>
      <c r="CD98" s="229" t="s">
        <v>479</v>
      </c>
      <c r="CE98" s="229" t="s">
        <v>479</v>
      </c>
      <c r="CF98" s="229" t="s">
        <v>479</v>
      </c>
      <c r="CG98" s="229" t="s">
        <v>470</v>
      </c>
      <c r="CH98" s="229"/>
      <c r="CI98" s="229" t="s">
        <v>479</v>
      </c>
      <c r="CJ98" s="229" t="s">
        <v>479</v>
      </c>
      <c r="CK98" s="229"/>
      <c r="CL98" s="229" t="s">
        <v>479</v>
      </c>
      <c r="CM98" s="229" t="s">
        <v>479</v>
      </c>
      <c r="CN98" s="225"/>
      <c r="CO98" s="225" t="s">
        <v>479</v>
      </c>
      <c r="CP98" s="225" t="s">
        <v>470</v>
      </c>
      <c r="CQ98" s="406" t="s">
        <v>479</v>
      </c>
      <c r="CR98" s="465" t="s">
        <v>479</v>
      </c>
      <c r="CS98" s="225" t="s">
        <v>479</v>
      </c>
      <c r="CT98" s="225"/>
      <c r="CU98" s="225" t="s">
        <v>479</v>
      </c>
      <c r="CV98" s="225" t="s">
        <v>479</v>
      </c>
      <c r="CW98" s="225" t="s">
        <v>479</v>
      </c>
      <c r="CX98" s="225" t="s">
        <v>479</v>
      </c>
      <c r="CY98" s="225" t="s">
        <v>479</v>
      </c>
      <c r="CZ98" s="225" t="s">
        <v>479</v>
      </c>
      <c r="DA98" s="225" t="s">
        <v>479</v>
      </c>
      <c r="DB98" s="225" t="s">
        <v>479</v>
      </c>
      <c r="DC98" s="225" t="s">
        <v>479</v>
      </c>
      <c r="DD98" s="225" t="s">
        <v>479</v>
      </c>
      <c r="DE98" s="225" t="s">
        <v>470</v>
      </c>
      <c r="DF98" s="225" t="s">
        <v>479</v>
      </c>
      <c r="DG98" s="225" t="s">
        <v>479</v>
      </c>
      <c r="DH98" s="225" t="s">
        <v>479</v>
      </c>
      <c r="DI98" s="225" t="s">
        <v>479</v>
      </c>
      <c r="DJ98" s="225" t="s">
        <v>479</v>
      </c>
      <c r="DK98" s="225" t="s">
        <v>479</v>
      </c>
      <c r="DL98" s="225" t="s">
        <v>470</v>
      </c>
      <c r="DM98" s="225" t="s">
        <v>479</v>
      </c>
      <c r="DN98" s="225" t="s">
        <v>479</v>
      </c>
      <c r="DO98" s="225"/>
      <c r="DP98" s="225" t="s">
        <v>479</v>
      </c>
      <c r="DQ98" s="225" t="s">
        <v>479</v>
      </c>
      <c r="DR98" s="225" t="s">
        <v>479</v>
      </c>
      <c r="DS98" s="225" t="s">
        <v>479</v>
      </c>
      <c r="DT98" s="225" t="s">
        <v>479</v>
      </c>
      <c r="DU98" s="225" t="s">
        <v>470</v>
      </c>
      <c r="DV98" s="225" t="s">
        <v>479</v>
      </c>
      <c r="DW98" s="246" t="s">
        <v>479</v>
      </c>
      <c r="DX98" s="225" t="s">
        <v>479</v>
      </c>
      <c r="DY98" s="225" t="s">
        <v>540</v>
      </c>
      <c r="DZ98" s="225" t="s">
        <v>479</v>
      </c>
      <c r="EA98" s="225" t="s">
        <v>470</v>
      </c>
      <c r="EB98" s="225" t="s">
        <v>470</v>
      </c>
      <c r="EC98" s="226"/>
      <c r="ED98" s="225" t="s">
        <v>470</v>
      </c>
      <c r="EE98" s="225" t="s">
        <v>656</v>
      </c>
      <c r="EF98" s="225"/>
      <c r="EG98" s="226"/>
      <c r="EH98" s="225" t="s">
        <v>479</v>
      </c>
      <c r="EI98" s="225" t="s">
        <v>479</v>
      </c>
      <c r="EJ98" s="226"/>
      <c r="EK98" s="226"/>
      <c r="EL98" s="226"/>
      <c r="EM98" s="226"/>
      <c r="EN98" s="226"/>
      <c r="EO98" s="226"/>
      <c r="EP98" s="226"/>
      <c r="EQ98" s="226"/>
      <c r="ER98" s="225" t="s">
        <v>479</v>
      </c>
      <c r="ES98" s="225" t="s">
        <v>479</v>
      </c>
      <c r="ET98" s="225" t="s">
        <v>470</v>
      </c>
      <c r="EU98" s="225" t="s">
        <v>470</v>
      </c>
      <c r="EV98" s="225" t="s">
        <v>470</v>
      </c>
      <c r="EW98" s="225" t="s">
        <v>470</v>
      </c>
      <c r="EX98" s="225" t="s">
        <v>479</v>
      </c>
      <c r="EY98" s="225" t="s">
        <v>479</v>
      </c>
      <c r="EZ98" s="229" t="s">
        <v>479</v>
      </c>
      <c r="FA98" s="225" t="s">
        <v>470</v>
      </c>
      <c r="FB98" s="225" t="s">
        <v>470</v>
      </c>
      <c r="FC98" s="225"/>
      <c r="FD98" s="226"/>
      <c r="FE98" s="404" t="s">
        <v>539</v>
      </c>
      <c r="FF98" s="322" t="s">
        <v>470</v>
      </c>
      <c r="FG98" s="225" t="s">
        <v>479</v>
      </c>
      <c r="FH98" s="225" t="s">
        <v>479</v>
      </c>
      <c r="FI98" s="394" t="s">
        <v>689</v>
      </c>
      <c r="FJ98" s="394" t="s">
        <v>470</v>
      </c>
      <c r="FK98" s="394"/>
      <c r="FL98" s="394" t="s">
        <v>689</v>
      </c>
      <c r="FM98" s="225" t="s">
        <v>470</v>
      </c>
      <c r="FN98" s="225"/>
      <c r="FO98" s="394" t="s">
        <v>470</v>
      </c>
      <c r="FP98" s="394"/>
      <c r="FQ98" s="465" t="s">
        <v>470</v>
      </c>
      <c r="FR98" s="394" t="s">
        <v>479</v>
      </c>
      <c r="FS98" s="394"/>
      <c r="FT98" s="394"/>
      <c r="FU98" s="226"/>
      <c r="FV98" s="394" t="s">
        <v>479</v>
      </c>
      <c r="FW98" s="394" t="s">
        <v>479</v>
      </c>
      <c r="FX98" s="394" t="s">
        <v>479</v>
      </c>
      <c r="FY98" s="226"/>
      <c r="FZ98" s="394" t="s">
        <v>479</v>
      </c>
      <c r="GA98" s="394" t="s">
        <v>479</v>
      </c>
      <c r="GB98" s="394"/>
      <c r="GC98" s="394"/>
      <c r="GD98" s="394" t="s">
        <v>479</v>
      </c>
      <c r="GE98" s="394" t="s">
        <v>479</v>
      </c>
      <c r="GF98" s="394"/>
      <c r="GG98" s="394" t="s">
        <v>479</v>
      </c>
      <c r="GH98" s="394" t="s">
        <v>470</v>
      </c>
      <c r="GI98" s="226"/>
      <c r="GJ98" s="394" t="s">
        <v>470</v>
      </c>
      <c r="GK98" s="394"/>
      <c r="GL98" s="394" t="s">
        <v>470</v>
      </c>
      <c r="GM98" s="394" t="s">
        <v>479</v>
      </c>
      <c r="GN98" s="394"/>
      <c r="GO98" s="226"/>
      <c r="GP98" s="394"/>
      <c r="GQ98" s="226"/>
      <c r="GR98" s="394"/>
      <c r="GS98" s="394"/>
      <c r="GT98" s="394"/>
      <c r="GU98" s="394" t="s">
        <v>479</v>
      </c>
      <c r="GV98" s="394" t="s">
        <v>470</v>
      </c>
      <c r="GW98" s="226"/>
      <c r="GX98" s="225" t="s">
        <v>479</v>
      </c>
      <c r="GY98" s="225" t="s">
        <v>479</v>
      </c>
      <c r="GZ98" s="394" t="s">
        <v>470</v>
      </c>
      <c r="HA98" s="225" t="s">
        <v>470</v>
      </c>
      <c r="HB98" s="225" t="s">
        <v>470</v>
      </c>
      <c r="HC98" s="225" t="s">
        <v>479</v>
      </c>
      <c r="HD98" s="225" t="s">
        <v>470</v>
      </c>
      <c r="HE98" s="225" t="s">
        <v>470</v>
      </c>
      <c r="HF98" s="226"/>
      <c r="HG98" s="227" t="s">
        <v>470</v>
      </c>
      <c r="HH98" s="227" t="s">
        <v>470</v>
      </c>
      <c r="HI98" s="227" t="s">
        <v>470</v>
      </c>
      <c r="HJ98" s="225" t="s">
        <v>479</v>
      </c>
      <c r="HK98" s="227" t="s">
        <v>656</v>
      </c>
      <c r="HL98" s="226"/>
      <c r="HM98" s="225" t="s">
        <v>470</v>
      </c>
      <c r="HN98" s="226"/>
      <c r="HO98" s="225" t="s">
        <v>470</v>
      </c>
      <c r="HP98" s="225" t="s">
        <v>470</v>
      </c>
      <c r="HQ98" s="225" t="s">
        <v>873</v>
      </c>
      <c r="HR98" s="225" t="s">
        <v>873</v>
      </c>
      <c r="HS98" s="225" t="s">
        <v>479</v>
      </c>
      <c r="HT98" s="225"/>
      <c r="HU98" s="225" t="s">
        <v>470</v>
      </c>
      <c r="HV98" s="225" t="s">
        <v>479</v>
      </c>
      <c r="HW98" s="225" t="s">
        <v>470</v>
      </c>
      <c r="HX98" s="225" t="s">
        <v>470</v>
      </c>
      <c r="HY98" s="225" t="s">
        <v>479</v>
      </c>
      <c r="HZ98" s="225" t="s">
        <v>470</v>
      </c>
      <c r="IA98" s="225" t="s">
        <v>470</v>
      </c>
      <c r="IB98" s="225"/>
      <c r="IC98" s="225"/>
      <c r="ID98" s="322" t="s">
        <v>470</v>
      </c>
      <c r="IE98" s="225" t="s">
        <v>470</v>
      </c>
      <c r="IF98" s="225" t="s">
        <v>470</v>
      </c>
      <c r="IG98" s="225" t="s">
        <v>470</v>
      </c>
      <c r="IH98" s="229" t="s">
        <v>470</v>
      </c>
      <c r="II98" s="225" t="s">
        <v>470</v>
      </c>
      <c r="IJ98" s="225" t="s">
        <v>470</v>
      </c>
      <c r="IK98" s="225" t="s">
        <v>470</v>
      </c>
      <c r="IL98" s="225" t="s">
        <v>539</v>
      </c>
      <c r="IM98" s="225" t="s">
        <v>539</v>
      </c>
      <c r="IN98" s="225" t="s">
        <v>470</v>
      </c>
      <c r="IO98" s="225" t="s">
        <v>470</v>
      </c>
      <c r="IP98" s="225" t="s">
        <v>470</v>
      </c>
      <c r="IQ98" s="225" t="s">
        <v>470</v>
      </c>
      <c r="IR98" s="225" t="s">
        <v>470</v>
      </c>
      <c r="IS98" s="225" t="s">
        <v>470</v>
      </c>
      <c r="IT98" s="225" t="s">
        <v>470</v>
      </c>
      <c r="IU98" s="225" t="s">
        <v>470</v>
      </c>
      <c r="IV98" s="225" t="s">
        <v>470</v>
      </c>
      <c r="IW98" s="225" t="s">
        <v>470</v>
      </c>
      <c r="IX98" s="225"/>
      <c r="IY98" s="225" t="s">
        <v>470</v>
      </c>
      <c r="IZ98" s="225"/>
      <c r="JA98" s="225"/>
      <c r="JB98" s="225"/>
      <c r="JC98" s="225" t="s">
        <v>470</v>
      </c>
      <c r="JD98" s="225" t="s">
        <v>479</v>
      </c>
      <c r="JE98" s="226"/>
      <c r="JF98" s="226"/>
      <c r="JG98" s="226"/>
      <c r="JH98" s="225" t="s">
        <v>479</v>
      </c>
      <c r="JI98" s="225" t="s">
        <v>479</v>
      </c>
      <c r="JJ98" s="225" t="s">
        <v>479</v>
      </c>
      <c r="JK98" s="237" t="s">
        <v>479</v>
      </c>
      <c r="JL98" s="225" t="s">
        <v>479</v>
      </c>
      <c r="JM98" s="225" t="s">
        <v>470</v>
      </c>
      <c r="JN98" s="226"/>
      <c r="JO98" s="226"/>
      <c r="JP98" s="226"/>
      <c r="JQ98" s="225" t="s">
        <v>479</v>
      </c>
      <c r="JR98" s="225" t="s">
        <v>470</v>
      </c>
      <c r="JS98" s="225" t="s">
        <v>479</v>
      </c>
      <c r="JT98" s="225" t="s">
        <v>479</v>
      </c>
      <c r="JU98" s="225" t="s">
        <v>479</v>
      </c>
      <c r="JV98" s="225" t="s">
        <v>479</v>
      </c>
      <c r="JW98" s="225" t="s">
        <v>479</v>
      </c>
      <c r="JX98" s="225" t="s">
        <v>479</v>
      </c>
      <c r="JY98" s="225" t="s">
        <v>479</v>
      </c>
      <c r="JZ98" s="225" t="s">
        <v>479</v>
      </c>
      <c r="KA98" s="225" t="s">
        <v>470</v>
      </c>
      <c r="KB98" s="225" t="s">
        <v>479</v>
      </c>
      <c r="KC98" s="225" t="s">
        <v>540</v>
      </c>
      <c r="KD98" s="225" t="s">
        <v>479</v>
      </c>
      <c r="KE98" s="232" t="s">
        <v>479</v>
      </c>
      <c r="KF98" s="225" t="s">
        <v>479</v>
      </c>
      <c r="KG98" s="225" t="s">
        <v>470</v>
      </c>
      <c r="KH98" s="225"/>
      <c r="KI98" s="225" t="s">
        <v>479</v>
      </c>
      <c r="KJ98" s="225" t="s">
        <v>470</v>
      </c>
      <c r="KK98" s="225" t="s">
        <v>470</v>
      </c>
      <c r="KL98" s="225" t="s">
        <v>470</v>
      </c>
      <c r="KM98" s="225" t="s">
        <v>470</v>
      </c>
      <c r="KN98" s="225" t="s">
        <v>479</v>
      </c>
      <c r="KO98" s="225" t="s">
        <v>479</v>
      </c>
      <c r="KP98" s="225" t="s">
        <v>470</v>
      </c>
      <c r="KQ98" s="226"/>
      <c r="KR98" s="226"/>
      <c r="KS98" s="226"/>
      <c r="KT98" s="226"/>
      <c r="KU98" s="226"/>
      <c r="KV98" s="225" t="s">
        <v>479</v>
      </c>
      <c r="KW98" s="225" t="s">
        <v>479</v>
      </c>
      <c r="KX98" s="228" t="s">
        <v>470</v>
      </c>
      <c r="KY98" s="793" t="s">
        <v>479</v>
      </c>
      <c r="KZ98" s="225" t="s">
        <v>470</v>
      </c>
      <c r="LA98" s="225" t="s">
        <v>470</v>
      </c>
      <c r="LB98" s="225"/>
      <c r="LC98" s="225" t="s">
        <v>470</v>
      </c>
      <c r="LD98" s="225" t="s">
        <v>470</v>
      </c>
      <c r="LE98" s="225" t="s">
        <v>873</v>
      </c>
      <c r="LF98" s="225" t="s">
        <v>470</v>
      </c>
      <c r="LG98" s="225" t="s">
        <v>470</v>
      </c>
      <c r="LH98" s="225" t="s">
        <v>470</v>
      </c>
      <c r="LI98" s="224" t="s">
        <v>479</v>
      </c>
      <c r="LJ98" s="225" t="s">
        <v>470</v>
      </c>
      <c r="LK98" s="225" t="s">
        <v>470</v>
      </c>
      <c r="LL98" s="225"/>
      <c r="LM98" s="226"/>
      <c r="LN98" s="225" t="s">
        <v>479</v>
      </c>
      <c r="LO98" s="225" t="s">
        <v>479</v>
      </c>
      <c r="LP98" s="225" t="s">
        <v>479</v>
      </c>
      <c r="LQ98" s="225" t="s">
        <v>479</v>
      </c>
      <c r="LR98" s="225" t="s">
        <v>479</v>
      </c>
      <c r="LS98" s="225" t="s">
        <v>479</v>
      </c>
      <c r="LT98" s="234" t="s">
        <v>479</v>
      </c>
      <c r="LU98" s="225"/>
      <c r="LV98" s="225" t="s">
        <v>479</v>
      </c>
      <c r="LW98" s="225" t="s">
        <v>479</v>
      </c>
      <c r="LX98" s="225" t="s">
        <v>479</v>
      </c>
      <c r="LY98" s="225" t="s">
        <v>479</v>
      </c>
      <c r="LZ98" s="225" t="s">
        <v>479</v>
      </c>
      <c r="MA98" s="225" t="s">
        <v>470</v>
      </c>
      <c r="MB98" s="225" t="s">
        <v>479</v>
      </c>
      <c r="MC98" s="225" t="s">
        <v>479</v>
      </c>
      <c r="MD98" s="225" t="s">
        <v>479</v>
      </c>
      <c r="ME98" s="225" t="s">
        <v>470</v>
      </c>
      <c r="MF98" s="225" t="s">
        <v>479</v>
      </c>
      <c r="MG98" s="226"/>
      <c r="MH98" s="226"/>
      <c r="MI98" s="226"/>
      <c r="MJ98" s="235" t="s">
        <v>479</v>
      </c>
      <c r="MK98" s="235"/>
      <c r="ML98" s="235" t="s">
        <v>540</v>
      </c>
      <c r="MM98" s="235" t="s">
        <v>479</v>
      </c>
      <c r="MN98" s="236" t="s">
        <v>479</v>
      </c>
      <c r="MO98" s="236" t="s">
        <v>479</v>
      </c>
      <c r="MP98" s="236" t="s">
        <v>479</v>
      </c>
      <c r="MQ98" s="236" t="s">
        <v>470</v>
      </c>
      <c r="MR98" s="236" t="s">
        <v>470</v>
      </c>
      <c r="MS98" s="236" t="s">
        <v>470</v>
      </c>
      <c r="MT98" s="235" t="s">
        <v>479</v>
      </c>
      <c r="MU98" s="236"/>
      <c r="MV98" s="235" t="s">
        <v>479</v>
      </c>
      <c r="MW98" s="235" t="s">
        <v>479</v>
      </c>
      <c r="MX98" s="226"/>
      <c r="MY98" s="226"/>
      <c r="MZ98" s="226"/>
      <c r="NA98" s="226"/>
    </row>
    <row r="99" spans="1:365" ht="388" x14ac:dyDescent="0.2">
      <c r="A99" s="1216"/>
      <c r="B99" s="1217"/>
      <c r="C99" s="1218"/>
      <c r="D99" s="215" t="s">
        <v>205</v>
      </c>
      <c r="E99" s="225"/>
      <c r="F99" s="225"/>
      <c r="G99" s="225" t="s">
        <v>656</v>
      </c>
      <c r="H99" s="225" t="s">
        <v>656</v>
      </c>
      <c r="I99" s="322" t="s">
        <v>2415</v>
      </c>
      <c r="J99" s="225" t="s">
        <v>656</v>
      </c>
      <c r="K99" s="225" t="s">
        <v>1924</v>
      </c>
      <c r="L99" s="225" t="s">
        <v>5698</v>
      </c>
      <c r="M99" s="225" t="s">
        <v>1924</v>
      </c>
      <c r="N99" s="225" t="s">
        <v>1924</v>
      </c>
      <c r="O99" s="225" t="s">
        <v>1924</v>
      </c>
      <c r="P99" s="400" t="s">
        <v>1924</v>
      </c>
      <c r="Q99" s="322" t="s">
        <v>1924</v>
      </c>
      <c r="R99" s="322" t="s">
        <v>1876</v>
      </c>
      <c r="S99" s="225"/>
      <c r="T99" s="225"/>
      <c r="U99" s="263" t="s">
        <v>5736</v>
      </c>
      <c r="V99" s="225"/>
      <c r="W99" s="226"/>
      <c r="X99" s="226"/>
      <c r="Y99" s="226"/>
      <c r="Z99" s="226"/>
      <c r="AA99" s="226"/>
      <c r="AB99" s="226"/>
      <c r="AC99" s="226"/>
      <c r="AD99" s="226"/>
      <c r="AE99" s="226"/>
      <c r="AF99" s="225" t="s">
        <v>5362</v>
      </c>
      <c r="AG99" s="225"/>
      <c r="AH99" s="226"/>
      <c r="AI99" s="225"/>
      <c r="AJ99" s="225"/>
      <c r="AK99" s="344" t="s">
        <v>5735</v>
      </c>
      <c r="AL99" s="225" t="s">
        <v>640</v>
      </c>
      <c r="AM99" s="226"/>
      <c r="AN99" s="226"/>
      <c r="AO99" s="226"/>
      <c r="AP99" s="226"/>
      <c r="AQ99" s="225"/>
      <c r="AR99" s="225"/>
      <c r="AS99" s="225" t="s">
        <v>5734</v>
      </c>
      <c r="AT99" s="225" t="s">
        <v>5733</v>
      </c>
      <c r="AU99" s="225" t="s">
        <v>5732</v>
      </c>
      <c r="AV99" s="322" t="s">
        <v>5731</v>
      </c>
      <c r="AW99" s="225" t="s">
        <v>5730</v>
      </c>
      <c r="AX99" s="225" t="s">
        <v>5729</v>
      </c>
      <c r="AY99" s="475" t="s">
        <v>5728</v>
      </c>
      <c r="AZ99" s="225" t="s">
        <v>5315</v>
      </c>
      <c r="BA99" s="225"/>
      <c r="BB99" s="225" t="s">
        <v>1336</v>
      </c>
      <c r="BC99" s="226" t="s">
        <v>5727</v>
      </c>
      <c r="BD99" s="225" t="s">
        <v>5723</v>
      </c>
      <c r="BE99" s="229"/>
      <c r="BF99" s="225" t="s">
        <v>5726</v>
      </c>
      <c r="BG99" s="225" t="s">
        <v>5723</v>
      </c>
      <c r="BH99" s="225" t="s">
        <v>5725</v>
      </c>
      <c r="BI99" s="225" t="s">
        <v>5724</v>
      </c>
      <c r="BJ99" s="225" t="s">
        <v>5723</v>
      </c>
      <c r="BK99" s="225"/>
      <c r="BL99" s="225"/>
      <c r="BM99" s="225" t="s">
        <v>5722</v>
      </c>
      <c r="BN99" s="226"/>
      <c r="BO99" s="225" t="s">
        <v>3521</v>
      </c>
      <c r="BP99" s="225"/>
      <c r="BQ99" s="225"/>
      <c r="BR99" s="233" t="s">
        <v>5721</v>
      </c>
      <c r="BS99" s="225"/>
      <c r="BT99" s="225" t="s">
        <v>1876</v>
      </c>
      <c r="BU99" s="225" t="s">
        <v>5720</v>
      </c>
      <c r="BV99" s="225"/>
      <c r="BW99" s="225" t="s">
        <v>5687</v>
      </c>
      <c r="BX99" s="225" t="s">
        <v>1876</v>
      </c>
      <c r="BY99" s="225"/>
      <c r="BZ99" s="225"/>
      <c r="CA99" s="225" t="s">
        <v>5358</v>
      </c>
      <c r="CB99" s="225" t="s">
        <v>5358</v>
      </c>
      <c r="CC99" s="225"/>
      <c r="CD99" s="229" t="s">
        <v>1877</v>
      </c>
      <c r="CE99" s="229" t="s">
        <v>1876</v>
      </c>
      <c r="CF99" s="229" t="s">
        <v>1876</v>
      </c>
      <c r="CG99" s="229"/>
      <c r="CH99" s="229"/>
      <c r="CI99" s="229" t="s">
        <v>5423</v>
      </c>
      <c r="CJ99" s="229" t="s">
        <v>640</v>
      </c>
      <c r="CK99" s="229"/>
      <c r="CL99" s="229" t="s">
        <v>1876</v>
      </c>
      <c r="CM99" s="229" t="s">
        <v>5645</v>
      </c>
      <c r="CN99" s="225"/>
      <c r="CO99" s="225" t="s">
        <v>5719</v>
      </c>
      <c r="CP99" s="225"/>
      <c r="CQ99" s="406" t="s">
        <v>3521</v>
      </c>
      <c r="CR99" s="465" t="s">
        <v>5378</v>
      </c>
      <c r="CS99" s="225" t="s">
        <v>640</v>
      </c>
      <c r="CT99" s="225"/>
      <c r="CU99" s="225" t="s">
        <v>5718</v>
      </c>
      <c r="CV99" s="225" t="s">
        <v>5717</v>
      </c>
      <c r="CW99" s="225" t="s">
        <v>619</v>
      </c>
      <c r="CX99" s="225" t="s">
        <v>707</v>
      </c>
      <c r="CY99" s="225" t="s">
        <v>3157</v>
      </c>
      <c r="CZ99" s="225" t="s">
        <v>5685</v>
      </c>
      <c r="DA99" s="225" t="s">
        <v>5716</v>
      </c>
      <c r="DB99" s="225" t="s">
        <v>5715</v>
      </c>
      <c r="DC99" s="225" t="s">
        <v>15</v>
      </c>
      <c r="DD99" s="225" t="s">
        <v>3521</v>
      </c>
      <c r="DE99" s="225"/>
      <c r="DF99" s="225" t="s">
        <v>5417</v>
      </c>
      <c r="DG99" s="225" t="s">
        <v>5714</v>
      </c>
      <c r="DH99" s="225" t="s">
        <v>1877</v>
      </c>
      <c r="DI99" s="225" t="s">
        <v>5713</v>
      </c>
      <c r="DJ99" s="225" t="s">
        <v>5712</v>
      </c>
      <c r="DK99" s="225" t="s">
        <v>5711</v>
      </c>
      <c r="DL99" s="225"/>
      <c r="DM99" s="225" t="s">
        <v>1876</v>
      </c>
      <c r="DN99" s="225" t="s">
        <v>1876</v>
      </c>
      <c r="DO99" s="225"/>
      <c r="DP99" s="225" t="s">
        <v>5687</v>
      </c>
      <c r="DQ99" s="225" t="s">
        <v>5687</v>
      </c>
      <c r="DR99" s="225" t="s">
        <v>5687</v>
      </c>
      <c r="DS99" s="225" t="s">
        <v>5710</v>
      </c>
      <c r="DT99" s="225" t="s">
        <v>5687</v>
      </c>
      <c r="DU99" s="225" t="s">
        <v>470</v>
      </c>
      <c r="DV99" s="225" t="s">
        <v>1876</v>
      </c>
      <c r="DW99" s="246" t="s">
        <v>1876</v>
      </c>
      <c r="DX99" s="225" t="s">
        <v>5709</v>
      </c>
      <c r="DY99" s="225" t="s">
        <v>920</v>
      </c>
      <c r="DZ99" s="225" t="s">
        <v>1877</v>
      </c>
      <c r="EA99" s="225"/>
      <c r="EB99" s="225"/>
      <c r="EC99" s="226"/>
      <c r="ED99" s="225"/>
      <c r="EE99" s="225" t="s">
        <v>656</v>
      </c>
      <c r="EF99" s="225"/>
      <c r="EG99" s="226"/>
      <c r="EH99" s="225" t="s">
        <v>5394</v>
      </c>
      <c r="EI99" s="225" t="s">
        <v>5708</v>
      </c>
      <c r="EJ99" s="226"/>
      <c r="EK99" s="226"/>
      <c r="EL99" s="226"/>
      <c r="EM99" s="226"/>
      <c r="EN99" s="226"/>
      <c r="EO99" s="226"/>
      <c r="EP99" s="226"/>
      <c r="EQ99" s="226"/>
      <c r="ER99" s="225" t="s">
        <v>3521</v>
      </c>
      <c r="ES99" s="225" t="s">
        <v>5707</v>
      </c>
      <c r="ET99" s="322"/>
      <c r="EU99" s="322"/>
      <c r="EV99" s="322"/>
      <c r="EW99" s="225"/>
      <c r="EX99" s="225" t="s">
        <v>3521</v>
      </c>
      <c r="EY99" s="225" t="s">
        <v>5706</v>
      </c>
      <c r="EZ99" s="229"/>
      <c r="FA99" s="225"/>
      <c r="FB99" s="225"/>
      <c r="FC99" s="225"/>
      <c r="FD99" s="226"/>
      <c r="FE99" s="404"/>
      <c r="FF99" s="322" t="s">
        <v>470</v>
      </c>
      <c r="FG99" s="225" t="s">
        <v>5705</v>
      </c>
      <c r="FH99" s="225" t="s">
        <v>5704</v>
      </c>
      <c r="FI99" s="394" t="s">
        <v>2827</v>
      </c>
      <c r="FJ99" s="394" t="s">
        <v>656</v>
      </c>
      <c r="FK99" s="394"/>
      <c r="FL99" s="394" t="s">
        <v>5631</v>
      </c>
      <c r="FM99" s="225"/>
      <c r="FN99" s="225"/>
      <c r="FO99" s="394"/>
      <c r="FP99" s="394"/>
      <c r="FQ99" s="465" t="s">
        <v>656</v>
      </c>
      <c r="FR99" s="394" t="s">
        <v>5703</v>
      </c>
      <c r="FS99" s="394"/>
      <c r="FT99" s="394"/>
      <c r="FU99" s="226"/>
      <c r="FV99" s="394" t="s">
        <v>640</v>
      </c>
      <c r="FW99" s="394" t="s">
        <v>1336</v>
      </c>
      <c r="FX99" s="394" t="s">
        <v>1336</v>
      </c>
      <c r="FY99" s="226"/>
      <c r="FZ99" s="394"/>
      <c r="GA99" s="394" t="s">
        <v>656</v>
      </c>
      <c r="GB99" s="394"/>
      <c r="GC99" s="394"/>
      <c r="GD99" s="394" t="s">
        <v>5702</v>
      </c>
      <c r="GE99" s="394" t="s">
        <v>5701</v>
      </c>
      <c r="GF99" s="394"/>
      <c r="GG99" s="394" t="s">
        <v>5700</v>
      </c>
      <c r="GH99" s="394" t="s">
        <v>4906</v>
      </c>
      <c r="GI99" s="226"/>
      <c r="GJ99" s="394"/>
      <c r="GK99" s="394"/>
      <c r="GL99" s="394"/>
      <c r="GM99" s="394" t="s">
        <v>5699</v>
      </c>
      <c r="GN99" s="394"/>
      <c r="GO99" s="226"/>
      <c r="GP99" s="394"/>
      <c r="GQ99" s="226"/>
      <c r="GR99" s="394"/>
      <c r="GS99" s="394"/>
      <c r="GT99" s="394"/>
      <c r="GU99" s="394" t="s">
        <v>1876</v>
      </c>
      <c r="GV99" s="394"/>
      <c r="GW99" s="226"/>
      <c r="GX99" s="225" t="s">
        <v>5243</v>
      </c>
      <c r="GY99" s="225" t="s">
        <v>5243</v>
      </c>
      <c r="GZ99" s="394"/>
      <c r="HA99" s="225"/>
      <c r="HB99" s="225"/>
      <c r="HC99" s="225" t="s">
        <v>5698</v>
      </c>
      <c r="HD99" s="225"/>
      <c r="HE99" s="225"/>
      <c r="HF99" s="226"/>
      <c r="HG99" s="227" t="s">
        <v>656</v>
      </c>
      <c r="HH99" s="227" t="s">
        <v>656</v>
      </c>
      <c r="HI99" s="227" t="s">
        <v>656</v>
      </c>
      <c r="HJ99" s="225" t="s">
        <v>5697</v>
      </c>
      <c r="HK99" s="227" t="s">
        <v>656</v>
      </c>
      <c r="HL99" s="226"/>
      <c r="HM99" s="225"/>
      <c r="HN99" s="226"/>
      <c r="HO99" s="225"/>
      <c r="HP99" s="225"/>
      <c r="HQ99" s="225"/>
      <c r="HR99" s="225"/>
      <c r="HS99" s="225" t="s">
        <v>1876</v>
      </c>
      <c r="HT99" s="225"/>
      <c r="HU99" s="225"/>
      <c r="HV99" s="225" t="s">
        <v>5696</v>
      </c>
      <c r="HW99" s="225"/>
      <c r="HX99" s="225"/>
      <c r="HY99" s="225" t="s">
        <v>5695</v>
      </c>
      <c r="HZ99" s="225" t="s">
        <v>656</v>
      </c>
      <c r="IA99" s="225"/>
      <c r="IB99" s="225"/>
      <c r="IC99" s="225"/>
      <c r="ID99" s="225"/>
      <c r="IE99" s="225"/>
      <c r="IF99" s="225"/>
      <c r="IG99" s="225"/>
      <c r="IH99" s="229"/>
      <c r="II99" s="225"/>
      <c r="IJ99" s="225"/>
      <c r="IK99" s="225"/>
      <c r="IL99" s="225"/>
      <c r="IM99" s="225"/>
      <c r="IN99" s="225"/>
      <c r="IO99" s="225"/>
      <c r="IP99" s="225"/>
      <c r="IQ99" s="225"/>
      <c r="IR99" s="225"/>
      <c r="IS99" s="225"/>
      <c r="IT99" s="225"/>
      <c r="IU99" s="225"/>
      <c r="IV99" s="225"/>
      <c r="IW99" s="225"/>
      <c r="IX99" s="225"/>
      <c r="IY99" s="225" t="s">
        <v>656</v>
      </c>
      <c r="IZ99" s="225"/>
      <c r="JA99" s="225"/>
      <c r="JB99" s="225"/>
      <c r="JC99" s="225" t="s">
        <v>656</v>
      </c>
      <c r="JD99" s="225" t="s">
        <v>5694</v>
      </c>
      <c r="JE99" s="226"/>
      <c r="JF99" s="226"/>
      <c r="JG99" s="226"/>
      <c r="JH99" s="225" t="s">
        <v>1877</v>
      </c>
      <c r="JI99" s="225" t="s">
        <v>5693</v>
      </c>
      <c r="JJ99" s="225" t="s">
        <v>5692</v>
      </c>
      <c r="JK99" s="237" t="s">
        <v>5684</v>
      </c>
      <c r="JL99" s="225" t="s">
        <v>640</v>
      </c>
      <c r="JM99" s="225"/>
      <c r="JN99" s="226"/>
      <c r="JO99" s="226"/>
      <c r="JP99" s="226"/>
      <c r="JQ99" s="225" t="s">
        <v>1876</v>
      </c>
      <c r="JR99" s="225"/>
      <c r="JS99" s="225" t="s">
        <v>1877</v>
      </c>
      <c r="JT99" s="225" t="s">
        <v>1877</v>
      </c>
      <c r="JU99" s="225"/>
      <c r="JV99" s="225" t="s">
        <v>1877</v>
      </c>
      <c r="JW99" s="225" t="s">
        <v>5691</v>
      </c>
      <c r="JX99" s="225" t="s">
        <v>1876</v>
      </c>
      <c r="JY99" s="225" t="s">
        <v>5690</v>
      </c>
      <c r="JZ99" s="225" t="s">
        <v>1877</v>
      </c>
      <c r="KA99" s="225"/>
      <c r="KB99" s="225" t="s">
        <v>5689</v>
      </c>
      <c r="KC99" s="225" t="s">
        <v>5688</v>
      </c>
      <c r="KD99" s="225" t="s">
        <v>5687</v>
      </c>
      <c r="KE99" s="232" t="s">
        <v>5686</v>
      </c>
      <c r="KF99" s="225" t="s">
        <v>1876</v>
      </c>
      <c r="KG99" s="225" t="s">
        <v>470</v>
      </c>
      <c r="KH99" s="225"/>
      <c r="KI99" s="225" t="s">
        <v>1876</v>
      </c>
      <c r="KJ99" s="225"/>
      <c r="KK99" s="225"/>
      <c r="KL99" s="225" t="s">
        <v>656</v>
      </c>
      <c r="KM99" s="225"/>
      <c r="KN99" s="225" t="s">
        <v>5685</v>
      </c>
      <c r="KO99" s="225" t="s">
        <v>470</v>
      </c>
      <c r="KP99" s="225"/>
      <c r="KQ99" s="226"/>
      <c r="KR99" s="226"/>
      <c r="KS99" s="226"/>
      <c r="KT99" s="226"/>
      <c r="KU99" s="226"/>
      <c r="KV99" s="225" t="s">
        <v>5684</v>
      </c>
      <c r="KW99" s="225" t="s">
        <v>5683</v>
      </c>
      <c r="KX99" s="228"/>
      <c r="KY99" s="812" t="s">
        <v>9285</v>
      </c>
      <c r="KZ99" s="225"/>
      <c r="LA99" s="225"/>
      <c r="LB99" s="225"/>
      <c r="LC99" s="225"/>
      <c r="LD99" s="225"/>
      <c r="LE99" s="225"/>
      <c r="LF99" s="225"/>
      <c r="LG99" s="225"/>
      <c r="LH99" s="225"/>
      <c r="LI99" s="224" t="s">
        <v>5427</v>
      </c>
      <c r="LJ99" s="225"/>
      <c r="LK99" s="225"/>
      <c r="LL99" s="225"/>
      <c r="LM99" s="226"/>
      <c r="LN99" s="264" t="s">
        <v>5682</v>
      </c>
      <c r="LO99" s="260" t="s">
        <v>5681</v>
      </c>
      <c r="LP99" s="225" t="s">
        <v>5680</v>
      </c>
      <c r="LQ99" s="225" t="s">
        <v>5679</v>
      </c>
      <c r="LR99" s="225" t="s">
        <v>5678</v>
      </c>
      <c r="LS99" s="225" t="s">
        <v>5677</v>
      </c>
      <c r="LT99" s="234" t="s">
        <v>5421</v>
      </c>
      <c r="LU99" s="225"/>
      <c r="LV99" s="225" t="s">
        <v>5628</v>
      </c>
      <c r="LW99" s="225" t="s">
        <v>5676</v>
      </c>
      <c r="LX99" s="264" t="s">
        <v>5675</v>
      </c>
      <c r="LY99" s="225" t="s">
        <v>5674</v>
      </c>
      <c r="LZ99" s="225" t="s">
        <v>5673</v>
      </c>
      <c r="MA99" s="225"/>
      <c r="MB99" s="225" t="s">
        <v>1876</v>
      </c>
      <c r="MC99" s="225" t="s">
        <v>5672</v>
      </c>
      <c r="MD99" s="225" t="s">
        <v>5671</v>
      </c>
      <c r="ME99" s="225"/>
      <c r="MF99" s="225" t="s">
        <v>5670</v>
      </c>
      <c r="MG99" s="226"/>
      <c r="MH99" s="226"/>
      <c r="MI99" s="226"/>
      <c r="MJ99" s="235" t="s">
        <v>5669</v>
      </c>
      <c r="MK99" s="235"/>
      <c r="ML99" s="235" t="s">
        <v>5575</v>
      </c>
      <c r="MM99" s="235" t="s">
        <v>5668</v>
      </c>
      <c r="MN99" s="236" t="s">
        <v>5667</v>
      </c>
      <c r="MO99" s="236" t="s">
        <v>5666</v>
      </c>
      <c r="MP99" s="236" t="s">
        <v>5665</v>
      </c>
      <c r="MQ99" s="236"/>
      <c r="MR99" s="236" t="s">
        <v>1482</v>
      </c>
      <c r="MS99" s="236"/>
      <c r="MT99" s="235" t="s">
        <v>5664</v>
      </c>
      <c r="MU99" s="236"/>
      <c r="MV99" s="235" t="s">
        <v>640</v>
      </c>
      <c r="MW99" s="235" t="s">
        <v>5663</v>
      </c>
      <c r="MX99" s="226"/>
      <c r="MY99" s="226"/>
      <c r="MZ99" s="226"/>
      <c r="NA99" s="226"/>
    </row>
    <row r="100" spans="1:365" ht="51" x14ac:dyDescent="0.2">
      <c r="A100" s="1216"/>
      <c r="B100" s="1217"/>
      <c r="C100" s="1218"/>
      <c r="D100" s="215" t="s">
        <v>209</v>
      </c>
      <c r="E100" s="322"/>
      <c r="F100" s="322"/>
      <c r="G100" s="322" t="s">
        <v>656</v>
      </c>
      <c r="H100" s="322" t="s">
        <v>656</v>
      </c>
      <c r="I100" s="225">
        <v>20</v>
      </c>
      <c r="J100" s="322" t="s">
        <v>656</v>
      </c>
      <c r="K100" s="322">
        <v>0</v>
      </c>
      <c r="L100" s="322">
        <v>80</v>
      </c>
      <c r="M100" s="322">
        <v>0</v>
      </c>
      <c r="N100" s="322">
        <v>0</v>
      </c>
      <c r="O100" s="322">
        <v>0</v>
      </c>
      <c r="P100" s="463">
        <v>0</v>
      </c>
      <c r="Q100" s="225">
        <v>0</v>
      </c>
      <c r="R100" s="322" t="s">
        <v>5582</v>
      </c>
      <c r="S100" s="322"/>
      <c r="T100" s="322"/>
      <c r="U100" s="322"/>
      <c r="V100" s="322"/>
      <c r="W100" s="226"/>
      <c r="X100" s="226"/>
      <c r="Y100" s="226"/>
      <c r="Z100" s="226"/>
      <c r="AA100" s="226"/>
      <c r="AB100" s="226"/>
      <c r="AC100" s="226"/>
      <c r="AD100" s="226"/>
      <c r="AE100" s="226"/>
      <c r="AF100" s="322">
        <v>292</v>
      </c>
      <c r="AG100" s="225"/>
      <c r="AH100" s="226"/>
      <c r="AI100" s="322"/>
      <c r="AJ100" s="322"/>
      <c r="AK100" s="344">
        <v>1536</v>
      </c>
      <c r="AL100" s="322">
        <v>500</v>
      </c>
      <c r="AM100" s="226"/>
      <c r="AN100" s="226"/>
      <c r="AO100" s="226"/>
      <c r="AP100" s="226"/>
      <c r="AQ100" s="322"/>
      <c r="AR100" s="322"/>
      <c r="AS100" s="322">
        <v>3120</v>
      </c>
      <c r="AT100" s="322">
        <v>1244</v>
      </c>
      <c r="AU100" s="322">
        <v>143</v>
      </c>
      <c r="AV100" s="322">
        <v>259</v>
      </c>
      <c r="AW100" s="322">
        <v>64</v>
      </c>
      <c r="AX100" s="322">
        <v>150</v>
      </c>
      <c r="AY100" s="344">
        <v>281</v>
      </c>
      <c r="AZ100" s="322">
        <v>30</v>
      </c>
      <c r="BA100" s="322"/>
      <c r="BB100" s="322">
        <v>226</v>
      </c>
      <c r="BC100" s="322">
        <v>52</v>
      </c>
      <c r="BD100" s="322">
        <v>548</v>
      </c>
      <c r="BE100" s="344"/>
      <c r="BF100" s="322">
        <f>337+114+246</f>
        <v>697</v>
      </c>
      <c r="BG100" s="322">
        <v>356</v>
      </c>
      <c r="BH100" s="322">
        <v>840</v>
      </c>
      <c r="BI100" s="322">
        <v>65</v>
      </c>
      <c r="BJ100" s="322">
        <v>1571</v>
      </c>
      <c r="BK100" s="322"/>
      <c r="BL100" s="322"/>
      <c r="BM100" s="322" t="s">
        <v>5662</v>
      </c>
      <c r="BN100" s="226"/>
      <c r="BO100" s="322">
        <v>490</v>
      </c>
      <c r="BP100" s="322"/>
      <c r="BQ100" s="322">
        <v>1562</v>
      </c>
      <c r="BR100" s="233" t="s">
        <v>5661</v>
      </c>
      <c r="BS100" s="322"/>
      <c r="BT100" s="322">
        <v>3133</v>
      </c>
      <c r="BU100" s="322">
        <v>57</v>
      </c>
      <c r="BV100" s="322"/>
      <c r="BW100" s="322">
        <v>95</v>
      </c>
      <c r="BX100" s="322">
        <v>111</v>
      </c>
      <c r="BY100" s="322"/>
      <c r="BZ100" s="322"/>
      <c r="CA100" s="322">
        <v>570</v>
      </c>
      <c r="CB100" s="322">
        <v>570</v>
      </c>
      <c r="CC100" s="322"/>
      <c r="CD100" s="344">
        <v>450</v>
      </c>
      <c r="CE100" s="344">
        <v>457</v>
      </c>
      <c r="CF100" s="344">
        <v>700</v>
      </c>
      <c r="CG100" s="344">
        <v>0</v>
      </c>
      <c r="CH100" s="344"/>
      <c r="CI100" s="344">
        <v>763</v>
      </c>
      <c r="CJ100" s="344">
        <v>95</v>
      </c>
      <c r="CK100" s="344"/>
      <c r="CL100" s="344">
        <v>1048</v>
      </c>
      <c r="CM100" s="344">
        <v>875</v>
      </c>
      <c r="CN100" s="467"/>
      <c r="CO100" s="322">
        <v>10</v>
      </c>
      <c r="CP100" s="322"/>
      <c r="CQ100" s="464">
        <v>60</v>
      </c>
      <c r="CR100" s="465">
        <v>2848</v>
      </c>
      <c r="CS100" s="322">
        <v>2130</v>
      </c>
      <c r="CT100" s="322"/>
      <c r="CU100" s="483">
        <v>1600</v>
      </c>
      <c r="CV100" s="322"/>
      <c r="CW100" s="322">
        <v>33</v>
      </c>
      <c r="CX100" s="322">
        <v>1202</v>
      </c>
      <c r="CY100" s="322">
        <v>236</v>
      </c>
      <c r="CZ100" s="322">
        <v>480</v>
      </c>
      <c r="DA100" s="322">
        <v>300</v>
      </c>
      <c r="DB100" s="322">
        <v>13</v>
      </c>
      <c r="DC100" s="322">
        <v>70</v>
      </c>
      <c r="DD100" s="322">
        <v>156</v>
      </c>
      <c r="DE100" s="322"/>
      <c r="DF100" s="322"/>
      <c r="DG100" s="322">
        <v>1148</v>
      </c>
      <c r="DH100" s="322">
        <v>2689</v>
      </c>
      <c r="DI100" s="322">
        <v>870</v>
      </c>
      <c r="DJ100" s="322">
        <v>1663</v>
      </c>
      <c r="DK100" s="322">
        <v>527</v>
      </c>
      <c r="DL100" s="322"/>
      <c r="DM100" s="322">
        <v>453</v>
      </c>
      <c r="DN100" s="322">
        <v>214</v>
      </c>
      <c r="DO100" s="322"/>
      <c r="DP100" s="322">
        <v>877</v>
      </c>
      <c r="DQ100" s="322">
        <v>70</v>
      </c>
      <c r="DR100" s="322">
        <v>1720</v>
      </c>
      <c r="DS100" s="322">
        <v>689</v>
      </c>
      <c r="DT100" s="322">
        <v>834</v>
      </c>
      <c r="DU100" s="322">
        <v>0</v>
      </c>
      <c r="DV100" s="322">
        <v>464</v>
      </c>
      <c r="DW100" s="225">
        <v>3109</v>
      </c>
      <c r="DX100" s="322">
        <v>123</v>
      </c>
      <c r="DY100" s="322">
        <v>912</v>
      </c>
      <c r="DZ100" s="322">
        <v>343</v>
      </c>
      <c r="EA100" s="322"/>
      <c r="EB100" s="322"/>
      <c r="EC100" s="226"/>
      <c r="ED100" s="322"/>
      <c r="EE100" s="322" t="s">
        <v>656</v>
      </c>
      <c r="EF100" s="322"/>
      <c r="EG100" s="226"/>
      <c r="EH100" s="322">
        <v>35</v>
      </c>
      <c r="EI100" s="322">
        <v>229</v>
      </c>
      <c r="EJ100" s="226"/>
      <c r="EK100" s="226"/>
      <c r="EL100" s="226"/>
      <c r="EM100" s="226"/>
      <c r="EN100" s="226"/>
      <c r="EO100" s="226"/>
      <c r="EP100" s="226"/>
      <c r="EQ100" s="226"/>
      <c r="ER100" s="322">
        <v>2667</v>
      </c>
      <c r="ES100" s="322">
        <v>387</v>
      </c>
      <c r="ET100" s="322"/>
      <c r="EU100" s="322"/>
      <c r="EV100" s="322"/>
      <c r="EW100" s="322"/>
      <c r="EX100" s="322">
        <v>171</v>
      </c>
      <c r="EY100" s="322">
        <v>77</v>
      </c>
      <c r="EZ100" s="344"/>
      <c r="FA100" s="322"/>
      <c r="FB100" s="322"/>
      <c r="FC100" s="322"/>
      <c r="FD100" s="226"/>
      <c r="FE100" s="466"/>
      <c r="FF100" s="322" t="s">
        <v>470</v>
      </c>
      <c r="FG100" s="322">
        <f>1039+1467</f>
        <v>2506</v>
      </c>
      <c r="FH100" s="322">
        <v>731</v>
      </c>
      <c r="FI100" s="465">
        <v>552</v>
      </c>
      <c r="FJ100" s="465" t="s">
        <v>656</v>
      </c>
      <c r="FK100" s="465"/>
      <c r="FL100" s="465">
        <v>151</v>
      </c>
      <c r="FM100" s="322"/>
      <c r="FN100" s="322"/>
      <c r="FO100" s="465"/>
      <c r="FP100" s="465"/>
      <c r="FQ100" s="465" t="s">
        <v>656</v>
      </c>
      <c r="FR100" s="465">
        <v>456</v>
      </c>
      <c r="FS100" s="465"/>
      <c r="FT100" s="465"/>
      <c r="FU100" s="226"/>
      <c r="FV100" s="439">
        <v>0.35899999999999999</v>
      </c>
      <c r="FW100" s="465"/>
      <c r="FX100" s="465"/>
      <c r="FY100" s="226"/>
      <c r="FZ100" s="465">
        <v>221</v>
      </c>
      <c r="GA100" s="465"/>
      <c r="GB100" s="465"/>
      <c r="GC100" s="465"/>
      <c r="GD100" s="465">
        <v>282</v>
      </c>
      <c r="GE100" s="465">
        <v>809</v>
      </c>
      <c r="GF100" s="465"/>
      <c r="GG100" s="465">
        <v>1366</v>
      </c>
      <c r="GH100" s="394" t="s">
        <v>4906</v>
      </c>
      <c r="GI100" s="226"/>
      <c r="GJ100" s="465"/>
      <c r="GK100" s="465"/>
      <c r="GL100" s="465"/>
      <c r="GM100" s="465">
        <v>1998</v>
      </c>
      <c r="GN100" s="465"/>
      <c r="GO100" s="226"/>
      <c r="GP100" s="465"/>
      <c r="GQ100" s="226"/>
      <c r="GR100" s="465"/>
      <c r="GS100" s="465"/>
      <c r="GT100" s="465"/>
      <c r="GU100" s="465">
        <v>1163</v>
      </c>
      <c r="GV100" s="465"/>
      <c r="GW100" s="226"/>
      <c r="GX100" s="322"/>
      <c r="GY100" s="322"/>
      <c r="GZ100" s="465"/>
      <c r="HA100" s="322"/>
      <c r="HB100" s="322"/>
      <c r="HC100" s="322">
        <v>810</v>
      </c>
      <c r="HD100" s="322"/>
      <c r="HE100" s="322"/>
      <c r="HF100" s="226"/>
      <c r="HG100" s="343" t="s">
        <v>656</v>
      </c>
      <c r="HH100" s="343" t="s">
        <v>656</v>
      </c>
      <c r="HI100" s="343" t="s">
        <v>656</v>
      </c>
      <c r="HJ100" s="322">
        <v>469</v>
      </c>
      <c r="HK100" s="343" t="s">
        <v>656</v>
      </c>
      <c r="HL100" s="226"/>
      <c r="HM100" s="322"/>
      <c r="HN100" s="226"/>
      <c r="HO100" s="322"/>
      <c r="HP100" s="322"/>
      <c r="HQ100" s="322"/>
      <c r="HR100" s="322"/>
      <c r="HS100" s="322">
        <v>179</v>
      </c>
      <c r="HT100" s="322"/>
      <c r="HU100" s="322"/>
      <c r="HV100" s="322">
        <v>949</v>
      </c>
      <c r="HW100" s="322"/>
      <c r="HX100" s="322"/>
      <c r="HY100" s="322">
        <v>2236</v>
      </c>
      <c r="HZ100" s="322" t="s">
        <v>656</v>
      </c>
      <c r="IA100" s="322"/>
      <c r="IB100" s="322"/>
      <c r="IC100" s="322"/>
      <c r="ID100" s="322"/>
      <c r="IE100" s="322"/>
      <c r="IF100" s="322"/>
      <c r="IG100" s="322"/>
      <c r="IH100" s="344"/>
      <c r="II100" s="322"/>
      <c r="IJ100" s="322"/>
      <c r="IK100" s="322"/>
      <c r="IL100" s="322"/>
      <c r="IM100" s="322"/>
      <c r="IN100" s="322"/>
      <c r="IO100" s="322"/>
      <c r="IP100" s="322"/>
      <c r="IQ100" s="322"/>
      <c r="IR100" s="322"/>
      <c r="IS100" s="322"/>
      <c r="IT100" s="322"/>
      <c r="IU100" s="322"/>
      <c r="IV100" s="322"/>
      <c r="IW100" s="322"/>
      <c r="IX100" s="322"/>
      <c r="IY100" s="322" t="s">
        <v>656</v>
      </c>
      <c r="IZ100" s="322"/>
      <c r="JA100" s="322"/>
      <c r="JB100" s="322"/>
      <c r="JC100" s="322" t="s">
        <v>656</v>
      </c>
      <c r="JD100" s="322">
        <v>72</v>
      </c>
      <c r="JE100" s="226"/>
      <c r="JF100" s="226"/>
      <c r="JG100" s="226"/>
      <c r="JH100" s="322">
        <v>1242</v>
      </c>
      <c r="JI100" s="322">
        <v>1936</v>
      </c>
      <c r="JJ100" s="322">
        <v>19052</v>
      </c>
      <c r="JK100" s="345">
        <v>186</v>
      </c>
      <c r="JL100" s="322">
        <v>798</v>
      </c>
      <c r="JM100" s="322"/>
      <c r="JN100" s="226"/>
      <c r="JO100" s="226"/>
      <c r="JP100" s="226"/>
      <c r="JQ100" s="322">
        <v>928</v>
      </c>
      <c r="JR100" s="322"/>
      <c r="JS100" s="322">
        <v>518</v>
      </c>
      <c r="JT100" s="322">
        <v>1681</v>
      </c>
      <c r="JU100" s="322">
        <v>1114</v>
      </c>
      <c r="JV100" s="322">
        <v>3261</v>
      </c>
      <c r="JW100" s="322">
        <v>400</v>
      </c>
      <c r="JX100" s="322">
        <v>535</v>
      </c>
      <c r="JY100" s="294">
        <v>3.153</v>
      </c>
      <c r="JZ100" s="322">
        <v>300</v>
      </c>
      <c r="KA100" s="322"/>
      <c r="KB100" s="322">
        <v>648</v>
      </c>
      <c r="KC100" s="322">
        <v>861</v>
      </c>
      <c r="KD100" s="322">
        <v>931</v>
      </c>
      <c r="KE100" s="232">
        <v>108</v>
      </c>
      <c r="KF100" s="225">
        <v>210</v>
      </c>
      <c r="KG100" s="322" t="s">
        <v>470</v>
      </c>
      <c r="KH100" s="322"/>
      <c r="KI100" s="322">
        <v>81</v>
      </c>
      <c r="KJ100" s="322">
        <v>8150</v>
      </c>
      <c r="KK100" s="322"/>
      <c r="KL100" s="322" t="s">
        <v>656</v>
      </c>
      <c r="KM100" s="322"/>
      <c r="KN100" s="322" t="s">
        <v>5660</v>
      </c>
      <c r="KO100" s="322">
        <v>1260</v>
      </c>
      <c r="KP100" s="322"/>
      <c r="KQ100" s="226"/>
      <c r="KR100" s="226"/>
      <c r="KS100" s="226"/>
      <c r="KT100" s="226"/>
      <c r="KU100" s="226"/>
      <c r="KV100" s="322">
        <v>2178</v>
      </c>
      <c r="KW100" s="294">
        <f>(83+54)/1000</f>
        <v>0.13700000000000001</v>
      </c>
      <c r="KX100" s="383"/>
      <c r="KY100" s="386">
        <v>25</v>
      </c>
      <c r="KZ100" s="322"/>
      <c r="LA100" s="322"/>
      <c r="LB100" s="322"/>
      <c r="LC100" s="322"/>
      <c r="LD100" s="322"/>
      <c r="LE100" s="322"/>
      <c r="LF100" s="322"/>
      <c r="LG100" s="322"/>
      <c r="LH100" s="322"/>
      <c r="LI100" s="497">
        <v>12</v>
      </c>
      <c r="LJ100" s="322"/>
      <c r="LK100" s="322"/>
      <c r="LL100" s="322"/>
      <c r="LM100" s="226"/>
      <c r="LN100" s="322">
        <v>31</v>
      </c>
      <c r="LO100" s="322">
        <v>150</v>
      </c>
      <c r="LP100" s="322">
        <v>624</v>
      </c>
      <c r="LQ100" s="322">
        <v>356</v>
      </c>
      <c r="LR100" s="322">
        <v>155</v>
      </c>
      <c r="LS100" s="322">
        <v>1304</v>
      </c>
      <c r="LT100" s="346">
        <v>2753</v>
      </c>
      <c r="LU100" s="322" t="e">
        <v>#REF!</v>
      </c>
      <c r="LV100" s="322">
        <v>822</v>
      </c>
      <c r="LW100" s="322">
        <v>304</v>
      </c>
      <c r="LX100" s="322">
        <v>604</v>
      </c>
      <c r="LY100" s="322">
        <v>267</v>
      </c>
      <c r="LZ100" s="322"/>
      <c r="MA100" s="322"/>
      <c r="MB100" s="322">
        <v>700</v>
      </c>
      <c r="MC100" s="322">
        <v>341</v>
      </c>
      <c r="MD100" s="322">
        <v>187</v>
      </c>
      <c r="ME100" s="322">
        <v>0</v>
      </c>
      <c r="MF100" s="322">
        <v>511</v>
      </c>
      <c r="MG100" s="226"/>
      <c r="MH100" s="226"/>
      <c r="MI100" s="226"/>
      <c r="MJ100" s="325">
        <f>24+2420</f>
        <v>2444</v>
      </c>
      <c r="MK100" s="325"/>
      <c r="ML100" s="347">
        <v>120</v>
      </c>
      <c r="MM100" s="347">
        <v>177</v>
      </c>
      <c r="MN100" s="348">
        <v>3599</v>
      </c>
      <c r="MO100" s="348">
        <v>510</v>
      </c>
      <c r="MP100" s="348">
        <v>193</v>
      </c>
      <c r="MQ100" s="348"/>
      <c r="MR100" s="348" t="s">
        <v>1482</v>
      </c>
      <c r="MS100" s="348"/>
      <c r="MT100" s="347">
        <v>140</v>
      </c>
      <c r="MU100" s="348"/>
      <c r="MV100" s="347">
        <v>315</v>
      </c>
      <c r="MW100" s="347">
        <v>2</v>
      </c>
      <c r="MX100" s="226"/>
      <c r="MY100" s="226"/>
      <c r="MZ100" s="226"/>
      <c r="NA100" s="226"/>
    </row>
    <row r="101" spans="1:365" ht="409.6" x14ac:dyDescent="0.2">
      <c r="A101" s="1216"/>
      <c r="B101" s="1217" t="s">
        <v>207</v>
      </c>
      <c r="C101" s="1218" t="s">
        <v>208</v>
      </c>
      <c r="D101" s="215" t="s">
        <v>204</v>
      </c>
      <c r="E101" s="322" t="s">
        <v>470</v>
      </c>
      <c r="F101" s="322" t="s">
        <v>470</v>
      </c>
      <c r="G101" s="225" t="s">
        <v>540</v>
      </c>
      <c r="H101" s="225" t="s">
        <v>540</v>
      </c>
      <c r="I101" s="225" t="s">
        <v>540</v>
      </c>
      <c r="J101" s="225" t="s">
        <v>540</v>
      </c>
      <c r="K101" s="225" t="s">
        <v>470</v>
      </c>
      <c r="L101" s="225" t="s">
        <v>470</v>
      </c>
      <c r="M101" s="225" t="s">
        <v>470</v>
      </c>
      <c r="N101" s="225" t="s">
        <v>470</v>
      </c>
      <c r="O101" s="225" t="s">
        <v>479</v>
      </c>
      <c r="P101" s="400" t="s">
        <v>479</v>
      </c>
      <c r="Q101" s="322" t="s">
        <v>470</v>
      </c>
      <c r="R101" s="322" t="s">
        <v>479</v>
      </c>
      <c r="S101" s="226" t="s">
        <v>479</v>
      </c>
      <c r="T101" s="225" t="s">
        <v>479</v>
      </c>
      <c r="U101" s="225" t="s">
        <v>470</v>
      </c>
      <c r="V101" s="225" t="s">
        <v>479</v>
      </c>
      <c r="W101" s="226"/>
      <c r="X101" s="226"/>
      <c r="Y101" s="226"/>
      <c r="Z101" s="226"/>
      <c r="AA101" s="226"/>
      <c r="AB101" s="226"/>
      <c r="AC101" s="226"/>
      <c r="AD101" s="226"/>
      <c r="AE101" s="226"/>
      <c r="AF101" s="225" t="s">
        <v>479</v>
      </c>
      <c r="AG101" s="225" t="s">
        <v>470</v>
      </c>
      <c r="AH101" s="226"/>
      <c r="AI101" s="225" t="s">
        <v>479</v>
      </c>
      <c r="AJ101" s="225" t="s">
        <v>479</v>
      </c>
      <c r="AK101" s="344" t="s">
        <v>479</v>
      </c>
      <c r="AL101" s="225" t="s">
        <v>479</v>
      </c>
      <c r="AM101" s="226"/>
      <c r="AN101" s="226"/>
      <c r="AO101" s="226"/>
      <c r="AP101" s="226"/>
      <c r="AQ101" s="225" t="s">
        <v>479</v>
      </c>
      <c r="AR101" s="225" t="s">
        <v>470</v>
      </c>
      <c r="AS101" s="225" t="s">
        <v>470</v>
      </c>
      <c r="AT101" s="225" t="s">
        <v>470</v>
      </c>
      <c r="AU101" s="225" t="s">
        <v>656</v>
      </c>
      <c r="AV101" s="322" t="s">
        <v>479</v>
      </c>
      <c r="AW101" s="225" t="s">
        <v>470</v>
      </c>
      <c r="AX101" s="225"/>
      <c r="AY101" s="229" t="s">
        <v>2234</v>
      </c>
      <c r="AZ101" s="225" t="s">
        <v>470</v>
      </c>
      <c r="BA101" s="225"/>
      <c r="BB101" s="225" t="s">
        <v>470</v>
      </c>
      <c r="BC101" s="225" t="s">
        <v>470</v>
      </c>
      <c r="BD101" s="225" t="s">
        <v>470</v>
      </c>
      <c r="BE101" s="229" t="s">
        <v>5659</v>
      </c>
      <c r="BF101" s="225" t="s">
        <v>479</v>
      </c>
      <c r="BG101" s="225" t="s">
        <v>470</v>
      </c>
      <c r="BH101" s="225" t="s">
        <v>470</v>
      </c>
      <c r="BI101" s="225" t="s">
        <v>470</v>
      </c>
      <c r="BJ101" s="225" t="s">
        <v>470</v>
      </c>
      <c r="BK101" s="225" t="s">
        <v>470</v>
      </c>
      <c r="BL101" s="225"/>
      <c r="BM101" s="225" t="s">
        <v>470</v>
      </c>
      <c r="BN101" s="226"/>
      <c r="BO101" s="225" t="s">
        <v>479</v>
      </c>
      <c r="BP101" s="225" t="s">
        <v>479</v>
      </c>
      <c r="BQ101" s="225" t="s">
        <v>479</v>
      </c>
      <c r="BR101" s="233" t="s">
        <v>479</v>
      </c>
      <c r="BS101" s="225" t="s">
        <v>689</v>
      </c>
      <c r="BT101" s="225" t="s">
        <v>479</v>
      </c>
      <c r="BU101" s="225"/>
      <c r="BV101" s="225" t="s">
        <v>479</v>
      </c>
      <c r="BW101" s="225" t="s">
        <v>479</v>
      </c>
      <c r="BX101" s="225" t="s">
        <v>479</v>
      </c>
      <c r="BY101" s="225" t="s">
        <v>479</v>
      </c>
      <c r="BZ101" s="225" t="s">
        <v>479</v>
      </c>
      <c r="CA101" s="225" t="s">
        <v>479</v>
      </c>
      <c r="CB101" s="225" t="s">
        <v>479</v>
      </c>
      <c r="CC101" s="225" t="s">
        <v>479</v>
      </c>
      <c r="CD101" s="229" t="s">
        <v>479</v>
      </c>
      <c r="CE101" s="229" t="s">
        <v>479</v>
      </c>
      <c r="CF101" s="229" t="s">
        <v>479</v>
      </c>
      <c r="CG101" s="229" t="s">
        <v>470</v>
      </c>
      <c r="CH101" s="229"/>
      <c r="CI101" s="229" t="s">
        <v>479</v>
      </c>
      <c r="CJ101" s="229" t="s">
        <v>5658</v>
      </c>
      <c r="CK101" s="229"/>
      <c r="CL101" s="229" t="s">
        <v>470</v>
      </c>
      <c r="CM101" s="229" t="s">
        <v>479</v>
      </c>
      <c r="CN101" s="225" t="s">
        <v>479</v>
      </c>
      <c r="CO101" s="225" t="s">
        <v>479</v>
      </c>
      <c r="CP101" s="225" t="s">
        <v>470</v>
      </c>
      <c r="CQ101" s="406" t="s">
        <v>479</v>
      </c>
      <c r="CR101" s="465" t="s">
        <v>479</v>
      </c>
      <c r="CS101" s="225" t="s">
        <v>479</v>
      </c>
      <c r="CT101" s="225" t="s">
        <v>479</v>
      </c>
      <c r="CU101" s="402" t="s">
        <v>479</v>
      </c>
      <c r="CV101" s="225" t="s">
        <v>479</v>
      </c>
      <c r="CW101" s="225" t="s">
        <v>479</v>
      </c>
      <c r="CX101" s="225" t="s">
        <v>479</v>
      </c>
      <c r="CY101" s="225" t="s">
        <v>479</v>
      </c>
      <c r="CZ101" s="225"/>
      <c r="DA101" s="225" t="s">
        <v>479</v>
      </c>
      <c r="DB101" s="225" t="s">
        <v>479</v>
      </c>
      <c r="DC101" s="225" t="s">
        <v>479</v>
      </c>
      <c r="DD101" s="225" t="s">
        <v>479</v>
      </c>
      <c r="DE101" s="225"/>
      <c r="DF101" s="225" t="s">
        <v>479</v>
      </c>
      <c r="DG101" s="225" t="s">
        <v>479</v>
      </c>
      <c r="DH101" s="225" t="s">
        <v>479</v>
      </c>
      <c r="DI101" s="225" t="s">
        <v>479</v>
      </c>
      <c r="DJ101" s="225" t="s">
        <v>470</v>
      </c>
      <c r="DK101" s="225" t="s">
        <v>479</v>
      </c>
      <c r="DL101" s="225" t="s">
        <v>479</v>
      </c>
      <c r="DM101" s="225" t="s">
        <v>479</v>
      </c>
      <c r="DN101" s="225" t="s">
        <v>479</v>
      </c>
      <c r="DO101" s="225"/>
      <c r="DP101" s="225" t="s">
        <v>479</v>
      </c>
      <c r="DQ101" s="225" t="s">
        <v>479</v>
      </c>
      <c r="DR101" s="225" t="s">
        <v>479</v>
      </c>
      <c r="DS101" s="225" t="s">
        <v>479</v>
      </c>
      <c r="DT101" s="225" t="s">
        <v>479</v>
      </c>
      <c r="DU101" s="225" t="s">
        <v>470</v>
      </c>
      <c r="DV101" s="225" t="s">
        <v>479</v>
      </c>
      <c r="DW101" s="246" t="s">
        <v>479</v>
      </c>
      <c r="DX101" s="225" t="s">
        <v>470</v>
      </c>
      <c r="DY101" s="225" t="s">
        <v>540</v>
      </c>
      <c r="DZ101" s="225" t="s">
        <v>479</v>
      </c>
      <c r="EA101" s="225" t="s">
        <v>470</v>
      </c>
      <c r="EB101" s="225" t="s">
        <v>479</v>
      </c>
      <c r="EC101" s="226"/>
      <c r="ED101" s="225" t="s">
        <v>479</v>
      </c>
      <c r="EE101" s="225" t="s">
        <v>656</v>
      </c>
      <c r="EF101" s="225" t="s">
        <v>479</v>
      </c>
      <c r="EG101" s="226"/>
      <c r="EH101" s="225" t="s">
        <v>470</v>
      </c>
      <c r="EI101" s="225" t="s">
        <v>479</v>
      </c>
      <c r="EJ101" s="226"/>
      <c r="EK101" s="226"/>
      <c r="EL101" s="226"/>
      <c r="EM101" s="226"/>
      <c r="EN101" s="226"/>
      <c r="EO101" s="226"/>
      <c r="EP101" s="226"/>
      <c r="EQ101" s="226"/>
      <c r="ER101" s="225" t="s">
        <v>479</v>
      </c>
      <c r="ES101" s="225" t="s">
        <v>479</v>
      </c>
      <c r="ET101" s="322" t="s">
        <v>479</v>
      </c>
      <c r="EU101" s="322" t="s">
        <v>479</v>
      </c>
      <c r="EV101" s="322" t="s">
        <v>479</v>
      </c>
      <c r="EW101" s="225" t="s">
        <v>470</v>
      </c>
      <c r="EX101" s="225" t="s">
        <v>479</v>
      </c>
      <c r="EY101" s="225" t="s">
        <v>470</v>
      </c>
      <c r="EZ101" s="229" t="s">
        <v>479</v>
      </c>
      <c r="FA101" s="225" t="s">
        <v>470</v>
      </c>
      <c r="FB101" s="225" t="s">
        <v>479</v>
      </c>
      <c r="FC101" s="225" t="s">
        <v>479</v>
      </c>
      <c r="FD101" s="226"/>
      <c r="FE101" s="404" t="s">
        <v>539</v>
      </c>
      <c r="FF101" s="225" t="s">
        <v>479</v>
      </c>
      <c r="FG101" s="225" t="s">
        <v>479</v>
      </c>
      <c r="FH101" s="225" t="s">
        <v>479</v>
      </c>
      <c r="FI101" s="394" t="s">
        <v>689</v>
      </c>
      <c r="FJ101" s="394" t="s">
        <v>689</v>
      </c>
      <c r="FK101" s="394"/>
      <c r="FL101" s="394" t="s">
        <v>689</v>
      </c>
      <c r="FM101" s="225" t="s">
        <v>470</v>
      </c>
      <c r="FN101" s="225"/>
      <c r="FO101" s="394" t="s">
        <v>5657</v>
      </c>
      <c r="FP101" s="394"/>
      <c r="FQ101" s="465" t="s">
        <v>479</v>
      </c>
      <c r="FR101" s="394"/>
      <c r="FS101" s="394"/>
      <c r="FT101" s="394"/>
      <c r="FU101" s="226"/>
      <c r="FV101" s="394"/>
      <c r="FW101" s="394"/>
      <c r="FX101" s="394"/>
      <c r="FY101" s="226"/>
      <c r="FZ101" s="394"/>
      <c r="GA101" s="394"/>
      <c r="GB101" s="394"/>
      <c r="GC101" s="394"/>
      <c r="GD101" s="394" t="s">
        <v>479</v>
      </c>
      <c r="GE101" s="394"/>
      <c r="GF101" s="394"/>
      <c r="GG101" s="394" t="s">
        <v>470</v>
      </c>
      <c r="GH101" s="394" t="s">
        <v>479</v>
      </c>
      <c r="GI101" s="226"/>
      <c r="GJ101" s="394" t="s">
        <v>479</v>
      </c>
      <c r="GK101" s="394" t="s">
        <v>479</v>
      </c>
      <c r="GL101" s="394" t="s">
        <v>479</v>
      </c>
      <c r="GM101" s="394" t="s">
        <v>479</v>
      </c>
      <c r="GN101" s="394"/>
      <c r="GO101" s="226"/>
      <c r="GP101" s="394" t="s">
        <v>479</v>
      </c>
      <c r="GQ101" s="226"/>
      <c r="GR101" s="394" t="s">
        <v>479</v>
      </c>
      <c r="GS101" s="394"/>
      <c r="GT101" s="394"/>
      <c r="GU101" s="394" t="s">
        <v>479</v>
      </c>
      <c r="GV101" s="394" t="s">
        <v>479</v>
      </c>
      <c r="GW101" s="226"/>
      <c r="GX101" s="225" t="s">
        <v>470</v>
      </c>
      <c r="GY101" s="225" t="s">
        <v>470</v>
      </c>
      <c r="GZ101" s="394" t="s">
        <v>470</v>
      </c>
      <c r="HA101" s="225" t="s">
        <v>470</v>
      </c>
      <c r="HB101" s="225" t="s">
        <v>540</v>
      </c>
      <c r="HC101" s="225" t="s">
        <v>479</v>
      </c>
      <c r="HD101" s="225" t="s">
        <v>540</v>
      </c>
      <c r="HE101" s="225" t="s">
        <v>470</v>
      </c>
      <c r="HF101" s="226"/>
      <c r="HG101" s="227" t="s">
        <v>470</v>
      </c>
      <c r="HH101" s="227" t="s">
        <v>479</v>
      </c>
      <c r="HI101" s="227" t="s">
        <v>479</v>
      </c>
      <c r="HJ101" s="225" t="s">
        <v>479</v>
      </c>
      <c r="HK101" s="227" t="s">
        <v>689</v>
      </c>
      <c r="HL101" s="226"/>
      <c r="HM101" s="225" t="s">
        <v>479</v>
      </c>
      <c r="HN101" s="226"/>
      <c r="HO101" s="225" t="s">
        <v>470</v>
      </c>
      <c r="HP101" s="225" t="s">
        <v>479</v>
      </c>
      <c r="HQ101" s="225" t="s">
        <v>689</v>
      </c>
      <c r="HR101" s="225" t="s">
        <v>873</v>
      </c>
      <c r="HS101" s="225" t="s">
        <v>479</v>
      </c>
      <c r="HT101" s="225" t="s">
        <v>479</v>
      </c>
      <c r="HU101" s="225" t="s">
        <v>470</v>
      </c>
      <c r="HV101" s="225" t="s">
        <v>470</v>
      </c>
      <c r="HW101" s="225" t="s">
        <v>479</v>
      </c>
      <c r="HX101" s="225" t="s">
        <v>479</v>
      </c>
      <c r="HY101" s="225" t="s">
        <v>479</v>
      </c>
      <c r="HZ101" s="225" t="s">
        <v>479</v>
      </c>
      <c r="IA101" s="225" t="s">
        <v>470</v>
      </c>
      <c r="IB101" s="225" t="s">
        <v>479</v>
      </c>
      <c r="IC101" s="225" t="s">
        <v>479</v>
      </c>
      <c r="ID101" s="225" t="s">
        <v>479</v>
      </c>
      <c r="IE101" s="225" t="s">
        <v>479</v>
      </c>
      <c r="IF101" s="225" t="s">
        <v>479</v>
      </c>
      <c r="IG101" s="225" t="s">
        <v>479</v>
      </c>
      <c r="IH101" s="229" t="s">
        <v>479</v>
      </c>
      <c r="II101" s="225" t="s">
        <v>479</v>
      </c>
      <c r="IJ101" s="225" t="s">
        <v>479</v>
      </c>
      <c r="IK101" s="225" t="s">
        <v>479</v>
      </c>
      <c r="IL101" s="225" t="s">
        <v>479</v>
      </c>
      <c r="IM101" s="225" t="s">
        <v>479</v>
      </c>
      <c r="IN101" s="225" t="s">
        <v>479</v>
      </c>
      <c r="IO101" s="225" t="s">
        <v>479</v>
      </c>
      <c r="IP101" s="225" t="s">
        <v>479</v>
      </c>
      <c r="IQ101" s="225" t="s">
        <v>479</v>
      </c>
      <c r="IR101" s="225" t="s">
        <v>479</v>
      </c>
      <c r="IS101" s="225" t="s">
        <v>479</v>
      </c>
      <c r="IT101" s="225" t="s">
        <v>479</v>
      </c>
      <c r="IU101" s="225" t="s">
        <v>479</v>
      </c>
      <c r="IV101" s="225" t="s">
        <v>479</v>
      </c>
      <c r="IW101" s="225" t="s">
        <v>479</v>
      </c>
      <c r="IX101" s="225" t="s">
        <v>479</v>
      </c>
      <c r="IY101" s="225" t="s">
        <v>479</v>
      </c>
      <c r="IZ101" s="225" t="s">
        <v>479</v>
      </c>
      <c r="JA101" s="225" t="s">
        <v>479</v>
      </c>
      <c r="JB101" s="225" t="s">
        <v>479</v>
      </c>
      <c r="JC101" s="225" t="s">
        <v>689</v>
      </c>
      <c r="JD101" s="225" t="s">
        <v>479</v>
      </c>
      <c r="JE101" s="226"/>
      <c r="JF101" s="226"/>
      <c r="JG101" s="226"/>
      <c r="JH101" s="225" t="s">
        <v>479</v>
      </c>
      <c r="JI101" s="225" t="s">
        <v>479</v>
      </c>
      <c r="JJ101" s="225" t="s">
        <v>479</v>
      </c>
      <c r="JK101" s="237" t="s">
        <v>479</v>
      </c>
      <c r="JL101" s="225" t="s">
        <v>479</v>
      </c>
      <c r="JM101" s="225" t="s">
        <v>479</v>
      </c>
      <c r="JN101" s="226"/>
      <c r="JO101" s="226"/>
      <c r="JP101" s="226"/>
      <c r="JQ101" s="225" t="s">
        <v>479</v>
      </c>
      <c r="JR101" s="225" t="s">
        <v>479</v>
      </c>
      <c r="JS101" s="225" t="s">
        <v>479</v>
      </c>
      <c r="JT101" s="225" t="s">
        <v>479</v>
      </c>
      <c r="JU101" s="225" t="s">
        <v>470</v>
      </c>
      <c r="JV101" s="225" t="s">
        <v>479</v>
      </c>
      <c r="JW101" s="225" t="s">
        <v>470</v>
      </c>
      <c r="JX101" s="225" t="s">
        <v>470</v>
      </c>
      <c r="JY101" s="225" t="s">
        <v>479</v>
      </c>
      <c r="JZ101" s="225" t="s">
        <v>479</v>
      </c>
      <c r="KA101" s="225" t="s">
        <v>540</v>
      </c>
      <c r="KB101" s="225" t="s">
        <v>479</v>
      </c>
      <c r="KC101" s="225" t="s">
        <v>479</v>
      </c>
      <c r="KD101" s="225" t="s">
        <v>470</v>
      </c>
      <c r="KE101" s="232" t="s">
        <v>479</v>
      </c>
      <c r="KF101" s="225" t="s">
        <v>479</v>
      </c>
      <c r="KG101" s="225" t="s">
        <v>479</v>
      </c>
      <c r="KH101" s="225" t="s">
        <v>479</v>
      </c>
      <c r="KI101" s="225" t="s">
        <v>479</v>
      </c>
      <c r="KJ101" s="225" t="s">
        <v>479</v>
      </c>
      <c r="KK101" s="225" t="s">
        <v>479</v>
      </c>
      <c r="KL101" s="225" t="s">
        <v>479</v>
      </c>
      <c r="KM101" s="225" t="s">
        <v>479</v>
      </c>
      <c r="KN101" s="225" t="s">
        <v>479</v>
      </c>
      <c r="KO101" s="225" t="s">
        <v>479</v>
      </c>
      <c r="KP101" s="225" t="s">
        <v>479</v>
      </c>
      <c r="KQ101" s="226"/>
      <c r="KR101" s="226"/>
      <c r="KS101" s="226"/>
      <c r="KT101" s="226"/>
      <c r="KU101" s="226"/>
      <c r="KV101" s="225" t="s">
        <v>479</v>
      </c>
      <c r="KW101" s="225" t="s">
        <v>479</v>
      </c>
      <c r="KX101" s="228" t="s">
        <v>479</v>
      </c>
      <c r="KY101" s="793" t="s">
        <v>479</v>
      </c>
      <c r="KZ101" s="225" t="s">
        <v>479</v>
      </c>
      <c r="LA101" s="225" t="s">
        <v>479</v>
      </c>
      <c r="LB101" s="225" t="s">
        <v>479</v>
      </c>
      <c r="LC101" s="225" t="s">
        <v>479</v>
      </c>
      <c r="LD101" s="225" t="s">
        <v>479</v>
      </c>
      <c r="LE101" s="225" t="s">
        <v>479</v>
      </c>
      <c r="LF101" s="225" t="s">
        <v>479</v>
      </c>
      <c r="LG101" s="225" t="s">
        <v>479</v>
      </c>
      <c r="LH101" s="225" t="s">
        <v>479</v>
      </c>
      <c r="LI101" s="225" t="s">
        <v>470</v>
      </c>
      <c r="LJ101" s="225" t="s">
        <v>479</v>
      </c>
      <c r="LK101" s="225"/>
      <c r="LL101" s="225"/>
      <c r="LM101" s="226"/>
      <c r="LN101" s="225" t="s">
        <v>479</v>
      </c>
      <c r="LO101" s="225" t="s">
        <v>470</v>
      </c>
      <c r="LP101" s="225" t="s">
        <v>479</v>
      </c>
      <c r="LQ101" s="225" t="s">
        <v>479</v>
      </c>
      <c r="LR101" s="225" t="s">
        <v>479</v>
      </c>
      <c r="LS101" s="225" t="s">
        <v>479</v>
      </c>
      <c r="LT101" s="234" t="s">
        <v>470</v>
      </c>
      <c r="LU101" s="225"/>
      <c r="LV101" s="225" t="s">
        <v>479</v>
      </c>
      <c r="LW101" s="225" t="s">
        <v>479</v>
      </c>
      <c r="LX101" s="225" t="s">
        <v>479</v>
      </c>
      <c r="LY101" s="225" t="s">
        <v>479</v>
      </c>
      <c r="LZ101" s="225" t="s">
        <v>470</v>
      </c>
      <c r="MA101" s="225" t="s">
        <v>479</v>
      </c>
      <c r="MB101" s="225" t="s">
        <v>479</v>
      </c>
      <c r="MC101" s="225" t="s">
        <v>479</v>
      </c>
      <c r="MD101" s="225" t="s">
        <v>479</v>
      </c>
      <c r="ME101" s="225" t="s">
        <v>479</v>
      </c>
      <c r="MF101" s="225" t="s">
        <v>479</v>
      </c>
      <c r="MG101" s="226"/>
      <c r="MH101" s="226"/>
      <c r="MI101" s="226"/>
      <c r="MJ101" s="235" t="s">
        <v>479</v>
      </c>
      <c r="MK101" s="235"/>
      <c r="ML101" s="235" t="s">
        <v>540</v>
      </c>
      <c r="MM101" s="235" t="s">
        <v>479</v>
      </c>
      <c r="MN101" s="236" t="s">
        <v>479</v>
      </c>
      <c r="MO101" s="236" t="s">
        <v>479</v>
      </c>
      <c r="MP101" s="236" t="s">
        <v>479</v>
      </c>
      <c r="MQ101" s="236" t="s">
        <v>470</v>
      </c>
      <c r="MR101" s="236" t="s">
        <v>479</v>
      </c>
      <c r="MS101" s="236" t="s">
        <v>479</v>
      </c>
      <c r="MT101" s="235" t="s">
        <v>479</v>
      </c>
      <c r="MU101" s="236" t="s">
        <v>479</v>
      </c>
      <c r="MV101" s="235" t="s">
        <v>479</v>
      </c>
      <c r="MW101" s="235" t="s">
        <v>479</v>
      </c>
      <c r="MX101" s="226"/>
      <c r="MY101" s="226"/>
      <c r="MZ101" s="226"/>
      <c r="NA101" s="226"/>
    </row>
    <row r="102" spans="1:365" ht="409.6" x14ac:dyDescent="0.2">
      <c r="A102" s="1216"/>
      <c r="B102" s="1217"/>
      <c r="C102" s="1218"/>
      <c r="D102" s="215" t="s">
        <v>205</v>
      </c>
      <c r="E102" s="322"/>
      <c r="F102" s="322"/>
      <c r="G102" s="225" t="s">
        <v>543</v>
      </c>
      <c r="H102" s="225" t="s">
        <v>543</v>
      </c>
      <c r="I102" s="322" t="s">
        <v>5656</v>
      </c>
      <c r="J102" s="225" t="s">
        <v>543</v>
      </c>
      <c r="K102" s="225" t="s">
        <v>1924</v>
      </c>
      <c r="L102" s="225" t="s">
        <v>1924</v>
      </c>
      <c r="M102" s="225" t="s">
        <v>1924</v>
      </c>
      <c r="N102" s="225" t="s">
        <v>1924</v>
      </c>
      <c r="O102" s="225" t="s">
        <v>640</v>
      </c>
      <c r="P102" s="400" t="s">
        <v>2533</v>
      </c>
      <c r="Q102" s="225" t="s">
        <v>1924</v>
      </c>
      <c r="R102" s="322" t="s">
        <v>5655</v>
      </c>
      <c r="S102" s="226" t="s">
        <v>726</v>
      </c>
      <c r="T102" s="225" t="s">
        <v>5435</v>
      </c>
      <c r="U102" s="225"/>
      <c r="V102" s="225"/>
      <c r="W102" s="226"/>
      <c r="X102" s="226"/>
      <c r="Y102" s="226"/>
      <c r="Z102" s="226"/>
      <c r="AA102" s="226"/>
      <c r="AB102" s="226"/>
      <c r="AC102" s="226"/>
      <c r="AD102" s="226"/>
      <c r="AE102" s="226"/>
      <c r="AF102" s="225" t="s">
        <v>5654</v>
      </c>
      <c r="AG102" s="225"/>
      <c r="AH102" s="226"/>
      <c r="AI102" s="225" t="s">
        <v>5653</v>
      </c>
      <c r="AJ102" s="225" t="s">
        <v>5432</v>
      </c>
      <c r="AK102" s="344" t="s">
        <v>5574</v>
      </c>
      <c r="AL102" s="225" t="s">
        <v>640</v>
      </c>
      <c r="AM102" s="226"/>
      <c r="AN102" s="226"/>
      <c r="AO102" s="226"/>
      <c r="AP102" s="226"/>
      <c r="AQ102" s="225" t="s">
        <v>5652</v>
      </c>
      <c r="AR102" s="225"/>
      <c r="AS102" s="225"/>
      <c r="AT102" s="225" t="s">
        <v>470</v>
      </c>
      <c r="AU102" s="225" t="s">
        <v>656</v>
      </c>
      <c r="AV102" s="322" t="s">
        <v>5651</v>
      </c>
      <c r="AW102" s="225"/>
      <c r="AX102" s="225"/>
      <c r="AY102" s="229" t="s">
        <v>2234</v>
      </c>
      <c r="AZ102" s="225"/>
      <c r="BA102" s="225"/>
      <c r="BB102" s="225"/>
      <c r="BC102" s="225"/>
      <c r="BD102" s="225"/>
      <c r="BE102" s="229"/>
      <c r="BF102" s="225"/>
      <c r="BG102" s="225"/>
      <c r="BH102" s="225" t="s">
        <v>470</v>
      </c>
      <c r="BI102" s="225" t="s">
        <v>656</v>
      </c>
      <c r="BJ102" s="225"/>
      <c r="BK102" s="225"/>
      <c r="BL102" s="225"/>
      <c r="BM102" s="225"/>
      <c r="BN102" s="226"/>
      <c r="BO102" s="225" t="s">
        <v>959</v>
      </c>
      <c r="BP102" s="225"/>
      <c r="BQ102" s="225" t="s">
        <v>5650</v>
      </c>
      <c r="BR102" s="264" t="s">
        <v>4854</v>
      </c>
      <c r="BS102" s="225" t="s">
        <v>5268</v>
      </c>
      <c r="BT102" s="225" t="s">
        <v>1243</v>
      </c>
      <c r="BU102" s="225"/>
      <c r="BV102" s="225" t="s">
        <v>5427</v>
      </c>
      <c r="BW102" s="225" t="s">
        <v>2533</v>
      </c>
      <c r="BX102" s="225" t="s">
        <v>5649</v>
      </c>
      <c r="BY102" s="225" t="s">
        <v>5427</v>
      </c>
      <c r="BZ102" s="225" t="s">
        <v>5648</v>
      </c>
      <c r="CA102" s="225" t="s">
        <v>2533</v>
      </c>
      <c r="CB102" s="225" t="s">
        <v>2533</v>
      </c>
      <c r="CC102" s="225" t="s">
        <v>5647</v>
      </c>
      <c r="CD102" s="229" t="s">
        <v>640</v>
      </c>
      <c r="CE102" s="229" t="s">
        <v>5646</v>
      </c>
      <c r="CF102" s="229" t="s">
        <v>640</v>
      </c>
      <c r="CG102" s="229"/>
      <c r="CH102" s="229"/>
      <c r="CI102" s="229" t="s">
        <v>5423</v>
      </c>
      <c r="CJ102" s="229"/>
      <c r="CK102" s="229"/>
      <c r="CL102" s="229"/>
      <c r="CM102" s="229" t="s">
        <v>5645</v>
      </c>
      <c r="CN102" s="225" t="s">
        <v>5644</v>
      </c>
      <c r="CO102" s="225" t="s">
        <v>2533</v>
      </c>
      <c r="CP102" s="225"/>
      <c r="CQ102" s="406" t="s">
        <v>5398</v>
      </c>
      <c r="CR102" s="465" t="s">
        <v>5378</v>
      </c>
      <c r="CS102" s="225" t="s">
        <v>640</v>
      </c>
      <c r="CT102" s="225" t="s">
        <v>640</v>
      </c>
      <c r="CU102" s="402" t="s">
        <v>5569</v>
      </c>
      <c r="CV102" s="225" t="s">
        <v>1365</v>
      </c>
      <c r="CW102" s="225" t="s">
        <v>5394</v>
      </c>
      <c r="CX102" s="225" t="s">
        <v>707</v>
      </c>
      <c r="CY102" s="225" t="s">
        <v>961</v>
      </c>
      <c r="CZ102" s="225"/>
      <c r="DA102" s="225" t="s">
        <v>640</v>
      </c>
      <c r="DB102" s="225" t="s">
        <v>5248</v>
      </c>
      <c r="DC102" s="225" t="s">
        <v>15</v>
      </c>
      <c r="DD102" s="225" t="s">
        <v>2533</v>
      </c>
      <c r="DE102" s="225"/>
      <c r="DF102" s="322" t="s">
        <v>5417</v>
      </c>
      <c r="DG102" s="225" t="s">
        <v>5231</v>
      </c>
      <c r="DH102" s="225" t="s">
        <v>5643</v>
      </c>
      <c r="DI102" s="225" t="s">
        <v>5565</v>
      </c>
      <c r="DJ102" s="225"/>
      <c r="DK102" s="260" t="s">
        <v>5642</v>
      </c>
      <c r="DL102" s="260" t="s">
        <v>5641</v>
      </c>
      <c r="DM102" s="225" t="s">
        <v>2533</v>
      </c>
      <c r="DN102" s="225" t="s">
        <v>1007</v>
      </c>
      <c r="DO102" s="225"/>
      <c r="DP102" s="225" t="s">
        <v>5412</v>
      </c>
      <c r="DQ102" s="225" t="s">
        <v>5640</v>
      </c>
      <c r="DR102" s="225" t="s">
        <v>5355</v>
      </c>
      <c r="DS102" s="225" t="s">
        <v>5639</v>
      </c>
      <c r="DT102" s="225" t="s">
        <v>5412</v>
      </c>
      <c r="DU102" s="225" t="s">
        <v>470</v>
      </c>
      <c r="DV102" s="225" t="s">
        <v>5638</v>
      </c>
      <c r="DW102" s="246" t="s">
        <v>1007</v>
      </c>
      <c r="DX102" s="225"/>
      <c r="DY102" s="225" t="s">
        <v>920</v>
      </c>
      <c r="DZ102" s="225" t="s">
        <v>5637</v>
      </c>
      <c r="EA102" s="225"/>
      <c r="EB102" s="225" t="s">
        <v>5411</v>
      </c>
      <c r="EC102" s="226"/>
      <c r="ED102" s="225" t="s">
        <v>9507</v>
      </c>
      <c r="EE102" s="225" t="s">
        <v>656</v>
      </c>
      <c r="EF102" s="263" t="s">
        <v>5636</v>
      </c>
      <c r="EG102" s="226"/>
      <c r="EH102" s="225"/>
      <c r="EI102" s="225" t="s">
        <v>1007</v>
      </c>
      <c r="EJ102" s="226"/>
      <c r="EK102" s="226"/>
      <c r="EL102" s="226"/>
      <c r="EM102" s="226"/>
      <c r="EN102" s="226"/>
      <c r="EO102" s="226"/>
      <c r="EP102" s="226"/>
      <c r="EQ102" s="226"/>
      <c r="ER102" s="225" t="s">
        <v>543</v>
      </c>
      <c r="ES102" s="225" t="s">
        <v>2826</v>
      </c>
      <c r="ET102" s="225" t="s">
        <v>5409</v>
      </c>
      <c r="EU102" s="225" t="s">
        <v>5409</v>
      </c>
      <c r="EV102" s="225" t="s">
        <v>5409</v>
      </c>
      <c r="EW102" s="225"/>
      <c r="EX102" s="225" t="s">
        <v>5635</v>
      </c>
      <c r="EY102" s="225"/>
      <c r="EZ102" s="229"/>
      <c r="FA102" s="225"/>
      <c r="FB102" s="225" t="s">
        <v>5634</v>
      </c>
      <c r="FC102" s="225" t="s">
        <v>640</v>
      </c>
      <c r="FD102" s="226"/>
      <c r="FE102" s="404"/>
      <c r="FF102" s="225" t="s">
        <v>15</v>
      </c>
      <c r="FG102" s="225" t="s">
        <v>5633</v>
      </c>
      <c r="FH102" s="225" t="s">
        <v>541</v>
      </c>
      <c r="FI102" s="394" t="s">
        <v>1007</v>
      </c>
      <c r="FJ102" s="394" t="s">
        <v>5632</v>
      </c>
      <c r="FK102" s="394"/>
      <c r="FL102" s="394" t="s">
        <v>5631</v>
      </c>
      <c r="FM102" s="225"/>
      <c r="FN102" s="225"/>
      <c r="FO102" s="388" t="s">
        <v>5630</v>
      </c>
      <c r="FP102" s="388"/>
      <c r="FQ102" s="465" t="s">
        <v>656</v>
      </c>
      <c r="FR102" s="394"/>
      <c r="FS102" s="394"/>
      <c r="FT102" s="394"/>
      <c r="FU102" s="226"/>
      <c r="FV102" s="394"/>
      <c r="FW102" s="394"/>
      <c r="FX102" s="394"/>
      <c r="FY102" s="226"/>
      <c r="FZ102" s="394"/>
      <c r="GA102" s="394"/>
      <c r="GB102" s="394"/>
      <c r="GC102" s="394"/>
      <c r="GD102" s="394" t="s">
        <v>5629</v>
      </c>
      <c r="GE102" s="394"/>
      <c r="GF102" s="394"/>
      <c r="GG102" s="394" t="s">
        <v>4906</v>
      </c>
      <c r="GH102" s="394" t="s">
        <v>5627</v>
      </c>
      <c r="GI102" s="226"/>
      <c r="GJ102" s="394" t="s">
        <v>961</v>
      </c>
      <c r="GK102" s="394" t="s">
        <v>1007</v>
      </c>
      <c r="GL102" s="394" t="s">
        <v>2533</v>
      </c>
      <c r="GM102" s="394" t="s">
        <v>5628</v>
      </c>
      <c r="GN102" s="394"/>
      <c r="GO102" s="226"/>
      <c r="GP102" s="394" t="s">
        <v>5627</v>
      </c>
      <c r="GQ102" s="226"/>
      <c r="GR102" s="394" t="s">
        <v>2533</v>
      </c>
      <c r="GS102" s="394"/>
      <c r="GT102" s="394"/>
      <c r="GU102" s="394" t="s">
        <v>2533</v>
      </c>
      <c r="GV102" s="394" t="s">
        <v>5626</v>
      </c>
      <c r="GW102" s="226"/>
      <c r="GX102" s="225"/>
      <c r="GY102" s="225"/>
      <c r="GZ102" s="394"/>
      <c r="HA102" s="225"/>
      <c r="HB102" s="225" t="s">
        <v>541</v>
      </c>
      <c r="HC102" s="225" t="s">
        <v>1007</v>
      </c>
      <c r="HD102" s="225" t="s">
        <v>5404</v>
      </c>
      <c r="HE102" s="225" t="s">
        <v>5625</v>
      </c>
      <c r="HF102" s="226"/>
      <c r="HG102" s="227" t="s">
        <v>656</v>
      </c>
      <c r="HH102" s="227" t="s">
        <v>5624</v>
      </c>
      <c r="HI102" s="227" t="s">
        <v>5623</v>
      </c>
      <c r="HJ102" s="225" t="s">
        <v>656</v>
      </c>
      <c r="HK102" s="227" t="s">
        <v>5622</v>
      </c>
      <c r="HL102" s="226"/>
      <c r="HM102" s="225" t="s">
        <v>640</v>
      </c>
      <c r="HN102" s="226"/>
      <c r="HO102" s="225"/>
      <c r="HP102" s="225" t="s">
        <v>5621</v>
      </c>
      <c r="HQ102" s="225" t="s">
        <v>5268</v>
      </c>
      <c r="HR102" s="226"/>
      <c r="HS102" s="322" t="s">
        <v>1243</v>
      </c>
      <c r="HT102" s="225" t="s">
        <v>5620</v>
      </c>
      <c r="HU102" s="225"/>
      <c r="HV102" s="225"/>
      <c r="HW102" s="225" t="s">
        <v>5619</v>
      </c>
      <c r="HX102" s="225" t="s">
        <v>5618</v>
      </c>
      <c r="HY102" s="266" t="s">
        <v>5289</v>
      </c>
      <c r="HZ102" s="228" t="s">
        <v>5617</v>
      </c>
      <c r="IA102" s="225"/>
      <c r="IB102" s="225" t="s">
        <v>5616</v>
      </c>
      <c r="IC102" s="225" t="s">
        <v>5615</v>
      </c>
      <c r="ID102" s="225" t="s">
        <v>5614</v>
      </c>
      <c r="IE102" s="225" t="s">
        <v>5614</v>
      </c>
      <c r="IF102" s="225" t="s">
        <v>5614</v>
      </c>
      <c r="IG102" s="225" t="s">
        <v>5613</v>
      </c>
      <c r="IH102" s="229" t="s">
        <v>5612</v>
      </c>
      <c r="II102" s="224" t="s">
        <v>5610</v>
      </c>
      <c r="IJ102" s="225" t="s">
        <v>5611</v>
      </c>
      <c r="IK102" s="225" t="s">
        <v>5611</v>
      </c>
      <c r="IL102" s="225" t="s">
        <v>5611</v>
      </c>
      <c r="IM102" s="225" t="s">
        <v>5611</v>
      </c>
      <c r="IN102" s="224" t="s">
        <v>5610</v>
      </c>
      <c r="IO102" s="224" t="s">
        <v>5610</v>
      </c>
      <c r="IP102" s="224" t="s">
        <v>5610</v>
      </c>
      <c r="IQ102" s="224" t="s">
        <v>5610</v>
      </c>
      <c r="IR102" s="224" t="s">
        <v>5610</v>
      </c>
      <c r="IS102" s="224" t="s">
        <v>5610</v>
      </c>
      <c r="IT102" s="225" t="s">
        <v>5610</v>
      </c>
      <c r="IU102" s="225" t="s">
        <v>5610</v>
      </c>
      <c r="IV102" s="225" t="s">
        <v>5610</v>
      </c>
      <c r="IW102" s="225" t="s">
        <v>5610</v>
      </c>
      <c r="IX102" s="225"/>
      <c r="IY102" s="225" t="s">
        <v>5409</v>
      </c>
      <c r="IZ102" s="225" t="s">
        <v>5398</v>
      </c>
      <c r="JA102" s="225" t="s">
        <v>5398</v>
      </c>
      <c r="JB102" s="225" t="s">
        <v>5398</v>
      </c>
      <c r="JC102" s="225" t="s">
        <v>640</v>
      </c>
      <c r="JD102" s="264" t="s">
        <v>5369</v>
      </c>
      <c r="JE102" s="226"/>
      <c r="JF102" s="226"/>
      <c r="JG102" s="226"/>
      <c r="JH102" s="225" t="s">
        <v>1007</v>
      </c>
      <c r="JI102" s="225" t="s">
        <v>2533</v>
      </c>
      <c r="JJ102" s="225" t="s">
        <v>5231</v>
      </c>
      <c r="JK102" s="237" t="s">
        <v>619</v>
      </c>
      <c r="JL102" s="225" t="s">
        <v>640</v>
      </c>
      <c r="JM102" s="225" t="s">
        <v>5609</v>
      </c>
      <c r="JN102" s="226"/>
      <c r="JO102" s="226"/>
      <c r="JP102" s="226"/>
      <c r="JQ102" s="225" t="s">
        <v>5608</v>
      </c>
      <c r="JR102" s="225" t="s">
        <v>1007</v>
      </c>
      <c r="JS102" s="225" t="s">
        <v>1243</v>
      </c>
      <c r="JT102" s="225" t="s">
        <v>640</v>
      </c>
      <c r="JU102" s="225"/>
      <c r="JV102" s="225" t="s">
        <v>1992</v>
      </c>
      <c r="JW102" s="225" t="s">
        <v>656</v>
      </c>
      <c r="JX102" s="225" t="s">
        <v>656</v>
      </c>
      <c r="JY102" s="225" t="s">
        <v>5607</v>
      </c>
      <c r="JZ102" s="225" t="s">
        <v>5280</v>
      </c>
      <c r="KA102" s="225" t="s">
        <v>5606</v>
      </c>
      <c r="KB102" s="225" t="s">
        <v>5605</v>
      </c>
      <c r="KC102" s="225" t="s">
        <v>5604</v>
      </c>
      <c r="KD102" s="225"/>
      <c r="KE102" s="232" t="s">
        <v>5603</v>
      </c>
      <c r="KF102" s="225" t="s">
        <v>5393</v>
      </c>
      <c r="KG102" s="225" t="s">
        <v>640</v>
      </c>
      <c r="KH102" s="225" t="s">
        <v>1033</v>
      </c>
      <c r="KI102" s="225" t="s">
        <v>5392</v>
      </c>
      <c r="KJ102" s="225"/>
      <c r="KK102" s="225" t="s">
        <v>2533</v>
      </c>
      <c r="KL102" s="225" t="s">
        <v>5602</v>
      </c>
      <c r="KM102" s="225" t="s">
        <v>2533</v>
      </c>
      <c r="KN102" s="225" t="s">
        <v>5063</v>
      </c>
      <c r="KO102" s="225"/>
      <c r="KP102" s="225" t="s">
        <v>5601</v>
      </c>
      <c r="KQ102" s="226"/>
      <c r="KR102" s="226"/>
      <c r="KS102" s="226"/>
      <c r="KT102" s="226"/>
      <c r="KU102" s="226"/>
      <c r="KV102" s="225" t="s">
        <v>5600</v>
      </c>
      <c r="KW102" s="225" t="s">
        <v>5599</v>
      </c>
      <c r="KX102" s="228" t="s">
        <v>1537</v>
      </c>
      <c r="KY102" s="793" t="s">
        <v>9286</v>
      </c>
      <c r="KZ102" s="225" t="s">
        <v>1537</v>
      </c>
      <c r="LA102" s="225" t="s">
        <v>541</v>
      </c>
      <c r="LB102" s="225" t="s">
        <v>640</v>
      </c>
      <c r="LC102" s="225" t="s">
        <v>9226</v>
      </c>
      <c r="LD102" s="225" t="s">
        <v>1537</v>
      </c>
      <c r="LE102" s="225"/>
      <c r="LF102" s="225" t="s">
        <v>1537</v>
      </c>
      <c r="LG102" s="225" t="s">
        <v>1537</v>
      </c>
      <c r="LH102" s="225" t="s">
        <v>1537</v>
      </c>
      <c r="LI102" s="225"/>
      <c r="LJ102" s="225" t="s">
        <v>1007</v>
      </c>
      <c r="LK102" s="225"/>
      <c r="LL102" s="225"/>
      <c r="LM102" s="226"/>
      <c r="LN102" s="264" t="s">
        <v>5598</v>
      </c>
      <c r="LO102" s="225"/>
      <c r="LP102" s="225" t="s">
        <v>5597</v>
      </c>
      <c r="LQ102" s="225" t="s">
        <v>5596</v>
      </c>
      <c r="LR102" s="225" t="s">
        <v>621</v>
      </c>
      <c r="LS102" s="225" t="s">
        <v>5595</v>
      </c>
      <c r="LT102" s="234"/>
      <c r="LU102" s="225"/>
      <c r="LV102" s="225" t="s">
        <v>5594</v>
      </c>
      <c r="LW102" s="225" t="s">
        <v>1007</v>
      </c>
      <c r="LX102" s="225" t="s">
        <v>5593</v>
      </c>
      <c r="LY102" s="260" t="s">
        <v>5592</v>
      </c>
      <c r="LZ102" s="225"/>
      <c r="MA102" s="225" t="s">
        <v>1243</v>
      </c>
      <c r="MB102" s="225" t="s">
        <v>1007</v>
      </c>
      <c r="MC102" s="225" t="s">
        <v>1007</v>
      </c>
      <c r="MD102" s="225" t="s">
        <v>541</v>
      </c>
      <c r="ME102" s="225" t="s">
        <v>2533</v>
      </c>
      <c r="MF102" s="225" t="s">
        <v>5265</v>
      </c>
      <c r="MG102" s="226"/>
      <c r="MH102" s="226"/>
      <c r="MI102" s="226"/>
      <c r="MJ102" s="235" t="s">
        <v>5591</v>
      </c>
      <c r="MK102" s="235"/>
      <c r="ML102" s="235" t="s">
        <v>5590</v>
      </c>
      <c r="MM102" s="235" t="s">
        <v>5545</v>
      </c>
      <c r="MN102" s="236" t="s">
        <v>5589</v>
      </c>
      <c r="MO102" s="274" t="s">
        <v>5588</v>
      </c>
      <c r="MP102" s="236" t="s">
        <v>5587</v>
      </c>
      <c r="MQ102" s="236"/>
      <c r="MR102" s="236" t="s">
        <v>5586</v>
      </c>
      <c r="MS102" s="274" t="s">
        <v>5585</v>
      </c>
      <c r="MT102" s="235" t="s">
        <v>5584</v>
      </c>
      <c r="MU102" s="236" t="s">
        <v>5583</v>
      </c>
      <c r="MV102" s="235" t="s">
        <v>1007</v>
      </c>
      <c r="MW102" s="235" t="s">
        <v>9540</v>
      </c>
      <c r="MX102" s="226"/>
      <c r="MY102" s="226"/>
      <c r="MZ102" s="226"/>
      <c r="NA102" s="226"/>
    </row>
    <row r="103" spans="1:365" ht="153" x14ac:dyDescent="0.2">
      <c r="A103" s="1216"/>
      <c r="B103" s="1217"/>
      <c r="C103" s="1218"/>
      <c r="D103" s="215" t="s">
        <v>209</v>
      </c>
      <c r="E103" s="322"/>
      <c r="F103" s="322"/>
      <c r="G103" s="322">
        <v>268</v>
      </c>
      <c r="H103" s="322">
        <v>768</v>
      </c>
      <c r="I103" s="322">
        <v>222</v>
      </c>
      <c r="J103" s="322">
        <v>157</v>
      </c>
      <c r="K103" s="322">
        <v>0</v>
      </c>
      <c r="L103" s="225">
        <v>0</v>
      </c>
      <c r="M103" s="322">
        <v>0</v>
      </c>
      <c r="N103" s="322">
        <v>0</v>
      </c>
      <c r="O103" s="322">
        <v>3800</v>
      </c>
      <c r="P103" s="463">
        <v>80</v>
      </c>
      <c r="Q103" s="322">
        <v>0</v>
      </c>
      <c r="R103" s="322" t="s">
        <v>5582</v>
      </c>
      <c r="S103" s="460">
        <v>28</v>
      </c>
      <c r="T103" s="322">
        <v>15</v>
      </c>
      <c r="U103" s="322"/>
      <c r="V103" s="322" t="s">
        <v>5581</v>
      </c>
      <c r="W103" s="226"/>
      <c r="X103" s="226"/>
      <c r="Y103" s="226"/>
      <c r="Z103" s="226"/>
      <c r="AA103" s="226"/>
      <c r="AB103" s="226"/>
      <c r="AC103" s="226"/>
      <c r="AD103" s="226"/>
      <c r="AE103" s="226"/>
      <c r="AF103" s="322" t="s">
        <v>1447</v>
      </c>
      <c r="AG103" s="225"/>
      <c r="AH103" s="226"/>
      <c r="AI103" s="322">
        <v>7</v>
      </c>
      <c r="AJ103" s="322">
        <v>160</v>
      </c>
      <c r="AK103" s="344">
        <v>164</v>
      </c>
      <c r="AL103" s="322">
        <v>60</v>
      </c>
      <c r="AM103" s="226"/>
      <c r="AN103" s="226"/>
      <c r="AO103" s="226"/>
      <c r="AP103" s="226"/>
      <c r="AQ103" s="322">
        <v>124</v>
      </c>
      <c r="AR103" s="322"/>
      <c r="AS103" s="322"/>
      <c r="AT103" s="322">
        <v>0</v>
      </c>
      <c r="AU103" s="322" t="s">
        <v>656</v>
      </c>
      <c r="AV103" s="322">
        <v>138</v>
      </c>
      <c r="AW103" s="322"/>
      <c r="AX103" s="322"/>
      <c r="AY103" s="344" t="s">
        <v>2234</v>
      </c>
      <c r="AZ103" s="322"/>
      <c r="BA103" s="322"/>
      <c r="BB103" s="322"/>
      <c r="BC103" s="322"/>
      <c r="BD103" s="322"/>
      <c r="BE103" s="344"/>
      <c r="BF103" s="322">
        <f>37+12+36</f>
        <v>85</v>
      </c>
      <c r="BG103" s="322"/>
      <c r="BH103" s="322" t="s">
        <v>470</v>
      </c>
      <c r="BI103" s="322" t="s">
        <v>656</v>
      </c>
      <c r="BJ103" s="322"/>
      <c r="BK103" s="322"/>
      <c r="BL103" s="322"/>
      <c r="BM103" s="322"/>
      <c r="BN103" s="226"/>
      <c r="BO103" s="322">
        <v>47</v>
      </c>
      <c r="BP103" s="322"/>
      <c r="BQ103" s="322">
        <v>10</v>
      </c>
      <c r="BR103" s="233">
        <v>184</v>
      </c>
      <c r="BS103" s="322">
        <v>30</v>
      </c>
      <c r="BT103" s="322">
        <v>53</v>
      </c>
      <c r="BU103" s="322"/>
      <c r="BV103" s="322">
        <v>30</v>
      </c>
      <c r="BW103" s="322">
        <v>26</v>
      </c>
      <c r="BX103" s="322">
        <v>11</v>
      </c>
      <c r="BY103" s="322">
        <v>120</v>
      </c>
      <c r="BZ103" s="322">
        <v>31</v>
      </c>
      <c r="CA103" s="322">
        <v>30</v>
      </c>
      <c r="CB103" s="322">
        <v>30</v>
      </c>
      <c r="CC103" s="322"/>
      <c r="CD103" s="344">
        <v>46</v>
      </c>
      <c r="CE103" s="344">
        <v>11</v>
      </c>
      <c r="CF103" s="344">
        <v>700</v>
      </c>
      <c r="CG103" s="344">
        <v>0</v>
      </c>
      <c r="CH103" s="344"/>
      <c r="CI103" s="344">
        <v>30</v>
      </c>
      <c r="CJ103" s="344">
        <v>0</v>
      </c>
      <c r="CK103" s="344"/>
      <c r="CL103" s="344"/>
      <c r="CM103" s="344">
        <v>10</v>
      </c>
      <c r="CN103" s="322">
        <v>24</v>
      </c>
      <c r="CO103" s="322">
        <v>103</v>
      </c>
      <c r="CP103" s="322"/>
      <c r="CQ103" s="464">
        <v>60</v>
      </c>
      <c r="CR103" s="465">
        <v>250</v>
      </c>
      <c r="CS103" s="322">
        <v>46</v>
      </c>
      <c r="CT103" s="322">
        <v>75</v>
      </c>
      <c r="CU103" s="483">
        <v>31</v>
      </c>
      <c r="CV103" s="322">
        <v>30</v>
      </c>
      <c r="CW103" s="322">
        <v>129</v>
      </c>
      <c r="CX103" s="322">
        <v>39</v>
      </c>
      <c r="CY103" s="322">
        <v>26</v>
      </c>
      <c r="CZ103" s="322"/>
      <c r="DA103" s="322">
        <v>882</v>
      </c>
      <c r="DB103" s="322">
        <v>13</v>
      </c>
      <c r="DC103" s="322">
        <v>17</v>
      </c>
      <c r="DD103" s="322">
        <v>29</v>
      </c>
      <c r="DE103" s="322"/>
      <c r="DF103" s="322"/>
      <c r="DG103" s="322">
        <v>10</v>
      </c>
      <c r="DH103" s="322">
        <v>17</v>
      </c>
      <c r="DI103" s="322">
        <v>10</v>
      </c>
      <c r="DJ103" s="322"/>
      <c r="DK103" s="322">
        <v>34</v>
      </c>
      <c r="DL103" s="322">
        <v>10</v>
      </c>
      <c r="DM103" s="322">
        <v>36</v>
      </c>
      <c r="DN103" s="322">
        <v>214</v>
      </c>
      <c r="DO103" s="322"/>
      <c r="DP103" s="322">
        <v>43</v>
      </c>
      <c r="DQ103" s="322">
        <v>35</v>
      </c>
      <c r="DR103" s="322">
        <v>30</v>
      </c>
      <c r="DS103" s="322">
        <v>45</v>
      </c>
      <c r="DT103" s="322">
        <v>124</v>
      </c>
      <c r="DU103" s="322">
        <v>0</v>
      </c>
      <c r="DV103" s="322">
        <v>25</v>
      </c>
      <c r="DW103" s="225">
        <v>28</v>
      </c>
      <c r="DX103" s="322"/>
      <c r="DY103" s="322">
        <v>322</v>
      </c>
      <c r="DZ103" s="322">
        <v>156</v>
      </c>
      <c r="EA103" s="322"/>
      <c r="EB103" s="322">
        <v>54</v>
      </c>
      <c r="EC103" s="226"/>
      <c r="ED103" s="322">
        <v>1093</v>
      </c>
      <c r="EE103" s="322" t="s">
        <v>656</v>
      </c>
      <c r="EF103" s="322">
        <v>10</v>
      </c>
      <c r="EG103" s="226"/>
      <c r="EH103" s="322"/>
      <c r="EI103" s="322">
        <v>15</v>
      </c>
      <c r="EJ103" s="226"/>
      <c r="EK103" s="226"/>
      <c r="EL103" s="226"/>
      <c r="EM103" s="226"/>
      <c r="EN103" s="226"/>
      <c r="EO103" s="226"/>
      <c r="EP103" s="226"/>
      <c r="EQ103" s="226"/>
      <c r="ER103" s="322">
        <v>10</v>
      </c>
      <c r="ES103" s="322">
        <v>387</v>
      </c>
      <c r="ET103" s="225">
        <v>208</v>
      </c>
      <c r="EU103" s="225">
        <v>167</v>
      </c>
      <c r="EV103" s="225">
        <v>26</v>
      </c>
      <c r="EW103" s="322"/>
      <c r="EX103" s="322">
        <v>171</v>
      </c>
      <c r="EY103" s="322"/>
      <c r="EZ103" s="344"/>
      <c r="FA103" s="322"/>
      <c r="FB103" s="322">
        <v>6</v>
      </c>
      <c r="FC103" s="322">
        <v>50</v>
      </c>
      <c r="FD103" s="226"/>
      <c r="FE103" s="466"/>
      <c r="FF103" s="322">
        <v>200</v>
      </c>
      <c r="FG103" s="322">
        <f>635+213+52</f>
        <v>900</v>
      </c>
      <c r="FH103" s="322">
        <v>18</v>
      </c>
      <c r="FI103" s="465">
        <v>552</v>
      </c>
      <c r="FJ103" s="465">
        <v>1760</v>
      </c>
      <c r="FK103" s="465"/>
      <c r="FL103" s="465">
        <v>151</v>
      </c>
      <c r="FM103" s="322"/>
      <c r="FN103" s="322"/>
      <c r="FO103" s="465">
        <v>509</v>
      </c>
      <c r="FP103" s="465"/>
      <c r="FQ103" s="465" t="s">
        <v>656</v>
      </c>
      <c r="FR103" s="465"/>
      <c r="FS103" s="465"/>
      <c r="FT103" s="465"/>
      <c r="FU103" s="226"/>
      <c r="FV103" s="465"/>
      <c r="FW103" s="465"/>
      <c r="FX103" s="465"/>
      <c r="FY103" s="226"/>
      <c r="FZ103" s="465"/>
      <c r="GA103" s="465"/>
      <c r="GB103" s="465"/>
      <c r="GC103" s="465"/>
      <c r="GD103" s="465">
        <v>282</v>
      </c>
      <c r="GE103" s="465"/>
      <c r="GF103" s="465"/>
      <c r="GG103" s="394" t="s">
        <v>4906</v>
      </c>
      <c r="GH103" s="394">
        <v>164</v>
      </c>
      <c r="GI103" s="226"/>
      <c r="GJ103" s="465">
        <v>110</v>
      </c>
      <c r="GK103" s="465">
        <v>99</v>
      </c>
      <c r="GL103" s="465">
        <v>171</v>
      </c>
      <c r="GM103" s="465">
        <v>7</v>
      </c>
      <c r="GN103" s="465"/>
      <c r="GO103" s="226"/>
      <c r="GP103" s="394">
        <v>420</v>
      </c>
      <c r="GQ103" s="226"/>
      <c r="GR103" s="465">
        <v>169</v>
      </c>
      <c r="GS103" s="465"/>
      <c r="GT103" s="465"/>
      <c r="GU103" s="465">
        <v>227</v>
      </c>
      <c r="GV103" s="465">
        <v>51</v>
      </c>
      <c r="GW103" s="226"/>
      <c r="GX103" s="322"/>
      <c r="GY103" s="322"/>
      <c r="GZ103" s="465"/>
      <c r="HA103" s="322"/>
      <c r="HB103" s="322">
        <v>114</v>
      </c>
      <c r="HC103" s="322">
        <v>172</v>
      </c>
      <c r="HD103" s="322">
        <v>50</v>
      </c>
      <c r="HE103" s="322">
        <v>0</v>
      </c>
      <c r="HF103" s="226"/>
      <c r="HG103" s="343" t="s">
        <v>656</v>
      </c>
      <c r="HH103" s="343">
        <v>98</v>
      </c>
      <c r="HI103" s="343">
        <v>10</v>
      </c>
      <c r="HJ103" s="322" t="s">
        <v>656</v>
      </c>
      <c r="HK103" s="343">
        <f>293+264+245</f>
        <v>802</v>
      </c>
      <c r="HL103" s="226"/>
      <c r="HM103" s="322">
        <v>1315</v>
      </c>
      <c r="HN103" s="226"/>
      <c r="HO103" s="322"/>
      <c r="HP103" s="322" t="s">
        <v>5580</v>
      </c>
      <c r="HQ103" s="322">
        <v>2162</v>
      </c>
      <c r="HR103" s="322"/>
      <c r="HS103" s="322">
        <v>179</v>
      </c>
      <c r="HT103" s="322">
        <v>16</v>
      </c>
      <c r="HU103" s="322"/>
      <c r="HV103" s="322"/>
      <c r="HW103" s="322">
        <v>24</v>
      </c>
      <c r="HX103" s="322">
        <v>4743</v>
      </c>
      <c r="HY103" s="322">
        <v>30</v>
      </c>
      <c r="HZ103" s="322">
        <v>150</v>
      </c>
      <c r="IA103" s="322"/>
      <c r="IB103" s="322" t="s">
        <v>5381</v>
      </c>
      <c r="IC103" s="322">
        <v>55</v>
      </c>
      <c r="ID103" s="322">
        <v>263</v>
      </c>
      <c r="IE103" s="322">
        <v>17</v>
      </c>
      <c r="IF103" s="322">
        <v>14</v>
      </c>
      <c r="IG103" s="322">
        <v>27</v>
      </c>
      <c r="IH103" s="344">
        <v>15</v>
      </c>
      <c r="II103" s="322">
        <v>141</v>
      </c>
      <c r="IJ103" s="322">
        <v>10</v>
      </c>
      <c r="IK103" s="322">
        <v>24</v>
      </c>
      <c r="IL103" s="322">
        <v>38</v>
      </c>
      <c r="IM103" s="322">
        <v>3</v>
      </c>
      <c r="IN103" s="322">
        <v>10</v>
      </c>
      <c r="IO103" s="322">
        <v>11</v>
      </c>
      <c r="IP103" s="322">
        <v>18</v>
      </c>
      <c r="IQ103" s="322">
        <v>45</v>
      </c>
      <c r="IR103" s="322">
        <v>27</v>
      </c>
      <c r="IS103" s="322">
        <v>20</v>
      </c>
      <c r="IT103" s="322">
        <v>156</v>
      </c>
      <c r="IU103" s="322">
        <v>14</v>
      </c>
      <c r="IV103" s="322">
        <v>52</v>
      </c>
      <c r="IW103" s="322">
        <v>45</v>
      </c>
      <c r="IX103" s="322">
        <v>250</v>
      </c>
      <c r="IY103" s="322">
        <v>23</v>
      </c>
      <c r="IZ103" s="322">
        <v>49</v>
      </c>
      <c r="JA103" s="322">
        <v>48</v>
      </c>
      <c r="JB103" s="322">
        <v>50</v>
      </c>
      <c r="JC103" s="322">
        <v>150</v>
      </c>
      <c r="JD103" s="322">
        <v>20</v>
      </c>
      <c r="JE103" s="226"/>
      <c r="JF103" s="226"/>
      <c r="JG103" s="226"/>
      <c r="JH103" s="322">
        <v>534</v>
      </c>
      <c r="JI103" s="322">
        <v>349</v>
      </c>
      <c r="JJ103" s="322">
        <v>1674</v>
      </c>
      <c r="JK103" s="345">
        <v>65</v>
      </c>
      <c r="JL103" s="322">
        <v>40</v>
      </c>
      <c r="JM103" s="322">
        <v>30</v>
      </c>
      <c r="JN103" s="226"/>
      <c r="JO103" s="226"/>
      <c r="JP103" s="226"/>
      <c r="JQ103" s="322">
        <v>10</v>
      </c>
      <c r="JR103" s="322">
        <v>1053</v>
      </c>
      <c r="JS103" s="322">
        <v>199</v>
      </c>
      <c r="JT103" s="322">
        <v>125</v>
      </c>
      <c r="JU103" s="322"/>
      <c r="JV103" s="322">
        <v>670</v>
      </c>
      <c r="JW103" s="322" t="s">
        <v>656</v>
      </c>
      <c r="JX103" s="225" t="s">
        <v>656</v>
      </c>
      <c r="JY103" s="322">
        <v>562</v>
      </c>
      <c r="JZ103" s="322">
        <v>50</v>
      </c>
      <c r="KA103" s="322">
        <v>70</v>
      </c>
      <c r="KB103" s="322">
        <v>648</v>
      </c>
      <c r="KC103" s="322">
        <v>451</v>
      </c>
      <c r="KD103" s="322"/>
      <c r="KE103" s="232">
        <v>65</v>
      </c>
      <c r="KF103" s="225">
        <v>17</v>
      </c>
      <c r="KG103" s="322">
        <v>225</v>
      </c>
      <c r="KH103" s="322">
        <v>1308</v>
      </c>
      <c r="KI103" s="322">
        <v>25</v>
      </c>
      <c r="KJ103" s="322">
        <v>97</v>
      </c>
      <c r="KK103" s="322">
        <v>18</v>
      </c>
      <c r="KL103" s="322">
        <v>132</v>
      </c>
      <c r="KM103" s="322">
        <v>98</v>
      </c>
      <c r="KN103" s="322">
        <v>95</v>
      </c>
      <c r="KO103" s="322">
        <v>20</v>
      </c>
      <c r="KP103" s="322"/>
      <c r="KQ103" s="226"/>
      <c r="KR103" s="226"/>
      <c r="KS103" s="226"/>
      <c r="KT103" s="226"/>
      <c r="KU103" s="226"/>
      <c r="KV103" s="322" t="s">
        <v>656</v>
      </c>
      <c r="KW103" s="294">
        <f>(83+54)/1000</f>
        <v>0.13700000000000001</v>
      </c>
      <c r="KX103" s="383">
        <v>5</v>
      </c>
      <c r="KY103" s="386">
        <v>20</v>
      </c>
      <c r="KZ103" s="322">
        <v>25</v>
      </c>
      <c r="LA103" s="322">
        <v>21</v>
      </c>
      <c r="LB103" s="322">
        <v>9</v>
      </c>
      <c r="LC103" s="322">
        <v>6</v>
      </c>
      <c r="LD103" s="322">
        <v>10</v>
      </c>
      <c r="LE103" s="322">
        <v>150</v>
      </c>
      <c r="LF103" s="322">
        <v>5</v>
      </c>
      <c r="LG103" s="322">
        <v>5</v>
      </c>
      <c r="LH103" s="322">
        <v>5</v>
      </c>
      <c r="LI103" s="322"/>
      <c r="LJ103" s="322">
        <v>78</v>
      </c>
      <c r="LK103" s="322"/>
      <c r="LL103" s="322"/>
      <c r="LM103" s="226"/>
      <c r="LN103" s="322">
        <f>9+9</f>
        <v>18</v>
      </c>
      <c r="LO103" s="322">
        <v>0</v>
      </c>
      <c r="LP103" s="322">
        <v>0</v>
      </c>
      <c r="LQ103" s="322">
        <v>356</v>
      </c>
      <c r="LR103" s="322">
        <v>10</v>
      </c>
      <c r="LS103" s="322">
        <v>3</v>
      </c>
      <c r="LT103" s="346">
        <v>0</v>
      </c>
      <c r="LU103" s="322" t="e">
        <v>#REF!</v>
      </c>
      <c r="LV103" s="322">
        <v>41</v>
      </c>
      <c r="LW103" s="322">
        <v>47</v>
      </c>
      <c r="LX103" s="322">
        <v>37</v>
      </c>
      <c r="LY103" s="322">
        <v>28</v>
      </c>
      <c r="LZ103" s="322"/>
      <c r="MA103" s="322">
        <v>20</v>
      </c>
      <c r="MB103" s="322">
        <v>30</v>
      </c>
      <c r="MC103" s="322">
        <v>80</v>
      </c>
      <c r="MD103" s="322">
        <v>313</v>
      </c>
      <c r="ME103" s="322">
        <v>177</v>
      </c>
      <c r="MF103" s="322">
        <v>205</v>
      </c>
      <c r="MG103" s="226"/>
      <c r="MH103" s="226"/>
      <c r="MI103" s="226"/>
      <c r="MJ103" s="325">
        <f>45+354</f>
        <v>399</v>
      </c>
      <c r="MK103" s="325"/>
      <c r="ML103" s="347">
        <v>289</v>
      </c>
      <c r="MM103" s="347">
        <v>230</v>
      </c>
      <c r="MN103" s="348">
        <v>680</v>
      </c>
      <c r="MO103" s="348">
        <v>3564</v>
      </c>
      <c r="MP103" s="348">
        <v>893</v>
      </c>
      <c r="MQ103" s="348"/>
      <c r="MR103" s="348">
        <v>90</v>
      </c>
      <c r="MS103" s="348">
        <v>453</v>
      </c>
      <c r="MT103" s="347">
        <v>220</v>
      </c>
      <c r="MU103" s="348">
        <v>25</v>
      </c>
      <c r="MV103" s="347">
        <f>16+23+50+50+26+10</f>
        <v>175</v>
      </c>
      <c r="MW103" s="347">
        <v>51</v>
      </c>
      <c r="MX103" s="226"/>
      <c r="MY103" s="226"/>
      <c r="MZ103" s="226"/>
      <c r="NA103" s="226"/>
    </row>
    <row r="104" spans="1:365" ht="51" x14ac:dyDescent="0.2">
      <c r="A104" s="1216"/>
      <c r="B104" s="1217" t="s">
        <v>210</v>
      </c>
      <c r="C104" s="1218" t="s">
        <v>211</v>
      </c>
      <c r="D104" s="215" t="s">
        <v>204</v>
      </c>
      <c r="E104" s="322" t="s">
        <v>470</v>
      </c>
      <c r="F104" s="322" t="s">
        <v>470</v>
      </c>
      <c r="G104" s="322" t="s">
        <v>539</v>
      </c>
      <c r="H104" s="322" t="s">
        <v>539</v>
      </c>
      <c r="I104" s="322" t="s">
        <v>539</v>
      </c>
      <c r="J104" s="322" t="s">
        <v>539</v>
      </c>
      <c r="K104" s="322" t="s">
        <v>479</v>
      </c>
      <c r="L104" s="322" t="s">
        <v>479</v>
      </c>
      <c r="M104" s="322" t="s">
        <v>479</v>
      </c>
      <c r="N104" s="225" t="s">
        <v>470</v>
      </c>
      <c r="O104" s="225" t="s">
        <v>470</v>
      </c>
      <c r="P104" s="400" t="s">
        <v>470</v>
      </c>
      <c r="Q104" s="225" t="s">
        <v>470</v>
      </c>
      <c r="R104" s="322" t="s">
        <v>470</v>
      </c>
      <c r="S104" s="322" t="s">
        <v>470</v>
      </c>
      <c r="T104" s="322"/>
      <c r="U104" s="322" t="s">
        <v>540</v>
      </c>
      <c r="V104" s="322" t="s">
        <v>479</v>
      </c>
      <c r="W104" s="226"/>
      <c r="X104" s="226"/>
      <c r="Y104" s="226"/>
      <c r="Z104" s="226"/>
      <c r="AA104" s="226"/>
      <c r="AB104" s="226"/>
      <c r="AC104" s="226"/>
      <c r="AD104" s="226"/>
      <c r="AE104" s="226"/>
      <c r="AF104" s="322" t="s">
        <v>470</v>
      </c>
      <c r="AG104" s="225" t="s">
        <v>470</v>
      </c>
      <c r="AH104" s="226"/>
      <c r="AI104" s="322" t="s">
        <v>470</v>
      </c>
      <c r="AJ104" s="322" t="s">
        <v>470</v>
      </c>
      <c r="AK104" s="344" t="s">
        <v>479</v>
      </c>
      <c r="AL104" s="322" t="s">
        <v>470</v>
      </c>
      <c r="AM104" s="226"/>
      <c r="AN104" s="226"/>
      <c r="AO104" s="226"/>
      <c r="AP104" s="226"/>
      <c r="AQ104" s="322" t="s">
        <v>470</v>
      </c>
      <c r="AR104" s="322" t="s">
        <v>479</v>
      </c>
      <c r="AS104" s="322"/>
      <c r="AT104" s="225" t="s">
        <v>470</v>
      </c>
      <c r="AU104" s="322" t="s">
        <v>656</v>
      </c>
      <c r="AV104" s="322" t="s">
        <v>470</v>
      </c>
      <c r="AW104" s="322" t="s">
        <v>470</v>
      </c>
      <c r="AX104" s="322"/>
      <c r="AY104" s="344" t="s">
        <v>2234</v>
      </c>
      <c r="AZ104" s="322" t="s">
        <v>470</v>
      </c>
      <c r="BA104" s="322"/>
      <c r="BB104" s="322" t="s">
        <v>470</v>
      </c>
      <c r="BC104" s="322" t="s">
        <v>470</v>
      </c>
      <c r="BD104" s="322" t="s">
        <v>470</v>
      </c>
      <c r="BE104" s="344" t="s">
        <v>470</v>
      </c>
      <c r="BF104" s="322" t="s">
        <v>470</v>
      </c>
      <c r="BG104" s="322" t="s">
        <v>470</v>
      </c>
      <c r="BH104" s="322" t="s">
        <v>470</v>
      </c>
      <c r="BI104" s="322" t="s">
        <v>470</v>
      </c>
      <c r="BJ104" s="322" t="s">
        <v>470</v>
      </c>
      <c r="BK104" s="322" t="s">
        <v>479</v>
      </c>
      <c r="BL104" s="322"/>
      <c r="BM104" s="322" t="s">
        <v>470</v>
      </c>
      <c r="BN104" s="226"/>
      <c r="BO104" s="322" t="s">
        <v>479</v>
      </c>
      <c r="BP104" s="322"/>
      <c r="BQ104" s="322" t="s">
        <v>479</v>
      </c>
      <c r="BR104" s="233" t="s">
        <v>5579</v>
      </c>
      <c r="BS104" s="322" t="s">
        <v>656</v>
      </c>
      <c r="BT104" s="322" t="s">
        <v>479</v>
      </c>
      <c r="BU104" s="322"/>
      <c r="BV104" s="322" t="s">
        <v>470</v>
      </c>
      <c r="BW104" s="322" t="s">
        <v>470</v>
      </c>
      <c r="BX104" s="322"/>
      <c r="BY104" s="322" t="s">
        <v>479</v>
      </c>
      <c r="BZ104" s="322"/>
      <c r="CA104" s="322" t="s">
        <v>470</v>
      </c>
      <c r="CB104" s="322" t="s">
        <v>470</v>
      </c>
      <c r="CC104" s="322" t="s">
        <v>479</v>
      </c>
      <c r="CD104" s="344" t="s">
        <v>479</v>
      </c>
      <c r="CE104" s="344" t="s">
        <v>470</v>
      </c>
      <c r="CF104" s="344"/>
      <c r="CG104" s="344" t="s">
        <v>479</v>
      </c>
      <c r="CH104" s="344" t="s">
        <v>479</v>
      </c>
      <c r="CI104" s="344" t="s">
        <v>479</v>
      </c>
      <c r="CJ104" s="344" t="s">
        <v>470</v>
      </c>
      <c r="CK104" s="344" t="s">
        <v>479</v>
      </c>
      <c r="CL104" s="344" t="s">
        <v>470</v>
      </c>
      <c r="CM104" s="344" t="s">
        <v>479</v>
      </c>
      <c r="CN104" s="322"/>
      <c r="CO104" s="322" t="s">
        <v>479</v>
      </c>
      <c r="CP104" s="322" t="s">
        <v>479</v>
      </c>
      <c r="CQ104" s="464" t="s">
        <v>470</v>
      </c>
      <c r="CR104" s="465" t="s">
        <v>479</v>
      </c>
      <c r="CS104" s="322" t="s">
        <v>470</v>
      </c>
      <c r="CT104" s="322"/>
      <c r="CU104" s="483" t="s">
        <v>479</v>
      </c>
      <c r="CV104" s="322" t="s">
        <v>479</v>
      </c>
      <c r="CW104" s="322" t="s">
        <v>656</v>
      </c>
      <c r="CX104" s="322" t="s">
        <v>479</v>
      </c>
      <c r="CY104" s="322" t="s">
        <v>470</v>
      </c>
      <c r="CZ104" s="322"/>
      <c r="DA104" s="322" t="s">
        <v>479</v>
      </c>
      <c r="DB104" s="322" t="s">
        <v>470</v>
      </c>
      <c r="DC104" s="322" t="s">
        <v>470</v>
      </c>
      <c r="DD104" s="322" t="s">
        <v>479</v>
      </c>
      <c r="DE104" s="225" t="s">
        <v>479</v>
      </c>
      <c r="DF104" s="322" t="s">
        <v>479</v>
      </c>
      <c r="DG104" s="322" t="s">
        <v>470</v>
      </c>
      <c r="DH104" s="322" t="s">
        <v>470</v>
      </c>
      <c r="DI104" s="322" t="s">
        <v>479</v>
      </c>
      <c r="DJ104" s="322" t="s">
        <v>479</v>
      </c>
      <c r="DK104" s="322" t="s">
        <v>479</v>
      </c>
      <c r="DL104" s="322" t="s">
        <v>479</v>
      </c>
      <c r="DM104" s="322" t="s">
        <v>479</v>
      </c>
      <c r="DN104" s="322" t="s">
        <v>479</v>
      </c>
      <c r="DO104" s="322"/>
      <c r="DP104" s="322" t="s">
        <v>470</v>
      </c>
      <c r="DQ104" s="322" t="s">
        <v>479</v>
      </c>
      <c r="DR104" s="322" t="s">
        <v>470</v>
      </c>
      <c r="DS104" s="322" t="s">
        <v>470</v>
      </c>
      <c r="DT104" s="322" t="s">
        <v>470</v>
      </c>
      <c r="DU104" s="322" t="s">
        <v>479</v>
      </c>
      <c r="DV104" s="322" t="s">
        <v>470</v>
      </c>
      <c r="DW104" s="246" t="s">
        <v>470</v>
      </c>
      <c r="DX104" s="322" t="s">
        <v>470</v>
      </c>
      <c r="DY104" s="322" t="s">
        <v>539</v>
      </c>
      <c r="DZ104" s="322" t="s">
        <v>479</v>
      </c>
      <c r="EA104" s="322" t="s">
        <v>470</v>
      </c>
      <c r="EB104" s="322" t="s">
        <v>470</v>
      </c>
      <c r="EC104" s="226"/>
      <c r="ED104" s="322" t="s">
        <v>470</v>
      </c>
      <c r="EE104" s="225" t="s">
        <v>479</v>
      </c>
      <c r="EF104" s="322"/>
      <c r="EG104" s="226"/>
      <c r="EH104" s="322" t="s">
        <v>470</v>
      </c>
      <c r="EI104" s="322" t="s">
        <v>470</v>
      </c>
      <c r="EJ104" s="226"/>
      <c r="EK104" s="226"/>
      <c r="EL104" s="226"/>
      <c r="EM104" s="226"/>
      <c r="EN104" s="226"/>
      <c r="EO104" s="226"/>
      <c r="EP104" s="226"/>
      <c r="EQ104" s="226"/>
      <c r="ER104" s="322" t="s">
        <v>470</v>
      </c>
      <c r="ES104" s="322" t="s">
        <v>470</v>
      </c>
      <c r="ET104" s="322" t="s">
        <v>470</v>
      </c>
      <c r="EU104" s="322" t="s">
        <v>470</v>
      </c>
      <c r="EV104" s="322" t="s">
        <v>470</v>
      </c>
      <c r="EW104" s="322" t="s">
        <v>470</v>
      </c>
      <c r="EX104" s="322" t="s">
        <v>470</v>
      </c>
      <c r="EY104" s="322" t="s">
        <v>470</v>
      </c>
      <c r="EZ104" s="344" t="s">
        <v>470</v>
      </c>
      <c r="FA104" s="322" t="s">
        <v>470</v>
      </c>
      <c r="FB104" s="322" t="s">
        <v>470</v>
      </c>
      <c r="FC104" s="322"/>
      <c r="FD104" s="226"/>
      <c r="FE104" s="466" t="s">
        <v>539</v>
      </c>
      <c r="FF104" s="322" t="s">
        <v>470</v>
      </c>
      <c r="FG104" s="322" t="s">
        <v>470</v>
      </c>
      <c r="FH104" s="322" t="s">
        <v>479</v>
      </c>
      <c r="FI104" s="465" t="s">
        <v>470</v>
      </c>
      <c r="FJ104" s="465" t="s">
        <v>470</v>
      </c>
      <c r="FK104" s="465"/>
      <c r="FL104" s="465" t="s">
        <v>470</v>
      </c>
      <c r="FM104" s="322" t="s">
        <v>470</v>
      </c>
      <c r="FN104" s="322"/>
      <c r="FO104" s="465" t="s">
        <v>470</v>
      </c>
      <c r="FP104" s="465"/>
      <c r="FQ104" s="465" t="s">
        <v>470</v>
      </c>
      <c r="FR104" s="465"/>
      <c r="FS104" s="465"/>
      <c r="FT104" s="465"/>
      <c r="FU104" s="226"/>
      <c r="FV104" s="465"/>
      <c r="FW104" s="465"/>
      <c r="FX104" s="465"/>
      <c r="FY104" s="226"/>
      <c r="FZ104" s="465"/>
      <c r="GA104" s="465" t="s">
        <v>479</v>
      </c>
      <c r="GB104" s="465"/>
      <c r="GC104" s="465"/>
      <c r="GD104" s="465" t="s">
        <v>470</v>
      </c>
      <c r="GE104" s="465"/>
      <c r="GF104" s="465"/>
      <c r="GG104" s="394" t="s">
        <v>470</v>
      </c>
      <c r="GH104" s="394" t="s">
        <v>470</v>
      </c>
      <c r="GI104" s="226"/>
      <c r="GJ104" s="465" t="s">
        <v>470</v>
      </c>
      <c r="GK104" s="465"/>
      <c r="GL104" s="465" t="s">
        <v>470</v>
      </c>
      <c r="GM104" s="465"/>
      <c r="GN104" s="465"/>
      <c r="GO104" s="226"/>
      <c r="GP104" s="465"/>
      <c r="GQ104" s="226"/>
      <c r="GR104" s="465"/>
      <c r="GS104" s="465"/>
      <c r="GT104" s="465"/>
      <c r="GU104" s="465" t="s">
        <v>470</v>
      </c>
      <c r="GV104" s="465" t="s">
        <v>470</v>
      </c>
      <c r="GW104" s="226"/>
      <c r="GX104" s="322" t="s">
        <v>470</v>
      </c>
      <c r="GY104" s="322" t="s">
        <v>470</v>
      </c>
      <c r="GZ104" s="465" t="s">
        <v>470</v>
      </c>
      <c r="HA104" s="322" t="s">
        <v>470</v>
      </c>
      <c r="HB104" s="322" t="s">
        <v>470</v>
      </c>
      <c r="HC104" s="322" t="s">
        <v>479</v>
      </c>
      <c r="HD104" s="322" t="s">
        <v>470</v>
      </c>
      <c r="HE104" s="322" t="s">
        <v>479</v>
      </c>
      <c r="HF104" s="226"/>
      <c r="HG104" s="343" t="s">
        <v>470</v>
      </c>
      <c r="HH104" s="343" t="s">
        <v>470</v>
      </c>
      <c r="HI104" s="343" t="s">
        <v>470</v>
      </c>
      <c r="HJ104" s="322" t="s">
        <v>470</v>
      </c>
      <c r="HK104" s="343" t="s">
        <v>656</v>
      </c>
      <c r="HL104" s="226"/>
      <c r="HM104" s="322" t="s">
        <v>470</v>
      </c>
      <c r="HN104" s="226"/>
      <c r="HO104" s="322" t="s">
        <v>470</v>
      </c>
      <c r="HP104" s="322" t="s">
        <v>470</v>
      </c>
      <c r="HQ104" s="322" t="s">
        <v>873</v>
      </c>
      <c r="HR104" s="322" t="s">
        <v>689</v>
      </c>
      <c r="HS104" s="322" t="s">
        <v>479</v>
      </c>
      <c r="HT104" s="294" t="s">
        <v>470</v>
      </c>
      <c r="HU104" s="322" t="s">
        <v>479</v>
      </c>
      <c r="HV104" s="225" t="s">
        <v>479</v>
      </c>
      <c r="HW104" s="322" t="s">
        <v>470</v>
      </c>
      <c r="HX104" s="322" t="s">
        <v>470</v>
      </c>
      <c r="HY104" s="322" t="s">
        <v>479</v>
      </c>
      <c r="HZ104" s="322" t="s">
        <v>470</v>
      </c>
      <c r="IA104" s="322" t="s">
        <v>470</v>
      </c>
      <c r="IB104" s="322"/>
      <c r="IC104" s="322"/>
      <c r="ID104" s="322" t="s">
        <v>470</v>
      </c>
      <c r="IE104" s="322" t="s">
        <v>470</v>
      </c>
      <c r="IF104" s="322" t="s">
        <v>470</v>
      </c>
      <c r="IG104" s="322" t="s">
        <v>470</v>
      </c>
      <c r="IH104" s="344" t="s">
        <v>470</v>
      </c>
      <c r="II104" s="322" t="s">
        <v>470</v>
      </c>
      <c r="IJ104" s="322" t="s">
        <v>470</v>
      </c>
      <c r="IK104" s="322" t="s">
        <v>470</v>
      </c>
      <c r="IL104" s="322" t="s">
        <v>539</v>
      </c>
      <c r="IM104" s="322" t="s">
        <v>539</v>
      </c>
      <c r="IN104" s="322" t="s">
        <v>470</v>
      </c>
      <c r="IO104" s="322" t="s">
        <v>470</v>
      </c>
      <c r="IP104" s="322" t="s">
        <v>470</v>
      </c>
      <c r="IQ104" s="322" t="s">
        <v>470</v>
      </c>
      <c r="IR104" s="322" t="s">
        <v>470</v>
      </c>
      <c r="IS104" s="322" t="s">
        <v>470</v>
      </c>
      <c r="IT104" s="225" t="s">
        <v>470</v>
      </c>
      <c r="IU104" s="225" t="s">
        <v>470</v>
      </c>
      <c r="IV104" s="225" t="s">
        <v>470</v>
      </c>
      <c r="IW104" s="225" t="s">
        <v>470</v>
      </c>
      <c r="IX104" s="322" t="s">
        <v>470</v>
      </c>
      <c r="IY104" s="322" t="s">
        <v>470</v>
      </c>
      <c r="IZ104" s="322"/>
      <c r="JA104" s="322"/>
      <c r="JB104" s="322"/>
      <c r="JC104" s="322" t="s">
        <v>470</v>
      </c>
      <c r="JD104" s="322" t="s">
        <v>470</v>
      </c>
      <c r="JE104" s="226"/>
      <c r="JF104" s="226"/>
      <c r="JG104" s="226"/>
      <c r="JH104" s="322" t="s">
        <v>470</v>
      </c>
      <c r="JI104" s="322" t="s">
        <v>470</v>
      </c>
      <c r="JJ104" s="322" t="s">
        <v>470</v>
      </c>
      <c r="JK104" s="345" t="s">
        <v>470</v>
      </c>
      <c r="JL104" s="322" t="s">
        <v>656</v>
      </c>
      <c r="JM104" s="322" t="s">
        <v>470</v>
      </c>
      <c r="JN104" s="226"/>
      <c r="JO104" s="226"/>
      <c r="JP104" s="226"/>
      <c r="JQ104" s="322" t="s">
        <v>470</v>
      </c>
      <c r="JR104" s="322" t="s">
        <v>470</v>
      </c>
      <c r="JS104" s="322" t="s">
        <v>470</v>
      </c>
      <c r="JT104" s="322" t="s">
        <v>470</v>
      </c>
      <c r="JU104" s="322" t="s">
        <v>470</v>
      </c>
      <c r="JV104" s="322" t="s">
        <v>470</v>
      </c>
      <c r="JW104" s="322" t="s">
        <v>470</v>
      </c>
      <c r="JX104" s="225" t="s">
        <v>470</v>
      </c>
      <c r="JY104" s="225" t="s">
        <v>470</v>
      </c>
      <c r="JZ104" s="322" t="s">
        <v>479</v>
      </c>
      <c r="KA104" s="322" t="s">
        <v>470</v>
      </c>
      <c r="KB104" s="322" t="s">
        <v>470</v>
      </c>
      <c r="KC104" s="322" t="s">
        <v>540</v>
      </c>
      <c r="KD104" s="322"/>
      <c r="KE104" s="232" t="s">
        <v>470</v>
      </c>
      <c r="KF104" s="322" t="s">
        <v>470</v>
      </c>
      <c r="KG104" s="322" t="s">
        <v>470</v>
      </c>
      <c r="KH104" s="322"/>
      <c r="KI104" s="322" t="s">
        <v>470</v>
      </c>
      <c r="KJ104" s="322" t="s">
        <v>470</v>
      </c>
      <c r="KK104" s="322" t="s">
        <v>470</v>
      </c>
      <c r="KL104" s="322" t="s">
        <v>470</v>
      </c>
      <c r="KM104" s="225" t="s">
        <v>470</v>
      </c>
      <c r="KN104" s="322" t="s">
        <v>470</v>
      </c>
      <c r="KO104" s="322" t="s">
        <v>470</v>
      </c>
      <c r="KP104" s="322" t="s">
        <v>470</v>
      </c>
      <c r="KQ104" s="226"/>
      <c r="KR104" s="226"/>
      <c r="KS104" s="226"/>
      <c r="KT104" s="226"/>
      <c r="KU104" s="226"/>
      <c r="KV104" s="322" t="s">
        <v>479</v>
      </c>
      <c r="KW104" s="322" t="s">
        <v>470</v>
      </c>
      <c r="KX104" s="383" t="s">
        <v>470</v>
      </c>
      <c r="KY104" s="386"/>
      <c r="KZ104" s="322" t="s">
        <v>470</v>
      </c>
      <c r="LA104" s="322" t="s">
        <v>470</v>
      </c>
      <c r="LB104" s="322"/>
      <c r="LC104" s="322" t="s">
        <v>470</v>
      </c>
      <c r="LD104" s="322" t="s">
        <v>470</v>
      </c>
      <c r="LE104" s="322" t="s">
        <v>873</v>
      </c>
      <c r="LF104" s="322" t="s">
        <v>470</v>
      </c>
      <c r="LG104" s="322" t="s">
        <v>470</v>
      </c>
      <c r="LH104" s="322" t="s">
        <v>470</v>
      </c>
      <c r="LI104" s="322" t="s">
        <v>470</v>
      </c>
      <c r="LJ104" s="322" t="s">
        <v>470</v>
      </c>
      <c r="LK104" s="322"/>
      <c r="LL104" s="322" t="s">
        <v>479</v>
      </c>
      <c r="LM104" s="226"/>
      <c r="LN104" s="322" t="s">
        <v>470</v>
      </c>
      <c r="LO104" s="322" t="s">
        <v>470</v>
      </c>
      <c r="LP104" s="322" t="s">
        <v>470</v>
      </c>
      <c r="LQ104" s="322" t="s">
        <v>470</v>
      </c>
      <c r="LR104" s="322" t="s">
        <v>470</v>
      </c>
      <c r="LS104" s="322" t="s">
        <v>479</v>
      </c>
      <c r="LT104" s="234" t="s">
        <v>470</v>
      </c>
      <c r="LU104" s="322"/>
      <c r="LV104" s="322" t="s">
        <v>470</v>
      </c>
      <c r="LW104" s="322" t="s">
        <v>470</v>
      </c>
      <c r="LX104" s="322" t="s">
        <v>470</v>
      </c>
      <c r="LY104" s="322" t="s">
        <v>470</v>
      </c>
      <c r="LZ104" s="322" t="s">
        <v>470</v>
      </c>
      <c r="MA104" s="322" t="s">
        <v>470</v>
      </c>
      <c r="MB104" s="322" t="s">
        <v>470</v>
      </c>
      <c r="MC104" s="322" t="s">
        <v>470</v>
      </c>
      <c r="MD104" s="322" t="s">
        <v>470</v>
      </c>
      <c r="ME104" s="322" t="s">
        <v>470</v>
      </c>
      <c r="MF104" s="322" t="s">
        <v>470</v>
      </c>
      <c r="MG104" s="226"/>
      <c r="MH104" s="226"/>
      <c r="MI104" s="226"/>
      <c r="MJ104" s="347" t="s">
        <v>470</v>
      </c>
      <c r="MK104" s="347"/>
      <c r="ML104" s="347" t="s">
        <v>470</v>
      </c>
      <c r="MM104" s="347" t="s">
        <v>470</v>
      </c>
      <c r="MN104" s="348"/>
      <c r="MO104" s="348" t="s">
        <v>470</v>
      </c>
      <c r="MP104" s="348" t="s">
        <v>470</v>
      </c>
      <c r="MQ104" s="348" t="s">
        <v>470</v>
      </c>
      <c r="MR104" s="348" t="s">
        <v>470</v>
      </c>
      <c r="MS104" s="348" t="s">
        <v>539</v>
      </c>
      <c r="MT104" s="347"/>
      <c r="MU104" s="348"/>
      <c r="MV104" s="347" t="s">
        <v>470</v>
      </c>
      <c r="MW104" s="347" t="s">
        <v>470</v>
      </c>
      <c r="MX104" s="226"/>
      <c r="MY104" s="226"/>
      <c r="MZ104" s="226"/>
      <c r="NA104" s="226"/>
    </row>
    <row r="105" spans="1:365" ht="323" x14ac:dyDescent="0.2">
      <c r="A105" s="1216"/>
      <c r="B105" s="1216"/>
      <c r="C105" s="1218"/>
      <c r="D105" s="215" t="s">
        <v>205</v>
      </c>
      <c r="E105" s="322"/>
      <c r="F105" s="322"/>
      <c r="G105" s="322" t="s">
        <v>656</v>
      </c>
      <c r="H105" s="322" t="s">
        <v>656</v>
      </c>
      <c r="I105" s="322" t="s">
        <v>656</v>
      </c>
      <c r="J105" s="322" t="s">
        <v>656</v>
      </c>
      <c r="K105" s="322" t="s">
        <v>5578</v>
      </c>
      <c r="L105" s="322" t="s">
        <v>5577</v>
      </c>
      <c r="M105" s="322" t="s">
        <v>1365</v>
      </c>
      <c r="N105" s="225" t="s">
        <v>1924</v>
      </c>
      <c r="O105" s="225" t="s">
        <v>1924</v>
      </c>
      <c r="P105" s="400" t="s">
        <v>1924</v>
      </c>
      <c r="Q105" s="322" t="s">
        <v>1924</v>
      </c>
      <c r="R105" s="322"/>
      <c r="S105" s="322"/>
      <c r="T105" s="322"/>
      <c r="U105" s="322" t="s">
        <v>5576</v>
      </c>
      <c r="V105" s="322" t="s">
        <v>5575</v>
      </c>
      <c r="W105" s="226"/>
      <c r="X105" s="226"/>
      <c r="Y105" s="226"/>
      <c r="Z105" s="226"/>
      <c r="AA105" s="226"/>
      <c r="AB105" s="226"/>
      <c r="AC105" s="226"/>
      <c r="AD105" s="226"/>
      <c r="AE105" s="226"/>
      <c r="AF105" s="322" t="s">
        <v>1447</v>
      </c>
      <c r="AG105" s="225"/>
      <c r="AH105" s="226"/>
      <c r="AI105" s="322"/>
      <c r="AJ105" s="322"/>
      <c r="AK105" s="344" t="s">
        <v>5574</v>
      </c>
      <c r="AL105" s="322"/>
      <c r="AM105" s="226"/>
      <c r="AN105" s="226"/>
      <c r="AO105" s="226"/>
      <c r="AP105" s="226"/>
      <c r="AQ105" s="322"/>
      <c r="AR105" s="322" t="s">
        <v>5573</v>
      </c>
      <c r="AS105" s="322"/>
      <c r="AT105" s="225" t="s">
        <v>470</v>
      </c>
      <c r="AU105" s="322" t="s">
        <v>656</v>
      </c>
      <c r="AV105" s="322"/>
      <c r="AW105" s="322"/>
      <c r="AX105" s="322"/>
      <c r="AY105" s="344" t="s">
        <v>2234</v>
      </c>
      <c r="AZ105" s="322"/>
      <c r="BA105" s="322"/>
      <c r="BB105" s="322"/>
      <c r="BC105" s="322"/>
      <c r="BD105" s="322"/>
      <c r="BE105" s="344"/>
      <c r="BF105" s="322"/>
      <c r="BG105" s="322"/>
      <c r="BH105" s="322" t="s">
        <v>470</v>
      </c>
      <c r="BI105" s="322" t="s">
        <v>656</v>
      </c>
      <c r="BJ105" s="322"/>
      <c r="BK105" s="322"/>
      <c r="BL105" s="322"/>
      <c r="BM105" s="322"/>
      <c r="BN105" s="226"/>
      <c r="BO105" s="322"/>
      <c r="BP105" s="322"/>
      <c r="BQ105" s="322" t="s">
        <v>5312</v>
      </c>
      <c r="BR105" s="264" t="s">
        <v>4854</v>
      </c>
      <c r="BS105" s="322" t="s">
        <v>656</v>
      </c>
      <c r="BT105" s="322" t="s">
        <v>5572</v>
      </c>
      <c r="BU105" s="322"/>
      <c r="BV105" s="322"/>
      <c r="BW105" s="322"/>
      <c r="BX105" s="322"/>
      <c r="BY105" s="322"/>
      <c r="BZ105" s="322"/>
      <c r="CA105" s="322"/>
      <c r="CB105" s="322"/>
      <c r="CC105" s="322"/>
      <c r="CD105" s="344" t="s">
        <v>619</v>
      </c>
      <c r="CE105" s="344"/>
      <c r="CF105" s="344"/>
      <c r="CG105" s="344" t="s">
        <v>920</v>
      </c>
      <c r="CH105" s="344" t="s">
        <v>5571</v>
      </c>
      <c r="CI105" s="344" t="s">
        <v>5423</v>
      </c>
      <c r="CJ105" s="344"/>
      <c r="CK105" s="344" t="s">
        <v>640</v>
      </c>
      <c r="CL105" s="344"/>
      <c r="CM105" s="344" t="s">
        <v>15</v>
      </c>
      <c r="CN105" s="322"/>
      <c r="CO105" s="225" t="s">
        <v>2533</v>
      </c>
      <c r="CP105" s="322" t="s">
        <v>5570</v>
      </c>
      <c r="CQ105" s="464"/>
      <c r="CR105" s="465" t="s">
        <v>5378</v>
      </c>
      <c r="CS105" s="322"/>
      <c r="CT105" s="322"/>
      <c r="CU105" s="483" t="s">
        <v>5569</v>
      </c>
      <c r="CV105" s="322" t="s">
        <v>5568</v>
      </c>
      <c r="CW105" s="322" t="s">
        <v>656</v>
      </c>
      <c r="CX105" s="322" t="s">
        <v>707</v>
      </c>
      <c r="CY105" s="322"/>
      <c r="CZ105" s="322"/>
      <c r="DA105" s="322" t="s">
        <v>5567</v>
      </c>
      <c r="DB105" s="322"/>
      <c r="DC105" s="322"/>
      <c r="DD105" s="322" t="s">
        <v>5377</v>
      </c>
      <c r="DE105" s="264" t="s">
        <v>5566</v>
      </c>
      <c r="DF105" s="322" t="s">
        <v>5417</v>
      </c>
      <c r="DG105" s="322"/>
      <c r="DH105" s="322"/>
      <c r="DI105" s="225" t="s">
        <v>5565</v>
      </c>
      <c r="DJ105" s="322" t="s">
        <v>920</v>
      </c>
      <c r="DK105" s="322" t="s">
        <v>5564</v>
      </c>
      <c r="DL105" s="322" t="s">
        <v>5563</v>
      </c>
      <c r="DM105" s="225" t="s">
        <v>2533</v>
      </c>
      <c r="DN105" s="322" t="s">
        <v>1007</v>
      </c>
      <c r="DO105" s="322"/>
      <c r="DP105" s="322" t="s">
        <v>470</v>
      </c>
      <c r="DQ105" s="322" t="s">
        <v>5562</v>
      </c>
      <c r="DR105" s="322" t="s">
        <v>470</v>
      </c>
      <c r="DS105" s="322" t="s">
        <v>470</v>
      </c>
      <c r="DT105" s="322" t="s">
        <v>470</v>
      </c>
      <c r="DU105" s="322" t="s">
        <v>5561</v>
      </c>
      <c r="DV105" s="322"/>
      <c r="DW105" s="246" t="s">
        <v>2234</v>
      </c>
      <c r="DX105" s="322"/>
      <c r="DY105" s="322"/>
      <c r="DZ105" s="322" t="s">
        <v>1877</v>
      </c>
      <c r="EA105" s="322"/>
      <c r="EB105" s="322"/>
      <c r="EC105" s="226"/>
      <c r="ED105" s="485"/>
      <c r="EE105" s="225" t="s">
        <v>5560</v>
      </c>
      <c r="EF105" s="485"/>
      <c r="EG105" s="226"/>
      <c r="EH105" s="322"/>
      <c r="EI105" s="322" t="s">
        <v>656</v>
      </c>
      <c r="EJ105" s="226"/>
      <c r="EK105" s="226"/>
      <c r="EL105" s="226"/>
      <c r="EM105" s="226"/>
      <c r="EN105" s="226"/>
      <c r="EO105" s="226"/>
      <c r="EP105" s="226"/>
      <c r="EQ105" s="226"/>
      <c r="ER105" s="322"/>
      <c r="ES105" s="322"/>
      <c r="ET105" s="225"/>
      <c r="EU105" s="225"/>
      <c r="EV105" s="225"/>
      <c r="EW105" s="322"/>
      <c r="EX105" s="322"/>
      <c r="EY105" s="322"/>
      <c r="EZ105" s="344"/>
      <c r="FA105" s="322" t="s">
        <v>5559</v>
      </c>
      <c r="FB105" s="322"/>
      <c r="FC105" s="322"/>
      <c r="FD105" s="226"/>
      <c r="FE105" s="466"/>
      <c r="FF105" s="322" t="s">
        <v>470</v>
      </c>
      <c r="FG105" s="322" t="s">
        <v>470</v>
      </c>
      <c r="FH105" s="225" t="s">
        <v>5558</v>
      </c>
      <c r="FI105" s="465" t="s">
        <v>656</v>
      </c>
      <c r="FJ105" s="465" t="s">
        <v>656</v>
      </c>
      <c r="FK105" s="465"/>
      <c r="FL105" s="465" t="s">
        <v>656</v>
      </c>
      <c r="FM105" s="322"/>
      <c r="FN105" s="322"/>
      <c r="FO105" s="465"/>
      <c r="FP105" s="465"/>
      <c r="FQ105" s="465" t="s">
        <v>656</v>
      </c>
      <c r="FR105" s="465"/>
      <c r="FS105" s="465"/>
      <c r="FT105" s="465"/>
      <c r="FU105" s="226"/>
      <c r="FV105" s="465"/>
      <c r="FW105" s="465"/>
      <c r="FX105" s="465"/>
      <c r="FY105" s="226"/>
      <c r="FZ105" s="465"/>
      <c r="GA105" s="465" t="s">
        <v>640</v>
      </c>
      <c r="GB105" s="465"/>
      <c r="GC105" s="465"/>
      <c r="GD105" s="465"/>
      <c r="GE105" s="465"/>
      <c r="GF105" s="465"/>
      <c r="GG105" s="394" t="s">
        <v>4906</v>
      </c>
      <c r="GH105" s="394" t="s">
        <v>4906</v>
      </c>
      <c r="GI105" s="226"/>
      <c r="GJ105" s="465"/>
      <c r="GK105" s="465"/>
      <c r="GL105" s="465"/>
      <c r="GM105" s="465"/>
      <c r="GN105" s="465"/>
      <c r="GO105" s="226"/>
      <c r="GP105" s="465"/>
      <c r="GQ105" s="226"/>
      <c r="GR105" s="465"/>
      <c r="GS105" s="465"/>
      <c r="GT105" s="465"/>
      <c r="GU105" s="465"/>
      <c r="GV105" s="465"/>
      <c r="GW105" s="226"/>
      <c r="GX105" s="322"/>
      <c r="GY105" s="322"/>
      <c r="GZ105" s="465"/>
      <c r="HA105" s="322"/>
      <c r="HB105" s="322"/>
      <c r="HC105" s="322" t="s">
        <v>1007</v>
      </c>
      <c r="HD105" s="322"/>
      <c r="HE105" s="322" t="s">
        <v>5376</v>
      </c>
      <c r="HF105" s="226"/>
      <c r="HG105" s="343" t="s">
        <v>656</v>
      </c>
      <c r="HH105" s="343" t="s">
        <v>656</v>
      </c>
      <c r="HI105" s="343" t="s">
        <v>656</v>
      </c>
      <c r="HJ105" s="225" t="s">
        <v>656</v>
      </c>
      <c r="HK105" s="343" t="s">
        <v>656</v>
      </c>
      <c r="HL105" s="226"/>
      <c r="HM105" s="322"/>
      <c r="HN105" s="226"/>
      <c r="HO105" s="322"/>
      <c r="HP105" s="322"/>
      <c r="HQ105" s="322"/>
      <c r="HR105" s="225" t="s">
        <v>5268</v>
      </c>
      <c r="HS105" s="322" t="s">
        <v>1243</v>
      </c>
      <c r="HT105" s="322"/>
      <c r="HU105" s="322" t="s">
        <v>5557</v>
      </c>
      <c r="HV105" s="322" t="s">
        <v>5373</v>
      </c>
      <c r="HW105" s="322"/>
      <c r="HX105" s="322"/>
      <c r="HY105" s="266" t="s">
        <v>5289</v>
      </c>
      <c r="HZ105" s="322" t="s">
        <v>656</v>
      </c>
      <c r="IA105" s="322"/>
      <c r="IB105" s="322"/>
      <c r="IC105" s="322"/>
      <c r="ID105" s="322"/>
      <c r="IE105" s="322"/>
      <c r="IF105" s="322"/>
      <c r="IG105" s="322"/>
      <c r="IH105" s="344"/>
      <c r="II105" s="322"/>
      <c r="IJ105" s="322"/>
      <c r="IK105" s="322"/>
      <c r="IL105" s="322"/>
      <c r="IM105" s="322"/>
      <c r="IN105" s="322"/>
      <c r="IO105" s="322"/>
      <c r="IP105" s="322"/>
      <c r="IQ105" s="322"/>
      <c r="IR105" s="322"/>
      <c r="IS105" s="322"/>
      <c r="IT105" s="322"/>
      <c r="IU105" s="322"/>
      <c r="IV105" s="322"/>
      <c r="IW105" s="322"/>
      <c r="IX105" s="322"/>
      <c r="IY105" s="322" t="s">
        <v>656</v>
      </c>
      <c r="IZ105" s="322"/>
      <c r="JA105" s="322"/>
      <c r="JB105" s="322"/>
      <c r="JC105" s="322" t="s">
        <v>656</v>
      </c>
      <c r="JD105" s="322" t="s">
        <v>656</v>
      </c>
      <c r="JE105" s="226"/>
      <c r="JF105" s="226"/>
      <c r="JG105" s="226"/>
      <c r="JH105" s="322"/>
      <c r="JI105" s="322"/>
      <c r="JJ105" s="322" t="s">
        <v>656</v>
      </c>
      <c r="JK105" s="345"/>
      <c r="JL105" s="322" t="s">
        <v>656</v>
      </c>
      <c r="JM105" s="322"/>
      <c r="JN105" s="226"/>
      <c r="JO105" s="226"/>
      <c r="JP105" s="226"/>
      <c r="JQ105" s="322"/>
      <c r="JR105" s="322"/>
      <c r="JS105" s="322"/>
      <c r="JT105" s="322"/>
      <c r="JU105" s="322"/>
      <c r="JV105" s="322"/>
      <c r="JW105" s="322" t="s">
        <v>656</v>
      </c>
      <c r="JX105" s="225" t="s">
        <v>656</v>
      </c>
      <c r="JY105" s="225" t="s">
        <v>470</v>
      </c>
      <c r="JZ105" s="322" t="s">
        <v>5280</v>
      </c>
      <c r="KA105" s="322"/>
      <c r="KB105" s="322"/>
      <c r="KC105" s="322" t="s">
        <v>920</v>
      </c>
      <c r="KD105" s="322"/>
      <c r="KE105" s="232"/>
      <c r="KF105" s="322"/>
      <c r="KG105" s="322" t="s">
        <v>470</v>
      </c>
      <c r="KH105" s="322"/>
      <c r="KI105" s="322"/>
      <c r="KJ105" s="322"/>
      <c r="KK105" s="322"/>
      <c r="KL105" s="322" t="s">
        <v>656</v>
      </c>
      <c r="KM105" s="322"/>
      <c r="KN105" s="322"/>
      <c r="KO105" s="322"/>
      <c r="KP105" s="322"/>
      <c r="KQ105" s="226"/>
      <c r="KR105" s="226"/>
      <c r="KS105" s="226"/>
      <c r="KT105" s="226"/>
      <c r="KU105" s="226"/>
      <c r="KV105" s="322" t="s">
        <v>484</v>
      </c>
      <c r="KW105" s="322"/>
      <c r="KX105" s="383"/>
      <c r="KY105" s="386"/>
      <c r="KZ105" s="322"/>
      <c r="LA105" s="322"/>
      <c r="LB105" s="322"/>
      <c r="LC105" s="322"/>
      <c r="LD105" s="322"/>
      <c r="LE105" s="322"/>
      <c r="LF105" s="322"/>
      <c r="LG105" s="322"/>
      <c r="LH105" s="322"/>
      <c r="LI105" s="322"/>
      <c r="LJ105" s="322"/>
      <c r="LK105" s="322"/>
      <c r="LL105" s="322" t="s">
        <v>5556</v>
      </c>
      <c r="LM105" s="226"/>
      <c r="LN105" s="322"/>
      <c r="LO105" s="322"/>
      <c r="LP105" s="322"/>
      <c r="LQ105" s="322"/>
      <c r="LR105" s="322"/>
      <c r="LS105" s="322" t="s">
        <v>5555</v>
      </c>
      <c r="LT105" s="346"/>
      <c r="LU105" s="322"/>
      <c r="LV105" s="322"/>
      <c r="LW105" s="322"/>
      <c r="LX105" s="322"/>
      <c r="LY105" s="322"/>
      <c r="LZ105" s="322"/>
      <c r="MA105" s="322"/>
      <c r="MB105" s="322"/>
      <c r="MC105" s="322"/>
      <c r="MD105" s="322"/>
      <c r="ME105" s="322"/>
      <c r="MF105" s="322"/>
      <c r="MG105" s="226"/>
      <c r="MH105" s="226"/>
      <c r="MI105" s="226"/>
      <c r="MJ105" s="347"/>
      <c r="MK105" s="347"/>
      <c r="ML105" s="347" t="s">
        <v>656</v>
      </c>
      <c r="MM105" s="347"/>
      <c r="MN105" s="348"/>
      <c r="MO105" s="348"/>
      <c r="MP105" s="348"/>
      <c r="MQ105" s="348"/>
      <c r="MR105" s="236" t="s">
        <v>1482</v>
      </c>
      <c r="MS105" s="348"/>
      <c r="MT105" s="347"/>
      <c r="MU105" s="348"/>
      <c r="MV105" s="347"/>
      <c r="MW105" s="347"/>
      <c r="MX105" s="226"/>
      <c r="MY105" s="226"/>
      <c r="MZ105" s="226"/>
      <c r="NA105" s="226"/>
    </row>
    <row r="106" spans="1:365" ht="51" x14ac:dyDescent="0.2">
      <c r="A106" s="1216"/>
      <c r="B106" s="1216"/>
      <c r="C106" s="1218"/>
      <c r="D106" s="215" t="s">
        <v>209</v>
      </c>
      <c r="E106" s="322"/>
      <c r="F106" s="322"/>
      <c r="G106" s="322" t="s">
        <v>656</v>
      </c>
      <c r="H106" s="322" t="s">
        <v>656</v>
      </c>
      <c r="I106" s="322" t="s">
        <v>656</v>
      </c>
      <c r="J106" s="322" t="s">
        <v>656</v>
      </c>
      <c r="K106" s="322">
        <v>140</v>
      </c>
      <c r="L106" s="322">
        <v>482</v>
      </c>
      <c r="M106" s="322">
        <v>203</v>
      </c>
      <c r="N106" s="322">
        <v>0</v>
      </c>
      <c r="O106" s="322">
        <v>0</v>
      </c>
      <c r="P106" s="463">
        <v>0</v>
      </c>
      <c r="Q106" s="225">
        <v>0</v>
      </c>
      <c r="R106" s="322"/>
      <c r="S106" s="322"/>
      <c r="T106" s="322"/>
      <c r="U106" s="322">
        <v>65</v>
      </c>
      <c r="V106" s="322">
        <v>340</v>
      </c>
      <c r="W106" s="226"/>
      <c r="X106" s="226"/>
      <c r="Y106" s="226"/>
      <c r="Z106" s="226"/>
      <c r="AA106" s="226"/>
      <c r="AB106" s="226"/>
      <c r="AC106" s="226"/>
      <c r="AD106" s="226"/>
      <c r="AE106" s="226"/>
      <c r="AF106" s="322" t="s">
        <v>1447</v>
      </c>
      <c r="AG106" s="225"/>
      <c r="AH106" s="226"/>
      <c r="AI106" s="322"/>
      <c r="AJ106" s="322"/>
      <c r="AK106" s="344">
        <v>14</v>
      </c>
      <c r="AL106" s="322"/>
      <c r="AM106" s="226"/>
      <c r="AN106" s="226"/>
      <c r="AO106" s="226"/>
      <c r="AP106" s="226"/>
      <c r="AQ106" s="322"/>
      <c r="AR106" s="322">
        <v>25</v>
      </c>
      <c r="AS106" s="322"/>
      <c r="AT106" s="322">
        <v>0</v>
      </c>
      <c r="AU106" s="322" t="s">
        <v>656</v>
      </c>
      <c r="AV106" s="225"/>
      <c r="AW106" s="322"/>
      <c r="AX106" s="322"/>
      <c r="AY106" s="344" t="s">
        <v>2234</v>
      </c>
      <c r="AZ106" s="322"/>
      <c r="BA106" s="322"/>
      <c r="BB106" s="322"/>
      <c r="BC106" s="322"/>
      <c r="BD106" s="322"/>
      <c r="BE106" s="344"/>
      <c r="BF106" s="322"/>
      <c r="BG106" s="322"/>
      <c r="BH106" s="322" t="s">
        <v>470</v>
      </c>
      <c r="BI106" s="322" t="s">
        <v>656</v>
      </c>
      <c r="BJ106" s="322"/>
      <c r="BK106" s="322"/>
      <c r="BL106" s="322"/>
      <c r="BM106" s="322"/>
      <c r="BN106" s="226"/>
      <c r="BO106" s="322">
        <v>47</v>
      </c>
      <c r="BP106" s="322"/>
      <c r="BQ106" s="322">
        <v>10</v>
      </c>
      <c r="BR106" s="233">
        <v>16</v>
      </c>
      <c r="BS106" s="322" t="s">
        <v>656</v>
      </c>
      <c r="BT106" s="322"/>
      <c r="BU106" s="322"/>
      <c r="BV106" s="322"/>
      <c r="BW106" s="322"/>
      <c r="BX106" s="322"/>
      <c r="BY106" s="322"/>
      <c r="BZ106" s="322"/>
      <c r="CA106" s="322"/>
      <c r="CB106" s="322"/>
      <c r="CC106" s="322"/>
      <c r="CD106" s="344">
        <v>46</v>
      </c>
      <c r="CE106" s="344"/>
      <c r="CF106" s="344"/>
      <c r="CG106" s="344">
        <v>31</v>
      </c>
      <c r="CH106" s="344">
        <v>997</v>
      </c>
      <c r="CI106" s="344">
        <v>8</v>
      </c>
      <c r="CJ106" s="344">
        <v>0</v>
      </c>
      <c r="CK106" s="344">
        <v>2</v>
      </c>
      <c r="CL106" s="344"/>
      <c r="CM106" s="344">
        <v>10</v>
      </c>
      <c r="CN106" s="322"/>
      <c r="CO106" s="322">
        <v>183</v>
      </c>
      <c r="CP106" s="322" t="s">
        <v>5554</v>
      </c>
      <c r="CQ106" s="464"/>
      <c r="CR106" s="465">
        <v>3</v>
      </c>
      <c r="CS106" s="322"/>
      <c r="CT106" s="322"/>
      <c r="CU106" s="483">
        <v>31</v>
      </c>
      <c r="CV106" s="322">
        <v>30</v>
      </c>
      <c r="CW106" s="322" t="s">
        <v>656</v>
      </c>
      <c r="CX106" s="322">
        <v>35</v>
      </c>
      <c r="CY106" s="322"/>
      <c r="CZ106" s="322"/>
      <c r="DA106" s="322">
        <v>3</v>
      </c>
      <c r="DB106" s="322"/>
      <c r="DC106" s="322"/>
      <c r="DD106" s="322">
        <v>17</v>
      </c>
      <c r="DE106" s="322">
        <v>32</v>
      </c>
      <c r="DF106" s="322"/>
      <c r="DG106" s="322"/>
      <c r="DH106" s="322"/>
      <c r="DI106" s="322">
        <v>10</v>
      </c>
      <c r="DJ106" s="322">
        <v>10</v>
      </c>
      <c r="DK106" s="322">
        <v>34</v>
      </c>
      <c r="DL106" s="322">
        <v>10</v>
      </c>
      <c r="DM106" s="322">
        <v>36</v>
      </c>
      <c r="DN106" s="322">
        <v>214</v>
      </c>
      <c r="DO106" s="322"/>
      <c r="DP106" s="322">
        <v>0</v>
      </c>
      <c r="DQ106" s="322">
        <v>70</v>
      </c>
      <c r="DR106" s="322">
        <v>0</v>
      </c>
      <c r="DS106" s="322">
        <v>0</v>
      </c>
      <c r="DT106" s="322">
        <v>0</v>
      </c>
      <c r="DU106" s="322">
        <v>65</v>
      </c>
      <c r="DV106" s="322"/>
      <c r="DW106" s="246"/>
      <c r="DX106" s="322"/>
      <c r="DY106" s="322"/>
      <c r="DZ106" s="322">
        <v>155</v>
      </c>
      <c r="EA106" s="322"/>
      <c r="EB106" s="322"/>
      <c r="EC106" s="226"/>
      <c r="ED106" s="322" t="s">
        <v>470</v>
      </c>
      <c r="EE106" s="322">
        <v>40</v>
      </c>
      <c r="EF106" s="322"/>
      <c r="EG106" s="226"/>
      <c r="EH106" s="322"/>
      <c r="EI106" s="322" t="s">
        <v>656</v>
      </c>
      <c r="EJ106" s="226"/>
      <c r="EK106" s="226"/>
      <c r="EL106" s="226"/>
      <c r="EM106" s="226"/>
      <c r="EN106" s="226"/>
      <c r="EO106" s="226"/>
      <c r="EP106" s="226"/>
      <c r="EQ106" s="226"/>
      <c r="ER106" s="322"/>
      <c r="ES106" s="322"/>
      <c r="ET106" s="225"/>
      <c r="EU106" s="225"/>
      <c r="EV106" s="225"/>
      <c r="EW106" s="322"/>
      <c r="EX106" s="322"/>
      <c r="EY106" s="322"/>
      <c r="EZ106" s="344"/>
      <c r="FA106" s="322">
        <v>5</v>
      </c>
      <c r="FB106" s="322"/>
      <c r="FC106" s="322"/>
      <c r="FD106" s="226"/>
      <c r="FE106" s="466"/>
      <c r="FF106" s="322" t="s">
        <v>470</v>
      </c>
      <c r="FG106" s="322" t="s">
        <v>470</v>
      </c>
      <c r="FH106" s="322">
        <v>39</v>
      </c>
      <c r="FI106" s="465" t="s">
        <v>656</v>
      </c>
      <c r="FJ106" s="465" t="s">
        <v>656</v>
      </c>
      <c r="FK106" s="465"/>
      <c r="FL106" s="465" t="s">
        <v>656</v>
      </c>
      <c r="FM106" s="322"/>
      <c r="FN106" s="322"/>
      <c r="FO106" s="465"/>
      <c r="FP106" s="465"/>
      <c r="FQ106" s="465" t="s">
        <v>656</v>
      </c>
      <c r="FR106" s="465"/>
      <c r="FS106" s="465"/>
      <c r="FT106" s="465"/>
      <c r="FU106" s="226"/>
      <c r="FV106" s="465"/>
      <c r="FW106" s="465"/>
      <c r="FX106" s="465"/>
      <c r="FY106" s="226"/>
      <c r="FZ106" s="465"/>
      <c r="GA106" s="465">
        <v>12</v>
      </c>
      <c r="GB106" s="465"/>
      <c r="GC106" s="465"/>
      <c r="GD106" s="465"/>
      <c r="GE106" s="465"/>
      <c r="GF106" s="465"/>
      <c r="GG106" s="394" t="s">
        <v>4906</v>
      </c>
      <c r="GH106" s="394" t="s">
        <v>4906</v>
      </c>
      <c r="GI106" s="226"/>
      <c r="GJ106" s="465"/>
      <c r="GK106" s="465"/>
      <c r="GL106" s="465"/>
      <c r="GM106" s="465"/>
      <c r="GN106" s="465"/>
      <c r="GO106" s="226"/>
      <c r="GP106" s="465"/>
      <c r="GQ106" s="226"/>
      <c r="GR106" s="465"/>
      <c r="GS106" s="465"/>
      <c r="GT106" s="465"/>
      <c r="GU106" s="465"/>
      <c r="GV106" s="465"/>
      <c r="GW106" s="226"/>
      <c r="GX106" s="322"/>
      <c r="GY106" s="322"/>
      <c r="GZ106" s="465"/>
      <c r="HA106" s="322"/>
      <c r="HB106" s="322"/>
      <c r="HC106" s="322">
        <v>22</v>
      </c>
      <c r="HD106" s="322"/>
      <c r="HE106" s="322">
        <v>11</v>
      </c>
      <c r="HF106" s="226"/>
      <c r="HG106" s="343" t="s">
        <v>656</v>
      </c>
      <c r="HH106" s="343" t="s">
        <v>656</v>
      </c>
      <c r="HI106" s="343" t="s">
        <v>656</v>
      </c>
      <c r="HJ106" s="322" t="s">
        <v>656</v>
      </c>
      <c r="HK106" s="343" t="s">
        <v>656</v>
      </c>
      <c r="HL106" s="226"/>
      <c r="HM106" s="322"/>
      <c r="HN106" s="226"/>
      <c r="HO106" s="322"/>
      <c r="HP106" s="322"/>
      <c r="HQ106" s="322"/>
      <c r="HR106" s="322">
        <v>253</v>
      </c>
      <c r="HS106" s="322">
        <v>179</v>
      </c>
      <c r="HT106" s="322"/>
      <c r="HU106" s="322">
        <v>84</v>
      </c>
      <c r="HV106" s="322">
        <v>226</v>
      </c>
      <c r="HW106" s="322"/>
      <c r="HX106" s="322"/>
      <c r="HY106" s="322">
        <v>1</v>
      </c>
      <c r="HZ106" s="322" t="s">
        <v>656</v>
      </c>
      <c r="IA106" s="322"/>
      <c r="IB106" s="322"/>
      <c r="IC106" s="322"/>
      <c r="ID106" s="322"/>
      <c r="IE106" s="322"/>
      <c r="IF106" s="322"/>
      <c r="IG106" s="322"/>
      <c r="IH106" s="344"/>
      <c r="II106" s="322"/>
      <c r="IJ106" s="322"/>
      <c r="IK106" s="322"/>
      <c r="IL106" s="322"/>
      <c r="IM106" s="322"/>
      <c r="IN106" s="322"/>
      <c r="IO106" s="322"/>
      <c r="IP106" s="322"/>
      <c r="IQ106" s="322"/>
      <c r="IR106" s="322"/>
      <c r="IS106" s="322"/>
      <c r="IT106" s="322"/>
      <c r="IU106" s="322"/>
      <c r="IV106" s="322"/>
      <c r="IW106" s="322"/>
      <c r="IX106" s="322"/>
      <c r="IY106" s="322" t="s">
        <v>656</v>
      </c>
      <c r="IZ106" s="322"/>
      <c r="JA106" s="322"/>
      <c r="JB106" s="322"/>
      <c r="JC106" s="322" t="s">
        <v>656</v>
      </c>
      <c r="JD106" s="322" t="s">
        <v>656</v>
      </c>
      <c r="JE106" s="226"/>
      <c r="JF106" s="226"/>
      <c r="JG106" s="226"/>
      <c r="JH106" s="322"/>
      <c r="JI106" s="322"/>
      <c r="JJ106" s="322" t="s">
        <v>656</v>
      </c>
      <c r="JK106" s="345"/>
      <c r="JL106" s="322" t="s">
        <v>656</v>
      </c>
      <c r="JM106" s="322"/>
      <c r="JN106" s="226"/>
      <c r="JO106" s="226"/>
      <c r="JP106" s="226"/>
      <c r="JQ106" s="322"/>
      <c r="JR106" s="322"/>
      <c r="JS106" s="322"/>
      <c r="JT106" s="322"/>
      <c r="JU106" s="322"/>
      <c r="JV106" s="322"/>
      <c r="JW106" s="322" t="s">
        <v>656</v>
      </c>
      <c r="JX106" s="225" t="s">
        <v>656</v>
      </c>
      <c r="JY106" s="322">
        <v>0</v>
      </c>
      <c r="JZ106" s="322">
        <v>15</v>
      </c>
      <c r="KA106" s="322"/>
      <c r="KB106" s="322"/>
      <c r="KC106" s="322">
        <v>130</v>
      </c>
      <c r="KD106" s="322"/>
      <c r="KE106" s="232"/>
      <c r="KF106" s="322"/>
      <c r="KG106" s="322" t="s">
        <v>470</v>
      </c>
      <c r="KH106" s="322"/>
      <c r="KI106" s="322"/>
      <c r="KJ106" s="322"/>
      <c r="KK106" s="322"/>
      <c r="KL106" s="322" t="s">
        <v>656</v>
      </c>
      <c r="KM106" s="322"/>
      <c r="KN106" s="322"/>
      <c r="KO106" s="322"/>
      <c r="KP106" s="322"/>
      <c r="KQ106" s="226"/>
      <c r="KR106" s="226"/>
      <c r="KS106" s="226"/>
      <c r="KT106" s="226"/>
      <c r="KU106" s="226"/>
      <c r="KV106" s="322" t="s">
        <v>656</v>
      </c>
      <c r="KW106" s="322"/>
      <c r="KX106" s="383"/>
      <c r="KY106" s="386"/>
      <c r="KZ106" s="322"/>
      <c r="LA106" s="322"/>
      <c r="LB106" s="322"/>
      <c r="LC106" s="322"/>
      <c r="LD106" s="322"/>
      <c r="LE106" s="322"/>
      <c r="LF106" s="322"/>
      <c r="LG106" s="322"/>
      <c r="LH106" s="322"/>
      <c r="LI106" s="322"/>
      <c r="LJ106" s="322"/>
      <c r="LK106" s="322"/>
      <c r="LL106" s="322">
        <v>16175</v>
      </c>
      <c r="LM106" s="226"/>
      <c r="LN106" s="322">
        <v>0</v>
      </c>
      <c r="LO106" s="322">
        <v>0</v>
      </c>
      <c r="LP106" s="322">
        <v>0</v>
      </c>
      <c r="LQ106" s="322">
        <v>0</v>
      </c>
      <c r="LR106" s="322">
        <v>0</v>
      </c>
      <c r="LS106" s="322">
        <v>0</v>
      </c>
      <c r="LT106" s="346">
        <v>0</v>
      </c>
      <c r="LU106" s="322" t="e">
        <v>#REF!</v>
      </c>
      <c r="LV106" s="322"/>
      <c r="LW106" s="322"/>
      <c r="LX106" s="322"/>
      <c r="LY106" s="322"/>
      <c r="LZ106" s="322"/>
      <c r="MA106" s="322"/>
      <c r="MB106" s="322"/>
      <c r="MC106" s="322">
        <v>0</v>
      </c>
      <c r="MD106" s="322">
        <v>0</v>
      </c>
      <c r="ME106" s="322">
        <v>0</v>
      </c>
      <c r="MF106" s="322"/>
      <c r="MG106" s="226"/>
      <c r="MH106" s="226"/>
      <c r="MI106" s="226"/>
      <c r="MJ106" s="347"/>
      <c r="MK106" s="347"/>
      <c r="ML106" s="347" t="s">
        <v>656</v>
      </c>
      <c r="MM106" s="347"/>
      <c r="MN106" s="348"/>
      <c r="MO106" s="348"/>
      <c r="MP106" s="348"/>
      <c r="MQ106" s="348"/>
      <c r="MR106" s="348" t="s">
        <v>1482</v>
      </c>
      <c r="MS106" s="348"/>
      <c r="MT106" s="347"/>
      <c r="MU106" s="348"/>
      <c r="MV106" s="347"/>
      <c r="MW106" s="347"/>
      <c r="MX106" s="226"/>
      <c r="MY106" s="226"/>
      <c r="MZ106" s="226"/>
      <c r="NA106" s="226"/>
    </row>
    <row r="107" spans="1:365" ht="51" x14ac:dyDescent="0.2">
      <c r="A107" s="1216"/>
      <c r="B107" s="1217" t="s">
        <v>212</v>
      </c>
      <c r="C107" s="1218" t="s">
        <v>213</v>
      </c>
      <c r="D107" s="215" t="s">
        <v>204</v>
      </c>
      <c r="E107" s="225" t="s">
        <v>470</v>
      </c>
      <c r="F107" s="225" t="s">
        <v>470</v>
      </c>
      <c r="G107" s="322" t="s">
        <v>539</v>
      </c>
      <c r="H107" s="322" t="s">
        <v>539</v>
      </c>
      <c r="I107" s="322" t="s">
        <v>539</v>
      </c>
      <c r="J107" s="322" t="s">
        <v>539</v>
      </c>
      <c r="K107" s="225" t="s">
        <v>470</v>
      </c>
      <c r="L107" s="225" t="s">
        <v>470</v>
      </c>
      <c r="M107" s="225" t="s">
        <v>470</v>
      </c>
      <c r="N107" s="322" t="s">
        <v>479</v>
      </c>
      <c r="O107" s="225" t="s">
        <v>470</v>
      </c>
      <c r="P107" s="400" t="s">
        <v>470</v>
      </c>
      <c r="Q107" s="322" t="s">
        <v>470</v>
      </c>
      <c r="R107" s="322" t="s">
        <v>470</v>
      </c>
      <c r="S107" s="322" t="s">
        <v>470</v>
      </c>
      <c r="T107" s="322"/>
      <c r="U107" s="322" t="s">
        <v>539</v>
      </c>
      <c r="V107" s="322" t="s">
        <v>470</v>
      </c>
      <c r="W107" s="226"/>
      <c r="X107" s="226"/>
      <c r="Y107" s="226"/>
      <c r="Z107" s="226"/>
      <c r="AA107" s="226"/>
      <c r="AB107" s="226"/>
      <c r="AC107" s="226"/>
      <c r="AD107" s="226"/>
      <c r="AE107" s="226"/>
      <c r="AF107" s="322" t="s">
        <v>470</v>
      </c>
      <c r="AG107" s="225" t="s">
        <v>470</v>
      </c>
      <c r="AH107" s="226"/>
      <c r="AI107" s="322" t="s">
        <v>470</v>
      </c>
      <c r="AJ107" s="322" t="s">
        <v>470</v>
      </c>
      <c r="AK107" s="344" t="s">
        <v>470</v>
      </c>
      <c r="AL107" s="322" t="s">
        <v>470</v>
      </c>
      <c r="AM107" s="226"/>
      <c r="AN107" s="226"/>
      <c r="AO107" s="226"/>
      <c r="AP107" s="226"/>
      <c r="AQ107" s="322" t="s">
        <v>470</v>
      </c>
      <c r="AR107" s="322" t="s">
        <v>470</v>
      </c>
      <c r="AS107" s="322" t="s">
        <v>470</v>
      </c>
      <c r="AT107" s="225" t="s">
        <v>470</v>
      </c>
      <c r="AU107" s="322" t="s">
        <v>656</v>
      </c>
      <c r="AV107" s="225" t="s">
        <v>470</v>
      </c>
      <c r="AW107" s="322" t="s">
        <v>470</v>
      </c>
      <c r="AX107" s="322"/>
      <c r="AY107" s="344" t="s">
        <v>2234</v>
      </c>
      <c r="AZ107" s="322" t="s">
        <v>470</v>
      </c>
      <c r="BA107" s="322"/>
      <c r="BB107" s="322" t="s">
        <v>470</v>
      </c>
      <c r="BC107" s="322" t="s">
        <v>470</v>
      </c>
      <c r="BD107" s="322" t="s">
        <v>470</v>
      </c>
      <c r="BE107" s="344" t="s">
        <v>470</v>
      </c>
      <c r="BF107" s="322" t="s">
        <v>470</v>
      </c>
      <c r="BG107" s="322" t="s">
        <v>470</v>
      </c>
      <c r="BH107" s="322" t="s">
        <v>470</v>
      </c>
      <c r="BI107" s="322" t="s">
        <v>470</v>
      </c>
      <c r="BJ107" s="322" t="s">
        <v>470</v>
      </c>
      <c r="BK107" s="322" t="s">
        <v>470</v>
      </c>
      <c r="BL107" s="322"/>
      <c r="BM107" s="322" t="s">
        <v>470</v>
      </c>
      <c r="BN107" s="226"/>
      <c r="BO107" s="322" t="s">
        <v>470</v>
      </c>
      <c r="BP107" s="322"/>
      <c r="BQ107" s="322" t="s">
        <v>470</v>
      </c>
      <c r="BR107" s="233" t="s">
        <v>470</v>
      </c>
      <c r="BS107" s="322"/>
      <c r="BT107" s="322"/>
      <c r="BU107" s="322"/>
      <c r="BV107" s="322" t="s">
        <v>470</v>
      </c>
      <c r="BW107" s="322" t="s">
        <v>470</v>
      </c>
      <c r="BX107" s="322"/>
      <c r="BY107" s="322" t="s">
        <v>470</v>
      </c>
      <c r="BZ107" s="322"/>
      <c r="CA107" s="322" t="s">
        <v>470</v>
      </c>
      <c r="CB107" s="322" t="s">
        <v>470</v>
      </c>
      <c r="CC107" s="322" t="s">
        <v>470</v>
      </c>
      <c r="CD107" s="344" t="s">
        <v>470</v>
      </c>
      <c r="CE107" s="344" t="s">
        <v>470</v>
      </c>
      <c r="CF107" s="344"/>
      <c r="CG107" s="344" t="s">
        <v>470</v>
      </c>
      <c r="CH107" s="344"/>
      <c r="CI107" s="344"/>
      <c r="CJ107" s="344" t="s">
        <v>470</v>
      </c>
      <c r="CK107" s="344"/>
      <c r="CL107" s="344" t="s">
        <v>470</v>
      </c>
      <c r="CM107" s="344" t="s">
        <v>470</v>
      </c>
      <c r="CN107" s="322"/>
      <c r="CO107" s="322" t="s">
        <v>470</v>
      </c>
      <c r="CP107" s="322" t="s">
        <v>470</v>
      </c>
      <c r="CQ107" s="464" t="s">
        <v>470</v>
      </c>
      <c r="CR107" s="465"/>
      <c r="CS107" s="322" t="s">
        <v>470</v>
      </c>
      <c r="CT107" s="322"/>
      <c r="CU107" s="322" t="s">
        <v>470</v>
      </c>
      <c r="CV107" s="322" t="s">
        <v>470</v>
      </c>
      <c r="CW107" s="322" t="s">
        <v>656</v>
      </c>
      <c r="CX107" s="322" t="s">
        <v>470</v>
      </c>
      <c r="CY107" s="322" t="s">
        <v>470</v>
      </c>
      <c r="CZ107" s="322"/>
      <c r="DA107" s="322" t="s">
        <v>873</v>
      </c>
      <c r="DB107" s="322" t="s">
        <v>470</v>
      </c>
      <c r="DC107" s="322" t="s">
        <v>470</v>
      </c>
      <c r="DD107" s="322" t="s">
        <v>470</v>
      </c>
      <c r="DE107" s="322"/>
      <c r="DF107" s="322" t="s">
        <v>470</v>
      </c>
      <c r="DG107" s="322" t="s">
        <v>470</v>
      </c>
      <c r="DH107" s="322" t="s">
        <v>470</v>
      </c>
      <c r="DI107" s="322" t="s">
        <v>470</v>
      </c>
      <c r="DJ107" s="322" t="s">
        <v>470</v>
      </c>
      <c r="DK107" s="322" t="s">
        <v>470</v>
      </c>
      <c r="DL107" s="322" t="s">
        <v>470</v>
      </c>
      <c r="DM107" s="322"/>
      <c r="DN107" s="322" t="s">
        <v>470</v>
      </c>
      <c r="DO107" s="322"/>
      <c r="DP107" s="322" t="s">
        <v>470</v>
      </c>
      <c r="DQ107" s="322" t="s">
        <v>470</v>
      </c>
      <c r="DR107" s="322" t="s">
        <v>470</v>
      </c>
      <c r="DS107" s="322" t="s">
        <v>470</v>
      </c>
      <c r="DT107" s="322" t="s">
        <v>470</v>
      </c>
      <c r="DU107" s="322" t="s">
        <v>470</v>
      </c>
      <c r="DV107" s="322" t="s">
        <v>470</v>
      </c>
      <c r="DW107" s="246" t="s">
        <v>470</v>
      </c>
      <c r="DX107" s="322" t="s">
        <v>470</v>
      </c>
      <c r="DY107" s="322" t="s">
        <v>539</v>
      </c>
      <c r="DZ107" s="322" t="s">
        <v>470</v>
      </c>
      <c r="EA107" s="322" t="s">
        <v>470</v>
      </c>
      <c r="EB107" s="322" t="s">
        <v>470</v>
      </c>
      <c r="EC107" s="226"/>
      <c r="ED107" s="322"/>
      <c r="EE107" s="322" t="s">
        <v>470</v>
      </c>
      <c r="EF107" s="322"/>
      <c r="EG107" s="226"/>
      <c r="EH107" s="322" t="s">
        <v>470</v>
      </c>
      <c r="EI107" s="322" t="s">
        <v>470</v>
      </c>
      <c r="EJ107" s="226"/>
      <c r="EK107" s="226"/>
      <c r="EL107" s="226"/>
      <c r="EM107" s="226"/>
      <c r="EN107" s="226"/>
      <c r="EO107" s="226"/>
      <c r="EP107" s="226"/>
      <c r="EQ107" s="226"/>
      <c r="ER107" s="322" t="s">
        <v>470</v>
      </c>
      <c r="ES107" s="322" t="s">
        <v>470</v>
      </c>
      <c r="ET107" s="322" t="s">
        <v>470</v>
      </c>
      <c r="EU107" s="322" t="s">
        <v>470</v>
      </c>
      <c r="EV107" s="322" t="s">
        <v>470</v>
      </c>
      <c r="EW107" s="322" t="s">
        <v>470</v>
      </c>
      <c r="EX107" s="322" t="s">
        <v>470</v>
      </c>
      <c r="EY107" s="322" t="s">
        <v>470</v>
      </c>
      <c r="EZ107" s="344" t="s">
        <v>470</v>
      </c>
      <c r="FA107" s="322" t="s">
        <v>470</v>
      </c>
      <c r="FB107" s="322" t="s">
        <v>470</v>
      </c>
      <c r="FC107" s="322"/>
      <c r="FD107" s="226"/>
      <c r="FE107" s="466" t="s">
        <v>539</v>
      </c>
      <c r="FF107" s="322" t="s">
        <v>470</v>
      </c>
      <c r="FG107" s="322" t="s">
        <v>470</v>
      </c>
      <c r="FH107" s="322" t="s">
        <v>470</v>
      </c>
      <c r="FI107" s="465" t="s">
        <v>470</v>
      </c>
      <c r="FJ107" s="465" t="s">
        <v>470</v>
      </c>
      <c r="FK107" s="465"/>
      <c r="FL107" s="465" t="s">
        <v>470</v>
      </c>
      <c r="FM107" s="322" t="s">
        <v>470</v>
      </c>
      <c r="FN107" s="322"/>
      <c r="FO107" s="465" t="s">
        <v>470</v>
      </c>
      <c r="FP107" s="465"/>
      <c r="FQ107" s="465" t="s">
        <v>470</v>
      </c>
      <c r="FR107" s="465"/>
      <c r="FS107" s="465"/>
      <c r="FT107" s="465"/>
      <c r="FU107" s="226"/>
      <c r="FV107" s="465"/>
      <c r="FW107" s="465"/>
      <c r="FX107" s="465"/>
      <c r="FY107" s="226"/>
      <c r="FZ107" s="465"/>
      <c r="GA107" s="465"/>
      <c r="GB107" s="465"/>
      <c r="GC107" s="465"/>
      <c r="GD107" s="465" t="s">
        <v>470</v>
      </c>
      <c r="GE107" s="465"/>
      <c r="GF107" s="465"/>
      <c r="GG107" s="394" t="s">
        <v>470</v>
      </c>
      <c r="GH107" s="394" t="s">
        <v>470</v>
      </c>
      <c r="GI107" s="226"/>
      <c r="GJ107" s="465" t="s">
        <v>470</v>
      </c>
      <c r="GK107" s="465"/>
      <c r="GL107" s="465" t="s">
        <v>470</v>
      </c>
      <c r="GM107" s="465"/>
      <c r="GN107" s="465"/>
      <c r="GO107" s="226"/>
      <c r="GP107" s="465"/>
      <c r="GQ107" s="226"/>
      <c r="GR107" s="465"/>
      <c r="GS107" s="465"/>
      <c r="GT107" s="465"/>
      <c r="GU107" s="465" t="s">
        <v>470</v>
      </c>
      <c r="GV107" s="465"/>
      <c r="GW107" s="226"/>
      <c r="GX107" s="322" t="s">
        <v>470</v>
      </c>
      <c r="GY107" s="322" t="s">
        <v>470</v>
      </c>
      <c r="GZ107" s="465" t="s">
        <v>470</v>
      </c>
      <c r="HA107" s="322" t="s">
        <v>470</v>
      </c>
      <c r="HB107" s="322" t="s">
        <v>479</v>
      </c>
      <c r="HC107" s="322" t="s">
        <v>470</v>
      </c>
      <c r="HD107" s="322" t="s">
        <v>470</v>
      </c>
      <c r="HE107" s="225" t="s">
        <v>470</v>
      </c>
      <c r="HF107" s="226"/>
      <c r="HG107" s="343" t="s">
        <v>470</v>
      </c>
      <c r="HH107" s="343" t="s">
        <v>470</v>
      </c>
      <c r="HI107" s="343" t="s">
        <v>470</v>
      </c>
      <c r="HJ107" s="322" t="s">
        <v>470</v>
      </c>
      <c r="HK107" s="343" t="s">
        <v>656</v>
      </c>
      <c r="HL107" s="226"/>
      <c r="HM107" s="322" t="s">
        <v>470</v>
      </c>
      <c r="HN107" s="226"/>
      <c r="HO107" s="322" t="s">
        <v>470</v>
      </c>
      <c r="HP107" s="322" t="s">
        <v>470</v>
      </c>
      <c r="HQ107" s="322" t="s">
        <v>873</v>
      </c>
      <c r="HR107" s="322" t="s">
        <v>873</v>
      </c>
      <c r="HS107" s="322" t="s">
        <v>470</v>
      </c>
      <c r="HT107" s="294" t="s">
        <v>470</v>
      </c>
      <c r="HU107" s="322" t="s">
        <v>470</v>
      </c>
      <c r="HV107" s="225" t="s">
        <v>470</v>
      </c>
      <c r="HW107" s="322" t="s">
        <v>470</v>
      </c>
      <c r="HX107" s="322" t="s">
        <v>470</v>
      </c>
      <c r="HY107" s="322"/>
      <c r="HZ107" s="322" t="s">
        <v>470</v>
      </c>
      <c r="IA107" s="322" t="s">
        <v>470</v>
      </c>
      <c r="IB107" s="322"/>
      <c r="IC107" s="322"/>
      <c r="ID107" s="322" t="s">
        <v>470</v>
      </c>
      <c r="IE107" s="225" t="s">
        <v>470</v>
      </c>
      <c r="IF107" s="322" t="s">
        <v>470</v>
      </c>
      <c r="IG107" s="322" t="s">
        <v>470</v>
      </c>
      <c r="IH107" s="344" t="s">
        <v>470</v>
      </c>
      <c r="II107" s="322" t="s">
        <v>470</v>
      </c>
      <c r="IJ107" s="322" t="s">
        <v>470</v>
      </c>
      <c r="IK107" s="322" t="s">
        <v>470</v>
      </c>
      <c r="IL107" s="322" t="s">
        <v>539</v>
      </c>
      <c r="IM107" s="322" t="s">
        <v>539</v>
      </c>
      <c r="IN107" s="322" t="s">
        <v>470</v>
      </c>
      <c r="IO107" s="322" t="s">
        <v>470</v>
      </c>
      <c r="IP107" s="322" t="s">
        <v>470</v>
      </c>
      <c r="IQ107" s="322" t="s">
        <v>470</v>
      </c>
      <c r="IR107" s="322" t="s">
        <v>470</v>
      </c>
      <c r="IS107" s="322" t="s">
        <v>470</v>
      </c>
      <c r="IT107" s="225" t="s">
        <v>470</v>
      </c>
      <c r="IU107" s="225" t="s">
        <v>470</v>
      </c>
      <c r="IV107" s="225" t="s">
        <v>470</v>
      </c>
      <c r="IW107" s="225" t="s">
        <v>470</v>
      </c>
      <c r="IX107" s="322" t="s">
        <v>470</v>
      </c>
      <c r="IY107" s="322" t="s">
        <v>470</v>
      </c>
      <c r="IZ107" s="322"/>
      <c r="JA107" s="322"/>
      <c r="JB107" s="322"/>
      <c r="JC107" s="322" t="s">
        <v>470</v>
      </c>
      <c r="JD107" s="322" t="s">
        <v>470</v>
      </c>
      <c r="JE107" s="226"/>
      <c r="JF107" s="226"/>
      <c r="JG107" s="226"/>
      <c r="JH107" s="322" t="s">
        <v>470</v>
      </c>
      <c r="JI107" s="322" t="s">
        <v>470</v>
      </c>
      <c r="JJ107" s="322" t="s">
        <v>470</v>
      </c>
      <c r="JK107" s="345" t="s">
        <v>470</v>
      </c>
      <c r="JL107" s="322" t="s">
        <v>656</v>
      </c>
      <c r="JM107" s="322" t="s">
        <v>470</v>
      </c>
      <c r="JN107" s="226"/>
      <c r="JO107" s="226"/>
      <c r="JP107" s="226"/>
      <c r="JQ107" s="322" t="s">
        <v>470</v>
      </c>
      <c r="JR107" s="322" t="s">
        <v>470</v>
      </c>
      <c r="JS107" s="322" t="s">
        <v>470</v>
      </c>
      <c r="JT107" s="322" t="s">
        <v>470</v>
      </c>
      <c r="JU107" s="322" t="s">
        <v>470</v>
      </c>
      <c r="JV107" s="322" t="s">
        <v>470</v>
      </c>
      <c r="JW107" s="322" t="s">
        <v>470</v>
      </c>
      <c r="JX107" s="225" t="s">
        <v>470</v>
      </c>
      <c r="JY107" s="225" t="s">
        <v>470</v>
      </c>
      <c r="JZ107" s="322" t="s">
        <v>470</v>
      </c>
      <c r="KA107" s="322" t="s">
        <v>470</v>
      </c>
      <c r="KB107" s="322" t="s">
        <v>470</v>
      </c>
      <c r="KC107" s="322" t="s">
        <v>540</v>
      </c>
      <c r="KD107" s="322" t="s">
        <v>470</v>
      </c>
      <c r="KE107" s="232" t="s">
        <v>470</v>
      </c>
      <c r="KF107" s="322" t="s">
        <v>470</v>
      </c>
      <c r="KG107" s="322" t="s">
        <v>470</v>
      </c>
      <c r="KH107" s="322"/>
      <c r="KI107" s="322" t="s">
        <v>470</v>
      </c>
      <c r="KJ107" s="322" t="s">
        <v>470</v>
      </c>
      <c r="KK107" s="322" t="s">
        <v>470</v>
      </c>
      <c r="KL107" s="322" t="s">
        <v>470</v>
      </c>
      <c r="KM107" s="225" t="s">
        <v>470</v>
      </c>
      <c r="KN107" s="322" t="s">
        <v>470</v>
      </c>
      <c r="KO107" s="322" t="s">
        <v>470</v>
      </c>
      <c r="KP107" s="322" t="s">
        <v>470</v>
      </c>
      <c r="KQ107" s="226"/>
      <c r="KR107" s="226"/>
      <c r="KS107" s="226"/>
      <c r="KT107" s="226"/>
      <c r="KU107" s="226"/>
      <c r="KV107" s="322" t="s">
        <v>656</v>
      </c>
      <c r="KW107" s="322" t="s">
        <v>470</v>
      </c>
      <c r="KX107" s="383" t="s">
        <v>470</v>
      </c>
      <c r="KY107" s="386"/>
      <c r="KZ107" s="322" t="s">
        <v>470</v>
      </c>
      <c r="LA107" s="322" t="s">
        <v>470</v>
      </c>
      <c r="LB107" s="322"/>
      <c r="LC107" s="322" t="s">
        <v>470</v>
      </c>
      <c r="LD107" s="322" t="s">
        <v>470</v>
      </c>
      <c r="LE107" s="322" t="s">
        <v>873</v>
      </c>
      <c r="LF107" s="322" t="s">
        <v>470</v>
      </c>
      <c r="LG107" s="322" t="s">
        <v>470</v>
      </c>
      <c r="LH107" s="322" t="s">
        <v>470</v>
      </c>
      <c r="LI107" s="322" t="s">
        <v>470</v>
      </c>
      <c r="LJ107" s="322" t="s">
        <v>470</v>
      </c>
      <c r="LK107" s="322" t="s">
        <v>470</v>
      </c>
      <c r="LL107" s="322"/>
      <c r="LM107" s="226"/>
      <c r="LN107" s="322" t="s">
        <v>470</v>
      </c>
      <c r="LO107" s="322" t="s">
        <v>470</v>
      </c>
      <c r="LP107" s="322"/>
      <c r="LQ107" s="322" t="s">
        <v>470</v>
      </c>
      <c r="LR107" s="322" t="s">
        <v>470</v>
      </c>
      <c r="LS107" s="322" t="s">
        <v>470</v>
      </c>
      <c r="LT107" s="234" t="s">
        <v>470</v>
      </c>
      <c r="LU107" s="322"/>
      <c r="LV107" s="322" t="s">
        <v>470</v>
      </c>
      <c r="LW107" s="322" t="s">
        <v>470</v>
      </c>
      <c r="LX107" s="322" t="s">
        <v>470</v>
      </c>
      <c r="LY107" s="322" t="s">
        <v>470</v>
      </c>
      <c r="LZ107" s="322" t="s">
        <v>470</v>
      </c>
      <c r="MA107" s="322" t="s">
        <v>470</v>
      </c>
      <c r="MB107" s="322" t="s">
        <v>470</v>
      </c>
      <c r="MC107" s="322" t="s">
        <v>470</v>
      </c>
      <c r="MD107" s="322" t="s">
        <v>470</v>
      </c>
      <c r="ME107" s="225" t="s">
        <v>470</v>
      </c>
      <c r="MF107" s="322" t="s">
        <v>470</v>
      </c>
      <c r="MG107" s="226"/>
      <c r="MH107" s="226"/>
      <c r="MI107" s="226"/>
      <c r="MJ107" s="347" t="s">
        <v>470</v>
      </c>
      <c r="MK107" s="347"/>
      <c r="ML107" s="347" t="s">
        <v>470</v>
      </c>
      <c r="MM107" s="347" t="s">
        <v>470</v>
      </c>
      <c r="MN107" s="348"/>
      <c r="MO107" s="348" t="s">
        <v>5553</v>
      </c>
      <c r="MP107" s="348" t="s">
        <v>470</v>
      </c>
      <c r="MQ107" s="348" t="s">
        <v>470</v>
      </c>
      <c r="MR107" s="348" t="s">
        <v>470</v>
      </c>
      <c r="MS107" s="348" t="s">
        <v>539</v>
      </c>
      <c r="MT107" s="347"/>
      <c r="MU107" s="348"/>
      <c r="MV107" s="347" t="s">
        <v>470</v>
      </c>
      <c r="MW107" s="347" t="s">
        <v>470</v>
      </c>
      <c r="MX107" s="226"/>
      <c r="MY107" s="226"/>
      <c r="MZ107" s="226"/>
      <c r="NA107" s="226"/>
    </row>
    <row r="108" spans="1:365" ht="51" x14ac:dyDescent="0.2">
      <c r="A108" s="1216"/>
      <c r="B108" s="1216"/>
      <c r="C108" s="1218"/>
      <c r="D108" s="215" t="s">
        <v>205</v>
      </c>
      <c r="E108" s="225"/>
      <c r="F108" s="225"/>
      <c r="G108" s="322" t="s">
        <v>656</v>
      </c>
      <c r="H108" s="322" t="s">
        <v>656</v>
      </c>
      <c r="I108" s="322" t="s">
        <v>656</v>
      </c>
      <c r="J108" s="322" t="s">
        <v>656</v>
      </c>
      <c r="K108" s="225" t="s">
        <v>1924</v>
      </c>
      <c r="L108" s="225" t="s">
        <v>1924</v>
      </c>
      <c r="M108" s="225" t="s">
        <v>1924</v>
      </c>
      <c r="N108" s="322" t="s">
        <v>5552</v>
      </c>
      <c r="O108" s="225" t="s">
        <v>1924</v>
      </c>
      <c r="P108" s="400" t="s">
        <v>1924</v>
      </c>
      <c r="Q108" s="225" t="s">
        <v>1924</v>
      </c>
      <c r="R108" s="322"/>
      <c r="S108" s="322"/>
      <c r="T108" s="322"/>
      <c r="U108" s="322"/>
      <c r="V108" s="322"/>
      <c r="W108" s="226"/>
      <c r="X108" s="226"/>
      <c r="Y108" s="226"/>
      <c r="Z108" s="226"/>
      <c r="AA108" s="226"/>
      <c r="AB108" s="226"/>
      <c r="AC108" s="226"/>
      <c r="AD108" s="226"/>
      <c r="AE108" s="226"/>
      <c r="AF108" s="322" t="s">
        <v>1447</v>
      </c>
      <c r="AG108" s="225"/>
      <c r="AH108" s="226"/>
      <c r="AI108" s="322"/>
      <c r="AJ108" s="322"/>
      <c r="AK108" s="344"/>
      <c r="AL108" s="322"/>
      <c r="AM108" s="226"/>
      <c r="AN108" s="226"/>
      <c r="AO108" s="226"/>
      <c r="AP108" s="226"/>
      <c r="AQ108" s="322"/>
      <c r="AR108" s="322"/>
      <c r="AS108" s="322"/>
      <c r="AT108" s="225" t="s">
        <v>470</v>
      </c>
      <c r="AU108" s="322" t="s">
        <v>656</v>
      </c>
      <c r="AV108" s="322"/>
      <c r="AW108" s="322"/>
      <c r="AX108" s="322"/>
      <c r="AY108" s="344" t="s">
        <v>2234</v>
      </c>
      <c r="AZ108" s="322"/>
      <c r="BA108" s="322"/>
      <c r="BB108" s="322"/>
      <c r="BC108" s="322"/>
      <c r="BD108" s="322"/>
      <c r="BE108" s="344"/>
      <c r="BF108" s="322"/>
      <c r="BG108" s="322"/>
      <c r="BH108" s="322" t="s">
        <v>470</v>
      </c>
      <c r="BI108" s="322" t="s">
        <v>656</v>
      </c>
      <c r="BJ108" s="322"/>
      <c r="BK108" s="322"/>
      <c r="BL108" s="322"/>
      <c r="BM108" s="322"/>
      <c r="BN108" s="226"/>
      <c r="BO108" s="322"/>
      <c r="BP108" s="322"/>
      <c r="BQ108" s="322"/>
      <c r="BR108" s="233" t="s">
        <v>205</v>
      </c>
      <c r="BS108" s="322"/>
      <c r="BT108" s="322"/>
      <c r="BU108" s="322"/>
      <c r="BV108" s="322"/>
      <c r="BW108" s="322"/>
      <c r="BX108" s="322"/>
      <c r="BY108" s="322"/>
      <c r="BZ108" s="322"/>
      <c r="CA108" s="322"/>
      <c r="CB108" s="322"/>
      <c r="CC108" s="322"/>
      <c r="CD108" s="344"/>
      <c r="CE108" s="344"/>
      <c r="CF108" s="344"/>
      <c r="CG108" s="344"/>
      <c r="CH108" s="344"/>
      <c r="CI108" s="344"/>
      <c r="CJ108" s="344"/>
      <c r="CK108" s="344"/>
      <c r="CL108" s="344"/>
      <c r="CM108" s="344"/>
      <c r="CN108" s="322"/>
      <c r="CO108" s="322"/>
      <c r="CP108" s="322"/>
      <c r="CQ108" s="464"/>
      <c r="CR108" s="465"/>
      <c r="CS108" s="322"/>
      <c r="CT108" s="322"/>
      <c r="CU108" s="322">
        <v>0</v>
      </c>
      <c r="CV108" s="322"/>
      <c r="CW108" s="322" t="s">
        <v>656</v>
      </c>
      <c r="CX108" s="322"/>
      <c r="CY108" s="322"/>
      <c r="CZ108" s="322"/>
      <c r="DA108" s="322"/>
      <c r="DB108" s="322"/>
      <c r="DC108" s="322"/>
      <c r="DD108" s="322"/>
      <c r="DE108" s="322"/>
      <c r="DF108" s="322"/>
      <c r="DG108" s="322"/>
      <c r="DH108" s="322"/>
      <c r="DI108" s="322"/>
      <c r="DJ108" s="322"/>
      <c r="DK108" s="322"/>
      <c r="DL108" s="322"/>
      <c r="DM108" s="322"/>
      <c r="DN108" s="322" t="s">
        <v>656</v>
      </c>
      <c r="DO108" s="322"/>
      <c r="DP108" s="322" t="s">
        <v>470</v>
      </c>
      <c r="DQ108" s="322" t="s">
        <v>470</v>
      </c>
      <c r="DR108" s="322" t="s">
        <v>470</v>
      </c>
      <c r="DS108" s="322" t="s">
        <v>470</v>
      </c>
      <c r="DT108" s="322" t="s">
        <v>470</v>
      </c>
      <c r="DU108" s="322" t="s">
        <v>470</v>
      </c>
      <c r="DV108" s="322"/>
      <c r="DW108" s="246" t="s">
        <v>2234</v>
      </c>
      <c r="DX108" s="322"/>
      <c r="DY108" s="322"/>
      <c r="DZ108" s="322"/>
      <c r="EA108" s="322"/>
      <c r="EB108" s="322"/>
      <c r="EC108" s="226"/>
      <c r="ED108" s="322"/>
      <c r="EE108" s="322" t="s">
        <v>656</v>
      </c>
      <c r="EF108" s="322"/>
      <c r="EG108" s="226"/>
      <c r="EH108" s="322"/>
      <c r="EI108" s="322" t="s">
        <v>656</v>
      </c>
      <c r="EJ108" s="226"/>
      <c r="EK108" s="226"/>
      <c r="EL108" s="226"/>
      <c r="EM108" s="226"/>
      <c r="EN108" s="226"/>
      <c r="EO108" s="226"/>
      <c r="EP108" s="226"/>
      <c r="EQ108" s="226"/>
      <c r="ER108" s="322"/>
      <c r="ES108" s="322"/>
      <c r="ET108" s="322"/>
      <c r="EU108" s="322"/>
      <c r="EV108" s="322"/>
      <c r="EW108" s="322"/>
      <c r="EX108" s="322"/>
      <c r="EY108" s="322"/>
      <c r="EZ108" s="344"/>
      <c r="FA108" s="322"/>
      <c r="FB108" s="322"/>
      <c r="FC108" s="322"/>
      <c r="FD108" s="226"/>
      <c r="FE108" s="466"/>
      <c r="FF108" s="322" t="s">
        <v>470</v>
      </c>
      <c r="FG108" s="322" t="s">
        <v>470</v>
      </c>
      <c r="FH108" s="322" t="s">
        <v>470</v>
      </c>
      <c r="FI108" s="465" t="s">
        <v>656</v>
      </c>
      <c r="FJ108" s="465" t="s">
        <v>656</v>
      </c>
      <c r="FK108" s="465"/>
      <c r="FL108" s="465" t="s">
        <v>656</v>
      </c>
      <c r="FM108" s="322"/>
      <c r="FN108" s="322"/>
      <c r="FO108" s="465"/>
      <c r="FP108" s="465"/>
      <c r="FQ108" s="465" t="s">
        <v>656</v>
      </c>
      <c r="FR108" s="465"/>
      <c r="FS108" s="465"/>
      <c r="FT108" s="465"/>
      <c r="FU108" s="226"/>
      <c r="FV108" s="465"/>
      <c r="FW108" s="465"/>
      <c r="FX108" s="465"/>
      <c r="FY108" s="226"/>
      <c r="FZ108" s="465"/>
      <c r="GA108" s="465"/>
      <c r="GB108" s="465"/>
      <c r="GC108" s="465"/>
      <c r="GD108" s="465"/>
      <c r="GE108" s="465"/>
      <c r="GF108" s="465"/>
      <c r="GG108" s="394" t="s">
        <v>4906</v>
      </c>
      <c r="GH108" s="394" t="s">
        <v>4906</v>
      </c>
      <c r="GI108" s="226"/>
      <c r="GJ108" s="465"/>
      <c r="GK108" s="465"/>
      <c r="GL108" s="465"/>
      <c r="GM108" s="465"/>
      <c r="GN108" s="465"/>
      <c r="GO108" s="226"/>
      <c r="GP108" s="465"/>
      <c r="GQ108" s="226"/>
      <c r="GR108" s="465"/>
      <c r="GS108" s="465"/>
      <c r="GT108" s="465"/>
      <c r="GU108" s="465"/>
      <c r="GV108" s="465"/>
      <c r="GW108" s="226"/>
      <c r="GX108" s="322"/>
      <c r="GY108" s="322"/>
      <c r="GZ108" s="465"/>
      <c r="HA108" s="322"/>
      <c r="HB108" s="225" t="s">
        <v>541</v>
      </c>
      <c r="HC108" s="322"/>
      <c r="HD108" s="322"/>
      <c r="HE108" s="322"/>
      <c r="HF108" s="226"/>
      <c r="HG108" s="343" t="s">
        <v>656</v>
      </c>
      <c r="HH108" s="343"/>
      <c r="HI108" s="343" t="s">
        <v>656</v>
      </c>
      <c r="HJ108" s="225" t="s">
        <v>656</v>
      </c>
      <c r="HK108" s="343" t="s">
        <v>656</v>
      </c>
      <c r="HL108" s="226"/>
      <c r="HM108" s="322"/>
      <c r="HN108" s="226"/>
      <c r="HO108" s="322"/>
      <c r="HP108" s="322"/>
      <c r="HQ108" s="322"/>
      <c r="HR108" s="322"/>
      <c r="HS108" s="322"/>
      <c r="HT108" s="322"/>
      <c r="HU108" s="322"/>
      <c r="HV108" s="322"/>
      <c r="HW108" s="322"/>
      <c r="HX108" s="322"/>
      <c r="HY108" s="322"/>
      <c r="HZ108" s="322" t="s">
        <v>656</v>
      </c>
      <c r="IA108" s="322"/>
      <c r="IB108" s="322"/>
      <c r="IC108" s="322"/>
      <c r="ID108" s="322"/>
      <c r="IE108" s="322"/>
      <c r="IF108" s="322"/>
      <c r="IG108" s="322"/>
      <c r="IH108" s="344"/>
      <c r="II108" s="322"/>
      <c r="IJ108" s="322"/>
      <c r="IK108" s="322"/>
      <c r="IL108" s="322"/>
      <c r="IM108" s="322"/>
      <c r="IN108" s="322"/>
      <c r="IO108" s="322"/>
      <c r="IP108" s="322"/>
      <c r="IQ108" s="322"/>
      <c r="IR108" s="322"/>
      <c r="IS108" s="322"/>
      <c r="IT108" s="322"/>
      <c r="IU108" s="322"/>
      <c r="IV108" s="322"/>
      <c r="IW108" s="322"/>
      <c r="IX108" s="322"/>
      <c r="IY108" s="322" t="s">
        <v>656</v>
      </c>
      <c r="IZ108" s="322"/>
      <c r="JA108" s="322"/>
      <c r="JB108" s="322"/>
      <c r="JC108" s="322" t="s">
        <v>656</v>
      </c>
      <c r="JD108" s="322" t="s">
        <v>656</v>
      </c>
      <c r="JE108" s="226"/>
      <c r="JF108" s="226"/>
      <c r="JG108" s="226"/>
      <c r="JH108" s="322"/>
      <c r="JI108" s="322"/>
      <c r="JJ108" s="322" t="s">
        <v>656</v>
      </c>
      <c r="JK108" s="345"/>
      <c r="JL108" s="322" t="s">
        <v>656</v>
      </c>
      <c r="JM108" s="322"/>
      <c r="JN108" s="226"/>
      <c r="JO108" s="226"/>
      <c r="JP108" s="226"/>
      <c r="JQ108" s="322"/>
      <c r="JR108" s="322"/>
      <c r="JS108" s="322"/>
      <c r="JT108" s="322"/>
      <c r="JU108" s="322"/>
      <c r="JV108" s="322"/>
      <c r="JW108" s="322" t="s">
        <v>656</v>
      </c>
      <c r="JX108" s="225" t="s">
        <v>656</v>
      </c>
      <c r="JY108" s="225" t="s">
        <v>470</v>
      </c>
      <c r="JZ108" s="322" t="s">
        <v>470</v>
      </c>
      <c r="KA108" s="322"/>
      <c r="KB108" s="322"/>
      <c r="KC108" s="322" t="s">
        <v>920</v>
      </c>
      <c r="KD108" s="322"/>
      <c r="KE108" s="232"/>
      <c r="KF108" s="322"/>
      <c r="KG108" s="322" t="s">
        <v>470</v>
      </c>
      <c r="KH108" s="322"/>
      <c r="KI108" s="322"/>
      <c r="KJ108" s="322"/>
      <c r="KK108" s="322"/>
      <c r="KL108" s="322" t="s">
        <v>656</v>
      </c>
      <c r="KM108" s="322"/>
      <c r="KN108" s="322"/>
      <c r="KO108" s="322"/>
      <c r="KP108" s="322"/>
      <c r="KQ108" s="226"/>
      <c r="KR108" s="226"/>
      <c r="KS108" s="226"/>
      <c r="KT108" s="226"/>
      <c r="KU108" s="226"/>
      <c r="KV108" s="322" t="s">
        <v>656</v>
      </c>
      <c r="KW108" s="322"/>
      <c r="KX108" s="383"/>
      <c r="KY108" s="386"/>
      <c r="KZ108" s="322"/>
      <c r="LA108" s="322"/>
      <c r="LB108" s="322"/>
      <c r="LC108" s="322"/>
      <c r="LD108" s="322"/>
      <c r="LE108" s="322"/>
      <c r="LF108" s="322"/>
      <c r="LG108" s="322"/>
      <c r="LH108" s="322"/>
      <c r="LI108" s="322"/>
      <c r="LJ108" s="322"/>
      <c r="LK108" s="322"/>
      <c r="LL108" s="322"/>
      <c r="LM108" s="226"/>
      <c r="LN108" s="322"/>
      <c r="LO108" s="322"/>
      <c r="LP108" s="322"/>
      <c r="LQ108" s="322"/>
      <c r="LR108" s="322"/>
      <c r="LS108" s="322"/>
      <c r="LT108" s="346"/>
      <c r="LU108" s="322"/>
      <c r="LV108" s="322"/>
      <c r="LW108" s="322"/>
      <c r="LX108" s="322"/>
      <c r="LY108" s="322"/>
      <c r="LZ108" s="322"/>
      <c r="MA108" s="322"/>
      <c r="MB108" s="322"/>
      <c r="MC108" s="322"/>
      <c r="MD108" s="322"/>
      <c r="ME108" s="322"/>
      <c r="MF108" s="322"/>
      <c r="MG108" s="226"/>
      <c r="MH108" s="226"/>
      <c r="MI108" s="226"/>
      <c r="MJ108" s="347"/>
      <c r="MK108" s="347"/>
      <c r="ML108" s="347" t="s">
        <v>656</v>
      </c>
      <c r="MM108" s="347"/>
      <c r="MN108" s="348"/>
      <c r="MO108" s="348"/>
      <c r="MP108" s="348"/>
      <c r="MQ108" s="348"/>
      <c r="MR108" s="236" t="s">
        <v>1482</v>
      </c>
      <c r="MS108" s="348"/>
      <c r="MT108" s="347"/>
      <c r="MU108" s="348"/>
      <c r="MV108" s="347"/>
      <c r="MW108" s="347"/>
      <c r="MX108" s="226"/>
      <c r="MY108" s="226"/>
      <c r="MZ108" s="226"/>
      <c r="NA108" s="226"/>
    </row>
    <row r="109" spans="1:365" ht="51" x14ac:dyDescent="0.2">
      <c r="A109" s="1216"/>
      <c r="B109" s="1216"/>
      <c r="C109" s="1218"/>
      <c r="D109" s="215" t="s">
        <v>209</v>
      </c>
      <c r="E109" s="322"/>
      <c r="F109" s="322"/>
      <c r="G109" s="322" t="s">
        <v>656</v>
      </c>
      <c r="H109" s="322" t="s">
        <v>656</v>
      </c>
      <c r="I109" s="225" t="s">
        <v>656</v>
      </c>
      <c r="J109" s="322" t="s">
        <v>656</v>
      </c>
      <c r="K109" s="322">
        <v>0</v>
      </c>
      <c r="L109" s="225">
        <v>0</v>
      </c>
      <c r="M109" s="322">
        <v>0</v>
      </c>
      <c r="N109" s="322">
        <v>60</v>
      </c>
      <c r="O109" s="322">
        <v>0</v>
      </c>
      <c r="P109" s="463">
        <v>0</v>
      </c>
      <c r="Q109" s="322">
        <v>0</v>
      </c>
      <c r="R109" s="322"/>
      <c r="S109" s="322"/>
      <c r="T109" s="322"/>
      <c r="U109" s="322"/>
      <c r="V109" s="322"/>
      <c r="W109" s="226"/>
      <c r="X109" s="226"/>
      <c r="Y109" s="226"/>
      <c r="Z109" s="226"/>
      <c r="AA109" s="226"/>
      <c r="AB109" s="226"/>
      <c r="AC109" s="226"/>
      <c r="AD109" s="226"/>
      <c r="AE109" s="226"/>
      <c r="AF109" s="322" t="s">
        <v>1447</v>
      </c>
      <c r="AG109" s="225"/>
      <c r="AH109" s="226"/>
      <c r="AI109" s="322"/>
      <c r="AJ109" s="322"/>
      <c r="AK109" s="344"/>
      <c r="AL109" s="322"/>
      <c r="AM109" s="226"/>
      <c r="AN109" s="226"/>
      <c r="AO109" s="226"/>
      <c r="AP109" s="226"/>
      <c r="AQ109" s="322"/>
      <c r="AR109" s="322"/>
      <c r="AS109" s="322"/>
      <c r="AT109" s="322">
        <v>0</v>
      </c>
      <c r="AU109" s="322" t="s">
        <v>656</v>
      </c>
      <c r="AV109" s="225"/>
      <c r="AW109" s="322"/>
      <c r="AX109" s="322"/>
      <c r="AY109" s="344" t="s">
        <v>2234</v>
      </c>
      <c r="AZ109" s="322"/>
      <c r="BA109" s="322"/>
      <c r="BB109" s="322"/>
      <c r="BC109" s="322"/>
      <c r="BD109" s="322"/>
      <c r="BE109" s="344"/>
      <c r="BF109" s="322"/>
      <c r="BG109" s="322"/>
      <c r="BH109" s="322" t="s">
        <v>470</v>
      </c>
      <c r="BI109" s="322" t="s">
        <v>656</v>
      </c>
      <c r="BJ109" s="322"/>
      <c r="BK109" s="322"/>
      <c r="BL109" s="322"/>
      <c r="BM109" s="322"/>
      <c r="BN109" s="226"/>
      <c r="BO109" s="322"/>
      <c r="BP109" s="322"/>
      <c r="BQ109" s="322"/>
      <c r="BR109" s="233" t="s">
        <v>209</v>
      </c>
      <c r="BS109" s="322"/>
      <c r="BT109" s="322"/>
      <c r="BU109" s="322"/>
      <c r="BV109" s="322"/>
      <c r="BW109" s="322"/>
      <c r="BX109" s="322"/>
      <c r="BY109" s="322"/>
      <c r="BZ109" s="322"/>
      <c r="CA109" s="322"/>
      <c r="CB109" s="322"/>
      <c r="CC109" s="322"/>
      <c r="CD109" s="344"/>
      <c r="CE109" s="344"/>
      <c r="CF109" s="344"/>
      <c r="CG109" s="344">
        <v>0</v>
      </c>
      <c r="CH109" s="344"/>
      <c r="CI109" s="344"/>
      <c r="CJ109" s="344">
        <v>0</v>
      </c>
      <c r="CK109" s="344"/>
      <c r="CL109" s="344"/>
      <c r="CM109" s="344"/>
      <c r="CN109" s="322"/>
      <c r="CO109" s="322"/>
      <c r="CP109" s="322"/>
      <c r="CQ109" s="464"/>
      <c r="CR109" s="465"/>
      <c r="CS109" s="322"/>
      <c r="CT109" s="322"/>
      <c r="CU109" s="322">
        <v>0</v>
      </c>
      <c r="CV109" s="322"/>
      <c r="CW109" s="322" t="s">
        <v>656</v>
      </c>
      <c r="CX109" s="322"/>
      <c r="CY109" s="322"/>
      <c r="CZ109" s="322"/>
      <c r="DA109" s="322"/>
      <c r="DB109" s="322"/>
      <c r="DC109" s="322"/>
      <c r="DD109" s="322"/>
      <c r="DE109" s="322"/>
      <c r="DF109" s="322"/>
      <c r="DG109" s="322"/>
      <c r="DH109" s="322"/>
      <c r="DI109" s="322"/>
      <c r="DJ109" s="322"/>
      <c r="DK109" s="322"/>
      <c r="DL109" s="322"/>
      <c r="DM109" s="322"/>
      <c r="DN109" s="322" t="s">
        <v>656</v>
      </c>
      <c r="DO109" s="322"/>
      <c r="DP109" s="322">
        <v>0</v>
      </c>
      <c r="DQ109" s="322">
        <v>0</v>
      </c>
      <c r="DR109" s="322">
        <v>0</v>
      </c>
      <c r="DS109" s="322">
        <v>0</v>
      </c>
      <c r="DT109" s="322">
        <v>0</v>
      </c>
      <c r="DU109" s="322">
        <v>0</v>
      </c>
      <c r="DV109" s="322"/>
      <c r="DW109" s="246" t="s">
        <v>2234</v>
      </c>
      <c r="DX109" s="322"/>
      <c r="DY109" s="322"/>
      <c r="DZ109" s="322"/>
      <c r="EA109" s="322"/>
      <c r="EB109" s="322"/>
      <c r="EC109" s="226"/>
      <c r="ED109" s="322"/>
      <c r="EE109" s="322" t="s">
        <v>656</v>
      </c>
      <c r="EF109" s="322"/>
      <c r="EG109" s="226"/>
      <c r="EH109" s="322"/>
      <c r="EI109" s="322" t="s">
        <v>656</v>
      </c>
      <c r="EJ109" s="226"/>
      <c r="EK109" s="226"/>
      <c r="EL109" s="226"/>
      <c r="EM109" s="226"/>
      <c r="EN109" s="226"/>
      <c r="EO109" s="226"/>
      <c r="EP109" s="226"/>
      <c r="EQ109" s="226"/>
      <c r="ER109" s="322"/>
      <c r="ES109" s="322"/>
      <c r="ET109" s="322"/>
      <c r="EU109" s="322"/>
      <c r="EV109" s="322"/>
      <c r="EW109" s="322"/>
      <c r="EX109" s="322"/>
      <c r="EY109" s="322"/>
      <c r="EZ109" s="344"/>
      <c r="FA109" s="322"/>
      <c r="FB109" s="322"/>
      <c r="FC109" s="322"/>
      <c r="FD109" s="226"/>
      <c r="FE109" s="466"/>
      <c r="FF109" s="322" t="s">
        <v>470</v>
      </c>
      <c r="FG109" s="322" t="s">
        <v>470</v>
      </c>
      <c r="FH109" s="322" t="s">
        <v>470</v>
      </c>
      <c r="FI109" s="465" t="s">
        <v>656</v>
      </c>
      <c r="FJ109" s="465" t="s">
        <v>656</v>
      </c>
      <c r="FK109" s="465"/>
      <c r="FL109" s="465" t="s">
        <v>656</v>
      </c>
      <c r="FM109" s="322"/>
      <c r="FN109" s="322"/>
      <c r="FO109" s="465"/>
      <c r="FP109" s="465"/>
      <c r="FQ109" s="465" t="s">
        <v>656</v>
      </c>
      <c r="FR109" s="465"/>
      <c r="FS109" s="465"/>
      <c r="FT109" s="465"/>
      <c r="FU109" s="226"/>
      <c r="FV109" s="465"/>
      <c r="FW109" s="465"/>
      <c r="FX109" s="465"/>
      <c r="FY109" s="226"/>
      <c r="FZ109" s="465"/>
      <c r="GA109" s="465"/>
      <c r="GB109" s="465"/>
      <c r="GC109" s="465"/>
      <c r="GD109" s="465"/>
      <c r="GE109" s="465"/>
      <c r="GF109" s="465"/>
      <c r="GG109" s="394" t="s">
        <v>4906</v>
      </c>
      <c r="GH109" s="394" t="s">
        <v>4906</v>
      </c>
      <c r="GI109" s="226"/>
      <c r="GJ109" s="465"/>
      <c r="GK109" s="465"/>
      <c r="GL109" s="465"/>
      <c r="GM109" s="465"/>
      <c r="GN109" s="465"/>
      <c r="GO109" s="226"/>
      <c r="GP109" s="465"/>
      <c r="GQ109" s="226"/>
      <c r="GR109" s="465"/>
      <c r="GS109" s="465"/>
      <c r="GT109" s="465"/>
      <c r="GU109" s="465"/>
      <c r="GV109" s="465"/>
      <c r="GW109" s="226"/>
      <c r="GX109" s="322"/>
      <c r="GY109" s="322"/>
      <c r="GZ109" s="465"/>
      <c r="HA109" s="322"/>
      <c r="HB109" s="322">
        <v>37</v>
      </c>
      <c r="HC109" s="322"/>
      <c r="HD109" s="322"/>
      <c r="HE109" s="322"/>
      <c r="HF109" s="226"/>
      <c r="HG109" s="343" t="s">
        <v>656</v>
      </c>
      <c r="HH109" s="343"/>
      <c r="HI109" s="343" t="s">
        <v>656</v>
      </c>
      <c r="HJ109" s="322" t="s">
        <v>656</v>
      </c>
      <c r="HK109" s="343" t="s">
        <v>656</v>
      </c>
      <c r="HL109" s="226"/>
      <c r="HM109" s="322"/>
      <c r="HN109" s="226"/>
      <c r="HO109" s="322"/>
      <c r="HP109" s="322"/>
      <c r="HQ109" s="322"/>
      <c r="HR109" s="322"/>
      <c r="HS109" s="322"/>
      <c r="HT109" s="322"/>
      <c r="HU109" s="322"/>
      <c r="HV109" s="322"/>
      <c r="HW109" s="322"/>
      <c r="HX109" s="322"/>
      <c r="HY109" s="322"/>
      <c r="HZ109" s="322" t="s">
        <v>656</v>
      </c>
      <c r="IA109" s="322"/>
      <c r="IB109" s="322"/>
      <c r="IC109" s="322"/>
      <c r="ID109" s="322"/>
      <c r="IE109" s="322"/>
      <c r="IF109" s="322"/>
      <c r="IG109" s="322"/>
      <c r="IH109" s="344"/>
      <c r="II109" s="322"/>
      <c r="IJ109" s="322"/>
      <c r="IK109" s="322"/>
      <c r="IL109" s="322"/>
      <c r="IM109" s="322"/>
      <c r="IN109" s="322"/>
      <c r="IO109" s="322"/>
      <c r="IP109" s="322"/>
      <c r="IQ109" s="322"/>
      <c r="IR109" s="322"/>
      <c r="IS109" s="322"/>
      <c r="IT109" s="322"/>
      <c r="IU109" s="322"/>
      <c r="IV109" s="322"/>
      <c r="IW109" s="322"/>
      <c r="IX109" s="322"/>
      <c r="IY109" s="322" t="s">
        <v>656</v>
      </c>
      <c r="IZ109" s="322"/>
      <c r="JA109" s="322"/>
      <c r="JB109" s="322"/>
      <c r="JC109" s="322" t="s">
        <v>656</v>
      </c>
      <c r="JD109" s="322" t="s">
        <v>656</v>
      </c>
      <c r="JE109" s="226"/>
      <c r="JF109" s="226"/>
      <c r="JG109" s="226"/>
      <c r="JH109" s="322"/>
      <c r="JI109" s="322"/>
      <c r="JJ109" s="322" t="s">
        <v>656</v>
      </c>
      <c r="JK109" s="345"/>
      <c r="JL109" s="322" t="s">
        <v>656</v>
      </c>
      <c r="JM109" s="322"/>
      <c r="JN109" s="226"/>
      <c r="JO109" s="226"/>
      <c r="JP109" s="226"/>
      <c r="JQ109" s="322"/>
      <c r="JR109" s="322"/>
      <c r="JS109" s="322"/>
      <c r="JT109" s="322"/>
      <c r="JU109" s="322"/>
      <c r="JV109" s="322"/>
      <c r="JW109" s="322" t="s">
        <v>656</v>
      </c>
      <c r="JX109" s="225" t="s">
        <v>656</v>
      </c>
      <c r="JY109" s="322">
        <v>0</v>
      </c>
      <c r="JZ109" s="322" t="s">
        <v>470</v>
      </c>
      <c r="KA109" s="322"/>
      <c r="KB109" s="322"/>
      <c r="KC109" s="322">
        <v>130</v>
      </c>
      <c r="KD109" s="322"/>
      <c r="KE109" s="232"/>
      <c r="KF109" s="322"/>
      <c r="KG109" s="322" t="s">
        <v>470</v>
      </c>
      <c r="KH109" s="322"/>
      <c r="KI109" s="322"/>
      <c r="KJ109" s="322"/>
      <c r="KK109" s="322"/>
      <c r="KL109" s="322" t="s">
        <v>656</v>
      </c>
      <c r="KM109" s="322"/>
      <c r="KN109" s="322"/>
      <c r="KO109" s="322"/>
      <c r="KP109" s="322"/>
      <c r="KQ109" s="226"/>
      <c r="KR109" s="226"/>
      <c r="KS109" s="226"/>
      <c r="KT109" s="226"/>
      <c r="KU109" s="226"/>
      <c r="KV109" s="322" t="s">
        <v>656</v>
      </c>
      <c r="KW109" s="322"/>
      <c r="KX109" s="383"/>
      <c r="KY109" s="386"/>
      <c r="KZ109" s="322"/>
      <c r="LA109" s="322"/>
      <c r="LB109" s="322"/>
      <c r="LC109" s="322"/>
      <c r="LD109" s="322"/>
      <c r="LE109" s="322"/>
      <c r="LF109" s="322"/>
      <c r="LG109" s="322"/>
      <c r="LH109" s="322"/>
      <c r="LI109" s="322"/>
      <c r="LJ109" s="322"/>
      <c r="LK109" s="322"/>
      <c r="LL109" s="322"/>
      <c r="LM109" s="226"/>
      <c r="LN109" s="322">
        <v>0</v>
      </c>
      <c r="LO109" s="322">
        <v>0</v>
      </c>
      <c r="LP109" s="322">
        <v>0</v>
      </c>
      <c r="LQ109" s="322">
        <v>0</v>
      </c>
      <c r="LR109" s="322">
        <v>0</v>
      </c>
      <c r="LS109" s="322">
        <v>0</v>
      </c>
      <c r="LT109" s="346">
        <v>0</v>
      </c>
      <c r="LU109" s="322" t="e">
        <v>#REF!</v>
      </c>
      <c r="LV109" s="322"/>
      <c r="LW109" s="322"/>
      <c r="LX109" s="322"/>
      <c r="LY109" s="322"/>
      <c r="LZ109" s="322"/>
      <c r="MA109" s="322"/>
      <c r="MB109" s="322"/>
      <c r="MC109" s="322">
        <v>0</v>
      </c>
      <c r="MD109" s="322">
        <v>0</v>
      </c>
      <c r="ME109" s="322">
        <v>0</v>
      </c>
      <c r="MF109" s="322"/>
      <c r="MG109" s="226"/>
      <c r="MH109" s="226"/>
      <c r="MI109" s="226"/>
      <c r="MJ109" s="347"/>
      <c r="MK109" s="347"/>
      <c r="ML109" s="347" t="s">
        <v>656</v>
      </c>
      <c r="MM109" s="347"/>
      <c r="MN109" s="348"/>
      <c r="MO109" s="348"/>
      <c r="MP109" s="348"/>
      <c r="MQ109" s="348"/>
      <c r="MR109" s="348" t="s">
        <v>1482</v>
      </c>
      <c r="MS109" s="348"/>
      <c r="MT109" s="347"/>
      <c r="MU109" s="348"/>
      <c r="MV109" s="347"/>
      <c r="MW109" s="347"/>
      <c r="MX109" s="226"/>
      <c r="MY109" s="226"/>
      <c r="MZ109" s="226"/>
      <c r="NA109" s="226"/>
    </row>
    <row r="110" spans="1:365" ht="409.6" x14ac:dyDescent="0.2">
      <c r="A110" s="1216"/>
      <c r="B110" s="1217" t="s">
        <v>214</v>
      </c>
      <c r="C110" s="1218" t="s">
        <v>5551</v>
      </c>
      <c r="D110" s="215" t="s">
        <v>204</v>
      </c>
      <c r="E110" s="225" t="s">
        <v>470</v>
      </c>
      <c r="F110" s="225" t="s">
        <v>470</v>
      </c>
      <c r="G110" s="225" t="s">
        <v>539</v>
      </c>
      <c r="H110" s="225" t="s">
        <v>539</v>
      </c>
      <c r="I110" s="225" t="s">
        <v>539</v>
      </c>
      <c r="J110" s="225" t="s">
        <v>539</v>
      </c>
      <c r="K110" s="225" t="s">
        <v>470</v>
      </c>
      <c r="L110" s="225" t="s">
        <v>470</v>
      </c>
      <c r="M110" s="225" t="s">
        <v>470</v>
      </c>
      <c r="N110" s="225" t="s">
        <v>470</v>
      </c>
      <c r="O110" s="225" t="s">
        <v>470</v>
      </c>
      <c r="P110" s="400" t="s">
        <v>470</v>
      </c>
      <c r="Q110" s="322" t="s">
        <v>470</v>
      </c>
      <c r="R110" s="322" t="s">
        <v>470</v>
      </c>
      <c r="S110" s="225" t="s">
        <v>470</v>
      </c>
      <c r="T110" s="225"/>
      <c r="U110" s="225" t="s">
        <v>539</v>
      </c>
      <c r="V110" s="225" t="s">
        <v>5550</v>
      </c>
      <c r="W110" s="226"/>
      <c r="X110" s="226"/>
      <c r="Y110" s="226"/>
      <c r="Z110" s="226"/>
      <c r="AA110" s="226"/>
      <c r="AB110" s="226"/>
      <c r="AC110" s="226"/>
      <c r="AD110" s="226"/>
      <c r="AE110" s="226"/>
      <c r="AF110" s="225" t="s">
        <v>470</v>
      </c>
      <c r="AG110" s="225" t="s">
        <v>470</v>
      </c>
      <c r="AH110" s="226"/>
      <c r="AI110" s="225" t="s">
        <v>470</v>
      </c>
      <c r="AJ110" s="225" t="s">
        <v>470</v>
      </c>
      <c r="AK110" s="344" t="s">
        <v>470</v>
      </c>
      <c r="AL110" s="225" t="s">
        <v>470</v>
      </c>
      <c r="AM110" s="226"/>
      <c r="AN110" s="226"/>
      <c r="AO110" s="226"/>
      <c r="AP110" s="226"/>
      <c r="AQ110" s="225" t="s">
        <v>470</v>
      </c>
      <c r="AR110" s="225" t="s">
        <v>470</v>
      </c>
      <c r="AS110" s="225" t="s">
        <v>470</v>
      </c>
      <c r="AT110" s="225" t="s">
        <v>470</v>
      </c>
      <c r="AU110" s="225" t="s">
        <v>656</v>
      </c>
      <c r="AV110" s="225" t="s">
        <v>470</v>
      </c>
      <c r="AW110" s="225" t="s">
        <v>470</v>
      </c>
      <c r="AX110" s="225"/>
      <c r="AY110" s="229" t="s">
        <v>479</v>
      </c>
      <c r="AZ110" s="225" t="s">
        <v>470</v>
      </c>
      <c r="BA110" s="225"/>
      <c r="BB110" s="225" t="s">
        <v>479</v>
      </c>
      <c r="BC110" s="225" t="s">
        <v>479</v>
      </c>
      <c r="BD110" s="225" t="s">
        <v>5549</v>
      </c>
      <c r="BE110" s="229" t="s">
        <v>479</v>
      </c>
      <c r="BF110" s="225" t="s">
        <v>470</v>
      </c>
      <c r="BG110" s="225" t="s">
        <v>470</v>
      </c>
      <c r="BH110" s="225" t="s">
        <v>540</v>
      </c>
      <c r="BI110" s="225" t="s">
        <v>470</v>
      </c>
      <c r="BJ110" s="225" t="s">
        <v>470</v>
      </c>
      <c r="BK110" s="225" t="s">
        <v>470</v>
      </c>
      <c r="BL110" s="225"/>
      <c r="BM110" s="225" t="s">
        <v>470</v>
      </c>
      <c r="BN110" s="226"/>
      <c r="BO110" s="225" t="s">
        <v>470</v>
      </c>
      <c r="BP110" s="225"/>
      <c r="BQ110" s="225" t="s">
        <v>470</v>
      </c>
      <c r="BR110" s="233" t="s">
        <v>470</v>
      </c>
      <c r="BS110" s="225"/>
      <c r="BT110" s="225"/>
      <c r="BU110" s="225"/>
      <c r="BV110" s="225" t="s">
        <v>470</v>
      </c>
      <c r="BW110" s="225" t="s">
        <v>470</v>
      </c>
      <c r="BX110" s="225"/>
      <c r="BY110" s="225" t="s">
        <v>470</v>
      </c>
      <c r="BZ110" s="225"/>
      <c r="CA110" s="225" t="s">
        <v>470</v>
      </c>
      <c r="CB110" s="225" t="s">
        <v>470</v>
      </c>
      <c r="CC110" s="225" t="s">
        <v>479</v>
      </c>
      <c r="CD110" s="229" t="s">
        <v>470</v>
      </c>
      <c r="CE110" s="229" t="s">
        <v>470</v>
      </c>
      <c r="CF110" s="229"/>
      <c r="CG110" s="229" t="s">
        <v>470</v>
      </c>
      <c r="CH110" s="229"/>
      <c r="CI110" s="229"/>
      <c r="CJ110" s="229" t="s">
        <v>470</v>
      </c>
      <c r="CK110" s="229"/>
      <c r="CL110" s="229" t="s">
        <v>470</v>
      </c>
      <c r="CM110" s="229" t="s">
        <v>470</v>
      </c>
      <c r="CN110" s="225"/>
      <c r="CO110" s="225" t="s">
        <v>470</v>
      </c>
      <c r="CP110" s="225" t="s">
        <v>470</v>
      </c>
      <c r="CQ110" s="406" t="s">
        <v>470</v>
      </c>
      <c r="CR110" s="394"/>
      <c r="CS110" s="225" t="s">
        <v>470</v>
      </c>
      <c r="CT110" s="225"/>
      <c r="CU110" s="322" t="s">
        <v>470</v>
      </c>
      <c r="CV110" s="225" t="s">
        <v>470</v>
      </c>
      <c r="CW110" s="225" t="s">
        <v>656</v>
      </c>
      <c r="CX110" s="225" t="s">
        <v>470</v>
      </c>
      <c r="CY110" s="225" t="s">
        <v>470</v>
      </c>
      <c r="CZ110" s="225"/>
      <c r="DA110" s="225"/>
      <c r="DB110" s="225" t="s">
        <v>470</v>
      </c>
      <c r="DC110" s="225" t="s">
        <v>470</v>
      </c>
      <c r="DD110" s="225" t="s">
        <v>470</v>
      </c>
      <c r="DE110" s="225"/>
      <c r="DF110" s="225" t="s">
        <v>470</v>
      </c>
      <c r="DG110" s="225" t="s">
        <v>470</v>
      </c>
      <c r="DH110" s="225" t="s">
        <v>470</v>
      </c>
      <c r="DI110" s="225" t="s">
        <v>470</v>
      </c>
      <c r="DJ110" s="225" t="s">
        <v>470</v>
      </c>
      <c r="DK110" s="225" t="s">
        <v>470</v>
      </c>
      <c r="DL110" s="225" t="s">
        <v>470</v>
      </c>
      <c r="DM110" s="225"/>
      <c r="DN110" s="225" t="s">
        <v>470</v>
      </c>
      <c r="DO110" s="225"/>
      <c r="DP110" s="225" t="s">
        <v>470</v>
      </c>
      <c r="DQ110" s="225" t="s">
        <v>470</v>
      </c>
      <c r="DR110" s="225" t="s">
        <v>470</v>
      </c>
      <c r="DS110" s="225" t="s">
        <v>470</v>
      </c>
      <c r="DT110" s="225" t="s">
        <v>470</v>
      </c>
      <c r="DU110" s="225" t="s">
        <v>470</v>
      </c>
      <c r="DV110" s="225" t="s">
        <v>470</v>
      </c>
      <c r="DW110" s="246" t="s">
        <v>470</v>
      </c>
      <c r="DX110" s="225" t="s">
        <v>470</v>
      </c>
      <c r="DY110" s="225" t="s">
        <v>539</v>
      </c>
      <c r="DZ110" s="225" t="s">
        <v>470</v>
      </c>
      <c r="EA110" s="225" t="s">
        <v>470</v>
      </c>
      <c r="EB110" s="225" t="s">
        <v>470</v>
      </c>
      <c r="EC110" s="226"/>
      <c r="ED110" s="225" t="s">
        <v>470</v>
      </c>
      <c r="EE110" s="225" t="s">
        <v>470</v>
      </c>
      <c r="EF110" s="225"/>
      <c r="EG110" s="226"/>
      <c r="EH110" s="225" t="s">
        <v>470</v>
      </c>
      <c r="EI110" s="225" t="s">
        <v>470</v>
      </c>
      <c r="EJ110" s="226"/>
      <c r="EK110" s="226"/>
      <c r="EL110" s="226"/>
      <c r="EM110" s="226"/>
      <c r="EN110" s="226"/>
      <c r="EO110" s="226"/>
      <c r="EP110" s="226"/>
      <c r="EQ110" s="226"/>
      <c r="ER110" s="225" t="s">
        <v>470</v>
      </c>
      <c r="ES110" s="225" t="s">
        <v>470</v>
      </c>
      <c r="ET110" s="322" t="s">
        <v>470</v>
      </c>
      <c r="EU110" s="322" t="s">
        <v>470</v>
      </c>
      <c r="EV110" s="322" t="s">
        <v>470</v>
      </c>
      <c r="EW110" s="225" t="s">
        <v>470</v>
      </c>
      <c r="EX110" s="225" t="s">
        <v>470</v>
      </c>
      <c r="EY110" s="225" t="s">
        <v>470</v>
      </c>
      <c r="EZ110" s="229" t="s">
        <v>479</v>
      </c>
      <c r="FA110" s="225" t="s">
        <v>470</v>
      </c>
      <c r="FB110" s="225" t="s">
        <v>470</v>
      </c>
      <c r="FC110" s="225"/>
      <c r="FD110" s="226"/>
      <c r="FE110" s="404" t="s">
        <v>539</v>
      </c>
      <c r="FF110" s="225" t="s">
        <v>470</v>
      </c>
      <c r="FG110" s="322" t="s">
        <v>470</v>
      </c>
      <c r="FH110" s="322" t="s">
        <v>470</v>
      </c>
      <c r="FI110" s="465" t="s">
        <v>470</v>
      </c>
      <c r="FJ110" s="465" t="s">
        <v>470</v>
      </c>
      <c r="FK110" s="465"/>
      <c r="FL110" s="465" t="s">
        <v>470</v>
      </c>
      <c r="FM110" s="225" t="s">
        <v>470</v>
      </c>
      <c r="FN110" s="225"/>
      <c r="FO110" s="394" t="s">
        <v>470</v>
      </c>
      <c r="FP110" s="394"/>
      <c r="FQ110" s="465" t="s">
        <v>470</v>
      </c>
      <c r="FR110" s="394"/>
      <c r="FS110" s="394"/>
      <c r="FT110" s="394" t="s">
        <v>479</v>
      </c>
      <c r="FU110" s="226"/>
      <c r="FV110" s="394"/>
      <c r="FW110" s="394"/>
      <c r="FX110" s="394"/>
      <c r="FY110" s="226"/>
      <c r="FZ110" s="394"/>
      <c r="GA110" s="394"/>
      <c r="GB110" s="394"/>
      <c r="GC110" s="394"/>
      <c r="GD110" s="394" t="s">
        <v>470</v>
      </c>
      <c r="GE110" s="394"/>
      <c r="GF110" s="394"/>
      <c r="GG110" s="394" t="s">
        <v>470</v>
      </c>
      <c r="GH110" s="394" t="s">
        <v>470</v>
      </c>
      <c r="GI110" s="226"/>
      <c r="GJ110" s="394" t="s">
        <v>470</v>
      </c>
      <c r="GK110" s="394"/>
      <c r="GL110" s="394" t="s">
        <v>470</v>
      </c>
      <c r="GM110" s="394"/>
      <c r="GN110" s="394"/>
      <c r="GO110" s="226"/>
      <c r="GP110" s="394"/>
      <c r="GQ110" s="226"/>
      <c r="GR110" s="394"/>
      <c r="GS110" s="394"/>
      <c r="GT110" s="394"/>
      <c r="GU110" s="394" t="s">
        <v>470</v>
      </c>
      <c r="GV110" s="394" t="s">
        <v>470</v>
      </c>
      <c r="GW110" s="226"/>
      <c r="GX110" s="225" t="s">
        <v>470</v>
      </c>
      <c r="GY110" s="225" t="s">
        <v>470</v>
      </c>
      <c r="GZ110" s="394" t="s">
        <v>470</v>
      </c>
      <c r="HA110" s="225" t="s">
        <v>470</v>
      </c>
      <c r="HB110" s="225" t="s">
        <v>470</v>
      </c>
      <c r="HC110" s="225" t="s">
        <v>470</v>
      </c>
      <c r="HD110" s="225" t="s">
        <v>470</v>
      </c>
      <c r="HE110" s="225" t="s">
        <v>470</v>
      </c>
      <c r="HF110" s="226"/>
      <c r="HG110" s="227" t="s">
        <v>470</v>
      </c>
      <c r="HH110" s="227" t="s">
        <v>470</v>
      </c>
      <c r="HI110" s="227" t="s">
        <v>470</v>
      </c>
      <c r="HJ110" s="225" t="s">
        <v>470</v>
      </c>
      <c r="HK110" s="227" t="s">
        <v>656</v>
      </c>
      <c r="HL110" s="226"/>
      <c r="HM110" s="225" t="s">
        <v>470</v>
      </c>
      <c r="HN110" s="226"/>
      <c r="HO110" s="225" t="s">
        <v>470</v>
      </c>
      <c r="HP110" s="225" t="s">
        <v>470</v>
      </c>
      <c r="HQ110" s="225" t="s">
        <v>873</v>
      </c>
      <c r="HR110" s="225" t="s">
        <v>873</v>
      </c>
      <c r="HS110" s="225" t="s">
        <v>470</v>
      </c>
      <c r="HT110" s="294" t="s">
        <v>470</v>
      </c>
      <c r="HU110" s="225" t="s">
        <v>470</v>
      </c>
      <c r="HV110" s="225" t="s">
        <v>470</v>
      </c>
      <c r="HW110" s="225" t="s">
        <v>470</v>
      </c>
      <c r="HX110" s="225" t="s">
        <v>470</v>
      </c>
      <c r="HY110" s="225"/>
      <c r="HZ110" s="225" t="s">
        <v>470</v>
      </c>
      <c r="IA110" s="225" t="s">
        <v>470</v>
      </c>
      <c r="IB110" s="225"/>
      <c r="IC110" s="225"/>
      <c r="ID110" s="322" t="s">
        <v>470</v>
      </c>
      <c r="IE110" s="225" t="s">
        <v>470</v>
      </c>
      <c r="IF110" s="322" t="s">
        <v>470</v>
      </c>
      <c r="IG110" s="225" t="s">
        <v>470</v>
      </c>
      <c r="IH110" s="229" t="s">
        <v>470</v>
      </c>
      <c r="II110" s="225" t="s">
        <v>470</v>
      </c>
      <c r="IJ110" s="225" t="s">
        <v>470</v>
      </c>
      <c r="IK110" s="225" t="s">
        <v>470</v>
      </c>
      <c r="IL110" s="225" t="s">
        <v>539</v>
      </c>
      <c r="IM110" s="225" t="s">
        <v>539</v>
      </c>
      <c r="IN110" s="225" t="s">
        <v>470</v>
      </c>
      <c r="IO110" s="225" t="s">
        <v>470</v>
      </c>
      <c r="IP110" s="225" t="s">
        <v>470</v>
      </c>
      <c r="IQ110" s="225" t="s">
        <v>470</v>
      </c>
      <c r="IR110" s="225" t="s">
        <v>470</v>
      </c>
      <c r="IS110" s="225" t="s">
        <v>470</v>
      </c>
      <c r="IT110" s="225" t="s">
        <v>470</v>
      </c>
      <c r="IU110" s="225" t="s">
        <v>470</v>
      </c>
      <c r="IV110" s="225" t="s">
        <v>470</v>
      </c>
      <c r="IW110" s="225" t="s">
        <v>470</v>
      </c>
      <c r="IX110" s="225" t="s">
        <v>470</v>
      </c>
      <c r="IY110" s="225" t="s">
        <v>470</v>
      </c>
      <c r="IZ110" s="225"/>
      <c r="JA110" s="225"/>
      <c r="JB110" s="225"/>
      <c r="JC110" s="225" t="s">
        <v>470</v>
      </c>
      <c r="JD110" s="225" t="s">
        <v>470</v>
      </c>
      <c r="JE110" s="226"/>
      <c r="JF110" s="226"/>
      <c r="JG110" s="226"/>
      <c r="JH110" s="225" t="s">
        <v>470</v>
      </c>
      <c r="JI110" s="225" t="s">
        <v>470</v>
      </c>
      <c r="JJ110" s="225" t="s">
        <v>470</v>
      </c>
      <c r="JK110" s="237" t="s">
        <v>470</v>
      </c>
      <c r="JL110" s="225" t="s">
        <v>656</v>
      </c>
      <c r="JM110" s="225" t="s">
        <v>470</v>
      </c>
      <c r="JN110" s="226"/>
      <c r="JO110" s="226"/>
      <c r="JP110" s="226"/>
      <c r="JQ110" s="225" t="s">
        <v>470</v>
      </c>
      <c r="JR110" s="225" t="s">
        <v>470</v>
      </c>
      <c r="JS110" s="225" t="s">
        <v>470</v>
      </c>
      <c r="JT110" s="225" t="s">
        <v>470</v>
      </c>
      <c r="JU110" s="225" t="s">
        <v>470</v>
      </c>
      <c r="JV110" s="225" t="s">
        <v>470</v>
      </c>
      <c r="JW110" s="225" t="s">
        <v>470</v>
      </c>
      <c r="JX110" s="225" t="s">
        <v>470</v>
      </c>
      <c r="JY110" s="225" t="s">
        <v>470</v>
      </c>
      <c r="JZ110" s="225" t="s">
        <v>470</v>
      </c>
      <c r="KA110" s="225" t="s">
        <v>470</v>
      </c>
      <c r="KB110" s="225" t="s">
        <v>470</v>
      </c>
      <c r="KC110" s="322" t="s">
        <v>470</v>
      </c>
      <c r="KD110" s="225" t="s">
        <v>470</v>
      </c>
      <c r="KE110" s="232" t="s">
        <v>470</v>
      </c>
      <c r="KF110" s="225" t="s">
        <v>470</v>
      </c>
      <c r="KG110" s="225" t="s">
        <v>470</v>
      </c>
      <c r="KH110" s="225"/>
      <c r="KI110" s="225" t="s">
        <v>470</v>
      </c>
      <c r="KJ110" s="322" t="s">
        <v>470</v>
      </c>
      <c r="KK110" s="225" t="s">
        <v>470</v>
      </c>
      <c r="KL110" s="225" t="s">
        <v>470</v>
      </c>
      <c r="KM110" s="225" t="s">
        <v>470</v>
      </c>
      <c r="KN110" s="225" t="s">
        <v>470</v>
      </c>
      <c r="KO110" s="225" t="s">
        <v>470</v>
      </c>
      <c r="KP110" s="225" t="s">
        <v>470</v>
      </c>
      <c r="KQ110" s="226"/>
      <c r="KR110" s="226"/>
      <c r="KS110" s="226"/>
      <c r="KT110" s="226"/>
      <c r="KU110" s="226"/>
      <c r="KV110" s="225" t="s">
        <v>656</v>
      </c>
      <c r="KW110" s="225" t="s">
        <v>470</v>
      </c>
      <c r="KX110" s="228" t="s">
        <v>470</v>
      </c>
      <c r="KY110" s="793"/>
      <c r="KZ110" s="225" t="s">
        <v>470</v>
      </c>
      <c r="LA110" s="225" t="s">
        <v>470</v>
      </c>
      <c r="LB110" s="225"/>
      <c r="LC110" s="322" t="s">
        <v>470</v>
      </c>
      <c r="LD110" s="225" t="s">
        <v>470</v>
      </c>
      <c r="LE110" s="225" t="s">
        <v>873</v>
      </c>
      <c r="LF110" s="225" t="s">
        <v>470</v>
      </c>
      <c r="LG110" s="225" t="s">
        <v>470</v>
      </c>
      <c r="LH110" s="225" t="s">
        <v>470</v>
      </c>
      <c r="LI110" s="225" t="s">
        <v>470</v>
      </c>
      <c r="LJ110" s="225" t="s">
        <v>470</v>
      </c>
      <c r="LK110" s="225" t="s">
        <v>470</v>
      </c>
      <c r="LL110" s="225"/>
      <c r="LM110" s="226"/>
      <c r="LN110" s="225" t="s">
        <v>470</v>
      </c>
      <c r="LO110" s="225" t="s">
        <v>470</v>
      </c>
      <c r="LP110" s="225"/>
      <c r="LQ110" s="225" t="s">
        <v>470</v>
      </c>
      <c r="LR110" s="225" t="s">
        <v>470</v>
      </c>
      <c r="LS110" s="225" t="s">
        <v>470</v>
      </c>
      <c r="LT110" s="234" t="s">
        <v>470</v>
      </c>
      <c r="LU110" s="225"/>
      <c r="LV110" s="225" t="s">
        <v>470</v>
      </c>
      <c r="LW110" s="225" t="s">
        <v>470</v>
      </c>
      <c r="LX110" s="225" t="s">
        <v>470</v>
      </c>
      <c r="LY110" s="225" t="s">
        <v>470</v>
      </c>
      <c r="LZ110" s="225" t="s">
        <v>470</v>
      </c>
      <c r="MA110" s="225" t="s">
        <v>470</v>
      </c>
      <c r="MB110" s="225" t="s">
        <v>470</v>
      </c>
      <c r="MC110" s="225" t="s">
        <v>470</v>
      </c>
      <c r="MD110" s="225" t="s">
        <v>470</v>
      </c>
      <c r="ME110" s="225" t="s">
        <v>470</v>
      </c>
      <c r="MF110" s="225" t="s">
        <v>470</v>
      </c>
      <c r="MG110" s="226"/>
      <c r="MH110" s="226"/>
      <c r="MI110" s="226"/>
      <c r="MJ110" s="235" t="s">
        <v>470</v>
      </c>
      <c r="MK110" s="235"/>
      <c r="ML110" s="235" t="s">
        <v>540</v>
      </c>
      <c r="MM110" s="235" t="s">
        <v>470</v>
      </c>
      <c r="MN110" s="236"/>
      <c r="MO110" s="236" t="s">
        <v>470</v>
      </c>
      <c r="MP110" s="236" t="s">
        <v>470</v>
      </c>
      <c r="MQ110" s="236" t="s">
        <v>470</v>
      </c>
      <c r="MR110" s="236" t="s">
        <v>470</v>
      </c>
      <c r="MS110" s="236" t="s">
        <v>539</v>
      </c>
      <c r="MT110" s="235" t="s">
        <v>479</v>
      </c>
      <c r="MU110" s="236"/>
      <c r="MV110" s="235" t="s">
        <v>470</v>
      </c>
      <c r="MW110" s="235" t="s">
        <v>470</v>
      </c>
      <c r="MX110" s="226"/>
      <c r="MY110" s="226"/>
      <c r="MZ110" s="226"/>
      <c r="NA110" s="226"/>
    </row>
    <row r="111" spans="1:365" ht="306" x14ac:dyDescent="0.2">
      <c r="A111" s="1216"/>
      <c r="B111" s="1217"/>
      <c r="C111" s="1218"/>
      <c r="D111" s="215" t="s">
        <v>205</v>
      </c>
      <c r="E111" s="225"/>
      <c r="F111" s="225"/>
      <c r="G111" s="225" t="s">
        <v>656</v>
      </c>
      <c r="H111" s="225" t="s">
        <v>656</v>
      </c>
      <c r="I111" s="322" t="s">
        <v>656</v>
      </c>
      <c r="J111" s="225" t="s">
        <v>656</v>
      </c>
      <c r="K111" s="225" t="s">
        <v>1924</v>
      </c>
      <c r="L111" s="225" t="s">
        <v>1924</v>
      </c>
      <c r="M111" s="225" t="s">
        <v>1924</v>
      </c>
      <c r="N111" s="225" t="s">
        <v>1924</v>
      </c>
      <c r="O111" s="225" t="s">
        <v>1924</v>
      </c>
      <c r="P111" s="400" t="s">
        <v>1924</v>
      </c>
      <c r="Q111" s="225" t="s">
        <v>1924</v>
      </c>
      <c r="R111" s="322"/>
      <c r="S111" s="225"/>
      <c r="T111" s="225"/>
      <c r="U111" s="225"/>
      <c r="V111" s="225"/>
      <c r="W111" s="226"/>
      <c r="X111" s="226"/>
      <c r="Y111" s="226"/>
      <c r="Z111" s="226"/>
      <c r="AA111" s="226"/>
      <c r="AB111" s="226"/>
      <c r="AC111" s="226"/>
      <c r="AD111" s="226"/>
      <c r="AE111" s="226"/>
      <c r="AF111" s="225" t="s">
        <v>1447</v>
      </c>
      <c r="AG111" s="225"/>
      <c r="AH111" s="226"/>
      <c r="AI111" s="225"/>
      <c r="AJ111" s="225"/>
      <c r="AK111" s="344"/>
      <c r="AL111" s="225"/>
      <c r="AM111" s="226"/>
      <c r="AN111" s="226"/>
      <c r="AO111" s="226"/>
      <c r="AP111" s="226"/>
      <c r="AQ111" s="225"/>
      <c r="AR111" s="225"/>
      <c r="AS111" s="225"/>
      <c r="AT111" s="225" t="s">
        <v>470</v>
      </c>
      <c r="AU111" s="225" t="s">
        <v>656</v>
      </c>
      <c r="AV111" s="322"/>
      <c r="AW111" s="225"/>
      <c r="AX111" s="225"/>
      <c r="AY111" s="229" t="s">
        <v>9499</v>
      </c>
      <c r="AZ111" s="225"/>
      <c r="BA111" s="225"/>
      <c r="BB111" s="225" t="s">
        <v>1336</v>
      </c>
      <c r="BC111" s="225" t="s">
        <v>5548</v>
      </c>
      <c r="BD111" s="225"/>
      <c r="BE111" s="229"/>
      <c r="BF111" s="225"/>
      <c r="BG111" s="225"/>
      <c r="BH111" s="225" t="s">
        <v>5547</v>
      </c>
      <c r="BI111" s="225" t="s">
        <v>656</v>
      </c>
      <c r="BJ111" s="225"/>
      <c r="BK111" s="225"/>
      <c r="BL111" s="225"/>
      <c r="BM111" s="225"/>
      <c r="BN111" s="226"/>
      <c r="BO111" s="225"/>
      <c r="BP111" s="225"/>
      <c r="BQ111" s="225"/>
      <c r="BR111" s="233" t="s">
        <v>205</v>
      </c>
      <c r="BS111" s="225"/>
      <c r="BT111" s="225"/>
      <c r="BU111" s="225"/>
      <c r="BV111" s="225"/>
      <c r="BW111" s="225"/>
      <c r="BX111" s="225"/>
      <c r="BY111" s="225"/>
      <c r="BZ111" s="225"/>
      <c r="CA111" s="225"/>
      <c r="CB111" s="225"/>
      <c r="CC111" s="225" t="s">
        <v>5546</v>
      </c>
      <c r="CD111" s="229"/>
      <c r="CE111" s="229"/>
      <c r="CF111" s="229"/>
      <c r="CG111" s="229"/>
      <c r="CH111" s="229"/>
      <c r="CI111" s="229"/>
      <c r="CJ111" s="229"/>
      <c r="CK111" s="229"/>
      <c r="CL111" s="229"/>
      <c r="CM111" s="229"/>
      <c r="CN111" s="225"/>
      <c r="CO111" s="225"/>
      <c r="CP111" s="225"/>
      <c r="CQ111" s="406"/>
      <c r="CR111" s="394"/>
      <c r="CS111" s="225"/>
      <c r="CT111" s="225"/>
      <c r="CU111" s="322">
        <v>0</v>
      </c>
      <c r="CV111" s="225"/>
      <c r="CW111" s="225" t="s">
        <v>656</v>
      </c>
      <c r="CX111" s="225"/>
      <c r="CY111" s="225"/>
      <c r="CZ111" s="225"/>
      <c r="DA111" s="225"/>
      <c r="DB111" s="225"/>
      <c r="DC111" s="225"/>
      <c r="DD111" s="225"/>
      <c r="DE111" s="225"/>
      <c r="DF111" s="225"/>
      <c r="DG111" s="225"/>
      <c r="DH111" s="225"/>
      <c r="DI111" s="225"/>
      <c r="DJ111" s="225"/>
      <c r="DK111" s="225"/>
      <c r="DL111" s="225"/>
      <c r="DM111" s="225"/>
      <c r="DN111" s="225" t="s">
        <v>656</v>
      </c>
      <c r="DO111" s="225"/>
      <c r="DP111" s="225" t="s">
        <v>470</v>
      </c>
      <c r="DQ111" s="225" t="s">
        <v>470</v>
      </c>
      <c r="DR111" s="225" t="s">
        <v>470</v>
      </c>
      <c r="DS111" s="225" t="s">
        <v>470</v>
      </c>
      <c r="DT111" s="225" t="s">
        <v>470</v>
      </c>
      <c r="DU111" s="225" t="s">
        <v>470</v>
      </c>
      <c r="DV111" s="225"/>
      <c r="DW111" s="246" t="s">
        <v>2234</v>
      </c>
      <c r="DX111" s="225"/>
      <c r="DY111" s="225"/>
      <c r="DZ111" s="225"/>
      <c r="EA111" s="225"/>
      <c r="EB111" s="225"/>
      <c r="EC111" s="226"/>
      <c r="ED111" s="225"/>
      <c r="EE111" s="225" t="s">
        <v>656</v>
      </c>
      <c r="EF111" s="225"/>
      <c r="EG111" s="226"/>
      <c r="EH111" s="225"/>
      <c r="EI111" s="225" t="s">
        <v>656</v>
      </c>
      <c r="EJ111" s="226"/>
      <c r="EK111" s="226"/>
      <c r="EL111" s="226"/>
      <c r="EM111" s="226"/>
      <c r="EN111" s="226"/>
      <c r="EO111" s="226"/>
      <c r="EP111" s="226"/>
      <c r="EQ111" s="226"/>
      <c r="ER111" s="225"/>
      <c r="ES111" s="225"/>
      <c r="ET111" s="322"/>
      <c r="EU111" s="322"/>
      <c r="EV111" s="322"/>
      <c r="EW111" s="225"/>
      <c r="EX111" s="225"/>
      <c r="EY111" s="225"/>
      <c r="EZ111" s="229"/>
      <c r="FA111" s="225"/>
      <c r="FB111" s="225"/>
      <c r="FC111" s="225"/>
      <c r="FD111" s="226"/>
      <c r="FE111" s="404"/>
      <c r="FF111" s="322" t="s">
        <v>470</v>
      </c>
      <c r="FG111" s="322" t="s">
        <v>470</v>
      </c>
      <c r="FH111" s="322" t="s">
        <v>470</v>
      </c>
      <c r="FI111" s="465" t="s">
        <v>656</v>
      </c>
      <c r="FJ111" s="465" t="s">
        <v>656</v>
      </c>
      <c r="FK111" s="465"/>
      <c r="FL111" s="465" t="s">
        <v>656</v>
      </c>
      <c r="FM111" s="225"/>
      <c r="FN111" s="225"/>
      <c r="FO111" s="394"/>
      <c r="FP111" s="394"/>
      <c r="FQ111" s="465" t="s">
        <v>656</v>
      </c>
      <c r="FR111" s="394"/>
      <c r="FS111" s="394"/>
      <c r="FT111" s="394"/>
      <c r="FU111" s="226"/>
      <c r="FV111" s="394"/>
      <c r="FW111" s="394"/>
      <c r="FX111" s="394"/>
      <c r="FY111" s="226"/>
      <c r="FZ111" s="394"/>
      <c r="GA111" s="394"/>
      <c r="GB111" s="394"/>
      <c r="GC111" s="394"/>
      <c r="GD111" s="394"/>
      <c r="GE111" s="394"/>
      <c r="GF111" s="394"/>
      <c r="GG111" s="394" t="s">
        <v>4906</v>
      </c>
      <c r="GH111" s="394" t="s">
        <v>4906</v>
      </c>
      <c r="GI111" s="226"/>
      <c r="GJ111" s="394"/>
      <c r="GK111" s="394"/>
      <c r="GL111" s="394"/>
      <c r="GM111" s="394"/>
      <c r="GN111" s="394"/>
      <c r="GO111" s="226"/>
      <c r="GP111" s="394"/>
      <c r="GQ111" s="226"/>
      <c r="GR111" s="394"/>
      <c r="GS111" s="394"/>
      <c r="GT111" s="394"/>
      <c r="GU111" s="394"/>
      <c r="GV111" s="394"/>
      <c r="GW111" s="226"/>
      <c r="GX111" s="225"/>
      <c r="GY111" s="225"/>
      <c r="GZ111" s="394"/>
      <c r="HA111" s="225"/>
      <c r="HB111" s="225"/>
      <c r="HC111" s="225"/>
      <c r="HD111" s="225"/>
      <c r="HE111" s="225"/>
      <c r="HF111" s="226"/>
      <c r="HG111" s="227" t="s">
        <v>656</v>
      </c>
      <c r="HH111" s="227" t="s">
        <v>656</v>
      </c>
      <c r="HI111" s="227" t="s">
        <v>656</v>
      </c>
      <c r="HJ111" s="225" t="s">
        <v>656</v>
      </c>
      <c r="HK111" s="227" t="s">
        <v>656</v>
      </c>
      <c r="HL111" s="226"/>
      <c r="HM111" s="225"/>
      <c r="HN111" s="226"/>
      <c r="HO111" s="225"/>
      <c r="HP111" s="225"/>
      <c r="HQ111" s="225"/>
      <c r="HR111" s="225"/>
      <c r="HS111" s="225"/>
      <c r="HT111" s="225"/>
      <c r="HU111" s="225"/>
      <c r="HV111" s="225"/>
      <c r="HW111" s="225"/>
      <c r="HX111" s="225"/>
      <c r="HY111" s="225"/>
      <c r="HZ111" s="225" t="s">
        <v>656</v>
      </c>
      <c r="IA111" s="225"/>
      <c r="IB111" s="225"/>
      <c r="IC111" s="225"/>
      <c r="ID111" s="225"/>
      <c r="IE111" s="225"/>
      <c r="IF111" s="225"/>
      <c r="IG111" s="225"/>
      <c r="IH111" s="229"/>
      <c r="II111" s="225"/>
      <c r="IJ111" s="225"/>
      <c r="IK111" s="225"/>
      <c r="IL111" s="225"/>
      <c r="IM111" s="225"/>
      <c r="IN111" s="225"/>
      <c r="IO111" s="225"/>
      <c r="IP111" s="225"/>
      <c r="IQ111" s="225"/>
      <c r="IR111" s="225"/>
      <c r="IS111" s="225"/>
      <c r="IT111" s="225"/>
      <c r="IU111" s="225"/>
      <c r="IV111" s="225"/>
      <c r="IW111" s="225"/>
      <c r="IX111" s="225"/>
      <c r="IY111" s="225" t="s">
        <v>656</v>
      </c>
      <c r="IZ111" s="225"/>
      <c r="JA111" s="225"/>
      <c r="JB111" s="225"/>
      <c r="JC111" s="225" t="s">
        <v>656</v>
      </c>
      <c r="JD111" s="225" t="s">
        <v>656</v>
      </c>
      <c r="JE111" s="226"/>
      <c r="JF111" s="226"/>
      <c r="JG111" s="226"/>
      <c r="JH111" s="225"/>
      <c r="JI111" s="225"/>
      <c r="JJ111" s="225" t="s">
        <v>656</v>
      </c>
      <c r="JK111" s="237"/>
      <c r="JL111" s="225" t="s">
        <v>656</v>
      </c>
      <c r="JM111" s="225"/>
      <c r="JN111" s="226"/>
      <c r="JO111" s="226"/>
      <c r="JP111" s="226"/>
      <c r="JQ111" s="225"/>
      <c r="JR111" s="225"/>
      <c r="JS111" s="225"/>
      <c r="JT111" s="225"/>
      <c r="JU111" s="225"/>
      <c r="JV111" s="225"/>
      <c r="JW111" s="225" t="s">
        <v>656</v>
      </c>
      <c r="JX111" s="225" t="s">
        <v>656</v>
      </c>
      <c r="JY111" s="225" t="s">
        <v>470</v>
      </c>
      <c r="JZ111" s="225" t="s">
        <v>470</v>
      </c>
      <c r="KA111" s="225"/>
      <c r="KB111" s="225"/>
      <c r="KC111" s="322" t="s">
        <v>470</v>
      </c>
      <c r="KD111" s="225"/>
      <c r="KE111" s="232"/>
      <c r="KF111" s="225"/>
      <c r="KG111" s="225" t="s">
        <v>470</v>
      </c>
      <c r="KH111" s="225"/>
      <c r="KI111" s="225"/>
      <c r="KJ111" s="225"/>
      <c r="KK111" s="225"/>
      <c r="KL111" s="225" t="s">
        <v>656</v>
      </c>
      <c r="KM111" s="225"/>
      <c r="KN111" s="225"/>
      <c r="KO111" s="225"/>
      <c r="KP111" s="225"/>
      <c r="KQ111" s="226"/>
      <c r="KR111" s="226"/>
      <c r="KS111" s="226"/>
      <c r="KT111" s="226"/>
      <c r="KU111" s="226"/>
      <c r="KV111" s="225" t="s">
        <v>656</v>
      </c>
      <c r="KW111" s="225"/>
      <c r="KX111" s="228"/>
      <c r="KY111" s="793"/>
      <c r="KZ111" s="225"/>
      <c r="LA111" s="225"/>
      <c r="LB111" s="225"/>
      <c r="LC111" s="225"/>
      <c r="LD111" s="225"/>
      <c r="LE111" s="225"/>
      <c r="LF111" s="225"/>
      <c r="LG111" s="225"/>
      <c r="LH111" s="225"/>
      <c r="LI111" s="225"/>
      <c r="LJ111" s="225"/>
      <c r="LK111" s="225"/>
      <c r="LL111" s="225"/>
      <c r="LM111" s="226"/>
      <c r="LN111" s="225"/>
      <c r="LO111" s="225"/>
      <c r="LP111" s="225"/>
      <c r="LQ111" s="225"/>
      <c r="LR111" s="225"/>
      <c r="LS111" s="225"/>
      <c r="LT111" s="234"/>
      <c r="LU111" s="225"/>
      <c r="LV111" s="225"/>
      <c r="LW111" s="225"/>
      <c r="LX111" s="225"/>
      <c r="LY111" s="225"/>
      <c r="LZ111" s="225"/>
      <c r="MA111" s="225"/>
      <c r="MB111" s="225"/>
      <c r="MC111" s="225"/>
      <c r="MD111" s="225"/>
      <c r="ME111" s="225"/>
      <c r="MF111" s="225"/>
      <c r="MG111" s="226"/>
      <c r="MH111" s="226"/>
      <c r="MI111" s="226"/>
      <c r="MJ111" s="235"/>
      <c r="MK111" s="235"/>
      <c r="ML111" s="235" t="s">
        <v>5545</v>
      </c>
      <c r="MM111" s="235"/>
      <c r="MN111" s="236"/>
      <c r="MO111" s="236"/>
      <c r="MP111" s="236"/>
      <c r="MQ111" s="236"/>
      <c r="MR111" s="236" t="s">
        <v>1482</v>
      </c>
      <c r="MS111" s="236"/>
      <c r="MT111" s="235" t="s">
        <v>5544</v>
      </c>
      <c r="MU111" s="236"/>
      <c r="MV111" s="235"/>
      <c r="MW111" s="235"/>
      <c r="MX111" s="226"/>
      <c r="MY111" s="226"/>
      <c r="MZ111" s="226"/>
      <c r="NA111" s="226"/>
    </row>
    <row r="112" spans="1:365" ht="51" x14ac:dyDescent="0.2">
      <c r="A112" s="1216"/>
      <c r="B112" s="1217"/>
      <c r="C112" s="1218"/>
      <c r="D112" s="215" t="s">
        <v>209</v>
      </c>
      <c r="E112" s="322"/>
      <c r="F112" s="322"/>
      <c r="G112" s="322" t="s">
        <v>656</v>
      </c>
      <c r="H112" s="322" t="s">
        <v>656</v>
      </c>
      <c r="I112" s="225" t="s">
        <v>656</v>
      </c>
      <c r="J112" s="322" t="s">
        <v>656</v>
      </c>
      <c r="K112" s="322">
        <v>0</v>
      </c>
      <c r="L112" s="225">
        <v>0</v>
      </c>
      <c r="M112" s="322">
        <v>0</v>
      </c>
      <c r="N112" s="322">
        <v>0</v>
      </c>
      <c r="O112" s="322">
        <v>0</v>
      </c>
      <c r="P112" s="463">
        <v>0</v>
      </c>
      <c r="Q112" s="322">
        <v>0</v>
      </c>
      <c r="R112" s="322"/>
      <c r="S112" s="322"/>
      <c r="T112" s="322"/>
      <c r="U112" s="322"/>
      <c r="V112" s="322"/>
      <c r="W112" s="226"/>
      <c r="X112" s="226"/>
      <c r="Y112" s="226"/>
      <c r="Z112" s="226"/>
      <c r="AA112" s="226"/>
      <c r="AB112" s="226"/>
      <c r="AC112" s="226"/>
      <c r="AD112" s="226"/>
      <c r="AE112" s="226"/>
      <c r="AF112" s="322" t="s">
        <v>1447</v>
      </c>
      <c r="AG112" s="225"/>
      <c r="AH112" s="226"/>
      <c r="AI112" s="322"/>
      <c r="AJ112" s="322"/>
      <c r="AK112" s="344"/>
      <c r="AL112" s="322"/>
      <c r="AM112" s="226"/>
      <c r="AN112" s="226"/>
      <c r="AO112" s="226"/>
      <c r="AP112" s="226"/>
      <c r="AQ112" s="322"/>
      <c r="AR112" s="322"/>
      <c r="AS112" s="322"/>
      <c r="AT112" s="322">
        <v>0</v>
      </c>
      <c r="AU112" s="322" t="s">
        <v>656</v>
      </c>
      <c r="AV112" s="225"/>
      <c r="AW112" s="322"/>
      <c r="AX112" s="322"/>
      <c r="AY112" s="344">
        <v>281</v>
      </c>
      <c r="AZ112" s="322"/>
      <c r="BA112" s="322"/>
      <c r="BB112" s="322">
        <v>226</v>
      </c>
      <c r="BC112" s="322">
        <v>52</v>
      </c>
      <c r="BD112" s="322"/>
      <c r="BE112" s="344"/>
      <c r="BF112" s="322"/>
      <c r="BG112" s="322"/>
      <c r="BH112" s="322">
        <v>840</v>
      </c>
      <c r="BI112" s="322" t="s">
        <v>656</v>
      </c>
      <c r="BJ112" s="322"/>
      <c r="BK112" s="322"/>
      <c r="BL112" s="322"/>
      <c r="BM112" s="322"/>
      <c r="BN112" s="226"/>
      <c r="BO112" s="322"/>
      <c r="BP112" s="322"/>
      <c r="BQ112" s="322"/>
      <c r="BR112" s="233" t="s">
        <v>209</v>
      </c>
      <c r="BS112" s="322"/>
      <c r="BT112" s="322"/>
      <c r="BU112" s="322"/>
      <c r="BV112" s="322"/>
      <c r="BW112" s="322"/>
      <c r="BX112" s="322"/>
      <c r="BY112" s="322"/>
      <c r="BZ112" s="322"/>
      <c r="CA112" s="322"/>
      <c r="CB112" s="322"/>
      <c r="CC112" s="322"/>
      <c r="CD112" s="344"/>
      <c r="CE112" s="344"/>
      <c r="CF112" s="344"/>
      <c r="CG112" s="344">
        <v>0</v>
      </c>
      <c r="CH112" s="344"/>
      <c r="CI112" s="344"/>
      <c r="CJ112" s="344">
        <v>0</v>
      </c>
      <c r="CK112" s="344"/>
      <c r="CL112" s="344"/>
      <c r="CM112" s="344"/>
      <c r="CN112" s="322"/>
      <c r="CO112" s="322"/>
      <c r="CP112" s="322"/>
      <c r="CQ112" s="464"/>
      <c r="CR112" s="465"/>
      <c r="CS112" s="322"/>
      <c r="CT112" s="322"/>
      <c r="CU112" s="322">
        <v>0</v>
      </c>
      <c r="CV112" s="322"/>
      <c r="CW112" s="322" t="s">
        <v>656</v>
      </c>
      <c r="CX112" s="322"/>
      <c r="CY112" s="322"/>
      <c r="CZ112" s="322"/>
      <c r="DA112" s="322"/>
      <c r="DB112" s="322"/>
      <c r="DC112" s="322"/>
      <c r="DD112" s="322"/>
      <c r="DE112" s="322"/>
      <c r="DF112" s="322"/>
      <c r="DG112" s="322"/>
      <c r="DH112" s="322"/>
      <c r="DI112" s="322"/>
      <c r="DJ112" s="322"/>
      <c r="DK112" s="322"/>
      <c r="DL112" s="322"/>
      <c r="DM112" s="322"/>
      <c r="DN112" s="322" t="s">
        <v>656</v>
      </c>
      <c r="DO112" s="322"/>
      <c r="DP112" s="225">
        <v>0</v>
      </c>
      <c r="DQ112" s="225">
        <v>0</v>
      </c>
      <c r="DR112" s="225">
        <v>0</v>
      </c>
      <c r="DS112" s="225">
        <v>0</v>
      </c>
      <c r="DT112" s="225">
        <v>0</v>
      </c>
      <c r="DU112" s="322">
        <v>0</v>
      </c>
      <c r="DV112" s="322"/>
      <c r="DW112" s="246" t="s">
        <v>2234</v>
      </c>
      <c r="DX112" s="322"/>
      <c r="DY112" s="322"/>
      <c r="DZ112" s="322"/>
      <c r="EA112" s="322"/>
      <c r="EB112" s="322"/>
      <c r="EC112" s="226"/>
      <c r="ED112" s="322"/>
      <c r="EE112" s="322" t="s">
        <v>656</v>
      </c>
      <c r="EF112" s="322"/>
      <c r="EG112" s="226"/>
      <c r="EH112" s="322"/>
      <c r="EI112" s="322" t="s">
        <v>656</v>
      </c>
      <c r="EJ112" s="226"/>
      <c r="EK112" s="226"/>
      <c r="EL112" s="226"/>
      <c r="EM112" s="226"/>
      <c r="EN112" s="226"/>
      <c r="EO112" s="226"/>
      <c r="EP112" s="226"/>
      <c r="EQ112" s="226"/>
      <c r="ER112" s="322"/>
      <c r="ES112" s="322"/>
      <c r="ET112" s="322"/>
      <c r="EU112" s="322"/>
      <c r="EV112" s="322"/>
      <c r="EW112" s="322"/>
      <c r="EX112" s="322"/>
      <c r="EY112" s="322"/>
      <c r="EZ112" s="344"/>
      <c r="FA112" s="322"/>
      <c r="FB112" s="322"/>
      <c r="FC112" s="322"/>
      <c r="FD112" s="226"/>
      <c r="FE112" s="466"/>
      <c r="FF112" s="322" t="s">
        <v>470</v>
      </c>
      <c r="FG112" s="322" t="s">
        <v>470</v>
      </c>
      <c r="FH112" s="322" t="s">
        <v>470</v>
      </c>
      <c r="FI112" s="465" t="s">
        <v>656</v>
      </c>
      <c r="FJ112" s="465" t="s">
        <v>656</v>
      </c>
      <c r="FK112" s="465"/>
      <c r="FL112" s="465" t="s">
        <v>656</v>
      </c>
      <c r="FM112" s="322"/>
      <c r="FN112" s="322"/>
      <c r="FO112" s="465"/>
      <c r="FP112" s="465"/>
      <c r="FQ112" s="465" t="s">
        <v>656</v>
      </c>
      <c r="FR112" s="465"/>
      <c r="FS112" s="465"/>
      <c r="FT112" s="465" t="s">
        <v>5543</v>
      </c>
      <c r="FU112" s="226"/>
      <c r="FV112" s="465"/>
      <c r="FW112" s="465"/>
      <c r="FX112" s="465"/>
      <c r="FY112" s="226"/>
      <c r="FZ112" s="465"/>
      <c r="GA112" s="465"/>
      <c r="GB112" s="465"/>
      <c r="GC112" s="465"/>
      <c r="GD112" s="465"/>
      <c r="GE112" s="465"/>
      <c r="GF112" s="465"/>
      <c r="GG112" s="394" t="s">
        <v>4906</v>
      </c>
      <c r="GH112" s="394" t="s">
        <v>4906</v>
      </c>
      <c r="GI112" s="226"/>
      <c r="GJ112" s="465"/>
      <c r="GK112" s="465"/>
      <c r="GL112" s="465"/>
      <c r="GM112" s="465"/>
      <c r="GN112" s="465"/>
      <c r="GO112" s="226"/>
      <c r="GP112" s="465"/>
      <c r="GQ112" s="226"/>
      <c r="GR112" s="465"/>
      <c r="GS112" s="465"/>
      <c r="GT112" s="465"/>
      <c r="GU112" s="465"/>
      <c r="GV112" s="465"/>
      <c r="GW112" s="226"/>
      <c r="GX112" s="322"/>
      <c r="GY112" s="322"/>
      <c r="GZ112" s="465"/>
      <c r="HA112" s="322"/>
      <c r="HB112" s="322"/>
      <c r="HC112" s="322"/>
      <c r="HD112" s="322"/>
      <c r="HE112" s="322"/>
      <c r="HF112" s="226"/>
      <c r="HG112" s="343" t="s">
        <v>656</v>
      </c>
      <c r="HH112" s="343" t="s">
        <v>656</v>
      </c>
      <c r="HI112" s="343" t="s">
        <v>656</v>
      </c>
      <c r="HJ112" s="322" t="s">
        <v>656</v>
      </c>
      <c r="HK112" s="343" t="s">
        <v>656</v>
      </c>
      <c r="HL112" s="226"/>
      <c r="HM112" s="322"/>
      <c r="HN112" s="226"/>
      <c r="HO112" s="322"/>
      <c r="HP112" s="322"/>
      <c r="HQ112" s="322"/>
      <c r="HR112" s="322"/>
      <c r="HS112" s="322"/>
      <c r="HT112" s="322"/>
      <c r="HU112" s="322"/>
      <c r="HV112" s="322"/>
      <c r="HW112" s="322"/>
      <c r="HX112" s="322"/>
      <c r="HY112" s="322"/>
      <c r="HZ112" s="322" t="s">
        <v>656</v>
      </c>
      <c r="IA112" s="322"/>
      <c r="IB112" s="322"/>
      <c r="IC112" s="322"/>
      <c r="ID112" s="322"/>
      <c r="IE112" s="322"/>
      <c r="IF112" s="322"/>
      <c r="IG112" s="322"/>
      <c r="IH112" s="344"/>
      <c r="II112" s="322"/>
      <c r="IJ112" s="322"/>
      <c r="IK112" s="322"/>
      <c r="IL112" s="322"/>
      <c r="IM112" s="322"/>
      <c r="IN112" s="322"/>
      <c r="IO112" s="322"/>
      <c r="IP112" s="322"/>
      <c r="IQ112" s="322"/>
      <c r="IR112" s="322"/>
      <c r="IS112" s="322"/>
      <c r="IT112" s="322"/>
      <c r="IU112" s="322"/>
      <c r="IV112" s="322"/>
      <c r="IW112" s="322"/>
      <c r="IX112" s="322"/>
      <c r="IY112" s="322" t="s">
        <v>656</v>
      </c>
      <c r="IZ112" s="322"/>
      <c r="JA112" s="322"/>
      <c r="JB112" s="322"/>
      <c r="JC112" s="322" t="s">
        <v>656</v>
      </c>
      <c r="JD112" s="322" t="s">
        <v>656</v>
      </c>
      <c r="JE112" s="226"/>
      <c r="JF112" s="226"/>
      <c r="JG112" s="226"/>
      <c r="JH112" s="322"/>
      <c r="JI112" s="322"/>
      <c r="JJ112" s="322" t="s">
        <v>656</v>
      </c>
      <c r="JK112" s="345"/>
      <c r="JL112" s="322" t="s">
        <v>656</v>
      </c>
      <c r="JM112" s="322"/>
      <c r="JN112" s="226"/>
      <c r="JO112" s="226"/>
      <c r="JP112" s="226"/>
      <c r="JQ112" s="322"/>
      <c r="JR112" s="322"/>
      <c r="JS112" s="322"/>
      <c r="JT112" s="322"/>
      <c r="JU112" s="322"/>
      <c r="JV112" s="322"/>
      <c r="JW112" s="322" t="s">
        <v>656</v>
      </c>
      <c r="JX112" s="225" t="s">
        <v>656</v>
      </c>
      <c r="JY112" s="322">
        <v>0</v>
      </c>
      <c r="JZ112" s="322" t="s">
        <v>470</v>
      </c>
      <c r="KA112" s="322"/>
      <c r="KB112" s="322"/>
      <c r="KC112" s="322" t="s">
        <v>470</v>
      </c>
      <c r="KD112" s="322"/>
      <c r="KE112" s="232"/>
      <c r="KF112" s="322"/>
      <c r="KG112" s="322" t="s">
        <v>470</v>
      </c>
      <c r="KH112" s="322"/>
      <c r="KI112" s="322"/>
      <c r="KJ112" s="322"/>
      <c r="KK112" s="322"/>
      <c r="KL112" s="322" t="s">
        <v>656</v>
      </c>
      <c r="KM112" s="322"/>
      <c r="KN112" s="322"/>
      <c r="KO112" s="322"/>
      <c r="KP112" s="322"/>
      <c r="KQ112" s="226"/>
      <c r="KR112" s="226"/>
      <c r="KS112" s="226"/>
      <c r="KT112" s="226"/>
      <c r="KU112" s="226"/>
      <c r="KV112" s="322" t="s">
        <v>656</v>
      </c>
      <c r="KW112" s="322"/>
      <c r="KX112" s="383"/>
      <c r="KY112" s="386"/>
      <c r="KZ112" s="322"/>
      <c r="LA112" s="322"/>
      <c r="LB112" s="322"/>
      <c r="LC112" s="322"/>
      <c r="LD112" s="322"/>
      <c r="LE112" s="322"/>
      <c r="LF112" s="322"/>
      <c r="LG112" s="322"/>
      <c r="LH112" s="322"/>
      <c r="LI112" s="322"/>
      <c r="LJ112" s="322"/>
      <c r="LK112" s="322"/>
      <c r="LL112" s="322"/>
      <c r="LM112" s="226"/>
      <c r="LN112" s="322">
        <v>0</v>
      </c>
      <c r="LO112" s="322">
        <v>0</v>
      </c>
      <c r="LP112" s="322">
        <v>0</v>
      </c>
      <c r="LQ112" s="322">
        <v>0</v>
      </c>
      <c r="LR112" s="322">
        <v>0</v>
      </c>
      <c r="LS112" s="322">
        <v>0</v>
      </c>
      <c r="LT112" s="346">
        <v>0</v>
      </c>
      <c r="LU112" s="322" t="e">
        <v>#REF!</v>
      </c>
      <c r="LV112" s="322"/>
      <c r="LW112" s="322"/>
      <c r="LX112" s="322"/>
      <c r="LY112" s="322"/>
      <c r="LZ112" s="322"/>
      <c r="MA112" s="322"/>
      <c r="MB112" s="322"/>
      <c r="MC112" s="322">
        <v>0</v>
      </c>
      <c r="MD112" s="322">
        <v>0</v>
      </c>
      <c r="ME112" s="322">
        <v>0</v>
      </c>
      <c r="MF112" s="322"/>
      <c r="MG112" s="226"/>
      <c r="MH112" s="226"/>
      <c r="MI112" s="226"/>
      <c r="MJ112" s="347"/>
      <c r="MK112" s="347"/>
      <c r="ML112" s="347">
        <v>2700</v>
      </c>
      <c r="MM112" s="347"/>
      <c r="MN112" s="348"/>
      <c r="MO112" s="348"/>
      <c r="MP112" s="348"/>
      <c r="MQ112" s="348"/>
      <c r="MR112" s="348" t="s">
        <v>1482</v>
      </c>
      <c r="MS112" s="348"/>
      <c r="MT112" s="347">
        <v>1901</v>
      </c>
      <c r="MU112" s="348"/>
      <c r="MV112" s="347"/>
      <c r="MW112" s="347"/>
      <c r="MX112" s="226"/>
      <c r="MY112" s="226"/>
      <c r="MZ112" s="226"/>
      <c r="NA112" s="226"/>
    </row>
    <row r="113" spans="1:365" ht="51" x14ac:dyDescent="0.2">
      <c r="A113" s="1216"/>
      <c r="B113" s="1217" t="s">
        <v>216</v>
      </c>
      <c r="C113" s="1218" t="s">
        <v>217</v>
      </c>
      <c r="D113" s="215" t="s">
        <v>204</v>
      </c>
      <c r="E113" s="225" t="s">
        <v>470</v>
      </c>
      <c r="F113" s="225" t="s">
        <v>479</v>
      </c>
      <c r="G113" s="225" t="s">
        <v>539</v>
      </c>
      <c r="H113" s="225" t="s">
        <v>539</v>
      </c>
      <c r="I113" s="225" t="s">
        <v>539</v>
      </c>
      <c r="J113" s="225" t="s">
        <v>539</v>
      </c>
      <c r="K113" s="225" t="s">
        <v>470</v>
      </c>
      <c r="L113" s="225" t="s">
        <v>470</v>
      </c>
      <c r="M113" s="225" t="s">
        <v>470</v>
      </c>
      <c r="N113" s="225" t="s">
        <v>470</v>
      </c>
      <c r="O113" s="225" t="s">
        <v>470</v>
      </c>
      <c r="P113" s="400" t="s">
        <v>470</v>
      </c>
      <c r="Q113" s="322" t="s">
        <v>470</v>
      </c>
      <c r="R113" s="322" t="s">
        <v>470</v>
      </c>
      <c r="S113" s="225" t="s">
        <v>470</v>
      </c>
      <c r="T113" s="225"/>
      <c r="U113" s="225" t="s">
        <v>539</v>
      </c>
      <c r="V113" s="225" t="s">
        <v>479</v>
      </c>
      <c r="W113" s="226"/>
      <c r="X113" s="226"/>
      <c r="Y113" s="226"/>
      <c r="Z113" s="226"/>
      <c r="AA113" s="226"/>
      <c r="AB113" s="226"/>
      <c r="AC113" s="226"/>
      <c r="AD113" s="226"/>
      <c r="AE113" s="226"/>
      <c r="AF113" s="225" t="s">
        <v>470</v>
      </c>
      <c r="AG113" s="225" t="s">
        <v>470</v>
      </c>
      <c r="AH113" s="226"/>
      <c r="AI113" s="225" t="s">
        <v>470</v>
      </c>
      <c r="AJ113" s="225" t="s">
        <v>470</v>
      </c>
      <c r="AK113" s="344" t="s">
        <v>470</v>
      </c>
      <c r="AL113" s="225" t="s">
        <v>470</v>
      </c>
      <c r="AM113" s="226"/>
      <c r="AN113" s="226"/>
      <c r="AO113" s="226"/>
      <c r="AP113" s="226"/>
      <c r="AQ113" s="225" t="s">
        <v>470</v>
      </c>
      <c r="AR113" s="225" t="s">
        <v>470</v>
      </c>
      <c r="AS113" s="225" t="s">
        <v>470</v>
      </c>
      <c r="AT113" s="225" t="s">
        <v>470</v>
      </c>
      <c r="AU113" s="225" t="s">
        <v>656</v>
      </c>
      <c r="AV113" s="225" t="s">
        <v>470</v>
      </c>
      <c r="AW113" s="225" t="s">
        <v>470</v>
      </c>
      <c r="AX113" s="225"/>
      <c r="AY113" s="229" t="s">
        <v>2234</v>
      </c>
      <c r="AZ113" s="225" t="s">
        <v>470</v>
      </c>
      <c r="BA113" s="225"/>
      <c r="BB113" s="225" t="s">
        <v>470</v>
      </c>
      <c r="BC113" s="225" t="s">
        <v>470</v>
      </c>
      <c r="BD113" s="225" t="s">
        <v>470</v>
      </c>
      <c r="BE113" s="229" t="s">
        <v>470</v>
      </c>
      <c r="BF113" s="225" t="s">
        <v>470</v>
      </c>
      <c r="BG113" s="225" t="s">
        <v>470</v>
      </c>
      <c r="BH113" s="225" t="s">
        <v>470</v>
      </c>
      <c r="BI113" s="225" t="s">
        <v>470</v>
      </c>
      <c r="BJ113" s="225" t="s">
        <v>470</v>
      </c>
      <c r="BK113" s="225" t="s">
        <v>470</v>
      </c>
      <c r="BL113" s="225"/>
      <c r="BM113" s="225" t="s">
        <v>470</v>
      </c>
      <c r="BN113" s="226"/>
      <c r="BO113" s="225" t="s">
        <v>470</v>
      </c>
      <c r="BP113" s="225"/>
      <c r="BQ113" s="225" t="s">
        <v>470</v>
      </c>
      <c r="BR113" s="233" t="s">
        <v>470</v>
      </c>
      <c r="BS113" s="225"/>
      <c r="BT113" s="225"/>
      <c r="BU113" s="225"/>
      <c r="BV113" s="225" t="s">
        <v>470</v>
      </c>
      <c r="BW113" s="225" t="s">
        <v>470</v>
      </c>
      <c r="BX113" s="225"/>
      <c r="BY113" s="225" t="s">
        <v>470</v>
      </c>
      <c r="BZ113" s="225"/>
      <c r="CA113" s="225" t="s">
        <v>470</v>
      </c>
      <c r="CB113" s="225" t="s">
        <v>470</v>
      </c>
      <c r="CC113" s="225" t="s">
        <v>479</v>
      </c>
      <c r="CD113" s="229" t="s">
        <v>470</v>
      </c>
      <c r="CE113" s="229" t="s">
        <v>470</v>
      </c>
      <c r="CF113" s="229"/>
      <c r="CG113" s="229" t="s">
        <v>470</v>
      </c>
      <c r="CH113" s="229"/>
      <c r="CI113" s="229"/>
      <c r="CJ113" s="229" t="s">
        <v>470</v>
      </c>
      <c r="CK113" s="229"/>
      <c r="CL113" s="229" t="s">
        <v>470</v>
      </c>
      <c r="CM113" s="229" t="s">
        <v>470</v>
      </c>
      <c r="CN113" s="225"/>
      <c r="CO113" s="225" t="s">
        <v>470</v>
      </c>
      <c r="CP113" s="225" t="s">
        <v>470</v>
      </c>
      <c r="CQ113" s="406" t="s">
        <v>540</v>
      </c>
      <c r="CR113" s="394"/>
      <c r="CS113" s="225" t="s">
        <v>470</v>
      </c>
      <c r="CT113" s="225"/>
      <c r="CU113" s="322" t="s">
        <v>470</v>
      </c>
      <c r="CV113" s="225" t="s">
        <v>470</v>
      </c>
      <c r="CW113" s="225" t="s">
        <v>656</v>
      </c>
      <c r="CX113" s="225" t="s">
        <v>470</v>
      </c>
      <c r="CY113" s="225" t="s">
        <v>470</v>
      </c>
      <c r="CZ113" s="225"/>
      <c r="DA113" s="225" t="s">
        <v>470</v>
      </c>
      <c r="DB113" s="225" t="s">
        <v>470</v>
      </c>
      <c r="DC113" s="225" t="s">
        <v>470</v>
      </c>
      <c r="DD113" s="225" t="s">
        <v>470</v>
      </c>
      <c r="DE113" s="225"/>
      <c r="DF113" s="225" t="s">
        <v>470</v>
      </c>
      <c r="DG113" s="225" t="s">
        <v>470</v>
      </c>
      <c r="DH113" s="225" t="s">
        <v>470</v>
      </c>
      <c r="DI113" s="225" t="s">
        <v>470</v>
      </c>
      <c r="DJ113" s="225" t="s">
        <v>470</v>
      </c>
      <c r="DK113" s="225" t="s">
        <v>470</v>
      </c>
      <c r="DL113" s="225"/>
      <c r="DM113" s="225"/>
      <c r="DN113" s="225" t="s">
        <v>470</v>
      </c>
      <c r="DO113" s="225"/>
      <c r="DP113" s="225" t="s">
        <v>479</v>
      </c>
      <c r="DQ113" s="225" t="s">
        <v>479</v>
      </c>
      <c r="DR113" s="225" t="s">
        <v>470</v>
      </c>
      <c r="DS113" s="225" t="s">
        <v>470</v>
      </c>
      <c r="DT113" s="225" t="s">
        <v>470</v>
      </c>
      <c r="DU113" s="225" t="s">
        <v>479</v>
      </c>
      <c r="DV113" s="225" t="s">
        <v>470</v>
      </c>
      <c r="DW113" s="246" t="s">
        <v>470</v>
      </c>
      <c r="DX113" s="225" t="s">
        <v>470</v>
      </c>
      <c r="DY113" s="225" t="s">
        <v>539</v>
      </c>
      <c r="DZ113" s="225" t="s">
        <v>470</v>
      </c>
      <c r="EA113" s="225" t="s">
        <v>470</v>
      </c>
      <c r="EB113" s="225" t="s">
        <v>470</v>
      </c>
      <c r="EC113" s="226"/>
      <c r="ED113" s="225" t="s">
        <v>470</v>
      </c>
      <c r="EE113" s="225" t="s">
        <v>470</v>
      </c>
      <c r="EF113" s="225"/>
      <c r="EG113" s="226"/>
      <c r="EH113" s="225" t="s">
        <v>470</v>
      </c>
      <c r="EI113" s="225" t="s">
        <v>470</v>
      </c>
      <c r="EJ113" s="226"/>
      <c r="EK113" s="226"/>
      <c r="EL113" s="226"/>
      <c r="EM113" s="226"/>
      <c r="EN113" s="226"/>
      <c r="EO113" s="226"/>
      <c r="EP113" s="226"/>
      <c r="EQ113" s="226"/>
      <c r="ER113" s="225" t="s">
        <v>470</v>
      </c>
      <c r="ES113" s="225" t="s">
        <v>470</v>
      </c>
      <c r="ET113" s="322" t="s">
        <v>470</v>
      </c>
      <c r="EU113" s="322" t="s">
        <v>470</v>
      </c>
      <c r="EV113" s="322" t="s">
        <v>470</v>
      </c>
      <c r="EW113" s="225" t="s">
        <v>470</v>
      </c>
      <c r="EX113" s="225" t="s">
        <v>470</v>
      </c>
      <c r="EY113" s="225" t="s">
        <v>470</v>
      </c>
      <c r="EZ113" s="229" t="s">
        <v>470</v>
      </c>
      <c r="FA113" s="225" t="s">
        <v>470</v>
      </c>
      <c r="FB113" s="225" t="s">
        <v>470</v>
      </c>
      <c r="FC113" s="225"/>
      <c r="FD113" s="226"/>
      <c r="FE113" s="404" t="s">
        <v>539</v>
      </c>
      <c r="FF113" s="225" t="s">
        <v>479</v>
      </c>
      <c r="FG113" s="322" t="s">
        <v>470</v>
      </c>
      <c r="FH113" s="322" t="s">
        <v>470</v>
      </c>
      <c r="FI113" s="465" t="s">
        <v>470</v>
      </c>
      <c r="FJ113" s="465" t="s">
        <v>470</v>
      </c>
      <c r="FK113" s="465"/>
      <c r="FL113" s="465" t="s">
        <v>470</v>
      </c>
      <c r="FM113" s="225" t="s">
        <v>470</v>
      </c>
      <c r="FN113" s="225"/>
      <c r="FO113" s="394" t="s">
        <v>470</v>
      </c>
      <c r="FP113" s="394"/>
      <c r="FQ113" s="465" t="s">
        <v>470</v>
      </c>
      <c r="FR113" s="394"/>
      <c r="FS113" s="394"/>
      <c r="FT113" s="394"/>
      <c r="FU113" s="226"/>
      <c r="FV113" s="394"/>
      <c r="FW113" s="394"/>
      <c r="FX113" s="394"/>
      <c r="FY113" s="226"/>
      <c r="FZ113" s="394"/>
      <c r="GA113" s="394"/>
      <c r="GB113" s="394"/>
      <c r="GC113" s="394"/>
      <c r="GD113" s="394" t="s">
        <v>470</v>
      </c>
      <c r="GE113" s="394"/>
      <c r="GF113" s="394"/>
      <c r="GG113" s="394" t="s">
        <v>470</v>
      </c>
      <c r="GH113" s="394" t="s">
        <v>470</v>
      </c>
      <c r="GI113" s="226"/>
      <c r="GJ113" s="394" t="s">
        <v>470</v>
      </c>
      <c r="GK113" s="394"/>
      <c r="GL113" s="394" t="s">
        <v>470</v>
      </c>
      <c r="GM113" s="394"/>
      <c r="GN113" s="394"/>
      <c r="GO113" s="226"/>
      <c r="GP113" s="394"/>
      <c r="GQ113" s="226"/>
      <c r="GR113" s="394"/>
      <c r="GS113" s="394"/>
      <c r="GT113" s="394"/>
      <c r="GU113" s="394" t="s">
        <v>470</v>
      </c>
      <c r="GV113" s="394" t="s">
        <v>470</v>
      </c>
      <c r="GW113" s="226"/>
      <c r="GX113" s="225" t="s">
        <v>470</v>
      </c>
      <c r="GY113" s="225" t="s">
        <v>479</v>
      </c>
      <c r="GZ113" s="394" t="s">
        <v>470</v>
      </c>
      <c r="HA113" s="225" t="s">
        <v>470</v>
      </c>
      <c r="HB113" s="225" t="s">
        <v>470</v>
      </c>
      <c r="HC113" s="225" t="s">
        <v>470</v>
      </c>
      <c r="HD113" s="225" t="s">
        <v>470</v>
      </c>
      <c r="HE113" s="225" t="s">
        <v>470</v>
      </c>
      <c r="HF113" s="226"/>
      <c r="HG113" s="227" t="s">
        <v>470</v>
      </c>
      <c r="HH113" s="227" t="s">
        <v>470</v>
      </c>
      <c r="HI113" s="227" t="s">
        <v>470</v>
      </c>
      <c r="HJ113" s="225" t="s">
        <v>479</v>
      </c>
      <c r="HK113" s="227" t="s">
        <v>656</v>
      </c>
      <c r="HL113" s="226"/>
      <c r="HM113" s="225" t="s">
        <v>470</v>
      </c>
      <c r="HN113" s="226"/>
      <c r="HO113" s="225" t="s">
        <v>470</v>
      </c>
      <c r="HP113" s="225" t="s">
        <v>470</v>
      </c>
      <c r="HQ113" s="225" t="s">
        <v>873</v>
      </c>
      <c r="HR113" s="225" t="s">
        <v>873</v>
      </c>
      <c r="HS113" s="225" t="s">
        <v>470</v>
      </c>
      <c r="HT113" s="294" t="s">
        <v>470</v>
      </c>
      <c r="HU113" s="225" t="s">
        <v>470</v>
      </c>
      <c r="HV113" s="225" t="s">
        <v>470</v>
      </c>
      <c r="HW113" s="225" t="s">
        <v>470</v>
      </c>
      <c r="HX113" s="225" t="s">
        <v>470</v>
      </c>
      <c r="HY113" s="225"/>
      <c r="HZ113" s="225" t="s">
        <v>470</v>
      </c>
      <c r="IA113" s="225" t="s">
        <v>470</v>
      </c>
      <c r="IB113" s="225"/>
      <c r="IC113" s="225"/>
      <c r="ID113" s="322" t="s">
        <v>470</v>
      </c>
      <c r="IE113" s="225" t="s">
        <v>470</v>
      </c>
      <c r="IF113" s="322" t="s">
        <v>470</v>
      </c>
      <c r="IG113" s="225" t="s">
        <v>470</v>
      </c>
      <c r="IH113" s="229" t="s">
        <v>470</v>
      </c>
      <c r="II113" s="225" t="s">
        <v>470</v>
      </c>
      <c r="IJ113" s="225" t="s">
        <v>470</v>
      </c>
      <c r="IK113" s="225" t="s">
        <v>470</v>
      </c>
      <c r="IL113" s="225" t="s">
        <v>539</v>
      </c>
      <c r="IM113" s="225" t="s">
        <v>539</v>
      </c>
      <c r="IN113" s="225" t="s">
        <v>470</v>
      </c>
      <c r="IO113" s="225" t="s">
        <v>470</v>
      </c>
      <c r="IP113" s="225" t="s">
        <v>470</v>
      </c>
      <c r="IQ113" s="225" t="s">
        <v>470</v>
      </c>
      <c r="IR113" s="225" t="s">
        <v>470</v>
      </c>
      <c r="IS113" s="225" t="s">
        <v>470</v>
      </c>
      <c r="IT113" s="225" t="s">
        <v>470</v>
      </c>
      <c r="IU113" s="225" t="s">
        <v>470</v>
      </c>
      <c r="IV113" s="225" t="s">
        <v>470</v>
      </c>
      <c r="IW113" s="225" t="s">
        <v>470</v>
      </c>
      <c r="IX113" s="225" t="s">
        <v>470</v>
      </c>
      <c r="IY113" s="225" t="s">
        <v>470</v>
      </c>
      <c r="IZ113" s="225"/>
      <c r="JA113" s="225"/>
      <c r="JB113" s="225"/>
      <c r="JC113" s="225" t="s">
        <v>470</v>
      </c>
      <c r="JD113" s="225" t="s">
        <v>470</v>
      </c>
      <c r="JE113" s="226"/>
      <c r="JF113" s="226"/>
      <c r="JG113" s="226"/>
      <c r="JH113" s="225" t="s">
        <v>470</v>
      </c>
      <c r="JI113" s="225" t="s">
        <v>470</v>
      </c>
      <c r="JJ113" s="225" t="s">
        <v>470</v>
      </c>
      <c r="JK113" s="237" t="s">
        <v>470</v>
      </c>
      <c r="JL113" s="225" t="s">
        <v>656</v>
      </c>
      <c r="JM113" s="225" t="s">
        <v>470</v>
      </c>
      <c r="JN113" s="226"/>
      <c r="JO113" s="226"/>
      <c r="JP113" s="226"/>
      <c r="JQ113" s="225" t="s">
        <v>470</v>
      </c>
      <c r="JR113" s="225" t="s">
        <v>470</v>
      </c>
      <c r="JS113" s="225" t="s">
        <v>470</v>
      </c>
      <c r="JT113" s="225" t="s">
        <v>470</v>
      </c>
      <c r="JU113" s="225" t="s">
        <v>470</v>
      </c>
      <c r="JV113" s="225" t="s">
        <v>470</v>
      </c>
      <c r="JW113" s="225" t="s">
        <v>470</v>
      </c>
      <c r="JX113" s="225" t="s">
        <v>470</v>
      </c>
      <c r="JY113" s="225" t="s">
        <v>470</v>
      </c>
      <c r="JZ113" s="225" t="s">
        <v>479</v>
      </c>
      <c r="KA113" s="225" t="s">
        <v>470</v>
      </c>
      <c r="KB113" s="225" t="s">
        <v>470</v>
      </c>
      <c r="KC113" s="225" t="s">
        <v>470</v>
      </c>
      <c r="KD113" s="225" t="s">
        <v>470</v>
      </c>
      <c r="KE113" s="232" t="s">
        <v>470</v>
      </c>
      <c r="KF113" s="225" t="s">
        <v>470</v>
      </c>
      <c r="KG113" s="225" t="s">
        <v>470</v>
      </c>
      <c r="KH113" s="225"/>
      <c r="KI113" s="225" t="s">
        <v>470</v>
      </c>
      <c r="KJ113" s="322" t="s">
        <v>470</v>
      </c>
      <c r="KK113" s="225" t="s">
        <v>470</v>
      </c>
      <c r="KL113" s="225" t="s">
        <v>470</v>
      </c>
      <c r="KM113" s="225" t="s">
        <v>470</v>
      </c>
      <c r="KN113" s="225" t="s">
        <v>470</v>
      </c>
      <c r="KO113" s="225" t="s">
        <v>470</v>
      </c>
      <c r="KP113" s="225" t="s">
        <v>470</v>
      </c>
      <c r="KQ113" s="226"/>
      <c r="KR113" s="226"/>
      <c r="KS113" s="226"/>
      <c r="KT113" s="226"/>
      <c r="KU113" s="226"/>
      <c r="KV113" s="225" t="s">
        <v>479</v>
      </c>
      <c r="KW113" s="225" t="s">
        <v>470</v>
      </c>
      <c r="KX113" s="228" t="s">
        <v>470</v>
      </c>
      <c r="KY113" s="793"/>
      <c r="KZ113" s="225" t="s">
        <v>470</v>
      </c>
      <c r="LA113" s="225" t="s">
        <v>470</v>
      </c>
      <c r="LB113" s="225"/>
      <c r="LC113" s="322" t="s">
        <v>470</v>
      </c>
      <c r="LD113" s="225" t="s">
        <v>470</v>
      </c>
      <c r="LE113" s="225" t="s">
        <v>873</v>
      </c>
      <c r="LF113" s="225" t="s">
        <v>470</v>
      </c>
      <c r="LG113" s="225" t="s">
        <v>470</v>
      </c>
      <c r="LH113" s="225" t="s">
        <v>470</v>
      </c>
      <c r="LI113" s="225" t="s">
        <v>470</v>
      </c>
      <c r="LJ113" s="225" t="s">
        <v>470</v>
      </c>
      <c r="LK113" s="225" t="s">
        <v>470</v>
      </c>
      <c r="LL113" s="225"/>
      <c r="LM113" s="226"/>
      <c r="LN113" s="225" t="s">
        <v>470</v>
      </c>
      <c r="LO113" s="225" t="s">
        <v>470</v>
      </c>
      <c r="LP113" s="225"/>
      <c r="LQ113" s="225" t="s">
        <v>470</v>
      </c>
      <c r="LR113" s="225" t="s">
        <v>479</v>
      </c>
      <c r="LS113" s="225" t="s">
        <v>470</v>
      </c>
      <c r="LT113" s="234" t="s">
        <v>470</v>
      </c>
      <c r="LU113" s="225"/>
      <c r="LV113" s="225" t="s">
        <v>470</v>
      </c>
      <c r="LW113" s="225" t="s">
        <v>470</v>
      </c>
      <c r="LX113" s="225" t="s">
        <v>470</v>
      </c>
      <c r="LY113" s="225" t="s">
        <v>470</v>
      </c>
      <c r="LZ113" s="225" t="s">
        <v>479</v>
      </c>
      <c r="MA113" s="225" t="s">
        <v>470</v>
      </c>
      <c r="MB113" s="225"/>
      <c r="MC113" s="225" t="s">
        <v>470</v>
      </c>
      <c r="MD113" s="225" t="s">
        <v>470</v>
      </c>
      <c r="ME113" s="225" t="s">
        <v>470</v>
      </c>
      <c r="MF113" s="225" t="s">
        <v>470</v>
      </c>
      <c r="MG113" s="226"/>
      <c r="MH113" s="226"/>
      <c r="MI113" s="226"/>
      <c r="MJ113" s="235" t="s">
        <v>479</v>
      </c>
      <c r="MK113" s="235"/>
      <c r="ML113" s="235" t="s">
        <v>540</v>
      </c>
      <c r="MM113" s="235" t="s">
        <v>479</v>
      </c>
      <c r="MN113" s="236"/>
      <c r="MO113" s="236" t="s">
        <v>479</v>
      </c>
      <c r="MP113" s="236" t="s">
        <v>479</v>
      </c>
      <c r="MQ113" s="236" t="s">
        <v>479</v>
      </c>
      <c r="MR113" s="236" t="s">
        <v>479</v>
      </c>
      <c r="MS113" s="236" t="s">
        <v>540</v>
      </c>
      <c r="MT113" s="235" t="s">
        <v>479</v>
      </c>
      <c r="MU113" s="236" t="s">
        <v>479</v>
      </c>
      <c r="MV113" s="235" t="s">
        <v>479</v>
      </c>
      <c r="MW113" s="235"/>
      <c r="MX113" s="226"/>
      <c r="MY113" s="226"/>
      <c r="MZ113" s="226"/>
      <c r="NA113" s="226"/>
    </row>
    <row r="114" spans="1:365" ht="221" x14ac:dyDescent="0.2">
      <c r="A114" s="1216"/>
      <c r="B114" s="1217"/>
      <c r="C114" s="1218"/>
      <c r="D114" s="215" t="s">
        <v>205</v>
      </c>
      <c r="E114" s="225"/>
      <c r="F114" s="225" t="s">
        <v>5542</v>
      </c>
      <c r="G114" s="225" t="s">
        <v>656</v>
      </c>
      <c r="H114" s="225" t="s">
        <v>656</v>
      </c>
      <c r="I114" s="322" t="s">
        <v>656</v>
      </c>
      <c r="J114" s="225" t="s">
        <v>656</v>
      </c>
      <c r="K114" s="225" t="s">
        <v>1924</v>
      </c>
      <c r="L114" s="225" t="s">
        <v>1924</v>
      </c>
      <c r="M114" s="225" t="s">
        <v>1924</v>
      </c>
      <c r="N114" s="225" t="s">
        <v>1924</v>
      </c>
      <c r="O114" s="225" t="s">
        <v>1924</v>
      </c>
      <c r="P114" s="400" t="s">
        <v>1924</v>
      </c>
      <c r="Q114" s="225" t="s">
        <v>1924</v>
      </c>
      <c r="R114" s="322"/>
      <c r="S114" s="225"/>
      <c r="T114" s="225"/>
      <c r="U114" s="225"/>
      <c r="V114" s="225" t="s">
        <v>5541</v>
      </c>
      <c r="W114" s="226"/>
      <c r="X114" s="226"/>
      <c r="Y114" s="226"/>
      <c r="Z114" s="226"/>
      <c r="AA114" s="226"/>
      <c r="AB114" s="226"/>
      <c r="AC114" s="226"/>
      <c r="AD114" s="226"/>
      <c r="AE114" s="226"/>
      <c r="AF114" s="225" t="s">
        <v>1447</v>
      </c>
      <c r="AG114" s="225"/>
      <c r="AH114" s="226"/>
      <c r="AI114" s="225"/>
      <c r="AJ114" s="225"/>
      <c r="AK114" s="344"/>
      <c r="AL114" s="225"/>
      <c r="AM114" s="226"/>
      <c r="AN114" s="226"/>
      <c r="AO114" s="226"/>
      <c r="AP114" s="226"/>
      <c r="AQ114" s="225"/>
      <c r="AR114" s="225"/>
      <c r="AS114" s="225"/>
      <c r="AT114" s="225" t="s">
        <v>470</v>
      </c>
      <c r="AU114" s="225" t="s">
        <v>656</v>
      </c>
      <c r="AV114" s="322"/>
      <c r="AW114" s="225"/>
      <c r="AX114" s="225"/>
      <c r="AY114" s="229" t="s">
        <v>2234</v>
      </c>
      <c r="AZ114" s="225"/>
      <c r="BA114" s="225"/>
      <c r="BB114" s="225"/>
      <c r="BC114" s="225"/>
      <c r="BD114" s="225"/>
      <c r="BE114" s="229"/>
      <c r="BF114" s="225"/>
      <c r="BG114" s="225"/>
      <c r="BH114" s="225" t="s">
        <v>470</v>
      </c>
      <c r="BI114" s="225" t="s">
        <v>656</v>
      </c>
      <c r="BJ114" s="225"/>
      <c r="BK114" s="225"/>
      <c r="BL114" s="225"/>
      <c r="BM114" s="225"/>
      <c r="BN114" s="226"/>
      <c r="BO114" s="225"/>
      <c r="BP114" s="225"/>
      <c r="BQ114" s="225"/>
      <c r="BR114" s="233" t="s">
        <v>205</v>
      </c>
      <c r="BS114" s="225"/>
      <c r="BT114" s="225"/>
      <c r="BU114" s="225"/>
      <c r="BV114" s="225"/>
      <c r="BW114" s="225"/>
      <c r="BX114" s="225"/>
      <c r="BY114" s="225"/>
      <c r="BZ114" s="225"/>
      <c r="CA114" s="225"/>
      <c r="CB114" s="225"/>
      <c r="CC114" s="225"/>
      <c r="CD114" s="229"/>
      <c r="CE114" s="229"/>
      <c r="CF114" s="229"/>
      <c r="CG114" s="229"/>
      <c r="CH114" s="229"/>
      <c r="CI114" s="229"/>
      <c r="CJ114" s="229"/>
      <c r="CK114" s="229"/>
      <c r="CL114" s="229"/>
      <c r="CM114" s="229"/>
      <c r="CN114" s="225"/>
      <c r="CO114" s="225"/>
      <c r="CP114" s="225"/>
      <c r="CQ114" s="406" t="s">
        <v>5540</v>
      </c>
      <c r="CR114" s="394"/>
      <c r="CS114" s="225"/>
      <c r="CT114" s="225"/>
      <c r="CU114" s="322">
        <v>0</v>
      </c>
      <c r="CV114" s="225"/>
      <c r="CW114" s="225" t="s">
        <v>656</v>
      </c>
      <c r="CX114" s="225"/>
      <c r="CY114" s="225"/>
      <c r="CZ114" s="225"/>
      <c r="DA114" s="225"/>
      <c r="DB114" s="225"/>
      <c r="DC114" s="225"/>
      <c r="DD114" s="225"/>
      <c r="DE114" s="225"/>
      <c r="DF114" s="225"/>
      <c r="DG114" s="225"/>
      <c r="DH114" s="225"/>
      <c r="DI114" s="225"/>
      <c r="DJ114" s="225"/>
      <c r="DK114" s="225"/>
      <c r="DL114" s="225"/>
      <c r="DM114" s="225"/>
      <c r="DN114" s="225" t="s">
        <v>656</v>
      </c>
      <c r="DO114" s="225"/>
      <c r="DP114" s="225" t="s">
        <v>5486</v>
      </c>
      <c r="DQ114" s="225" t="s">
        <v>5486</v>
      </c>
      <c r="DR114" s="225" t="s">
        <v>470</v>
      </c>
      <c r="DS114" s="225" t="s">
        <v>470</v>
      </c>
      <c r="DT114" s="225" t="s">
        <v>470</v>
      </c>
      <c r="DU114" s="225" t="s">
        <v>5539</v>
      </c>
      <c r="DV114" s="225"/>
      <c r="DW114" s="246" t="s">
        <v>2234</v>
      </c>
      <c r="DX114" s="225"/>
      <c r="DY114" s="225"/>
      <c r="DZ114" s="225"/>
      <c r="EA114" s="225"/>
      <c r="EB114" s="225"/>
      <c r="EC114" s="226"/>
      <c r="ED114" s="225"/>
      <c r="EE114" s="225" t="s">
        <v>656</v>
      </c>
      <c r="EF114" s="225"/>
      <c r="EG114" s="226"/>
      <c r="EH114" s="225"/>
      <c r="EI114" s="225" t="s">
        <v>656</v>
      </c>
      <c r="EJ114" s="226"/>
      <c r="EK114" s="226"/>
      <c r="EL114" s="226"/>
      <c r="EM114" s="226"/>
      <c r="EN114" s="226"/>
      <c r="EO114" s="226"/>
      <c r="EP114" s="226"/>
      <c r="EQ114" s="226"/>
      <c r="ER114" s="225"/>
      <c r="ES114" s="225"/>
      <c r="ET114" s="225"/>
      <c r="EU114" s="225"/>
      <c r="EV114" s="225"/>
      <c r="EW114" s="225"/>
      <c r="EX114" s="225"/>
      <c r="EY114" s="225"/>
      <c r="EZ114" s="229"/>
      <c r="FA114" s="225"/>
      <c r="FB114" s="225"/>
      <c r="FC114" s="225"/>
      <c r="FD114" s="226"/>
      <c r="FE114" s="404"/>
      <c r="FF114" s="426" t="s">
        <v>5538</v>
      </c>
      <c r="FG114" s="322" t="s">
        <v>470</v>
      </c>
      <c r="FH114" s="322" t="s">
        <v>470</v>
      </c>
      <c r="FI114" s="465" t="s">
        <v>656</v>
      </c>
      <c r="FJ114" s="465" t="s">
        <v>656</v>
      </c>
      <c r="FK114" s="465"/>
      <c r="FL114" s="465" t="s">
        <v>656</v>
      </c>
      <c r="FM114" s="225"/>
      <c r="FN114" s="225"/>
      <c r="FO114" s="394"/>
      <c r="FP114" s="394"/>
      <c r="FQ114" s="465" t="s">
        <v>656</v>
      </c>
      <c r="FR114" s="394"/>
      <c r="FS114" s="394"/>
      <c r="FT114" s="394"/>
      <c r="FU114" s="226"/>
      <c r="FV114" s="394"/>
      <c r="FW114" s="394"/>
      <c r="FX114" s="394"/>
      <c r="FY114" s="226"/>
      <c r="FZ114" s="394"/>
      <c r="GA114" s="394"/>
      <c r="GB114" s="394"/>
      <c r="GC114" s="394"/>
      <c r="GD114" s="394"/>
      <c r="GE114" s="394"/>
      <c r="GF114" s="394"/>
      <c r="GG114" s="394" t="s">
        <v>4906</v>
      </c>
      <c r="GH114" s="394" t="s">
        <v>4906</v>
      </c>
      <c r="GI114" s="226"/>
      <c r="GJ114" s="394"/>
      <c r="GK114" s="394"/>
      <c r="GL114" s="394"/>
      <c r="GM114" s="394"/>
      <c r="GN114" s="394"/>
      <c r="GO114" s="226"/>
      <c r="GP114" s="394"/>
      <c r="GQ114" s="226"/>
      <c r="GR114" s="394"/>
      <c r="GS114" s="394"/>
      <c r="GT114" s="394"/>
      <c r="GU114" s="394"/>
      <c r="GV114" s="394"/>
      <c r="GW114" s="226"/>
      <c r="GX114" s="225"/>
      <c r="GY114" s="225" t="s">
        <v>5537</v>
      </c>
      <c r="GZ114" s="394"/>
      <c r="HA114" s="225"/>
      <c r="HB114" s="225"/>
      <c r="HC114" s="225"/>
      <c r="HD114" s="225"/>
      <c r="HE114" s="225"/>
      <c r="HF114" s="226"/>
      <c r="HG114" s="227" t="s">
        <v>656</v>
      </c>
      <c r="HH114" s="227" t="s">
        <v>656</v>
      </c>
      <c r="HI114" s="227" t="s">
        <v>656</v>
      </c>
      <c r="HJ114" s="225" t="s">
        <v>656</v>
      </c>
      <c r="HK114" s="227" t="s">
        <v>656</v>
      </c>
      <c r="HL114" s="226"/>
      <c r="HM114" s="225"/>
      <c r="HN114" s="226"/>
      <c r="HO114" s="225"/>
      <c r="HP114" s="225"/>
      <c r="HQ114" s="225"/>
      <c r="HR114" s="225"/>
      <c r="HS114" s="225"/>
      <c r="HT114" s="225"/>
      <c r="HU114" s="225"/>
      <c r="HV114" s="225"/>
      <c r="HW114" s="225"/>
      <c r="HX114" s="225"/>
      <c r="HY114" s="225"/>
      <c r="HZ114" s="225" t="s">
        <v>656</v>
      </c>
      <c r="IA114" s="225"/>
      <c r="IB114" s="225"/>
      <c r="IC114" s="225"/>
      <c r="ID114" s="225"/>
      <c r="IE114" s="225"/>
      <c r="IF114" s="225"/>
      <c r="IG114" s="225"/>
      <c r="IH114" s="229"/>
      <c r="II114" s="225"/>
      <c r="IJ114" s="225"/>
      <c r="IK114" s="225"/>
      <c r="IL114" s="225"/>
      <c r="IM114" s="225"/>
      <c r="IN114" s="225"/>
      <c r="IO114" s="225"/>
      <c r="IP114" s="225"/>
      <c r="IQ114" s="225"/>
      <c r="IR114" s="225"/>
      <c r="IS114" s="225"/>
      <c r="IT114" s="225"/>
      <c r="IU114" s="225"/>
      <c r="IV114" s="225"/>
      <c r="IW114" s="225"/>
      <c r="IX114" s="225"/>
      <c r="IY114" s="225" t="s">
        <v>656</v>
      </c>
      <c r="IZ114" s="225"/>
      <c r="JA114" s="225"/>
      <c r="JB114" s="225"/>
      <c r="JC114" s="225" t="s">
        <v>656</v>
      </c>
      <c r="JD114" s="225" t="s">
        <v>656</v>
      </c>
      <c r="JE114" s="226"/>
      <c r="JF114" s="226"/>
      <c r="JG114" s="226"/>
      <c r="JH114" s="225"/>
      <c r="JI114" s="225"/>
      <c r="JJ114" s="225" t="s">
        <v>656</v>
      </c>
      <c r="JK114" s="237"/>
      <c r="JL114" s="225" t="s">
        <v>656</v>
      </c>
      <c r="JM114" s="225"/>
      <c r="JN114" s="226"/>
      <c r="JO114" s="226"/>
      <c r="JP114" s="226"/>
      <c r="JQ114" s="225"/>
      <c r="JR114" s="225"/>
      <c r="JS114" s="225"/>
      <c r="JT114" s="225"/>
      <c r="JU114" s="225"/>
      <c r="JV114" s="225"/>
      <c r="JW114" s="225" t="s">
        <v>656</v>
      </c>
      <c r="JX114" s="225" t="s">
        <v>656</v>
      </c>
      <c r="JY114" s="225" t="s">
        <v>470</v>
      </c>
      <c r="JZ114" s="225" t="s">
        <v>5280</v>
      </c>
      <c r="KA114" s="225"/>
      <c r="KB114" s="225"/>
      <c r="KC114" s="225" t="s">
        <v>470</v>
      </c>
      <c r="KD114" s="225"/>
      <c r="KE114" s="232"/>
      <c r="KF114" s="225"/>
      <c r="KG114" s="225" t="s">
        <v>470</v>
      </c>
      <c r="KH114" s="225"/>
      <c r="KI114" s="225"/>
      <c r="KJ114" s="225"/>
      <c r="KK114" s="225"/>
      <c r="KL114" s="225" t="s">
        <v>656</v>
      </c>
      <c r="KM114" s="225"/>
      <c r="KN114" s="225"/>
      <c r="KO114" s="225"/>
      <c r="KP114" s="225"/>
      <c r="KQ114" s="226"/>
      <c r="KR114" s="226"/>
      <c r="KS114" s="226"/>
      <c r="KT114" s="226"/>
      <c r="KU114" s="226"/>
      <c r="KV114" s="225" t="s">
        <v>5536</v>
      </c>
      <c r="KW114" s="225"/>
      <c r="KX114" s="228"/>
      <c r="KY114" s="793"/>
      <c r="KZ114" s="225"/>
      <c r="LA114" s="225"/>
      <c r="LB114" s="225"/>
      <c r="LC114" s="225"/>
      <c r="LD114" s="225"/>
      <c r="LE114" s="225"/>
      <c r="LF114" s="225"/>
      <c r="LG114" s="225"/>
      <c r="LH114" s="225"/>
      <c r="LI114" s="225"/>
      <c r="LJ114" s="225"/>
      <c r="LK114" s="225"/>
      <c r="LL114" s="225"/>
      <c r="LM114" s="226"/>
      <c r="LN114" s="225"/>
      <c r="LO114" s="225"/>
      <c r="LP114" s="225"/>
      <c r="LQ114" s="225"/>
      <c r="LR114" s="225" t="s">
        <v>5535</v>
      </c>
      <c r="LS114" s="225"/>
      <c r="LT114" s="234"/>
      <c r="LU114" s="225"/>
      <c r="LV114" s="225"/>
      <c r="LW114" s="225"/>
      <c r="LX114" s="225"/>
      <c r="LY114" s="225"/>
      <c r="LZ114" s="260" t="s">
        <v>5048</v>
      </c>
      <c r="MA114" s="225"/>
      <c r="MB114" s="225"/>
      <c r="MC114" s="225"/>
      <c r="MD114" s="260"/>
      <c r="ME114" s="225"/>
      <c r="MF114" s="225"/>
      <c r="MG114" s="226"/>
      <c r="MH114" s="226"/>
      <c r="MI114" s="226"/>
      <c r="MJ114" s="235" t="s">
        <v>5534</v>
      </c>
      <c r="MK114" s="235"/>
      <c r="ML114" s="235" t="s">
        <v>5533</v>
      </c>
      <c r="MM114" s="235" t="s">
        <v>5532</v>
      </c>
      <c r="MN114" s="236"/>
      <c r="MO114" s="236" t="s">
        <v>5531</v>
      </c>
      <c r="MP114" s="236" t="s">
        <v>5530</v>
      </c>
      <c r="MQ114" s="236" t="s">
        <v>5529</v>
      </c>
      <c r="MR114" s="271" t="s">
        <v>5528</v>
      </c>
      <c r="MS114" s="236" t="s">
        <v>5439</v>
      </c>
      <c r="MT114" s="235" t="s">
        <v>5527</v>
      </c>
      <c r="MU114" s="236" t="s">
        <v>5438</v>
      </c>
      <c r="MV114" s="235" t="s">
        <v>1095</v>
      </c>
      <c r="MW114" s="235"/>
      <c r="MX114" s="226"/>
      <c r="MY114" s="226"/>
      <c r="MZ114" s="226"/>
      <c r="NA114" s="226"/>
    </row>
    <row r="115" spans="1:365" ht="51" x14ac:dyDescent="0.2">
      <c r="A115" s="1216"/>
      <c r="B115" s="1217"/>
      <c r="C115" s="1218"/>
      <c r="D115" s="215" t="s">
        <v>209</v>
      </c>
      <c r="E115" s="322"/>
      <c r="F115" s="322">
        <v>2</v>
      </c>
      <c r="G115" s="322" t="s">
        <v>656</v>
      </c>
      <c r="H115" s="322" t="s">
        <v>656</v>
      </c>
      <c r="I115" s="225" t="s">
        <v>656</v>
      </c>
      <c r="J115" s="322" t="s">
        <v>656</v>
      </c>
      <c r="K115" s="322">
        <v>0</v>
      </c>
      <c r="L115" s="225">
        <v>0</v>
      </c>
      <c r="M115" s="322">
        <v>0</v>
      </c>
      <c r="N115" s="322">
        <v>0</v>
      </c>
      <c r="O115" s="322">
        <v>0</v>
      </c>
      <c r="P115" s="463">
        <v>0</v>
      </c>
      <c r="Q115" s="322">
        <v>0</v>
      </c>
      <c r="R115" s="322"/>
      <c r="S115" s="322"/>
      <c r="T115" s="322"/>
      <c r="U115" s="322"/>
      <c r="V115" s="322" t="s">
        <v>5526</v>
      </c>
      <c r="W115" s="226"/>
      <c r="X115" s="226"/>
      <c r="Y115" s="226"/>
      <c r="Z115" s="226"/>
      <c r="AA115" s="226"/>
      <c r="AB115" s="226"/>
      <c r="AC115" s="226"/>
      <c r="AD115" s="226"/>
      <c r="AE115" s="226"/>
      <c r="AF115" s="322" t="s">
        <v>1447</v>
      </c>
      <c r="AG115" s="225"/>
      <c r="AH115" s="226"/>
      <c r="AI115" s="322"/>
      <c r="AJ115" s="322"/>
      <c r="AK115" s="344"/>
      <c r="AL115" s="322"/>
      <c r="AM115" s="226"/>
      <c r="AN115" s="226"/>
      <c r="AO115" s="226"/>
      <c r="AP115" s="226"/>
      <c r="AQ115" s="322"/>
      <c r="AR115" s="322"/>
      <c r="AS115" s="322"/>
      <c r="AT115" s="322">
        <v>0</v>
      </c>
      <c r="AU115" s="322" t="s">
        <v>656</v>
      </c>
      <c r="AV115" s="225"/>
      <c r="AW115" s="322"/>
      <c r="AX115" s="322"/>
      <c r="AY115" s="344" t="s">
        <v>2234</v>
      </c>
      <c r="AZ115" s="322"/>
      <c r="BA115" s="322"/>
      <c r="BB115" s="322"/>
      <c r="BC115" s="322"/>
      <c r="BD115" s="322"/>
      <c r="BE115" s="344"/>
      <c r="BF115" s="322"/>
      <c r="BG115" s="322"/>
      <c r="BH115" s="322" t="s">
        <v>470</v>
      </c>
      <c r="BI115" s="322" t="s">
        <v>656</v>
      </c>
      <c r="BJ115" s="322"/>
      <c r="BK115" s="322"/>
      <c r="BL115" s="322"/>
      <c r="BM115" s="322"/>
      <c r="BN115" s="226"/>
      <c r="BO115" s="322"/>
      <c r="BP115" s="322"/>
      <c r="BQ115" s="322"/>
      <c r="BR115" s="233" t="s">
        <v>209</v>
      </c>
      <c r="BS115" s="322"/>
      <c r="BT115" s="322"/>
      <c r="BU115" s="322"/>
      <c r="BV115" s="322"/>
      <c r="BW115" s="322"/>
      <c r="BX115" s="322"/>
      <c r="BY115" s="322"/>
      <c r="BZ115" s="322"/>
      <c r="CA115" s="322"/>
      <c r="CB115" s="322"/>
      <c r="CC115" s="322"/>
      <c r="CD115" s="344"/>
      <c r="CE115" s="344"/>
      <c r="CF115" s="344"/>
      <c r="CG115" s="344">
        <v>0</v>
      </c>
      <c r="CH115" s="344"/>
      <c r="CI115" s="344"/>
      <c r="CJ115" s="344">
        <v>0</v>
      </c>
      <c r="CK115" s="344"/>
      <c r="CL115" s="344"/>
      <c r="CM115" s="344"/>
      <c r="CN115" s="322"/>
      <c r="CO115" s="322"/>
      <c r="CP115" s="322"/>
      <c r="CQ115" s="464">
        <v>0</v>
      </c>
      <c r="CR115" s="465"/>
      <c r="CS115" s="322"/>
      <c r="CT115" s="322"/>
      <c r="CU115" s="322">
        <v>0</v>
      </c>
      <c r="CV115" s="322"/>
      <c r="CW115" s="322" t="s">
        <v>656</v>
      </c>
      <c r="CX115" s="322"/>
      <c r="CY115" s="322"/>
      <c r="CZ115" s="322"/>
      <c r="DA115" s="322"/>
      <c r="DB115" s="322"/>
      <c r="DC115" s="322"/>
      <c r="DD115" s="322"/>
      <c r="DE115" s="322"/>
      <c r="DF115" s="322"/>
      <c r="DG115" s="322"/>
      <c r="DH115" s="322"/>
      <c r="DI115" s="322"/>
      <c r="DJ115" s="322"/>
      <c r="DK115" s="322"/>
      <c r="DL115" s="322"/>
      <c r="DM115" s="322"/>
      <c r="DN115" s="322" t="s">
        <v>656</v>
      </c>
      <c r="DO115" s="322"/>
      <c r="DP115" s="225">
        <v>0</v>
      </c>
      <c r="DQ115" s="225">
        <v>0</v>
      </c>
      <c r="DR115" s="225">
        <v>0</v>
      </c>
      <c r="DS115" s="225">
        <v>0</v>
      </c>
      <c r="DT115" s="225">
        <v>0</v>
      </c>
      <c r="DU115" s="322">
        <v>0</v>
      </c>
      <c r="DV115" s="322"/>
      <c r="DW115" s="246" t="s">
        <v>2234</v>
      </c>
      <c r="DX115" s="322"/>
      <c r="DY115" s="322"/>
      <c r="DZ115" s="322"/>
      <c r="EA115" s="322"/>
      <c r="EB115" s="322"/>
      <c r="EC115" s="226"/>
      <c r="ED115" s="322"/>
      <c r="EE115" s="322" t="s">
        <v>656</v>
      </c>
      <c r="EF115" s="322"/>
      <c r="EG115" s="226"/>
      <c r="EH115" s="322"/>
      <c r="EI115" s="322" t="s">
        <v>656</v>
      </c>
      <c r="EJ115" s="226"/>
      <c r="EK115" s="226"/>
      <c r="EL115" s="226"/>
      <c r="EM115" s="226"/>
      <c r="EN115" s="226"/>
      <c r="EO115" s="226"/>
      <c r="EP115" s="226"/>
      <c r="EQ115" s="226"/>
      <c r="ER115" s="322"/>
      <c r="ES115" s="322"/>
      <c r="ET115" s="225"/>
      <c r="EU115" s="225"/>
      <c r="EV115" s="225"/>
      <c r="EW115" s="322"/>
      <c r="EX115" s="322"/>
      <c r="EY115" s="322"/>
      <c r="EZ115" s="344"/>
      <c r="FA115" s="322"/>
      <c r="FB115" s="322"/>
      <c r="FC115" s="322"/>
      <c r="FD115" s="226"/>
      <c r="FE115" s="466"/>
      <c r="FF115" s="225">
        <v>287</v>
      </c>
      <c r="FG115" s="322" t="s">
        <v>470</v>
      </c>
      <c r="FH115" s="322" t="s">
        <v>470</v>
      </c>
      <c r="FI115" s="465" t="s">
        <v>656</v>
      </c>
      <c r="FJ115" s="465" t="s">
        <v>656</v>
      </c>
      <c r="FK115" s="465"/>
      <c r="FL115" s="465" t="s">
        <v>656</v>
      </c>
      <c r="FM115" s="322"/>
      <c r="FN115" s="322"/>
      <c r="FO115" s="465"/>
      <c r="FP115" s="465"/>
      <c r="FQ115" s="465" t="s">
        <v>656</v>
      </c>
      <c r="FR115" s="465"/>
      <c r="FS115" s="465"/>
      <c r="FT115" s="465"/>
      <c r="FU115" s="226"/>
      <c r="FV115" s="465"/>
      <c r="FW115" s="465"/>
      <c r="FX115" s="465"/>
      <c r="FY115" s="226"/>
      <c r="FZ115" s="465"/>
      <c r="GA115" s="465"/>
      <c r="GB115" s="465"/>
      <c r="GC115" s="465"/>
      <c r="GD115" s="465"/>
      <c r="GE115" s="465"/>
      <c r="GF115" s="465"/>
      <c r="GG115" s="394" t="s">
        <v>4906</v>
      </c>
      <c r="GH115" s="394" t="s">
        <v>4906</v>
      </c>
      <c r="GI115" s="226"/>
      <c r="GJ115" s="465"/>
      <c r="GK115" s="465"/>
      <c r="GL115" s="465"/>
      <c r="GM115" s="465"/>
      <c r="GN115" s="465"/>
      <c r="GO115" s="226"/>
      <c r="GP115" s="465"/>
      <c r="GQ115" s="226"/>
      <c r="GR115" s="465"/>
      <c r="GS115" s="465"/>
      <c r="GT115" s="465"/>
      <c r="GU115" s="465"/>
      <c r="GV115" s="465"/>
      <c r="GW115" s="226"/>
      <c r="GX115" s="322"/>
      <c r="GY115" s="322"/>
      <c r="GZ115" s="465"/>
      <c r="HA115" s="322"/>
      <c r="HB115" s="322"/>
      <c r="HC115" s="322"/>
      <c r="HD115" s="322"/>
      <c r="HE115" s="322"/>
      <c r="HF115" s="226"/>
      <c r="HG115" s="343" t="s">
        <v>656</v>
      </c>
      <c r="HH115" s="343" t="s">
        <v>656</v>
      </c>
      <c r="HI115" s="343" t="s">
        <v>656</v>
      </c>
      <c r="HJ115" s="322" t="s">
        <v>656</v>
      </c>
      <c r="HK115" s="343" t="s">
        <v>656</v>
      </c>
      <c r="HL115" s="226"/>
      <c r="HM115" s="322"/>
      <c r="HN115" s="226"/>
      <c r="HO115" s="322"/>
      <c r="HP115" s="322"/>
      <c r="HQ115" s="322"/>
      <c r="HR115" s="322"/>
      <c r="HS115" s="322"/>
      <c r="HT115" s="322"/>
      <c r="HU115" s="322"/>
      <c r="HV115" s="322"/>
      <c r="HW115" s="322"/>
      <c r="HX115" s="322"/>
      <c r="HY115" s="322"/>
      <c r="HZ115" s="322" t="s">
        <v>656</v>
      </c>
      <c r="IA115" s="322"/>
      <c r="IB115" s="322"/>
      <c r="IC115" s="322"/>
      <c r="ID115" s="322"/>
      <c r="IE115" s="322"/>
      <c r="IF115" s="322"/>
      <c r="IG115" s="322"/>
      <c r="IH115" s="344"/>
      <c r="II115" s="322"/>
      <c r="IJ115" s="322"/>
      <c r="IK115" s="322"/>
      <c r="IL115" s="322"/>
      <c r="IM115" s="322"/>
      <c r="IN115" s="322"/>
      <c r="IO115" s="322"/>
      <c r="IP115" s="322"/>
      <c r="IQ115" s="322"/>
      <c r="IR115" s="322"/>
      <c r="IS115" s="322"/>
      <c r="IT115" s="322"/>
      <c r="IU115" s="322"/>
      <c r="IV115" s="322"/>
      <c r="IW115" s="322"/>
      <c r="IX115" s="322"/>
      <c r="IY115" s="322" t="s">
        <v>656</v>
      </c>
      <c r="IZ115" s="322"/>
      <c r="JA115" s="322"/>
      <c r="JB115" s="322"/>
      <c r="JC115" s="322" t="s">
        <v>656</v>
      </c>
      <c r="JD115" s="322" t="s">
        <v>656</v>
      </c>
      <c r="JE115" s="226"/>
      <c r="JF115" s="226"/>
      <c r="JG115" s="226"/>
      <c r="JH115" s="322"/>
      <c r="JI115" s="322"/>
      <c r="JJ115" s="322" t="s">
        <v>656</v>
      </c>
      <c r="JK115" s="345"/>
      <c r="JL115" s="322" t="s">
        <v>656</v>
      </c>
      <c r="JM115" s="322"/>
      <c r="JN115" s="226"/>
      <c r="JO115" s="226"/>
      <c r="JP115" s="226"/>
      <c r="JQ115" s="322"/>
      <c r="JR115" s="322"/>
      <c r="JS115" s="322"/>
      <c r="JT115" s="322"/>
      <c r="JU115" s="322"/>
      <c r="JV115" s="322"/>
      <c r="JW115" s="322" t="s">
        <v>656</v>
      </c>
      <c r="JX115" s="225" t="s">
        <v>656</v>
      </c>
      <c r="JY115" s="322">
        <v>0</v>
      </c>
      <c r="JZ115" s="322">
        <v>2</v>
      </c>
      <c r="KA115" s="322"/>
      <c r="KB115" s="322"/>
      <c r="KC115" s="322" t="s">
        <v>470</v>
      </c>
      <c r="KD115" s="322"/>
      <c r="KE115" s="232"/>
      <c r="KF115" s="322"/>
      <c r="KG115" s="225" t="s">
        <v>470</v>
      </c>
      <c r="KH115" s="322"/>
      <c r="KI115" s="322"/>
      <c r="KJ115" s="322"/>
      <c r="KK115" s="322"/>
      <c r="KL115" s="322" t="s">
        <v>656</v>
      </c>
      <c r="KM115" s="322"/>
      <c r="KN115" s="322"/>
      <c r="KO115" s="322"/>
      <c r="KP115" s="322"/>
      <c r="KQ115" s="226"/>
      <c r="KR115" s="226"/>
      <c r="KS115" s="226"/>
      <c r="KT115" s="226"/>
      <c r="KU115" s="226"/>
      <c r="KV115" s="322">
        <v>9</v>
      </c>
      <c r="KW115" s="322"/>
      <c r="KX115" s="383"/>
      <c r="KY115" s="386"/>
      <c r="KZ115" s="322"/>
      <c r="LA115" s="322"/>
      <c r="LB115" s="322"/>
      <c r="LC115" s="322"/>
      <c r="LD115" s="322"/>
      <c r="LE115" s="322"/>
      <c r="LF115" s="322"/>
      <c r="LG115" s="322"/>
      <c r="LH115" s="322"/>
      <c r="LI115" s="322"/>
      <c r="LJ115" s="322"/>
      <c r="LK115" s="322"/>
      <c r="LL115" s="322"/>
      <c r="LM115" s="226"/>
      <c r="LN115" s="322">
        <v>0</v>
      </c>
      <c r="LO115" s="322">
        <v>0</v>
      </c>
      <c r="LP115" s="322">
        <v>0</v>
      </c>
      <c r="LQ115" s="322">
        <v>0</v>
      </c>
      <c r="LR115" s="322">
        <v>77</v>
      </c>
      <c r="LS115" s="322">
        <v>0</v>
      </c>
      <c r="LT115" s="346">
        <v>0</v>
      </c>
      <c r="LU115" s="322" t="e">
        <v>#REF!</v>
      </c>
      <c r="LV115" s="322"/>
      <c r="LW115" s="322"/>
      <c r="LX115" s="322"/>
      <c r="LY115" s="322"/>
      <c r="LZ115" s="380"/>
      <c r="MA115" s="322"/>
      <c r="MB115" s="322"/>
      <c r="MC115" s="322">
        <v>0</v>
      </c>
      <c r="MD115" s="322"/>
      <c r="ME115" s="322">
        <v>0</v>
      </c>
      <c r="MF115" s="322"/>
      <c r="MG115" s="226"/>
      <c r="MH115" s="226"/>
      <c r="MI115" s="226"/>
      <c r="MJ115" s="235">
        <v>14</v>
      </c>
      <c r="MK115" s="235"/>
      <c r="ML115" s="347"/>
      <c r="MM115" s="347">
        <v>91</v>
      </c>
      <c r="MN115" s="348"/>
      <c r="MO115" s="348">
        <v>108</v>
      </c>
      <c r="MP115" s="348">
        <v>20</v>
      </c>
      <c r="MQ115" s="236" t="s">
        <v>5525</v>
      </c>
      <c r="MR115" s="348">
        <v>12</v>
      </c>
      <c r="MS115" s="348">
        <v>22</v>
      </c>
      <c r="MT115" s="347">
        <v>55</v>
      </c>
      <c r="MU115" s="348">
        <v>25</v>
      </c>
      <c r="MV115" s="347">
        <v>5</v>
      </c>
      <c r="MW115" s="347"/>
      <c r="MX115" s="226"/>
      <c r="MY115" s="226"/>
      <c r="MZ115" s="226"/>
      <c r="NA115" s="226"/>
    </row>
    <row r="116" spans="1:365" ht="51" x14ac:dyDescent="0.2">
      <c r="A116" s="1216"/>
      <c r="B116" s="1217" t="s">
        <v>218</v>
      </c>
      <c r="C116" s="1218" t="s">
        <v>219</v>
      </c>
      <c r="D116" s="215" t="s">
        <v>204</v>
      </c>
      <c r="E116" s="226" t="s">
        <v>470</v>
      </c>
      <c r="F116" s="226" t="s">
        <v>470</v>
      </c>
      <c r="G116" s="225" t="s">
        <v>539</v>
      </c>
      <c r="H116" s="225" t="s">
        <v>539</v>
      </c>
      <c r="I116" s="225" t="s">
        <v>539</v>
      </c>
      <c r="J116" s="225" t="s">
        <v>539</v>
      </c>
      <c r="K116" s="225" t="s">
        <v>470</v>
      </c>
      <c r="L116" s="225" t="s">
        <v>470</v>
      </c>
      <c r="M116" s="225" t="s">
        <v>470</v>
      </c>
      <c r="N116" s="225" t="s">
        <v>470</v>
      </c>
      <c r="O116" s="225" t="s">
        <v>470</v>
      </c>
      <c r="P116" s="400" t="s">
        <v>470</v>
      </c>
      <c r="Q116" s="322" t="s">
        <v>470</v>
      </c>
      <c r="R116" s="322" t="s">
        <v>470</v>
      </c>
      <c r="S116" s="225" t="s">
        <v>470</v>
      </c>
      <c r="T116" s="225"/>
      <c r="U116" s="225" t="s">
        <v>540</v>
      </c>
      <c r="V116" s="225" t="s">
        <v>5524</v>
      </c>
      <c r="W116" s="226"/>
      <c r="X116" s="226"/>
      <c r="Y116" s="226"/>
      <c r="Z116" s="226"/>
      <c r="AA116" s="226"/>
      <c r="AB116" s="226"/>
      <c r="AC116" s="226"/>
      <c r="AD116" s="226"/>
      <c r="AE116" s="226"/>
      <c r="AF116" s="225" t="s">
        <v>470</v>
      </c>
      <c r="AG116" s="225" t="s">
        <v>470</v>
      </c>
      <c r="AH116" s="226"/>
      <c r="AI116" s="225" t="s">
        <v>470</v>
      </c>
      <c r="AJ116" s="225" t="s">
        <v>470</v>
      </c>
      <c r="AK116" s="344" t="s">
        <v>470</v>
      </c>
      <c r="AL116" s="225" t="s">
        <v>470</v>
      </c>
      <c r="AM116" s="226"/>
      <c r="AN116" s="226"/>
      <c r="AO116" s="226"/>
      <c r="AP116" s="226"/>
      <c r="AQ116" s="225" t="s">
        <v>470</v>
      </c>
      <c r="AR116" s="225" t="s">
        <v>470</v>
      </c>
      <c r="AS116" s="225" t="s">
        <v>470</v>
      </c>
      <c r="AT116" s="225" t="s">
        <v>470</v>
      </c>
      <c r="AU116" s="225" t="s">
        <v>656</v>
      </c>
      <c r="AV116" s="225" t="s">
        <v>470</v>
      </c>
      <c r="AW116" s="225" t="s">
        <v>470</v>
      </c>
      <c r="AX116" s="225"/>
      <c r="AY116" s="229" t="s">
        <v>2234</v>
      </c>
      <c r="AZ116" s="225" t="s">
        <v>470</v>
      </c>
      <c r="BA116" s="225"/>
      <c r="BB116" s="225" t="s">
        <v>470</v>
      </c>
      <c r="BC116" s="225" t="s">
        <v>470</v>
      </c>
      <c r="BD116" s="225" t="s">
        <v>470</v>
      </c>
      <c r="BE116" s="229" t="s">
        <v>470</v>
      </c>
      <c r="BF116" s="225" t="s">
        <v>470</v>
      </c>
      <c r="BG116" s="225" t="s">
        <v>470</v>
      </c>
      <c r="BH116" s="225" t="s">
        <v>470</v>
      </c>
      <c r="BI116" s="225" t="s">
        <v>470</v>
      </c>
      <c r="BJ116" s="225" t="s">
        <v>470</v>
      </c>
      <c r="BK116" s="225" t="s">
        <v>470</v>
      </c>
      <c r="BL116" s="225"/>
      <c r="BM116" s="225" t="s">
        <v>470</v>
      </c>
      <c r="BN116" s="226"/>
      <c r="BO116" s="225" t="s">
        <v>470</v>
      </c>
      <c r="BP116" s="225"/>
      <c r="BQ116" s="225" t="s">
        <v>470</v>
      </c>
      <c r="BR116" s="233" t="s">
        <v>470</v>
      </c>
      <c r="BS116" s="225"/>
      <c r="BT116" s="225"/>
      <c r="BU116" s="225"/>
      <c r="BV116" s="225" t="s">
        <v>470</v>
      </c>
      <c r="BW116" s="225" t="s">
        <v>470</v>
      </c>
      <c r="BX116" s="225"/>
      <c r="BY116" s="225" t="s">
        <v>470</v>
      </c>
      <c r="BZ116" s="225"/>
      <c r="CA116" s="225" t="s">
        <v>470</v>
      </c>
      <c r="CB116" s="225" t="s">
        <v>470</v>
      </c>
      <c r="CC116" s="225" t="s">
        <v>479</v>
      </c>
      <c r="CD116" s="229" t="s">
        <v>470</v>
      </c>
      <c r="CE116" s="229" t="s">
        <v>470</v>
      </c>
      <c r="CF116" s="229"/>
      <c r="CG116" s="229" t="s">
        <v>470</v>
      </c>
      <c r="CH116" s="229"/>
      <c r="CI116" s="229"/>
      <c r="CJ116" s="229" t="s">
        <v>470</v>
      </c>
      <c r="CK116" s="229"/>
      <c r="CL116" s="229" t="s">
        <v>470</v>
      </c>
      <c r="CM116" s="229" t="s">
        <v>470</v>
      </c>
      <c r="CN116" s="225"/>
      <c r="CO116" s="225" t="s">
        <v>470</v>
      </c>
      <c r="CP116" s="225" t="s">
        <v>470</v>
      </c>
      <c r="CQ116" s="406" t="s">
        <v>479</v>
      </c>
      <c r="CR116" s="394"/>
      <c r="CS116" s="225" t="s">
        <v>470</v>
      </c>
      <c r="CT116" s="225"/>
      <c r="CU116" s="322" t="s">
        <v>470</v>
      </c>
      <c r="CV116" s="225" t="s">
        <v>470</v>
      </c>
      <c r="CW116" s="225" t="s">
        <v>656</v>
      </c>
      <c r="CX116" s="225" t="s">
        <v>470</v>
      </c>
      <c r="CY116" s="225" t="s">
        <v>470</v>
      </c>
      <c r="CZ116" s="225"/>
      <c r="DA116" s="225"/>
      <c r="DB116" s="225" t="s">
        <v>470</v>
      </c>
      <c r="DC116" s="225" t="s">
        <v>470</v>
      </c>
      <c r="DD116" s="225" t="s">
        <v>470</v>
      </c>
      <c r="DE116" s="225"/>
      <c r="DF116" s="225" t="s">
        <v>470</v>
      </c>
      <c r="DG116" s="225" t="s">
        <v>470</v>
      </c>
      <c r="DH116" s="225" t="s">
        <v>470</v>
      </c>
      <c r="DI116" s="225" t="s">
        <v>470</v>
      </c>
      <c r="DJ116" s="225" t="s">
        <v>470</v>
      </c>
      <c r="DK116" s="225" t="s">
        <v>470</v>
      </c>
      <c r="DL116" s="225" t="s">
        <v>470</v>
      </c>
      <c r="DM116" s="225"/>
      <c r="DN116" s="225" t="s">
        <v>470</v>
      </c>
      <c r="DO116" s="225"/>
      <c r="DP116" s="225" t="s">
        <v>470</v>
      </c>
      <c r="DQ116" s="225" t="s">
        <v>470</v>
      </c>
      <c r="DR116" s="225" t="s">
        <v>470</v>
      </c>
      <c r="DS116" s="225" t="s">
        <v>470</v>
      </c>
      <c r="DT116" s="225" t="s">
        <v>470</v>
      </c>
      <c r="DU116" s="225" t="s">
        <v>470</v>
      </c>
      <c r="DV116" s="225" t="s">
        <v>470</v>
      </c>
      <c r="DW116" s="246" t="s">
        <v>470</v>
      </c>
      <c r="DX116" s="225" t="s">
        <v>470</v>
      </c>
      <c r="DY116" s="225" t="s">
        <v>539</v>
      </c>
      <c r="DZ116" s="225" t="s">
        <v>470</v>
      </c>
      <c r="EA116" s="225" t="s">
        <v>470</v>
      </c>
      <c r="EB116" s="225" t="s">
        <v>470</v>
      </c>
      <c r="EC116" s="226"/>
      <c r="ED116" s="225" t="s">
        <v>470</v>
      </c>
      <c r="EE116" s="225" t="s">
        <v>470</v>
      </c>
      <c r="EF116" s="225"/>
      <c r="EG116" s="226"/>
      <c r="EH116" s="225" t="s">
        <v>470</v>
      </c>
      <c r="EI116" s="225" t="s">
        <v>470</v>
      </c>
      <c r="EJ116" s="226"/>
      <c r="EK116" s="226"/>
      <c r="EL116" s="226"/>
      <c r="EM116" s="226"/>
      <c r="EN116" s="226"/>
      <c r="EO116" s="226"/>
      <c r="EP116" s="226"/>
      <c r="EQ116" s="226"/>
      <c r="ER116" s="225" t="s">
        <v>470</v>
      </c>
      <c r="ES116" s="225" t="s">
        <v>470</v>
      </c>
      <c r="ET116" s="322" t="s">
        <v>470</v>
      </c>
      <c r="EU116" s="322" t="s">
        <v>470</v>
      </c>
      <c r="EV116" s="322" t="s">
        <v>470</v>
      </c>
      <c r="EW116" s="225" t="s">
        <v>470</v>
      </c>
      <c r="EX116" s="225" t="s">
        <v>470</v>
      </c>
      <c r="EY116" s="225" t="s">
        <v>470</v>
      </c>
      <c r="EZ116" s="229" t="s">
        <v>470</v>
      </c>
      <c r="FA116" s="225" t="s">
        <v>470</v>
      </c>
      <c r="FB116" s="225" t="s">
        <v>470</v>
      </c>
      <c r="FC116" s="225"/>
      <c r="FD116" s="226"/>
      <c r="FE116" s="404" t="s">
        <v>539</v>
      </c>
      <c r="FF116" s="225" t="s">
        <v>470</v>
      </c>
      <c r="FG116" s="322" t="s">
        <v>470</v>
      </c>
      <c r="FH116" s="322" t="s">
        <v>470</v>
      </c>
      <c r="FI116" s="465" t="s">
        <v>470</v>
      </c>
      <c r="FJ116" s="465" t="s">
        <v>470</v>
      </c>
      <c r="FK116" s="465"/>
      <c r="FL116" s="465" t="s">
        <v>470</v>
      </c>
      <c r="FM116" s="225" t="s">
        <v>470</v>
      </c>
      <c r="FN116" s="225"/>
      <c r="FO116" s="394" t="s">
        <v>470</v>
      </c>
      <c r="FP116" s="394"/>
      <c r="FQ116" s="465" t="s">
        <v>470</v>
      </c>
      <c r="FR116" s="394"/>
      <c r="FS116" s="394"/>
      <c r="FT116" s="394"/>
      <c r="FU116" s="226"/>
      <c r="FV116" s="394"/>
      <c r="FW116" s="394"/>
      <c r="FX116" s="394"/>
      <c r="FY116" s="226"/>
      <c r="FZ116" s="394"/>
      <c r="GA116" s="394"/>
      <c r="GB116" s="394"/>
      <c r="GC116" s="394"/>
      <c r="GD116" s="394" t="s">
        <v>470</v>
      </c>
      <c r="GE116" s="394"/>
      <c r="GF116" s="394"/>
      <c r="GG116" s="394" t="s">
        <v>470</v>
      </c>
      <c r="GH116" s="394" t="s">
        <v>470</v>
      </c>
      <c r="GI116" s="226"/>
      <c r="GJ116" s="394" t="s">
        <v>470</v>
      </c>
      <c r="GK116" s="394"/>
      <c r="GL116" s="394" t="s">
        <v>470</v>
      </c>
      <c r="GM116" s="394"/>
      <c r="GN116" s="394"/>
      <c r="GO116" s="226"/>
      <c r="GP116" s="394"/>
      <c r="GQ116" s="226"/>
      <c r="GR116" s="394"/>
      <c r="GS116" s="394"/>
      <c r="GT116" s="394"/>
      <c r="GU116" s="394" t="s">
        <v>470</v>
      </c>
      <c r="GV116" s="394" t="s">
        <v>470</v>
      </c>
      <c r="GW116" s="226"/>
      <c r="GX116" s="225" t="s">
        <v>470</v>
      </c>
      <c r="GY116" s="225" t="s">
        <v>470</v>
      </c>
      <c r="GZ116" s="394" t="s">
        <v>470</v>
      </c>
      <c r="HA116" s="225" t="s">
        <v>470</v>
      </c>
      <c r="HB116" s="225" t="s">
        <v>470</v>
      </c>
      <c r="HC116" s="225" t="s">
        <v>470</v>
      </c>
      <c r="HD116" s="225" t="s">
        <v>470</v>
      </c>
      <c r="HE116" s="225" t="s">
        <v>470</v>
      </c>
      <c r="HF116" s="226"/>
      <c r="HG116" s="227" t="s">
        <v>470</v>
      </c>
      <c r="HH116" s="227" t="s">
        <v>470</v>
      </c>
      <c r="HI116" s="227" t="s">
        <v>470</v>
      </c>
      <c r="HJ116" s="225" t="s">
        <v>470</v>
      </c>
      <c r="HK116" s="227" t="s">
        <v>656</v>
      </c>
      <c r="HL116" s="226"/>
      <c r="HM116" s="225" t="s">
        <v>470</v>
      </c>
      <c r="HN116" s="226"/>
      <c r="HO116" s="225" t="s">
        <v>470</v>
      </c>
      <c r="HP116" s="225" t="s">
        <v>470</v>
      </c>
      <c r="HQ116" s="225" t="s">
        <v>873</v>
      </c>
      <c r="HR116" s="225" t="s">
        <v>873</v>
      </c>
      <c r="HS116" s="225" t="s">
        <v>470</v>
      </c>
      <c r="HT116" s="294" t="s">
        <v>470</v>
      </c>
      <c r="HU116" s="225" t="s">
        <v>470</v>
      </c>
      <c r="HV116" s="225" t="s">
        <v>470</v>
      </c>
      <c r="HW116" s="225" t="s">
        <v>470</v>
      </c>
      <c r="HX116" s="225" t="s">
        <v>470</v>
      </c>
      <c r="HY116" s="225" t="s">
        <v>479</v>
      </c>
      <c r="HZ116" s="225" t="s">
        <v>470</v>
      </c>
      <c r="IA116" s="225" t="s">
        <v>470</v>
      </c>
      <c r="IB116" s="225"/>
      <c r="IC116" s="225"/>
      <c r="ID116" s="322" t="s">
        <v>470</v>
      </c>
      <c r="IE116" s="225" t="s">
        <v>470</v>
      </c>
      <c r="IF116" s="322" t="s">
        <v>470</v>
      </c>
      <c r="IG116" s="225" t="s">
        <v>470</v>
      </c>
      <c r="IH116" s="229" t="s">
        <v>470</v>
      </c>
      <c r="II116" s="225" t="s">
        <v>470</v>
      </c>
      <c r="IJ116" s="225" t="s">
        <v>470</v>
      </c>
      <c r="IK116" s="225" t="s">
        <v>470</v>
      </c>
      <c r="IL116" s="225" t="s">
        <v>539</v>
      </c>
      <c r="IM116" s="225" t="s">
        <v>539</v>
      </c>
      <c r="IN116" s="225" t="s">
        <v>470</v>
      </c>
      <c r="IO116" s="225" t="s">
        <v>470</v>
      </c>
      <c r="IP116" s="225" t="s">
        <v>470</v>
      </c>
      <c r="IQ116" s="225" t="s">
        <v>470</v>
      </c>
      <c r="IR116" s="225" t="s">
        <v>470</v>
      </c>
      <c r="IS116" s="225" t="s">
        <v>470</v>
      </c>
      <c r="IT116" s="225" t="s">
        <v>470</v>
      </c>
      <c r="IU116" s="225" t="s">
        <v>470</v>
      </c>
      <c r="IV116" s="225" t="s">
        <v>470</v>
      </c>
      <c r="IW116" s="225" t="s">
        <v>470</v>
      </c>
      <c r="IX116" s="225" t="s">
        <v>479</v>
      </c>
      <c r="IY116" s="225" t="s">
        <v>470</v>
      </c>
      <c r="IZ116" s="225"/>
      <c r="JA116" s="225"/>
      <c r="JB116" s="225"/>
      <c r="JC116" s="225" t="s">
        <v>470</v>
      </c>
      <c r="JD116" s="225" t="s">
        <v>470</v>
      </c>
      <c r="JE116" s="226"/>
      <c r="JF116" s="226"/>
      <c r="JG116" s="226"/>
      <c r="JH116" s="225" t="s">
        <v>470</v>
      </c>
      <c r="JI116" s="225" t="s">
        <v>470</v>
      </c>
      <c r="JJ116" s="225" t="s">
        <v>470</v>
      </c>
      <c r="JK116" s="237" t="s">
        <v>470</v>
      </c>
      <c r="JL116" s="225" t="s">
        <v>656</v>
      </c>
      <c r="JM116" s="225" t="s">
        <v>470</v>
      </c>
      <c r="JN116" s="226"/>
      <c r="JO116" s="226"/>
      <c r="JP116" s="226"/>
      <c r="JQ116" s="225" t="s">
        <v>470</v>
      </c>
      <c r="JR116" s="225" t="s">
        <v>470</v>
      </c>
      <c r="JS116" s="225" t="s">
        <v>470</v>
      </c>
      <c r="JT116" s="225" t="s">
        <v>470</v>
      </c>
      <c r="JU116" s="225" t="s">
        <v>479</v>
      </c>
      <c r="JV116" s="225" t="s">
        <v>470</v>
      </c>
      <c r="JW116" s="225" t="s">
        <v>470</v>
      </c>
      <c r="JX116" s="225" t="s">
        <v>470</v>
      </c>
      <c r="JY116" s="225" t="s">
        <v>470</v>
      </c>
      <c r="JZ116" s="225" t="s">
        <v>470</v>
      </c>
      <c r="KA116" s="225" t="s">
        <v>470</v>
      </c>
      <c r="KB116" s="225" t="s">
        <v>470</v>
      </c>
      <c r="KC116" s="322" t="s">
        <v>470</v>
      </c>
      <c r="KD116" s="225" t="s">
        <v>470</v>
      </c>
      <c r="KE116" s="232" t="s">
        <v>470</v>
      </c>
      <c r="KF116" s="225" t="s">
        <v>470</v>
      </c>
      <c r="KG116" s="225" t="s">
        <v>470</v>
      </c>
      <c r="KH116" s="225"/>
      <c r="KI116" s="225" t="s">
        <v>470</v>
      </c>
      <c r="KJ116" s="322" t="s">
        <v>470</v>
      </c>
      <c r="KK116" s="225" t="s">
        <v>470</v>
      </c>
      <c r="KL116" s="225" t="s">
        <v>470</v>
      </c>
      <c r="KM116" s="225" t="s">
        <v>470</v>
      </c>
      <c r="KN116" s="225" t="s">
        <v>470</v>
      </c>
      <c r="KO116" s="225" t="s">
        <v>470</v>
      </c>
      <c r="KP116" s="225" t="s">
        <v>470</v>
      </c>
      <c r="KQ116" s="226"/>
      <c r="KR116" s="226"/>
      <c r="KS116" s="226"/>
      <c r="KT116" s="226"/>
      <c r="KU116" s="226"/>
      <c r="KV116" s="225" t="s">
        <v>656</v>
      </c>
      <c r="KW116" s="225" t="s">
        <v>470</v>
      </c>
      <c r="KX116" s="228" t="s">
        <v>470</v>
      </c>
      <c r="KY116" s="793"/>
      <c r="KZ116" s="225" t="s">
        <v>470</v>
      </c>
      <c r="LA116" s="225" t="s">
        <v>470</v>
      </c>
      <c r="LB116" s="225"/>
      <c r="LC116" s="322" t="s">
        <v>470</v>
      </c>
      <c r="LD116" s="225" t="s">
        <v>470</v>
      </c>
      <c r="LE116" s="225" t="s">
        <v>873</v>
      </c>
      <c r="LF116" s="225" t="s">
        <v>470</v>
      </c>
      <c r="LG116" s="225" t="s">
        <v>470</v>
      </c>
      <c r="LH116" s="225" t="s">
        <v>470</v>
      </c>
      <c r="LI116" s="225" t="s">
        <v>470</v>
      </c>
      <c r="LJ116" s="225" t="s">
        <v>470</v>
      </c>
      <c r="LK116" s="225" t="s">
        <v>470</v>
      </c>
      <c r="LL116" s="225"/>
      <c r="LM116" s="226"/>
      <c r="LN116" s="225" t="s">
        <v>470</v>
      </c>
      <c r="LO116" s="225" t="s">
        <v>470</v>
      </c>
      <c r="LP116" s="225"/>
      <c r="LQ116" s="225" t="s">
        <v>470</v>
      </c>
      <c r="LR116" s="225" t="s">
        <v>470</v>
      </c>
      <c r="LS116" s="225" t="s">
        <v>470</v>
      </c>
      <c r="LT116" s="234" t="s">
        <v>470</v>
      </c>
      <c r="LU116" s="225"/>
      <c r="LV116" s="225" t="s">
        <v>470</v>
      </c>
      <c r="LW116" s="225" t="s">
        <v>470</v>
      </c>
      <c r="LX116" s="225" t="s">
        <v>470</v>
      </c>
      <c r="LY116" s="225" t="s">
        <v>470</v>
      </c>
      <c r="LZ116" s="225" t="s">
        <v>470</v>
      </c>
      <c r="MA116" s="225" t="s">
        <v>470</v>
      </c>
      <c r="MB116" s="225" t="s">
        <v>470</v>
      </c>
      <c r="MC116" s="225" t="s">
        <v>470</v>
      </c>
      <c r="MD116" s="225" t="s">
        <v>470</v>
      </c>
      <c r="ME116" s="225" t="s">
        <v>470</v>
      </c>
      <c r="MF116" s="225" t="s">
        <v>470</v>
      </c>
      <c r="MG116" s="226"/>
      <c r="MH116" s="226"/>
      <c r="MI116" s="226"/>
      <c r="MJ116" s="235" t="s">
        <v>479</v>
      </c>
      <c r="MK116" s="235"/>
      <c r="ML116" s="235" t="s">
        <v>540</v>
      </c>
      <c r="MM116" s="235" t="s">
        <v>470</v>
      </c>
      <c r="MN116" s="236"/>
      <c r="MO116" s="236" t="s">
        <v>479</v>
      </c>
      <c r="MP116" s="236" t="s">
        <v>470</v>
      </c>
      <c r="MQ116" s="236" t="s">
        <v>470</v>
      </c>
      <c r="MR116" s="236" t="s">
        <v>470</v>
      </c>
      <c r="MS116" s="236" t="s">
        <v>539</v>
      </c>
      <c r="MT116" s="235"/>
      <c r="MU116" s="236"/>
      <c r="MV116" s="235" t="s">
        <v>470</v>
      </c>
      <c r="MW116" s="235" t="s">
        <v>470</v>
      </c>
      <c r="MX116" s="226"/>
      <c r="MY116" s="226"/>
      <c r="MZ116" s="226"/>
      <c r="NA116" s="226"/>
    </row>
    <row r="117" spans="1:365" ht="119" x14ac:dyDescent="0.2">
      <c r="A117" s="1216"/>
      <c r="B117" s="1217"/>
      <c r="C117" s="1218"/>
      <c r="D117" s="215" t="s">
        <v>205</v>
      </c>
      <c r="E117" s="226"/>
      <c r="F117" s="226"/>
      <c r="G117" s="225" t="s">
        <v>656</v>
      </c>
      <c r="H117" s="225" t="s">
        <v>656</v>
      </c>
      <c r="I117" s="322" t="s">
        <v>656</v>
      </c>
      <c r="J117" s="225" t="s">
        <v>656</v>
      </c>
      <c r="K117" s="225" t="s">
        <v>1924</v>
      </c>
      <c r="L117" s="225" t="s">
        <v>1924</v>
      </c>
      <c r="M117" s="225" t="s">
        <v>1924</v>
      </c>
      <c r="N117" s="225" t="s">
        <v>1924</v>
      </c>
      <c r="O117" s="225" t="s">
        <v>1924</v>
      </c>
      <c r="P117" s="400" t="s">
        <v>1924</v>
      </c>
      <c r="Q117" s="225" t="s">
        <v>1924</v>
      </c>
      <c r="R117" s="322"/>
      <c r="S117" s="225"/>
      <c r="T117" s="225"/>
      <c r="U117" s="225"/>
      <c r="V117" s="225"/>
      <c r="W117" s="226"/>
      <c r="X117" s="226"/>
      <c r="Y117" s="226"/>
      <c r="Z117" s="226"/>
      <c r="AA117" s="226"/>
      <c r="AB117" s="226"/>
      <c r="AC117" s="226"/>
      <c r="AD117" s="226"/>
      <c r="AE117" s="226"/>
      <c r="AF117" s="225" t="s">
        <v>1447</v>
      </c>
      <c r="AG117" s="225"/>
      <c r="AH117" s="226"/>
      <c r="AI117" s="225"/>
      <c r="AJ117" s="225"/>
      <c r="AK117" s="344"/>
      <c r="AL117" s="225"/>
      <c r="AM117" s="226"/>
      <c r="AN117" s="226"/>
      <c r="AO117" s="226"/>
      <c r="AP117" s="226"/>
      <c r="AQ117" s="225"/>
      <c r="AR117" s="225"/>
      <c r="AS117" s="225"/>
      <c r="AT117" s="225" t="s">
        <v>470</v>
      </c>
      <c r="AU117" s="225" t="s">
        <v>656</v>
      </c>
      <c r="AV117" s="322"/>
      <c r="AW117" s="225"/>
      <c r="AX117" s="225"/>
      <c r="AY117" s="229" t="s">
        <v>2234</v>
      </c>
      <c r="AZ117" s="225"/>
      <c r="BA117" s="225"/>
      <c r="BB117" s="225"/>
      <c r="BC117" s="225"/>
      <c r="BD117" s="225"/>
      <c r="BE117" s="229"/>
      <c r="BF117" s="225"/>
      <c r="BG117" s="225"/>
      <c r="BH117" s="225" t="s">
        <v>470</v>
      </c>
      <c r="BI117" s="225" t="s">
        <v>656</v>
      </c>
      <c r="BJ117" s="225"/>
      <c r="BK117" s="225"/>
      <c r="BL117" s="225"/>
      <c r="BM117" s="225"/>
      <c r="BN117" s="226"/>
      <c r="BO117" s="225"/>
      <c r="BP117" s="225"/>
      <c r="BQ117" s="225"/>
      <c r="BR117" s="233" t="s">
        <v>205</v>
      </c>
      <c r="BS117" s="225"/>
      <c r="BT117" s="225"/>
      <c r="BU117" s="225"/>
      <c r="BV117" s="225"/>
      <c r="BW117" s="225"/>
      <c r="BX117" s="225"/>
      <c r="BY117" s="225"/>
      <c r="BZ117" s="225"/>
      <c r="CA117" s="225"/>
      <c r="CB117" s="225"/>
      <c r="CC117" s="225"/>
      <c r="CD117" s="229"/>
      <c r="CE117" s="229"/>
      <c r="CF117" s="229"/>
      <c r="CG117" s="229"/>
      <c r="CH117" s="229"/>
      <c r="CI117" s="229"/>
      <c r="CJ117" s="229"/>
      <c r="CK117" s="229"/>
      <c r="CL117" s="229"/>
      <c r="CM117" s="229"/>
      <c r="CN117" s="225"/>
      <c r="CO117" s="225"/>
      <c r="CP117" s="225"/>
      <c r="CQ117" s="406" t="s">
        <v>5523</v>
      </c>
      <c r="CR117" s="394"/>
      <c r="CS117" s="225"/>
      <c r="CT117" s="225"/>
      <c r="CU117" s="322">
        <v>0</v>
      </c>
      <c r="CV117" s="225"/>
      <c r="CW117" s="225" t="s">
        <v>656</v>
      </c>
      <c r="CX117" s="225"/>
      <c r="CY117" s="225"/>
      <c r="CZ117" s="225"/>
      <c r="DA117" s="225"/>
      <c r="DB117" s="225"/>
      <c r="DC117" s="225"/>
      <c r="DD117" s="225"/>
      <c r="DE117" s="225"/>
      <c r="DF117" s="225"/>
      <c r="DG117" s="225"/>
      <c r="DH117" s="225"/>
      <c r="DI117" s="225"/>
      <c r="DJ117" s="225"/>
      <c r="DK117" s="225"/>
      <c r="DL117" s="225"/>
      <c r="DM117" s="225"/>
      <c r="DN117" s="225" t="s">
        <v>656</v>
      </c>
      <c r="DO117" s="225"/>
      <c r="DP117" s="225" t="s">
        <v>470</v>
      </c>
      <c r="DQ117" s="225" t="s">
        <v>470</v>
      </c>
      <c r="DR117" s="225" t="s">
        <v>470</v>
      </c>
      <c r="DS117" s="225" t="s">
        <v>470</v>
      </c>
      <c r="DT117" s="225" t="s">
        <v>470</v>
      </c>
      <c r="DU117" s="225" t="s">
        <v>470</v>
      </c>
      <c r="DV117" s="225"/>
      <c r="DW117" s="246" t="s">
        <v>2234</v>
      </c>
      <c r="DX117" s="225"/>
      <c r="DY117" s="225"/>
      <c r="DZ117" s="225"/>
      <c r="EA117" s="225"/>
      <c r="EB117" s="225"/>
      <c r="EC117" s="226"/>
      <c r="ED117" s="225"/>
      <c r="EE117" s="225" t="s">
        <v>656</v>
      </c>
      <c r="EF117" s="225"/>
      <c r="EG117" s="226"/>
      <c r="EH117" s="225"/>
      <c r="EI117" s="225" t="s">
        <v>656</v>
      </c>
      <c r="EJ117" s="226"/>
      <c r="EK117" s="226"/>
      <c r="EL117" s="226"/>
      <c r="EM117" s="226"/>
      <c r="EN117" s="226"/>
      <c r="EO117" s="226"/>
      <c r="EP117" s="226"/>
      <c r="EQ117" s="226"/>
      <c r="ER117" s="225"/>
      <c r="ES117" s="225"/>
      <c r="ET117" s="225"/>
      <c r="EU117" s="225"/>
      <c r="EV117" s="225"/>
      <c r="EW117" s="225"/>
      <c r="EX117" s="225"/>
      <c r="EY117" s="225"/>
      <c r="EZ117" s="229"/>
      <c r="FA117" s="225"/>
      <c r="FB117" s="225"/>
      <c r="FC117" s="225"/>
      <c r="FD117" s="226"/>
      <c r="FE117" s="404"/>
      <c r="FF117" s="225" t="s">
        <v>470</v>
      </c>
      <c r="FG117" s="322" t="s">
        <v>470</v>
      </c>
      <c r="FH117" s="322" t="s">
        <v>470</v>
      </c>
      <c r="FI117" s="465" t="s">
        <v>656</v>
      </c>
      <c r="FJ117" s="465" t="s">
        <v>656</v>
      </c>
      <c r="FK117" s="465"/>
      <c r="FL117" s="465" t="s">
        <v>656</v>
      </c>
      <c r="FM117" s="225"/>
      <c r="FN117" s="225"/>
      <c r="FO117" s="394"/>
      <c r="FP117" s="394"/>
      <c r="FQ117" s="465" t="s">
        <v>656</v>
      </c>
      <c r="FR117" s="394"/>
      <c r="FS117" s="394"/>
      <c r="FT117" s="394"/>
      <c r="FU117" s="226"/>
      <c r="FV117" s="394"/>
      <c r="FW117" s="394"/>
      <c r="FX117" s="394"/>
      <c r="FY117" s="226"/>
      <c r="FZ117" s="394"/>
      <c r="GA117" s="394"/>
      <c r="GB117" s="394"/>
      <c r="GC117" s="394"/>
      <c r="GD117" s="394"/>
      <c r="GE117" s="394"/>
      <c r="GF117" s="394"/>
      <c r="GG117" s="394" t="s">
        <v>4906</v>
      </c>
      <c r="GH117" s="394" t="s">
        <v>4906</v>
      </c>
      <c r="GI117" s="226"/>
      <c r="GJ117" s="394"/>
      <c r="GK117" s="394"/>
      <c r="GL117" s="394"/>
      <c r="GM117" s="394"/>
      <c r="GN117" s="394"/>
      <c r="GO117" s="226"/>
      <c r="GP117" s="394"/>
      <c r="GQ117" s="226"/>
      <c r="GR117" s="394"/>
      <c r="GS117" s="394"/>
      <c r="GT117" s="394"/>
      <c r="GU117" s="394"/>
      <c r="GV117" s="394"/>
      <c r="GW117" s="226"/>
      <c r="GX117" s="225"/>
      <c r="GY117" s="225"/>
      <c r="GZ117" s="394"/>
      <c r="HA117" s="225"/>
      <c r="HB117" s="225"/>
      <c r="HC117" s="225"/>
      <c r="HD117" s="225"/>
      <c r="HE117" s="225"/>
      <c r="HF117" s="226"/>
      <c r="HG117" s="227" t="s">
        <v>656</v>
      </c>
      <c r="HH117" s="227" t="s">
        <v>656</v>
      </c>
      <c r="HI117" s="227" t="s">
        <v>656</v>
      </c>
      <c r="HJ117" s="225" t="s">
        <v>656</v>
      </c>
      <c r="HK117" s="227" t="s">
        <v>656</v>
      </c>
      <c r="HL117" s="226"/>
      <c r="HM117" s="225"/>
      <c r="HN117" s="226"/>
      <c r="HO117" s="225"/>
      <c r="HP117" s="225"/>
      <c r="HQ117" s="225"/>
      <c r="HR117" s="225"/>
      <c r="HS117" s="225"/>
      <c r="HT117" s="225"/>
      <c r="HU117" s="225"/>
      <c r="HV117" s="225"/>
      <c r="HW117" s="225"/>
      <c r="HX117" s="225"/>
      <c r="HY117" s="266" t="s">
        <v>5289</v>
      </c>
      <c r="HZ117" s="225" t="s">
        <v>656</v>
      </c>
      <c r="IA117" s="225"/>
      <c r="IB117" s="225"/>
      <c r="IC117" s="225"/>
      <c r="ID117" s="225"/>
      <c r="IE117" s="225"/>
      <c r="IF117" s="225"/>
      <c r="IG117" s="225"/>
      <c r="IH117" s="229"/>
      <c r="II117" s="225"/>
      <c r="IJ117" s="225"/>
      <c r="IK117" s="225"/>
      <c r="IL117" s="225"/>
      <c r="IM117" s="225"/>
      <c r="IN117" s="225"/>
      <c r="IO117" s="225"/>
      <c r="IP117" s="225"/>
      <c r="IQ117" s="225"/>
      <c r="IR117" s="225"/>
      <c r="IS117" s="225"/>
      <c r="IT117" s="225"/>
      <c r="IU117" s="225"/>
      <c r="IV117" s="225"/>
      <c r="IW117" s="225"/>
      <c r="IX117" s="225"/>
      <c r="IY117" s="225" t="s">
        <v>656</v>
      </c>
      <c r="IZ117" s="225"/>
      <c r="JA117" s="225"/>
      <c r="JB117" s="225"/>
      <c r="JC117" s="225" t="s">
        <v>656</v>
      </c>
      <c r="JD117" s="225" t="s">
        <v>656</v>
      </c>
      <c r="JE117" s="226"/>
      <c r="JF117" s="226"/>
      <c r="JG117" s="226"/>
      <c r="JH117" s="225"/>
      <c r="JI117" s="225"/>
      <c r="JJ117" s="225" t="s">
        <v>656</v>
      </c>
      <c r="JK117" s="237"/>
      <c r="JL117" s="225" t="s">
        <v>656</v>
      </c>
      <c r="JM117" s="225"/>
      <c r="JN117" s="226"/>
      <c r="JO117" s="226"/>
      <c r="JP117" s="226"/>
      <c r="JQ117" s="225"/>
      <c r="JR117" s="225"/>
      <c r="JS117" s="225"/>
      <c r="JT117" s="225"/>
      <c r="JU117" s="225" t="s">
        <v>5522</v>
      </c>
      <c r="JV117" s="225"/>
      <c r="JW117" s="225" t="s">
        <v>656</v>
      </c>
      <c r="JX117" s="225" t="s">
        <v>656</v>
      </c>
      <c r="JY117" s="225" t="s">
        <v>470</v>
      </c>
      <c r="JZ117" s="225" t="s">
        <v>470</v>
      </c>
      <c r="KA117" s="225"/>
      <c r="KB117" s="225"/>
      <c r="KC117" s="322" t="s">
        <v>470</v>
      </c>
      <c r="KD117" s="225"/>
      <c r="KE117" s="232"/>
      <c r="KF117" s="225"/>
      <c r="KG117" s="225" t="s">
        <v>470</v>
      </c>
      <c r="KH117" s="225"/>
      <c r="KI117" s="225"/>
      <c r="KJ117" s="225"/>
      <c r="KK117" s="225"/>
      <c r="KL117" s="225" t="s">
        <v>656</v>
      </c>
      <c r="KM117" s="225"/>
      <c r="KN117" s="225"/>
      <c r="KO117" s="225"/>
      <c r="KP117" s="225"/>
      <c r="KQ117" s="226"/>
      <c r="KR117" s="226"/>
      <c r="KS117" s="226"/>
      <c r="KT117" s="226"/>
      <c r="KU117" s="226"/>
      <c r="KV117" s="225" t="s">
        <v>656</v>
      </c>
      <c r="KW117" s="225"/>
      <c r="KX117" s="228"/>
      <c r="KY117" s="793"/>
      <c r="KZ117" s="225"/>
      <c r="LA117" s="225"/>
      <c r="LB117" s="225"/>
      <c r="LC117" s="225"/>
      <c r="LD117" s="225"/>
      <c r="LE117" s="225"/>
      <c r="LF117" s="225"/>
      <c r="LG117" s="225"/>
      <c r="LH117" s="225"/>
      <c r="LI117" s="225"/>
      <c r="LJ117" s="225"/>
      <c r="LK117" s="225"/>
      <c r="LL117" s="225"/>
      <c r="LM117" s="226"/>
      <c r="LN117" s="225"/>
      <c r="LO117" s="225"/>
      <c r="LP117" s="225"/>
      <c r="LQ117" s="225"/>
      <c r="LR117" s="225"/>
      <c r="LS117" s="225"/>
      <c r="LT117" s="234"/>
      <c r="LU117" s="225"/>
      <c r="LV117" s="225"/>
      <c r="LW117" s="225"/>
      <c r="LX117" s="225"/>
      <c r="LY117" s="225"/>
      <c r="LZ117" s="225"/>
      <c r="MA117" s="225"/>
      <c r="MB117" s="225"/>
      <c r="MC117" s="225"/>
      <c r="MD117" s="225"/>
      <c r="ME117" s="225"/>
      <c r="MF117" s="225"/>
      <c r="MG117" s="226"/>
      <c r="MH117" s="226"/>
      <c r="MI117" s="226"/>
      <c r="MJ117" s="275" t="s">
        <v>5521</v>
      </c>
      <c r="MK117" s="275"/>
      <c r="ML117" s="235" t="s">
        <v>5520</v>
      </c>
      <c r="MM117" s="235"/>
      <c r="MN117" s="236"/>
      <c r="MO117" s="236" t="s">
        <v>5520</v>
      </c>
      <c r="MP117" s="236"/>
      <c r="MQ117" s="236"/>
      <c r="MR117" s="236" t="s">
        <v>1482</v>
      </c>
      <c r="MS117" s="236"/>
      <c r="MT117" s="235"/>
      <c r="MU117" s="236"/>
      <c r="MV117" s="235"/>
      <c r="MW117" s="235"/>
      <c r="MX117" s="226"/>
      <c r="MY117" s="226"/>
      <c r="MZ117" s="226"/>
      <c r="NA117" s="226"/>
    </row>
    <row r="118" spans="1:365" ht="51" x14ac:dyDescent="0.2">
      <c r="A118" s="1216"/>
      <c r="B118" s="1217"/>
      <c r="C118" s="1218"/>
      <c r="D118" s="215" t="s">
        <v>209</v>
      </c>
      <c r="E118" s="226"/>
      <c r="F118" s="226"/>
      <c r="G118" s="322" t="s">
        <v>656</v>
      </c>
      <c r="H118" s="322" t="s">
        <v>656</v>
      </c>
      <c r="I118" s="225" t="s">
        <v>656</v>
      </c>
      <c r="J118" s="322" t="s">
        <v>656</v>
      </c>
      <c r="K118" s="322">
        <v>0</v>
      </c>
      <c r="L118" s="225">
        <v>0</v>
      </c>
      <c r="M118" s="322">
        <v>0</v>
      </c>
      <c r="N118" s="322">
        <v>0</v>
      </c>
      <c r="O118" s="322">
        <v>0</v>
      </c>
      <c r="P118" s="463">
        <v>0</v>
      </c>
      <c r="Q118" s="322">
        <v>0</v>
      </c>
      <c r="R118" s="322"/>
      <c r="S118" s="322"/>
      <c r="T118" s="322"/>
      <c r="U118" s="322"/>
      <c r="V118" s="322"/>
      <c r="W118" s="226"/>
      <c r="X118" s="226"/>
      <c r="Y118" s="226"/>
      <c r="Z118" s="226"/>
      <c r="AA118" s="226"/>
      <c r="AB118" s="226"/>
      <c r="AC118" s="226"/>
      <c r="AD118" s="226"/>
      <c r="AE118" s="226"/>
      <c r="AF118" s="322" t="s">
        <v>1447</v>
      </c>
      <c r="AG118" s="225"/>
      <c r="AH118" s="226"/>
      <c r="AI118" s="322"/>
      <c r="AJ118" s="322"/>
      <c r="AK118" s="344"/>
      <c r="AL118" s="322"/>
      <c r="AM118" s="226"/>
      <c r="AN118" s="226"/>
      <c r="AO118" s="226"/>
      <c r="AP118" s="226"/>
      <c r="AQ118" s="322"/>
      <c r="AR118" s="322"/>
      <c r="AS118" s="322"/>
      <c r="AT118" s="322">
        <v>0</v>
      </c>
      <c r="AU118" s="322" t="s">
        <v>656</v>
      </c>
      <c r="AV118" s="225"/>
      <c r="AW118" s="322"/>
      <c r="AX118" s="322"/>
      <c r="AY118" s="344" t="s">
        <v>2234</v>
      </c>
      <c r="AZ118" s="322"/>
      <c r="BA118" s="322"/>
      <c r="BB118" s="322"/>
      <c r="BC118" s="322"/>
      <c r="BD118" s="322"/>
      <c r="BE118" s="344"/>
      <c r="BF118" s="322"/>
      <c r="BG118" s="322"/>
      <c r="BH118" s="322" t="s">
        <v>470</v>
      </c>
      <c r="BI118" s="322" t="s">
        <v>656</v>
      </c>
      <c r="BJ118" s="322"/>
      <c r="BK118" s="322"/>
      <c r="BL118" s="322"/>
      <c r="BM118" s="322"/>
      <c r="BN118" s="226"/>
      <c r="BO118" s="322"/>
      <c r="BP118" s="322"/>
      <c r="BQ118" s="322"/>
      <c r="BR118" s="233" t="s">
        <v>209</v>
      </c>
      <c r="BS118" s="322"/>
      <c r="BT118" s="322"/>
      <c r="BU118" s="322"/>
      <c r="BV118" s="322"/>
      <c r="BW118" s="322"/>
      <c r="BX118" s="322"/>
      <c r="BY118" s="322"/>
      <c r="BZ118" s="322"/>
      <c r="CA118" s="322"/>
      <c r="CB118" s="322"/>
      <c r="CC118" s="322"/>
      <c r="CD118" s="344"/>
      <c r="CE118" s="344"/>
      <c r="CF118" s="344"/>
      <c r="CG118" s="344">
        <v>0</v>
      </c>
      <c r="CH118" s="344"/>
      <c r="CI118" s="344"/>
      <c r="CJ118" s="344">
        <v>0</v>
      </c>
      <c r="CK118" s="344"/>
      <c r="CL118" s="344"/>
      <c r="CM118" s="344"/>
      <c r="CN118" s="322"/>
      <c r="CO118" s="322"/>
      <c r="CP118" s="322"/>
      <c r="CQ118" s="464">
        <v>0</v>
      </c>
      <c r="CR118" s="465"/>
      <c r="CS118" s="322"/>
      <c r="CT118" s="322"/>
      <c r="CU118" s="322">
        <v>0</v>
      </c>
      <c r="CV118" s="322"/>
      <c r="CW118" s="322" t="s">
        <v>656</v>
      </c>
      <c r="CX118" s="322"/>
      <c r="CY118" s="322"/>
      <c r="CZ118" s="322"/>
      <c r="DA118" s="322"/>
      <c r="DB118" s="322"/>
      <c r="DC118" s="322"/>
      <c r="DD118" s="322"/>
      <c r="DE118" s="322"/>
      <c r="DF118" s="322"/>
      <c r="DG118" s="322"/>
      <c r="DH118" s="322"/>
      <c r="DI118" s="322"/>
      <c r="DJ118" s="322"/>
      <c r="DK118" s="322"/>
      <c r="DL118" s="322"/>
      <c r="DM118" s="322"/>
      <c r="DN118" s="322" t="s">
        <v>656</v>
      </c>
      <c r="DO118" s="322"/>
      <c r="DP118" s="225">
        <v>0</v>
      </c>
      <c r="DQ118" s="225">
        <v>0</v>
      </c>
      <c r="DR118" s="225">
        <v>0</v>
      </c>
      <c r="DS118" s="225">
        <v>0</v>
      </c>
      <c r="DT118" s="225">
        <v>0</v>
      </c>
      <c r="DU118" s="322">
        <v>0</v>
      </c>
      <c r="DV118" s="322"/>
      <c r="DW118" s="246" t="s">
        <v>2234</v>
      </c>
      <c r="DX118" s="322"/>
      <c r="DY118" s="322"/>
      <c r="DZ118" s="322"/>
      <c r="EA118" s="322"/>
      <c r="EB118" s="322"/>
      <c r="EC118" s="226"/>
      <c r="ED118" s="322"/>
      <c r="EE118" s="322" t="s">
        <v>656</v>
      </c>
      <c r="EF118" s="322"/>
      <c r="EG118" s="226"/>
      <c r="EH118" s="322"/>
      <c r="EI118" s="322" t="s">
        <v>656</v>
      </c>
      <c r="EJ118" s="226"/>
      <c r="EK118" s="226"/>
      <c r="EL118" s="226"/>
      <c r="EM118" s="226"/>
      <c r="EN118" s="226"/>
      <c r="EO118" s="226"/>
      <c r="EP118" s="226"/>
      <c r="EQ118" s="226"/>
      <c r="ER118" s="322"/>
      <c r="ES118" s="322"/>
      <c r="ET118" s="225"/>
      <c r="EU118" s="225"/>
      <c r="EV118" s="225"/>
      <c r="EW118" s="322"/>
      <c r="EX118" s="322"/>
      <c r="EY118" s="322"/>
      <c r="EZ118" s="344"/>
      <c r="FA118" s="322"/>
      <c r="FB118" s="322"/>
      <c r="FC118" s="322"/>
      <c r="FD118" s="226"/>
      <c r="FE118" s="466"/>
      <c r="FF118" s="225" t="s">
        <v>470</v>
      </c>
      <c r="FG118" s="322" t="s">
        <v>470</v>
      </c>
      <c r="FH118" s="322" t="s">
        <v>470</v>
      </c>
      <c r="FI118" s="465" t="s">
        <v>656</v>
      </c>
      <c r="FJ118" s="465" t="s">
        <v>656</v>
      </c>
      <c r="FK118" s="465"/>
      <c r="FL118" s="465" t="s">
        <v>656</v>
      </c>
      <c r="FM118" s="322"/>
      <c r="FN118" s="322"/>
      <c r="FO118" s="465"/>
      <c r="FP118" s="465"/>
      <c r="FQ118" s="465" t="s">
        <v>656</v>
      </c>
      <c r="FR118" s="465"/>
      <c r="FS118" s="465"/>
      <c r="FT118" s="465"/>
      <c r="FU118" s="226"/>
      <c r="FV118" s="465"/>
      <c r="FW118" s="465"/>
      <c r="FX118" s="465"/>
      <c r="FY118" s="226"/>
      <c r="FZ118" s="465"/>
      <c r="GA118" s="465"/>
      <c r="GB118" s="465"/>
      <c r="GC118" s="465"/>
      <c r="GD118" s="465"/>
      <c r="GE118" s="465"/>
      <c r="GF118" s="465"/>
      <c r="GG118" s="394" t="s">
        <v>4906</v>
      </c>
      <c r="GH118" s="394" t="s">
        <v>4906</v>
      </c>
      <c r="GI118" s="226"/>
      <c r="GJ118" s="465"/>
      <c r="GK118" s="465"/>
      <c r="GL118" s="465"/>
      <c r="GM118" s="465"/>
      <c r="GN118" s="465"/>
      <c r="GO118" s="226"/>
      <c r="GP118" s="465"/>
      <c r="GQ118" s="226"/>
      <c r="GR118" s="465"/>
      <c r="GS118" s="465"/>
      <c r="GT118" s="465"/>
      <c r="GU118" s="465"/>
      <c r="GV118" s="465"/>
      <c r="GW118" s="226"/>
      <c r="GX118" s="322"/>
      <c r="GY118" s="322"/>
      <c r="GZ118" s="465"/>
      <c r="HA118" s="322"/>
      <c r="HB118" s="322"/>
      <c r="HC118" s="322"/>
      <c r="HD118" s="322"/>
      <c r="HE118" s="322"/>
      <c r="HF118" s="226"/>
      <c r="HG118" s="343" t="s">
        <v>656</v>
      </c>
      <c r="HH118" s="343" t="s">
        <v>656</v>
      </c>
      <c r="HI118" s="343" t="s">
        <v>656</v>
      </c>
      <c r="HJ118" s="322" t="s">
        <v>656</v>
      </c>
      <c r="HK118" s="343" t="s">
        <v>656</v>
      </c>
      <c r="HL118" s="226"/>
      <c r="HM118" s="322"/>
      <c r="HN118" s="226"/>
      <c r="HO118" s="322"/>
      <c r="HP118" s="322"/>
      <c r="HQ118" s="322"/>
      <c r="HR118" s="322"/>
      <c r="HS118" s="322"/>
      <c r="HT118" s="322"/>
      <c r="HU118" s="322"/>
      <c r="HV118" s="322"/>
      <c r="HW118" s="322"/>
      <c r="HX118" s="322"/>
      <c r="HY118" s="322">
        <v>30</v>
      </c>
      <c r="HZ118" s="322" t="s">
        <v>656</v>
      </c>
      <c r="IA118" s="322"/>
      <c r="IB118" s="322"/>
      <c r="IC118" s="322"/>
      <c r="ID118" s="322"/>
      <c r="IE118" s="322"/>
      <c r="IF118" s="322"/>
      <c r="IG118" s="322"/>
      <c r="IH118" s="344"/>
      <c r="II118" s="322"/>
      <c r="IJ118" s="322"/>
      <c r="IK118" s="322"/>
      <c r="IL118" s="322"/>
      <c r="IM118" s="322"/>
      <c r="IN118" s="322"/>
      <c r="IO118" s="322"/>
      <c r="IP118" s="322"/>
      <c r="IQ118" s="322"/>
      <c r="IR118" s="322"/>
      <c r="IS118" s="322"/>
      <c r="IT118" s="322"/>
      <c r="IU118" s="322"/>
      <c r="IV118" s="322"/>
      <c r="IW118" s="322"/>
      <c r="IX118" s="322">
        <v>12</v>
      </c>
      <c r="IY118" s="322" t="s">
        <v>656</v>
      </c>
      <c r="IZ118" s="322"/>
      <c r="JA118" s="322"/>
      <c r="JB118" s="322"/>
      <c r="JC118" s="322" t="s">
        <v>656</v>
      </c>
      <c r="JD118" s="322" t="s">
        <v>656</v>
      </c>
      <c r="JE118" s="226"/>
      <c r="JF118" s="226"/>
      <c r="JG118" s="226"/>
      <c r="JH118" s="322"/>
      <c r="JI118" s="322"/>
      <c r="JJ118" s="322" t="s">
        <v>656</v>
      </c>
      <c r="JK118" s="345"/>
      <c r="JL118" s="322" t="s">
        <v>656</v>
      </c>
      <c r="JM118" s="322"/>
      <c r="JN118" s="226"/>
      <c r="JO118" s="226"/>
      <c r="JP118" s="226"/>
      <c r="JQ118" s="322"/>
      <c r="JR118" s="322"/>
      <c r="JS118" s="322"/>
      <c r="JT118" s="322"/>
      <c r="JU118" s="322">
        <v>32</v>
      </c>
      <c r="JV118" s="322"/>
      <c r="JW118" s="322" t="s">
        <v>656</v>
      </c>
      <c r="JX118" s="225" t="s">
        <v>656</v>
      </c>
      <c r="JY118" s="322">
        <v>0</v>
      </c>
      <c r="JZ118" s="322" t="s">
        <v>470</v>
      </c>
      <c r="KA118" s="322"/>
      <c r="KB118" s="322"/>
      <c r="KC118" s="322" t="s">
        <v>470</v>
      </c>
      <c r="KD118" s="322"/>
      <c r="KE118" s="232"/>
      <c r="KF118" s="322"/>
      <c r="KG118" s="225" t="s">
        <v>470</v>
      </c>
      <c r="KH118" s="322"/>
      <c r="KI118" s="322"/>
      <c r="KJ118" s="322"/>
      <c r="KK118" s="322"/>
      <c r="KL118" s="322" t="s">
        <v>656</v>
      </c>
      <c r="KM118" s="322"/>
      <c r="KN118" s="322"/>
      <c r="KO118" s="322"/>
      <c r="KP118" s="322"/>
      <c r="KQ118" s="226"/>
      <c r="KR118" s="226"/>
      <c r="KS118" s="226"/>
      <c r="KT118" s="226"/>
      <c r="KU118" s="226"/>
      <c r="KV118" s="322" t="s">
        <v>656</v>
      </c>
      <c r="KW118" s="322"/>
      <c r="KX118" s="383"/>
      <c r="KY118" s="386"/>
      <c r="KZ118" s="322"/>
      <c r="LA118" s="322"/>
      <c r="LB118" s="322"/>
      <c r="LC118" s="322"/>
      <c r="LD118" s="322"/>
      <c r="LE118" s="322"/>
      <c r="LF118" s="322"/>
      <c r="LG118" s="322"/>
      <c r="LH118" s="322"/>
      <c r="LI118" s="322"/>
      <c r="LJ118" s="322"/>
      <c r="LK118" s="322"/>
      <c r="LL118" s="322"/>
      <c r="LM118" s="226"/>
      <c r="LN118" s="322">
        <v>0</v>
      </c>
      <c r="LO118" s="322">
        <v>0</v>
      </c>
      <c r="LP118" s="322">
        <v>0</v>
      </c>
      <c r="LQ118" s="322">
        <v>0</v>
      </c>
      <c r="LR118" s="322">
        <v>0</v>
      </c>
      <c r="LS118" s="322">
        <v>0</v>
      </c>
      <c r="LT118" s="346">
        <v>0</v>
      </c>
      <c r="LU118" s="322" t="e">
        <v>#REF!</v>
      </c>
      <c r="LV118" s="322"/>
      <c r="LW118" s="322"/>
      <c r="LX118" s="322"/>
      <c r="LY118" s="322"/>
      <c r="LZ118" s="322"/>
      <c r="MA118" s="322"/>
      <c r="MB118" s="322"/>
      <c r="MC118" s="322">
        <v>0</v>
      </c>
      <c r="MD118" s="322">
        <v>0</v>
      </c>
      <c r="ME118" s="322">
        <v>0</v>
      </c>
      <c r="MF118" s="322"/>
      <c r="MG118" s="226"/>
      <c r="MH118" s="226"/>
      <c r="MI118" s="226"/>
      <c r="MJ118" s="235">
        <v>15</v>
      </c>
      <c r="MK118" s="235"/>
      <c r="ML118" s="347">
        <v>4</v>
      </c>
      <c r="MM118" s="347"/>
      <c r="MN118" s="348"/>
      <c r="MO118" s="348">
        <v>5</v>
      </c>
      <c r="MP118" s="348"/>
      <c r="MQ118" s="236"/>
      <c r="MR118" s="348" t="s">
        <v>1482</v>
      </c>
      <c r="MS118" s="348"/>
      <c r="MT118" s="347"/>
      <c r="MU118" s="348"/>
      <c r="MV118" s="347"/>
      <c r="MW118" s="347"/>
      <c r="MX118" s="226"/>
      <c r="MY118" s="226"/>
      <c r="MZ118" s="226"/>
      <c r="NA118" s="226"/>
    </row>
    <row r="119" spans="1:365" ht="409.6" x14ac:dyDescent="0.2">
      <c r="A119" s="1216"/>
      <c r="B119" s="1217" t="s">
        <v>220</v>
      </c>
      <c r="C119" s="1218" t="s">
        <v>221</v>
      </c>
      <c r="D119" s="215" t="s">
        <v>222</v>
      </c>
      <c r="E119" s="225" t="s">
        <v>5519</v>
      </c>
      <c r="F119" s="225" t="s">
        <v>470</v>
      </c>
      <c r="G119" s="225" t="s">
        <v>539</v>
      </c>
      <c r="H119" s="225" t="s">
        <v>539</v>
      </c>
      <c r="I119" s="225" t="s">
        <v>656</v>
      </c>
      <c r="J119" s="225" t="s">
        <v>539</v>
      </c>
      <c r="K119" s="225" t="s">
        <v>470</v>
      </c>
      <c r="L119" s="225" t="s">
        <v>470</v>
      </c>
      <c r="M119" s="225" t="s">
        <v>470</v>
      </c>
      <c r="N119" s="225" t="s">
        <v>470</v>
      </c>
      <c r="O119" s="225" t="s">
        <v>470</v>
      </c>
      <c r="P119" s="400" t="s">
        <v>470</v>
      </c>
      <c r="Q119" s="225" t="s">
        <v>5518</v>
      </c>
      <c r="R119" s="322" t="s">
        <v>470</v>
      </c>
      <c r="S119" s="225"/>
      <c r="T119" s="225"/>
      <c r="U119" s="225"/>
      <c r="V119" s="225"/>
      <c r="W119" s="226"/>
      <c r="X119" s="226"/>
      <c r="Y119" s="226"/>
      <c r="Z119" s="226"/>
      <c r="AA119" s="226"/>
      <c r="AB119" s="226"/>
      <c r="AC119" s="226"/>
      <c r="AD119" s="226"/>
      <c r="AE119" s="226"/>
      <c r="AF119" s="225" t="s">
        <v>479</v>
      </c>
      <c r="AG119" s="225" t="s">
        <v>5517</v>
      </c>
      <c r="AH119" s="226"/>
      <c r="AI119" s="225" t="s">
        <v>470</v>
      </c>
      <c r="AJ119" s="225"/>
      <c r="AK119" s="344"/>
      <c r="AL119" s="225"/>
      <c r="AM119" s="226"/>
      <c r="AN119" s="226"/>
      <c r="AO119" s="226"/>
      <c r="AP119" s="226"/>
      <c r="AQ119" s="225"/>
      <c r="AR119" s="225"/>
      <c r="AS119" s="225"/>
      <c r="AT119" s="225" t="s">
        <v>470</v>
      </c>
      <c r="AU119" s="225" t="s">
        <v>656</v>
      </c>
      <c r="AV119" s="225"/>
      <c r="AW119" s="225" t="s">
        <v>470</v>
      </c>
      <c r="AX119" s="225"/>
      <c r="AY119" s="229"/>
      <c r="AZ119" s="225"/>
      <c r="BA119" s="225" t="s">
        <v>5516</v>
      </c>
      <c r="BB119" s="225"/>
      <c r="BC119" s="225" t="s">
        <v>470</v>
      </c>
      <c r="BD119" s="225" t="s">
        <v>470</v>
      </c>
      <c r="BE119" s="229" t="s">
        <v>470</v>
      </c>
      <c r="BF119" s="225"/>
      <c r="BG119" s="225"/>
      <c r="BH119" s="225" t="s">
        <v>470</v>
      </c>
      <c r="BI119" s="225" t="s">
        <v>470</v>
      </c>
      <c r="BJ119" s="225"/>
      <c r="BK119" s="225" t="s">
        <v>470</v>
      </c>
      <c r="BL119" s="225"/>
      <c r="BM119" s="225"/>
      <c r="BN119" s="226"/>
      <c r="BO119" s="225"/>
      <c r="BP119" s="225"/>
      <c r="BQ119" s="225" t="s">
        <v>470</v>
      </c>
      <c r="BR119" s="233" t="s">
        <v>222</v>
      </c>
      <c r="BS119" s="225" t="s">
        <v>656</v>
      </c>
      <c r="BT119" s="225"/>
      <c r="BU119" s="225"/>
      <c r="BV119" s="225"/>
      <c r="BW119" s="225"/>
      <c r="BX119" s="225"/>
      <c r="BY119" s="225"/>
      <c r="BZ119" s="225"/>
      <c r="CA119" s="225"/>
      <c r="CB119" s="225"/>
      <c r="CC119" s="225"/>
      <c r="CD119" s="229"/>
      <c r="CE119" s="229"/>
      <c r="CF119" s="229"/>
      <c r="CG119" s="229" t="s">
        <v>5515</v>
      </c>
      <c r="CH119" s="229"/>
      <c r="CI119" s="229"/>
      <c r="CJ119" s="229" t="s">
        <v>470</v>
      </c>
      <c r="CK119" s="229"/>
      <c r="CL119" s="229"/>
      <c r="CM119" s="229"/>
      <c r="CN119" s="225"/>
      <c r="CO119" s="225" t="s">
        <v>470</v>
      </c>
      <c r="CP119" s="225" t="s">
        <v>470</v>
      </c>
      <c r="CQ119" s="406"/>
      <c r="CR119" s="394"/>
      <c r="CS119" s="225" t="s">
        <v>5514</v>
      </c>
      <c r="CT119" s="225"/>
      <c r="CU119" s="322" t="s">
        <v>470</v>
      </c>
      <c r="CV119" s="225"/>
      <c r="CW119" s="225" t="s">
        <v>656</v>
      </c>
      <c r="CX119" s="225" t="s">
        <v>470</v>
      </c>
      <c r="CY119" s="225"/>
      <c r="CZ119" s="225"/>
      <c r="DA119" s="225"/>
      <c r="DB119" s="225" t="s">
        <v>470</v>
      </c>
      <c r="DC119" s="225"/>
      <c r="DD119" s="225"/>
      <c r="DE119" s="225"/>
      <c r="DF119" s="225" t="s">
        <v>470</v>
      </c>
      <c r="DG119" s="225" t="s">
        <v>470</v>
      </c>
      <c r="DH119" s="225"/>
      <c r="DI119" s="225"/>
      <c r="DJ119" s="225" t="s">
        <v>656</v>
      </c>
      <c r="DK119" s="225"/>
      <c r="DL119" s="225"/>
      <c r="DM119" s="225"/>
      <c r="DN119" s="225" t="s">
        <v>656</v>
      </c>
      <c r="DO119" s="225" t="s">
        <v>5513</v>
      </c>
      <c r="DP119" s="225" t="s">
        <v>470</v>
      </c>
      <c r="DQ119" s="225" t="s">
        <v>470</v>
      </c>
      <c r="DR119" s="225" t="s">
        <v>470</v>
      </c>
      <c r="DS119" s="225" t="s">
        <v>470</v>
      </c>
      <c r="DT119" s="225" t="s">
        <v>470</v>
      </c>
      <c r="DU119" s="225" t="s">
        <v>470</v>
      </c>
      <c r="DV119" s="225"/>
      <c r="DW119" s="246" t="s">
        <v>2234</v>
      </c>
      <c r="DX119" s="225" t="s">
        <v>470</v>
      </c>
      <c r="DY119" s="225" t="s">
        <v>539</v>
      </c>
      <c r="DZ119" s="225" t="s">
        <v>470</v>
      </c>
      <c r="EA119" s="225" t="s">
        <v>5512</v>
      </c>
      <c r="EB119" s="225"/>
      <c r="EC119" s="226"/>
      <c r="ED119" s="225"/>
      <c r="EE119" s="225" t="s">
        <v>656</v>
      </c>
      <c r="EF119" s="225"/>
      <c r="EG119" s="226"/>
      <c r="EH119" s="225"/>
      <c r="EI119" s="225" t="s">
        <v>470</v>
      </c>
      <c r="EJ119" s="226"/>
      <c r="EK119" s="226"/>
      <c r="EL119" s="226"/>
      <c r="EM119" s="226"/>
      <c r="EN119" s="226"/>
      <c r="EO119" s="226"/>
      <c r="EP119" s="226"/>
      <c r="EQ119" s="226"/>
      <c r="ER119" s="225" t="s">
        <v>470</v>
      </c>
      <c r="ES119" s="225"/>
      <c r="ET119" s="322"/>
      <c r="EU119" s="322" t="s">
        <v>470</v>
      </c>
      <c r="EV119" s="322" t="s">
        <v>470</v>
      </c>
      <c r="EW119" s="225" t="s">
        <v>5511</v>
      </c>
      <c r="EX119" s="225"/>
      <c r="EY119" s="225" t="s">
        <v>470</v>
      </c>
      <c r="EZ119" s="229" t="s">
        <v>470</v>
      </c>
      <c r="FA119" s="225"/>
      <c r="FB119" s="225" t="s">
        <v>470</v>
      </c>
      <c r="FC119" s="225"/>
      <c r="FD119" s="226"/>
      <c r="FE119" s="404" t="s">
        <v>5510</v>
      </c>
      <c r="FF119" s="225" t="s">
        <v>470</v>
      </c>
      <c r="FG119" s="322" t="s">
        <v>470</v>
      </c>
      <c r="FH119" s="322" t="s">
        <v>470</v>
      </c>
      <c r="FI119" s="465" t="s">
        <v>470</v>
      </c>
      <c r="FJ119" s="465" t="s">
        <v>470</v>
      </c>
      <c r="FK119" s="465"/>
      <c r="FL119" s="465" t="s">
        <v>470</v>
      </c>
      <c r="FM119" s="225" t="s">
        <v>5509</v>
      </c>
      <c r="FN119" s="225"/>
      <c r="FO119" s="394" t="s">
        <v>470</v>
      </c>
      <c r="FP119" s="394"/>
      <c r="FQ119" s="465" t="s">
        <v>470</v>
      </c>
      <c r="FR119" s="394"/>
      <c r="FS119" s="394"/>
      <c r="FT119" s="394"/>
      <c r="FU119" s="226"/>
      <c r="FV119" s="394"/>
      <c r="FW119" s="394"/>
      <c r="FX119" s="394"/>
      <c r="FY119" s="226"/>
      <c r="FZ119" s="394"/>
      <c r="GA119" s="394"/>
      <c r="GB119" s="394" t="s">
        <v>5508</v>
      </c>
      <c r="GC119" s="394"/>
      <c r="GD119" s="394"/>
      <c r="GE119" s="394"/>
      <c r="GF119" s="394" t="s">
        <v>479</v>
      </c>
      <c r="GG119" s="394" t="s">
        <v>470</v>
      </c>
      <c r="GH119" s="394" t="s">
        <v>470</v>
      </c>
      <c r="GI119" s="226"/>
      <c r="GJ119" s="394"/>
      <c r="GK119" s="394"/>
      <c r="GL119" s="394"/>
      <c r="GM119" s="394"/>
      <c r="GN119" s="394" t="s">
        <v>5507</v>
      </c>
      <c r="GO119" s="226"/>
      <c r="GP119" s="394"/>
      <c r="GQ119" s="226"/>
      <c r="GR119" s="394"/>
      <c r="GS119" s="394" t="s">
        <v>5506</v>
      </c>
      <c r="GT119" s="394"/>
      <c r="GU119" s="394" t="s">
        <v>470</v>
      </c>
      <c r="GV119" s="394"/>
      <c r="GW119" s="226"/>
      <c r="GX119" s="225"/>
      <c r="GY119" s="225"/>
      <c r="GZ119" s="394" t="s">
        <v>470</v>
      </c>
      <c r="HA119" s="225" t="s">
        <v>479</v>
      </c>
      <c r="HB119" s="225" t="s">
        <v>470</v>
      </c>
      <c r="HC119" s="225"/>
      <c r="HD119" s="225" t="s">
        <v>470</v>
      </c>
      <c r="HE119" s="225" t="s">
        <v>470</v>
      </c>
      <c r="HF119" s="226"/>
      <c r="HG119" s="227" t="s">
        <v>5505</v>
      </c>
      <c r="HH119" s="227" t="s">
        <v>656</v>
      </c>
      <c r="HI119" s="227" t="s">
        <v>656</v>
      </c>
      <c r="HJ119" s="225" t="s">
        <v>656</v>
      </c>
      <c r="HK119" s="227" t="s">
        <v>656</v>
      </c>
      <c r="HL119" s="226"/>
      <c r="HM119" s="225" t="s">
        <v>470</v>
      </c>
      <c r="HN119" s="226"/>
      <c r="HO119" s="225"/>
      <c r="HP119" s="225" t="s">
        <v>470</v>
      </c>
      <c r="HQ119" s="225" t="s">
        <v>873</v>
      </c>
      <c r="HR119" s="225"/>
      <c r="HS119" s="225" t="s">
        <v>470</v>
      </c>
      <c r="HT119" s="294" t="s">
        <v>470</v>
      </c>
      <c r="HU119" s="225" t="s">
        <v>470</v>
      </c>
      <c r="HV119" s="225" t="s">
        <v>470</v>
      </c>
      <c r="HW119" s="225" t="s">
        <v>5504</v>
      </c>
      <c r="HX119" s="225" t="s">
        <v>470</v>
      </c>
      <c r="HY119" s="225" t="s">
        <v>5503</v>
      </c>
      <c r="HZ119" s="225" t="s">
        <v>656</v>
      </c>
      <c r="IA119" s="225" t="s">
        <v>5502</v>
      </c>
      <c r="IB119" s="225"/>
      <c r="IC119" s="225"/>
      <c r="ID119" s="225"/>
      <c r="IE119" s="381"/>
      <c r="IF119" s="225"/>
      <c r="IG119" s="225"/>
      <c r="IH119" s="229"/>
      <c r="II119" s="225"/>
      <c r="IJ119" s="225"/>
      <c r="IK119" s="225"/>
      <c r="IL119" s="225"/>
      <c r="IM119" s="225"/>
      <c r="IN119" s="225"/>
      <c r="IO119" s="225"/>
      <c r="IP119" s="225"/>
      <c r="IQ119" s="225"/>
      <c r="IR119" s="225" t="s">
        <v>470</v>
      </c>
      <c r="IS119" s="225" t="s">
        <v>470</v>
      </c>
      <c r="IT119" s="225"/>
      <c r="IU119" s="225"/>
      <c r="IV119" s="225"/>
      <c r="IW119" s="225"/>
      <c r="IX119" s="225"/>
      <c r="IY119" s="225" t="s">
        <v>470</v>
      </c>
      <c r="IZ119" s="225"/>
      <c r="JA119" s="225"/>
      <c r="JB119" s="225"/>
      <c r="JC119" s="225" t="s">
        <v>470</v>
      </c>
      <c r="JD119" s="225" t="s">
        <v>470</v>
      </c>
      <c r="JE119" s="226"/>
      <c r="JF119" s="226"/>
      <c r="JG119" s="226"/>
      <c r="JH119" s="225" t="s">
        <v>470</v>
      </c>
      <c r="JI119" s="225"/>
      <c r="JJ119" s="225" t="s">
        <v>479</v>
      </c>
      <c r="JK119" s="237" t="s">
        <v>470</v>
      </c>
      <c r="JL119" s="225" t="s">
        <v>656</v>
      </c>
      <c r="JM119" s="225" t="s">
        <v>470</v>
      </c>
      <c r="JN119" s="226"/>
      <c r="JO119" s="226"/>
      <c r="JP119" s="226"/>
      <c r="JQ119" s="225"/>
      <c r="JR119" s="225" t="s">
        <v>470</v>
      </c>
      <c r="JS119" s="225" t="s">
        <v>470</v>
      </c>
      <c r="JT119" s="225" t="s">
        <v>470</v>
      </c>
      <c r="JU119" s="225"/>
      <c r="JV119" s="225"/>
      <c r="JW119" s="225" t="s">
        <v>656</v>
      </c>
      <c r="JX119" s="225" t="s">
        <v>470</v>
      </c>
      <c r="JY119" s="225" t="s">
        <v>470</v>
      </c>
      <c r="JZ119" s="225" t="s">
        <v>5501</v>
      </c>
      <c r="KA119" s="225"/>
      <c r="KB119" s="225" t="s">
        <v>470</v>
      </c>
      <c r="KC119" s="322" t="s">
        <v>470</v>
      </c>
      <c r="KD119" s="225" t="s">
        <v>470</v>
      </c>
      <c r="KE119" s="232"/>
      <c r="KF119" s="225" t="s">
        <v>470</v>
      </c>
      <c r="KG119" s="225" t="s">
        <v>470</v>
      </c>
      <c r="KH119" s="225"/>
      <c r="KI119" s="225" t="s">
        <v>470</v>
      </c>
      <c r="KJ119" s="322" t="s">
        <v>470</v>
      </c>
      <c r="KK119" s="225"/>
      <c r="KL119" s="225" t="s">
        <v>470</v>
      </c>
      <c r="KM119" s="225" t="s">
        <v>470</v>
      </c>
      <c r="KN119" s="225"/>
      <c r="KO119" s="225" t="s">
        <v>5500</v>
      </c>
      <c r="KP119" s="225" t="s">
        <v>5499</v>
      </c>
      <c r="KQ119" s="226"/>
      <c r="KR119" s="226"/>
      <c r="KS119" s="226"/>
      <c r="KT119" s="226"/>
      <c r="KU119" s="226"/>
      <c r="KV119" s="225" t="s">
        <v>5498</v>
      </c>
      <c r="KW119" s="225"/>
      <c r="KX119" s="228"/>
      <c r="KY119" s="793"/>
      <c r="KZ119" s="225"/>
      <c r="LA119" s="225" t="s">
        <v>470</v>
      </c>
      <c r="LB119" s="225"/>
      <c r="LC119" s="225"/>
      <c r="LD119" s="225"/>
      <c r="LE119" s="225"/>
      <c r="LF119" s="225"/>
      <c r="LG119" s="225"/>
      <c r="LH119" s="225"/>
      <c r="LI119" s="225" t="s">
        <v>470</v>
      </c>
      <c r="LJ119" s="225"/>
      <c r="LK119" s="225"/>
      <c r="LL119" s="225"/>
      <c r="LM119" s="226"/>
      <c r="LN119" s="225" t="s">
        <v>470</v>
      </c>
      <c r="LO119" s="225" t="s">
        <v>470</v>
      </c>
      <c r="LP119" s="225" t="s">
        <v>5497</v>
      </c>
      <c r="LQ119" s="225"/>
      <c r="LR119" s="225"/>
      <c r="LS119" s="225" t="s">
        <v>5496</v>
      </c>
      <c r="LT119" s="234" t="s">
        <v>470</v>
      </c>
      <c r="LU119" s="225"/>
      <c r="LV119" s="225" t="s">
        <v>5495</v>
      </c>
      <c r="LW119" s="225"/>
      <c r="LX119" s="225" t="s">
        <v>470</v>
      </c>
      <c r="LY119" s="225"/>
      <c r="LZ119" s="225" t="s">
        <v>470</v>
      </c>
      <c r="MA119" s="225"/>
      <c r="MB119" s="225"/>
      <c r="MC119" s="225"/>
      <c r="MD119" s="225" t="s">
        <v>5494</v>
      </c>
      <c r="ME119" s="225"/>
      <c r="MF119" s="225"/>
      <c r="MG119" s="226"/>
      <c r="MH119" s="226"/>
      <c r="MI119" s="226"/>
      <c r="MJ119" s="235" t="s">
        <v>470</v>
      </c>
      <c r="MK119" s="235"/>
      <c r="ML119" s="235" t="s">
        <v>656</v>
      </c>
      <c r="MM119" s="235"/>
      <c r="MN119" s="236"/>
      <c r="MO119" s="236" t="s">
        <v>5493</v>
      </c>
      <c r="MP119" s="236" t="s">
        <v>479</v>
      </c>
      <c r="MQ119" s="236" t="s">
        <v>5492</v>
      </c>
      <c r="MR119" s="236" t="s">
        <v>470</v>
      </c>
      <c r="MS119" s="236"/>
      <c r="MT119" s="235"/>
      <c r="MU119" s="236" t="s">
        <v>5491</v>
      </c>
      <c r="MV119" s="235" t="s">
        <v>5490</v>
      </c>
      <c r="MW119" s="235"/>
      <c r="MX119" s="226"/>
      <c r="MY119" s="226"/>
      <c r="MZ119" s="226"/>
      <c r="NA119" s="226"/>
    </row>
    <row r="120" spans="1:365" ht="404" x14ac:dyDescent="0.2">
      <c r="A120" s="1216"/>
      <c r="B120" s="1217"/>
      <c r="C120" s="1218"/>
      <c r="D120" s="215" t="s">
        <v>205</v>
      </c>
      <c r="E120" s="225" t="s">
        <v>5489</v>
      </c>
      <c r="F120" s="225"/>
      <c r="G120" s="225" t="s">
        <v>656</v>
      </c>
      <c r="H120" s="225" t="s">
        <v>656</v>
      </c>
      <c r="I120" s="322" t="s">
        <v>656</v>
      </c>
      <c r="J120" s="225" t="s">
        <v>656</v>
      </c>
      <c r="K120" s="225" t="s">
        <v>1924</v>
      </c>
      <c r="L120" s="225" t="s">
        <v>1924</v>
      </c>
      <c r="M120" s="225" t="s">
        <v>1924</v>
      </c>
      <c r="N120" s="225" t="s">
        <v>1924</v>
      </c>
      <c r="O120" s="225" t="s">
        <v>1924</v>
      </c>
      <c r="P120" s="400" t="s">
        <v>1924</v>
      </c>
      <c r="Q120" s="225" t="s">
        <v>5488</v>
      </c>
      <c r="R120" s="322"/>
      <c r="S120" s="225"/>
      <c r="T120" s="225"/>
      <c r="U120" s="225"/>
      <c r="V120" s="225"/>
      <c r="W120" s="226"/>
      <c r="X120" s="226"/>
      <c r="Y120" s="226"/>
      <c r="Z120" s="226"/>
      <c r="AA120" s="226"/>
      <c r="AB120" s="226"/>
      <c r="AC120" s="226"/>
      <c r="AD120" s="226"/>
      <c r="AE120" s="226"/>
      <c r="AF120" s="225" t="s">
        <v>5487</v>
      </c>
      <c r="AG120" s="225" t="s">
        <v>5486</v>
      </c>
      <c r="AH120" s="226"/>
      <c r="AI120" s="225"/>
      <c r="AJ120" s="225"/>
      <c r="AK120" s="344"/>
      <c r="AL120" s="225"/>
      <c r="AM120" s="226"/>
      <c r="AN120" s="226"/>
      <c r="AO120" s="226"/>
      <c r="AP120" s="226"/>
      <c r="AQ120" s="225"/>
      <c r="AR120" s="225"/>
      <c r="AS120" s="225"/>
      <c r="AT120" s="225" t="s">
        <v>470</v>
      </c>
      <c r="AU120" s="225" t="s">
        <v>656</v>
      </c>
      <c r="AV120" s="322"/>
      <c r="AW120" s="225"/>
      <c r="AX120" s="225"/>
      <c r="AY120" s="229" t="s">
        <v>2234</v>
      </c>
      <c r="AZ120" s="225"/>
      <c r="BA120" s="225"/>
      <c r="BB120" s="225"/>
      <c r="BC120" s="225"/>
      <c r="BD120" s="225"/>
      <c r="BE120" s="229"/>
      <c r="BF120" s="225"/>
      <c r="BG120" s="225"/>
      <c r="BH120" s="225" t="s">
        <v>470</v>
      </c>
      <c r="BI120" s="225" t="s">
        <v>656</v>
      </c>
      <c r="BJ120" s="225"/>
      <c r="BK120" s="225"/>
      <c r="BL120" s="225"/>
      <c r="BM120" s="225"/>
      <c r="BN120" s="226"/>
      <c r="BO120" s="225"/>
      <c r="BP120" s="225"/>
      <c r="BQ120" s="225"/>
      <c r="BR120" s="233" t="s">
        <v>205</v>
      </c>
      <c r="BS120" s="225" t="s">
        <v>656</v>
      </c>
      <c r="BT120" s="225"/>
      <c r="BU120" s="225"/>
      <c r="BV120" s="225"/>
      <c r="BW120" s="225"/>
      <c r="BX120" s="225"/>
      <c r="BY120" s="225"/>
      <c r="BZ120" s="225"/>
      <c r="CA120" s="225"/>
      <c r="CB120" s="225"/>
      <c r="CC120" s="225"/>
      <c r="CD120" s="229"/>
      <c r="CE120" s="229"/>
      <c r="CF120" s="229"/>
      <c r="CG120" s="229"/>
      <c r="CH120" s="229"/>
      <c r="CI120" s="229"/>
      <c r="CJ120" s="229"/>
      <c r="CK120" s="229"/>
      <c r="CL120" s="229"/>
      <c r="CM120" s="229"/>
      <c r="CN120" s="225"/>
      <c r="CO120" s="225"/>
      <c r="CP120" s="225"/>
      <c r="CQ120" s="406"/>
      <c r="CR120" s="394"/>
      <c r="CS120" s="225"/>
      <c r="CT120" s="225"/>
      <c r="CU120" s="322">
        <v>0</v>
      </c>
      <c r="CV120" s="225"/>
      <c r="CW120" s="225" t="s">
        <v>656</v>
      </c>
      <c r="CX120" s="225"/>
      <c r="CY120" s="225"/>
      <c r="CZ120" s="225"/>
      <c r="DA120" s="225"/>
      <c r="DB120" s="225"/>
      <c r="DC120" s="225"/>
      <c r="DD120" s="225"/>
      <c r="DE120" s="225"/>
      <c r="DF120" s="225"/>
      <c r="DG120" s="225"/>
      <c r="DH120" s="225"/>
      <c r="DI120" s="225"/>
      <c r="DJ120" s="225" t="s">
        <v>656</v>
      </c>
      <c r="DK120" s="225"/>
      <c r="DL120" s="225"/>
      <c r="DM120" s="225"/>
      <c r="DN120" s="225" t="s">
        <v>656</v>
      </c>
      <c r="DO120" s="225"/>
      <c r="DP120" s="225" t="s">
        <v>470</v>
      </c>
      <c r="DQ120" s="225" t="s">
        <v>470</v>
      </c>
      <c r="DR120" s="225" t="s">
        <v>470</v>
      </c>
      <c r="DS120" s="225" t="s">
        <v>470</v>
      </c>
      <c r="DT120" s="225" t="s">
        <v>470</v>
      </c>
      <c r="DU120" s="225" t="s">
        <v>470</v>
      </c>
      <c r="DV120" s="225"/>
      <c r="DW120" s="246" t="s">
        <v>2234</v>
      </c>
      <c r="DX120" s="225"/>
      <c r="DY120" s="225"/>
      <c r="DZ120" s="225"/>
      <c r="EA120" s="225"/>
      <c r="EB120" s="225"/>
      <c r="EC120" s="226"/>
      <c r="ED120" s="225"/>
      <c r="EE120" s="225" t="s">
        <v>656</v>
      </c>
      <c r="EF120" s="225"/>
      <c r="EG120" s="226"/>
      <c r="EH120" s="225"/>
      <c r="EI120" s="225" t="s">
        <v>656</v>
      </c>
      <c r="EJ120" s="226"/>
      <c r="EK120" s="226"/>
      <c r="EL120" s="226"/>
      <c r="EM120" s="226"/>
      <c r="EN120" s="226"/>
      <c r="EO120" s="226"/>
      <c r="EP120" s="226"/>
      <c r="EQ120" s="226"/>
      <c r="ER120" s="225"/>
      <c r="ES120" s="225"/>
      <c r="ET120" s="225"/>
      <c r="EU120" s="225"/>
      <c r="EV120" s="225"/>
      <c r="EW120" s="225" t="s">
        <v>5485</v>
      </c>
      <c r="EX120" s="225"/>
      <c r="EY120" s="225"/>
      <c r="EZ120" s="229"/>
      <c r="FA120" s="225"/>
      <c r="FB120" s="225"/>
      <c r="FC120" s="225"/>
      <c r="FD120" s="226"/>
      <c r="FE120" s="404" t="s">
        <v>5484</v>
      </c>
      <c r="FF120" s="225" t="s">
        <v>470</v>
      </c>
      <c r="FG120" s="322" t="s">
        <v>470</v>
      </c>
      <c r="FH120" s="322" t="s">
        <v>470</v>
      </c>
      <c r="FI120" s="465" t="s">
        <v>656</v>
      </c>
      <c r="FJ120" s="465" t="s">
        <v>656</v>
      </c>
      <c r="FK120" s="465"/>
      <c r="FL120" s="465" t="s">
        <v>656</v>
      </c>
      <c r="FM120" s="428" t="s">
        <v>5483</v>
      </c>
      <c r="FN120" s="428"/>
      <c r="FO120" s="394"/>
      <c r="FP120" s="394"/>
      <c r="FQ120" s="465" t="s">
        <v>656</v>
      </c>
      <c r="FR120" s="394"/>
      <c r="FS120" s="394"/>
      <c r="FT120" s="394"/>
      <c r="FU120" s="226"/>
      <c r="FV120" s="394"/>
      <c r="FW120" s="394"/>
      <c r="FX120" s="394"/>
      <c r="FY120" s="226"/>
      <c r="FZ120" s="394"/>
      <c r="GA120" s="394"/>
      <c r="GB120" s="394"/>
      <c r="GC120" s="394"/>
      <c r="GD120" s="394"/>
      <c r="GE120" s="394"/>
      <c r="GF120" s="394" t="s">
        <v>5482</v>
      </c>
      <c r="GG120" s="394" t="s">
        <v>4906</v>
      </c>
      <c r="GH120" s="394" t="s">
        <v>4906</v>
      </c>
      <c r="GI120" s="226"/>
      <c r="GJ120" s="394"/>
      <c r="GK120" s="394"/>
      <c r="GL120" s="394"/>
      <c r="GM120" s="394"/>
      <c r="GN120" s="394" t="s">
        <v>5481</v>
      </c>
      <c r="GO120" s="226"/>
      <c r="GP120" s="394"/>
      <c r="GQ120" s="226"/>
      <c r="GR120" s="394"/>
      <c r="GS120" s="394" t="s">
        <v>5480</v>
      </c>
      <c r="GT120" s="394"/>
      <c r="GU120" s="394"/>
      <c r="GV120" s="394"/>
      <c r="GW120" s="226"/>
      <c r="GX120" s="225"/>
      <c r="GY120" s="225"/>
      <c r="GZ120" s="394"/>
      <c r="HA120" s="225" t="s">
        <v>5479</v>
      </c>
      <c r="HB120" s="225"/>
      <c r="HC120" s="225"/>
      <c r="HD120" s="225"/>
      <c r="HE120" s="225"/>
      <c r="HF120" s="226"/>
      <c r="HG120" s="227" t="s">
        <v>5478</v>
      </c>
      <c r="HH120" s="227" t="s">
        <v>656</v>
      </c>
      <c r="HI120" s="227" t="s">
        <v>656</v>
      </c>
      <c r="HJ120" s="322" t="s">
        <v>656</v>
      </c>
      <c r="HK120" s="227" t="s">
        <v>656</v>
      </c>
      <c r="HL120" s="226"/>
      <c r="HM120" s="225"/>
      <c r="HN120" s="226"/>
      <c r="HO120" s="225" t="s">
        <v>5477</v>
      </c>
      <c r="HP120" s="225"/>
      <c r="HQ120" s="225"/>
      <c r="HR120" s="225"/>
      <c r="HS120" s="225"/>
      <c r="HT120" s="225"/>
      <c r="HU120" s="225"/>
      <c r="HV120" s="225"/>
      <c r="HW120" s="225" t="s">
        <v>640</v>
      </c>
      <c r="HX120" s="225"/>
      <c r="HY120" s="266" t="s">
        <v>5289</v>
      </c>
      <c r="HZ120" s="225" t="s">
        <v>656</v>
      </c>
      <c r="IA120" s="225"/>
      <c r="IB120" s="225"/>
      <c r="IC120" s="225"/>
      <c r="ID120" s="225"/>
      <c r="IE120" s="264"/>
      <c r="IF120" s="225"/>
      <c r="IG120" s="225"/>
      <c r="IH120" s="229"/>
      <c r="II120" s="225"/>
      <c r="IJ120" s="225"/>
      <c r="IK120" s="225"/>
      <c r="IL120" s="225"/>
      <c r="IM120" s="225"/>
      <c r="IN120" s="225"/>
      <c r="IO120" s="225"/>
      <c r="IP120" s="225"/>
      <c r="IQ120" s="225"/>
      <c r="IR120" s="225"/>
      <c r="IS120" s="225"/>
      <c r="IT120" s="225"/>
      <c r="IU120" s="225"/>
      <c r="IV120" s="225"/>
      <c r="IW120" s="225"/>
      <c r="IX120" s="225"/>
      <c r="IY120" s="225" t="s">
        <v>656</v>
      </c>
      <c r="IZ120" s="225"/>
      <c r="JA120" s="225"/>
      <c r="JB120" s="225"/>
      <c r="JC120" s="225" t="s">
        <v>656</v>
      </c>
      <c r="JD120" s="225" t="s">
        <v>656</v>
      </c>
      <c r="JE120" s="226"/>
      <c r="JF120" s="226"/>
      <c r="JG120" s="226"/>
      <c r="JH120" s="225"/>
      <c r="JI120" s="225"/>
      <c r="JJ120" s="225" t="s">
        <v>5476</v>
      </c>
      <c r="JK120" s="237"/>
      <c r="JL120" s="225" t="s">
        <v>656</v>
      </c>
      <c r="JM120" s="225"/>
      <c r="JN120" s="226"/>
      <c r="JO120" s="226"/>
      <c r="JP120" s="226"/>
      <c r="JQ120" s="225"/>
      <c r="JR120" s="225"/>
      <c r="JS120" s="225"/>
      <c r="JT120" s="225"/>
      <c r="JU120" s="225"/>
      <c r="JV120" s="225"/>
      <c r="JW120" s="225" t="s">
        <v>656</v>
      </c>
      <c r="JX120" s="225" t="s">
        <v>656</v>
      </c>
      <c r="JY120" s="225" t="s">
        <v>470</v>
      </c>
      <c r="JZ120" s="225" t="s">
        <v>470</v>
      </c>
      <c r="KA120" s="225"/>
      <c r="KB120" s="225"/>
      <c r="KC120" s="322" t="s">
        <v>470</v>
      </c>
      <c r="KD120" s="225"/>
      <c r="KE120" s="232"/>
      <c r="KF120" s="225"/>
      <c r="KG120" s="225" t="s">
        <v>470</v>
      </c>
      <c r="KH120" s="225"/>
      <c r="KI120" s="225"/>
      <c r="KJ120" s="225"/>
      <c r="KK120" s="225"/>
      <c r="KL120" s="225" t="s">
        <v>656</v>
      </c>
      <c r="KM120" s="225"/>
      <c r="KN120" s="225"/>
      <c r="KO120" s="225"/>
      <c r="KP120" s="225" t="s">
        <v>5475</v>
      </c>
      <c r="KQ120" s="226"/>
      <c r="KR120" s="226"/>
      <c r="KS120" s="226"/>
      <c r="KT120" s="226"/>
      <c r="KU120" s="226"/>
      <c r="KV120" s="225" t="s">
        <v>5474</v>
      </c>
      <c r="KW120" s="225"/>
      <c r="KX120" s="228"/>
      <c r="KY120" s="793"/>
      <c r="KZ120" s="225"/>
      <c r="LA120" s="225"/>
      <c r="LB120" s="225"/>
      <c r="LC120" s="225"/>
      <c r="LD120" s="225"/>
      <c r="LE120" s="225"/>
      <c r="LF120" s="225"/>
      <c r="LG120" s="225"/>
      <c r="LH120" s="225"/>
      <c r="LI120" s="225"/>
      <c r="LJ120" s="225"/>
      <c r="LK120" s="225"/>
      <c r="LL120" s="225"/>
      <c r="LM120" s="226"/>
      <c r="LN120" s="225"/>
      <c r="LO120" s="225"/>
      <c r="LP120" s="225" t="s">
        <v>5473</v>
      </c>
      <c r="LQ120" s="225"/>
      <c r="LR120" s="225"/>
      <c r="LS120" s="225" t="s">
        <v>5472</v>
      </c>
      <c r="LT120" s="234"/>
      <c r="LU120" s="225"/>
      <c r="LV120" s="225" t="s">
        <v>5471</v>
      </c>
      <c r="LW120" s="225"/>
      <c r="LX120" s="225"/>
      <c r="LY120" s="225"/>
      <c r="LZ120" s="225"/>
      <c r="MA120" s="225"/>
      <c r="MB120" s="225"/>
      <c r="MC120" s="225"/>
      <c r="MD120" s="225" t="s">
        <v>5470</v>
      </c>
      <c r="ME120" s="225"/>
      <c r="MF120" s="225"/>
      <c r="MG120" s="226"/>
      <c r="MH120" s="226"/>
      <c r="MI120" s="226"/>
      <c r="MJ120" s="235"/>
      <c r="MK120" s="235"/>
      <c r="ML120" s="235" t="s">
        <v>656</v>
      </c>
      <c r="MM120" s="235"/>
      <c r="MN120" s="236"/>
      <c r="MO120" s="274" t="s">
        <v>4932</v>
      </c>
      <c r="MP120" s="236" t="s">
        <v>5469</v>
      </c>
      <c r="MQ120" s="236" t="s">
        <v>5468</v>
      </c>
      <c r="MR120" s="236" t="s">
        <v>1482</v>
      </c>
      <c r="MS120" s="236"/>
      <c r="MT120" s="235"/>
      <c r="MU120" s="236"/>
      <c r="MV120" s="235" t="s">
        <v>5467</v>
      </c>
      <c r="MW120" s="235"/>
      <c r="MX120" s="226"/>
      <c r="MY120" s="226"/>
      <c r="MZ120" s="226"/>
      <c r="NA120" s="226"/>
    </row>
    <row r="121" spans="1:365" ht="51" x14ac:dyDescent="0.2">
      <c r="A121" s="1216"/>
      <c r="B121" s="1217"/>
      <c r="C121" s="1218"/>
      <c r="D121" s="215" t="s">
        <v>209</v>
      </c>
      <c r="E121" s="322">
        <v>22500</v>
      </c>
      <c r="F121" s="322"/>
      <c r="G121" s="322" t="s">
        <v>656</v>
      </c>
      <c r="H121" s="322" t="s">
        <v>656</v>
      </c>
      <c r="I121" s="225" t="s">
        <v>656</v>
      </c>
      <c r="J121" s="322" t="s">
        <v>656</v>
      </c>
      <c r="K121" s="322">
        <v>0</v>
      </c>
      <c r="L121" s="225">
        <v>0</v>
      </c>
      <c r="M121" s="322">
        <v>0</v>
      </c>
      <c r="N121" s="322">
        <v>0</v>
      </c>
      <c r="O121" s="322">
        <v>0</v>
      </c>
      <c r="P121" s="463">
        <v>0</v>
      </c>
      <c r="Q121" s="460">
        <v>32</v>
      </c>
      <c r="R121" s="322"/>
      <c r="S121" s="322"/>
      <c r="T121" s="322"/>
      <c r="U121" s="322"/>
      <c r="V121" s="322"/>
      <c r="W121" s="226"/>
      <c r="X121" s="226"/>
      <c r="Y121" s="226"/>
      <c r="Z121" s="226"/>
      <c r="AA121" s="226"/>
      <c r="AB121" s="226"/>
      <c r="AC121" s="226"/>
      <c r="AD121" s="226"/>
      <c r="AE121" s="226"/>
      <c r="AF121" s="322">
        <v>292</v>
      </c>
      <c r="AG121" s="225">
        <v>4</v>
      </c>
      <c r="AH121" s="226"/>
      <c r="AI121" s="322"/>
      <c r="AJ121" s="322"/>
      <c r="AK121" s="344"/>
      <c r="AL121" s="322"/>
      <c r="AM121" s="226"/>
      <c r="AN121" s="226"/>
      <c r="AO121" s="226"/>
      <c r="AP121" s="226"/>
      <c r="AQ121" s="322"/>
      <c r="AR121" s="322"/>
      <c r="AS121" s="322"/>
      <c r="AT121" s="322">
        <v>0</v>
      </c>
      <c r="AU121" s="322" t="s">
        <v>656</v>
      </c>
      <c r="AV121" s="225"/>
      <c r="AW121" s="322"/>
      <c r="AX121" s="322"/>
      <c r="AY121" s="344" t="s">
        <v>2234</v>
      </c>
      <c r="AZ121" s="322"/>
      <c r="BA121" s="322"/>
      <c r="BB121" s="322"/>
      <c r="BC121" s="322"/>
      <c r="BD121" s="322"/>
      <c r="BE121" s="344"/>
      <c r="BF121" s="322"/>
      <c r="BG121" s="322"/>
      <c r="BH121" s="322" t="s">
        <v>470</v>
      </c>
      <c r="BI121" s="322" t="s">
        <v>656</v>
      </c>
      <c r="BJ121" s="322"/>
      <c r="BK121" s="322"/>
      <c r="BL121" s="322"/>
      <c r="BM121" s="322"/>
      <c r="BN121" s="226"/>
      <c r="BO121" s="322"/>
      <c r="BP121" s="322"/>
      <c r="BQ121" s="322"/>
      <c r="BR121" s="233" t="s">
        <v>209</v>
      </c>
      <c r="BS121" s="322" t="s">
        <v>656</v>
      </c>
      <c r="BT121" s="322"/>
      <c r="BU121" s="322"/>
      <c r="BV121" s="322"/>
      <c r="BW121" s="322"/>
      <c r="BX121" s="322"/>
      <c r="BY121" s="322"/>
      <c r="BZ121" s="322"/>
      <c r="CA121" s="322"/>
      <c r="CB121" s="322"/>
      <c r="CC121" s="322"/>
      <c r="CD121" s="344"/>
      <c r="CE121" s="344"/>
      <c r="CF121" s="344"/>
      <c r="CG121" s="344">
        <v>0</v>
      </c>
      <c r="CH121" s="344"/>
      <c r="CI121" s="344"/>
      <c r="CJ121" s="344">
        <v>0</v>
      </c>
      <c r="CK121" s="344"/>
      <c r="CL121" s="344"/>
      <c r="CM121" s="344"/>
      <c r="CN121" s="322"/>
      <c r="CO121" s="322"/>
      <c r="CP121" s="322"/>
      <c r="CQ121" s="464"/>
      <c r="CR121" s="465"/>
      <c r="CS121" s="322"/>
      <c r="CT121" s="322"/>
      <c r="CU121" s="322">
        <v>0</v>
      </c>
      <c r="CV121" s="322"/>
      <c r="CW121" s="322" t="s">
        <v>656</v>
      </c>
      <c r="CX121" s="322"/>
      <c r="CY121" s="322"/>
      <c r="CZ121" s="322"/>
      <c r="DA121" s="322"/>
      <c r="DB121" s="322"/>
      <c r="DC121" s="322"/>
      <c r="DD121" s="322"/>
      <c r="DE121" s="322"/>
      <c r="DF121" s="322"/>
      <c r="DG121" s="322"/>
      <c r="DH121" s="322"/>
      <c r="DI121" s="322"/>
      <c r="DJ121" s="322" t="s">
        <v>656</v>
      </c>
      <c r="DK121" s="322"/>
      <c r="DL121" s="322"/>
      <c r="DM121" s="322"/>
      <c r="DN121" s="322" t="s">
        <v>656</v>
      </c>
      <c r="DO121" s="322"/>
      <c r="DP121" s="225">
        <v>0</v>
      </c>
      <c r="DQ121" s="225">
        <v>0</v>
      </c>
      <c r="DR121" s="225">
        <v>0</v>
      </c>
      <c r="DS121" s="225">
        <v>0</v>
      </c>
      <c r="DT121" s="225">
        <v>0</v>
      </c>
      <c r="DU121" s="322"/>
      <c r="DV121" s="322"/>
      <c r="DW121" s="246" t="s">
        <v>2234</v>
      </c>
      <c r="DX121" s="322"/>
      <c r="DY121" s="322"/>
      <c r="DZ121" s="322"/>
      <c r="EA121" s="322">
        <v>312</v>
      </c>
      <c r="EB121" s="322"/>
      <c r="EC121" s="226"/>
      <c r="ED121" s="322"/>
      <c r="EE121" s="322" t="s">
        <v>656</v>
      </c>
      <c r="EF121" s="322"/>
      <c r="EG121" s="226"/>
      <c r="EH121" s="322"/>
      <c r="EI121" s="322" t="s">
        <v>656</v>
      </c>
      <c r="EJ121" s="226"/>
      <c r="EK121" s="226"/>
      <c r="EL121" s="226"/>
      <c r="EM121" s="226"/>
      <c r="EN121" s="226"/>
      <c r="EO121" s="226"/>
      <c r="EP121" s="226"/>
      <c r="EQ121" s="226"/>
      <c r="ER121" s="322"/>
      <c r="ES121" s="322"/>
      <c r="ET121" s="225"/>
      <c r="EU121" s="225"/>
      <c r="EV121" s="225"/>
      <c r="EW121" s="225">
        <v>4.2439999999999998</v>
      </c>
      <c r="EX121" s="322"/>
      <c r="EY121" s="322"/>
      <c r="EZ121" s="344"/>
      <c r="FA121" s="322"/>
      <c r="FB121" s="322"/>
      <c r="FC121" s="322"/>
      <c r="FD121" s="226"/>
      <c r="FE121" s="466">
        <v>1</v>
      </c>
      <c r="FF121" s="225" t="s">
        <v>470</v>
      </c>
      <c r="FG121" s="322" t="s">
        <v>470</v>
      </c>
      <c r="FH121" s="322" t="s">
        <v>470</v>
      </c>
      <c r="FI121" s="465" t="s">
        <v>656</v>
      </c>
      <c r="FJ121" s="465" t="s">
        <v>656</v>
      </c>
      <c r="FK121" s="465"/>
      <c r="FL121" s="465" t="s">
        <v>656</v>
      </c>
      <c r="FM121" s="322">
        <v>2</v>
      </c>
      <c r="FN121" s="322"/>
      <c r="FO121" s="465"/>
      <c r="FP121" s="465"/>
      <c r="FQ121" s="465" t="s">
        <v>656</v>
      </c>
      <c r="FR121" s="465"/>
      <c r="FS121" s="465"/>
      <c r="FT121" s="465"/>
      <c r="FU121" s="226"/>
      <c r="FV121" s="465"/>
      <c r="FW121" s="465"/>
      <c r="FX121" s="465"/>
      <c r="FY121" s="226"/>
      <c r="FZ121" s="465"/>
      <c r="GA121" s="465"/>
      <c r="GB121" s="465"/>
      <c r="GC121" s="465"/>
      <c r="GD121" s="465"/>
      <c r="GE121" s="465"/>
      <c r="GF121" s="465">
        <v>65</v>
      </c>
      <c r="GG121" s="394" t="s">
        <v>4906</v>
      </c>
      <c r="GH121" s="394" t="s">
        <v>4906</v>
      </c>
      <c r="GI121" s="226"/>
      <c r="GJ121" s="465"/>
      <c r="GK121" s="465"/>
      <c r="GL121" s="465"/>
      <c r="GM121" s="465"/>
      <c r="GN121" s="465"/>
      <c r="GO121" s="226"/>
      <c r="GP121" s="465"/>
      <c r="GQ121" s="226"/>
      <c r="GR121" s="465"/>
      <c r="GS121" s="465">
        <v>3</v>
      </c>
      <c r="GT121" s="465"/>
      <c r="GU121" s="465"/>
      <c r="GV121" s="465"/>
      <c r="GW121" s="226"/>
      <c r="GX121" s="322"/>
      <c r="GY121" s="322"/>
      <c r="GZ121" s="465"/>
      <c r="HA121" s="322">
        <v>54</v>
      </c>
      <c r="HB121" s="322"/>
      <c r="HC121" s="322"/>
      <c r="HD121" s="322"/>
      <c r="HE121" s="322"/>
      <c r="HF121" s="226"/>
      <c r="HG121" s="343" t="s">
        <v>5466</v>
      </c>
      <c r="HH121" s="343" t="s">
        <v>656</v>
      </c>
      <c r="HI121" s="343" t="s">
        <v>656</v>
      </c>
      <c r="HJ121" s="322" t="s">
        <v>656</v>
      </c>
      <c r="HK121" s="343" t="s">
        <v>656</v>
      </c>
      <c r="HL121" s="226"/>
      <c r="HM121" s="322"/>
      <c r="HN121" s="226"/>
      <c r="HO121" s="322">
        <v>32</v>
      </c>
      <c r="HP121" s="322"/>
      <c r="HQ121" s="322"/>
      <c r="HR121" s="322"/>
      <c r="HS121" s="322"/>
      <c r="HT121" s="322"/>
      <c r="HU121" s="322"/>
      <c r="HV121" s="322"/>
      <c r="HW121" s="322">
        <v>13</v>
      </c>
      <c r="HX121" s="322"/>
      <c r="HY121" s="322">
        <v>1</v>
      </c>
      <c r="HZ121" s="322" t="s">
        <v>656</v>
      </c>
      <c r="IA121" s="322"/>
      <c r="IB121" s="322"/>
      <c r="IC121" s="322"/>
      <c r="ID121" s="322"/>
      <c r="IE121" s="322"/>
      <c r="IF121" s="322"/>
      <c r="IG121" s="322"/>
      <c r="IH121" s="344"/>
      <c r="II121" s="322"/>
      <c r="IJ121" s="322"/>
      <c r="IK121" s="322"/>
      <c r="IL121" s="322"/>
      <c r="IM121" s="322"/>
      <c r="IN121" s="322"/>
      <c r="IO121" s="322"/>
      <c r="IP121" s="322"/>
      <c r="IQ121" s="322"/>
      <c r="IR121" s="322"/>
      <c r="IS121" s="322"/>
      <c r="IT121" s="322"/>
      <c r="IU121" s="322"/>
      <c r="IV121" s="322"/>
      <c r="IW121" s="322"/>
      <c r="IX121" s="322"/>
      <c r="IY121" s="322" t="s">
        <v>656</v>
      </c>
      <c r="IZ121" s="322"/>
      <c r="JA121" s="322"/>
      <c r="JB121" s="322"/>
      <c r="JC121" s="322" t="s">
        <v>656</v>
      </c>
      <c r="JD121" s="322" t="s">
        <v>656</v>
      </c>
      <c r="JE121" s="226"/>
      <c r="JF121" s="226"/>
      <c r="JG121" s="226"/>
      <c r="JH121" s="322"/>
      <c r="JI121" s="322"/>
      <c r="JJ121" s="322">
        <v>74</v>
      </c>
      <c r="JK121" s="345"/>
      <c r="JL121" s="322" t="s">
        <v>656</v>
      </c>
      <c r="JM121" s="322"/>
      <c r="JN121" s="226"/>
      <c r="JO121" s="226"/>
      <c r="JP121" s="226"/>
      <c r="JQ121" s="322"/>
      <c r="JR121" s="322"/>
      <c r="JS121" s="322"/>
      <c r="JT121" s="322"/>
      <c r="JU121" s="322"/>
      <c r="JV121" s="322"/>
      <c r="JW121" s="322" t="s">
        <v>656</v>
      </c>
      <c r="JX121" s="225" t="s">
        <v>656</v>
      </c>
      <c r="JY121" s="322">
        <v>0</v>
      </c>
      <c r="JZ121" s="322" t="s">
        <v>470</v>
      </c>
      <c r="KA121" s="322"/>
      <c r="KB121" s="322"/>
      <c r="KC121" s="322" t="s">
        <v>470</v>
      </c>
      <c r="KD121" s="322"/>
      <c r="KE121" s="232"/>
      <c r="KF121" s="322"/>
      <c r="KG121" s="225" t="s">
        <v>470</v>
      </c>
      <c r="KH121" s="322"/>
      <c r="KI121" s="322"/>
      <c r="KJ121" s="322"/>
      <c r="KK121" s="322"/>
      <c r="KL121" s="322" t="s">
        <v>656</v>
      </c>
      <c r="KM121" s="322"/>
      <c r="KN121" s="322"/>
      <c r="KO121" s="322"/>
      <c r="KP121" s="322"/>
      <c r="KQ121" s="226"/>
      <c r="KR121" s="226"/>
      <c r="KS121" s="226"/>
      <c r="KT121" s="226"/>
      <c r="KU121" s="226"/>
      <c r="KV121" s="322">
        <v>10</v>
      </c>
      <c r="KW121" s="322"/>
      <c r="KX121" s="383"/>
      <c r="KY121" s="386"/>
      <c r="KZ121" s="322"/>
      <c r="LA121" s="322"/>
      <c r="LB121" s="322"/>
      <c r="LC121" s="322"/>
      <c r="LD121" s="322"/>
      <c r="LE121" s="322"/>
      <c r="LF121" s="322"/>
      <c r="LG121" s="322"/>
      <c r="LH121" s="322"/>
      <c r="LI121" s="322"/>
      <c r="LJ121" s="322"/>
      <c r="LK121" s="322"/>
      <c r="LL121" s="322"/>
      <c r="LM121" s="226"/>
      <c r="LN121" s="322">
        <v>0</v>
      </c>
      <c r="LO121" s="322">
        <v>0</v>
      </c>
      <c r="LP121" s="322">
        <v>40</v>
      </c>
      <c r="LQ121" s="322">
        <v>0</v>
      </c>
      <c r="LR121" s="322">
        <v>0</v>
      </c>
      <c r="LS121" s="322"/>
      <c r="LT121" s="346">
        <v>0</v>
      </c>
      <c r="LU121" s="322" t="e">
        <v>#REF!</v>
      </c>
      <c r="LV121" s="322">
        <v>4</v>
      </c>
      <c r="LW121" s="322"/>
      <c r="LX121" s="322"/>
      <c r="LY121" s="322"/>
      <c r="LZ121" s="322"/>
      <c r="MA121" s="322"/>
      <c r="MB121" s="322"/>
      <c r="MC121" s="322">
        <v>0</v>
      </c>
      <c r="MD121" s="322">
        <v>5</v>
      </c>
      <c r="ME121" s="322">
        <v>0</v>
      </c>
      <c r="MF121" s="322"/>
      <c r="MG121" s="226"/>
      <c r="MH121" s="226"/>
      <c r="MI121" s="226"/>
      <c r="MJ121" s="347"/>
      <c r="MK121" s="347"/>
      <c r="ML121" s="347" t="s">
        <v>656</v>
      </c>
      <c r="MM121" s="347"/>
      <c r="MN121" s="348"/>
      <c r="MO121" s="348">
        <v>3654</v>
      </c>
      <c r="MP121" s="348">
        <v>29</v>
      </c>
      <c r="MQ121" s="236">
        <v>1</v>
      </c>
      <c r="MR121" s="348" t="s">
        <v>1482</v>
      </c>
      <c r="MS121" s="348"/>
      <c r="MT121" s="347"/>
      <c r="MU121" s="348">
        <v>1754</v>
      </c>
      <c r="MV121" s="347">
        <v>21</v>
      </c>
      <c r="MW121" s="347"/>
      <c r="MX121" s="226"/>
      <c r="MY121" s="226"/>
      <c r="MZ121" s="226"/>
      <c r="NA121" s="226"/>
    </row>
    <row r="122" spans="1:365" ht="51" x14ac:dyDescent="0.2">
      <c r="A122" s="1216" t="s">
        <v>224</v>
      </c>
      <c r="B122" s="1217" t="s">
        <v>225</v>
      </c>
      <c r="C122" s="1218" t="s">
        <v>226</v>
      </c>
      <c r="D122" s="215" t="s">
        <v>204</v>
      </c>
      <c r="E122" s="225" t="s">
        <v>470</v>
      </c>
      <c r="F122" s="225" t="s">
        <v>470</v>
      </c>
      <c r="G122" s="225" t="s">
        <v>539</v>
      </c>
      <c r="H122" s="225" t="s">
        <v>539</v>
      </c>
      <c r="I122" s="225" t="s">
        <v>656</v>
      </c>
      <c r="J122" s="225" t="s">
        <v>539</v>
      </c>
      <c r="K122" s="225" t="s">
        <v>470</v>
      </c>
      <c r="L122" s="225" t="s">
        <v>470</v>
      </c>
      <c r="M122" s="225" t="s">
        <v>470</v>
      </c>
      <c r="N122" s="225" t="s">
        <v>470</v>
      </c>
      <c r="O122" s="225" t="s">
        <v>470</v>
      </c>
      <c r="P122" s="400" t="s">
        <v>470</v>
      </c>
      <c r="Q122" s="322" t="s">
        <v>470</v>
      </c>
      <c r="R122" s="322" t="s">
        <v>470</v>
      </c>
      <c r="S122" s="225" t="s">
        <v>470</v>
      </c>
      <c r="T122" s="225"/>
      <c r="U122" s="225" t="s">
        <v>539</v>
      </c>
      <c r="V122" s="225" t="s">
        <v>479</v>
      </c>
      <c r="W122" s="226"/>
      <c r="X122" s="226"/>
      <c r="Y122" s="226"/>
      <c r="Z122" s="226"/>
      <c r="AA122" s="226"/>
      <c r="AB122" s="226"/>
      <c r="AC122" s="226"/>
      <c r="AD122" s="226"/>
      <c r="AE122" s="226"/>
      <c r="AF122" s="225" t="s">
        <v>470</v>
      </c>
      <c r="AG122" s="225" t="s">
        <v>470</v>
      </c>
      <c r="AH122" s="226"/>
      <c r="AI122" s="225" t="s">
        <v>479</v>
      </c>
      <c r="AJ122" s="225" t="s">
        <v>470</v>
      </c>
      <c r="AK122" s="344" t="s">
        <v>470</v>
      </c>
      <c r="AL122" s="225" t="s">
        <v>470</v>
      </c>
      <c r="AM122" s="226"/>
      <c r="AN122" s="226"/>
      <c r="AO122" s="226"/>
      <c r="AP122" s="226"/>
      <c r="AQ122" s="225" t="s">
        <v>470</v>
      </c>
      <c r="AR122" s="225" t="s">
        <v>470</v>
      </c>
      <c r="AS122" s="225" t="s">
        <v>470</v>
      </c>
      <c r="AT122" s="225" t="s">
        <v>470</v>
      </c>
      <c r="AU122" s="225" t="s">
        <v>656</v>
      </c>
      <c r="AV122" s="225" t="s">
        <v>470</v>
      </c>
      <c r="AW122" s="225"/>
      <c r="AX122" s="225"/>
      <c r="AY122" s="229" t="s">
        <v>2234</v>
      </c>
      <c r="AZ122" s="225" t="s">
        <v>470</v>
      </c>
      <c r="BA122" s="225"/>
      <c r="BB122" s="225" t="s">
        <v>470</v>
      </c>
      <c r="BC122" s="225" t="s">
        <v>470</v>
      </c>
      <c r="BD122" s="225" t="s">
        <v>470</v>
      </c>
      <c r="BE122" s="229" t="s">
        <v>470</v>
      </c>
      <c r="BF122" s="225" t="s">
        <v>470</v>
      </c>
      <c r="BG122" s="225" t="s">
        <v>470</v>
      </c>
      <c r="BH122" s="225" t="s">
        <v>470</v>
      </c>
      <c r="BI122" s="225" t="s">
        <v>470</v>
      </c>
      <c r="BJ122" s="225" t="s">
        <v>470</v>
      </c>
      <c r="BK122" s="225" t="s">
        <v>470</v>
      </c>
      <c r="BL122" s="225"/>
      <c r="BM122" s="225" t="s">
        <v>470</v>
      </c>
      <c r="BN122" s="226"/>
      <c r="BO122" s="225" t="s">
        <v>470</v>
      </c>
      <c r="BP122" s="225"/>
      <c r="BQ122" s="225" t="s">
        <v>470</v>
      </c>
      <c r="BR122" s="233" t="s">
        <v>470</v>
      </c>
      <c r="BS122" s="225" t="s">
        <v>873</v>
      </c>
      <c r="BT122" s="225"/>
      <c r="BU122" s="225"/>
      <c r="BV122" s="225" t="s">
        <v>470</v>
      </c>
      <c r="BW122" s="225" t="s">
        <v>470</v>
      </c>
      <c r="BX122" s="225" t="s">
        <v>470</v>
      </c>
      <c r="BY122" s="225" t="s">
        <v>470</v>
      </c>
      <c r="BZ122" s="225" t="s">
        <v>470</v>
      </c>
      <c r="CA122" s="225" t="s">
        <v>470</v>
      </c>
      <c r="CB122" s="225" t="s">
        <v>470</v>
      </c>
      <c r="CC122" s="225" t="s">
        <v>470</v>
      </c>
      <c r="CD122" s="229" t="s">
        <v>470</v>
      </c>
      <c r="CE122" s="229" t="s">
        <v>470</v>
      </c>
      <c r="CF122" s="229"/>
      <c r="CG122" s="229" t="s">
        <v>470</v>
      </c>
      <c r="CH122" s="229"/>
      <c r="CI122" s="229"/>
      <c r="CJ122" s="229" t="s">
        <v>470</v>
      </c>
      <c r="CK122" s="229"/>
      <c r="CL122" s="229" t="s">
        <v>470</v>
      </c>
      <c r="CM122" s="229" t="s">
        <v>470</v>
      </c>
      <c r="CN122" s="225"/>
      <c r="CO122" s="225" t="s">
        <v>470</v>
      </c>
      <c r="CP122" s="225"/>
      <c r="CQ122" s="406" t="s">
        <v>470</v>
      </c>
      <c r="CR122" s="394" t="s">
        <v>479</v>
      </c>
      <c r="CS122" s="225" t="s">
        <v>470</v>
      </c>
      <c r="CT122" s="225"/>
      <c r="CU122" s="322" t="s">
        <v>470</v>
      </c>
      <c r="CV122" s="225" t="s">
        <v>470</v>
      </c>
      <c r="CW122" s="225" t="s">
        <v>656</v>
      </c>
      <c r="CX122" s="225" t="s">
        <v>470</v>
      </c>
      <c r="CY122" s="225"/>
      <c r="CZ122" s="225"/>
      <c r="DA122" s="225" t="s">
        <v>479</v>
      </c>
      <c r="DB122" s="225" t="s">
        <v>470</v>
      </c>
      <c r="DC122" s="225" t="s">
        <v>470</v>
      </c>
      <c r="DD122" s="225" t="s">
        <v>470</v>
      </c>
      <c r="DE122" s="225" t="s">
        <v>470</v>
      </c>
      <c r="DF122" s="225" t="s">
        <v>470</v>
      </c>
      <c r="DG122" s="225" t="s">
        <v>470</v>
      </c>
      <c r="DH122" s="225" t="s">
        <v>470</v>
      </c>
      <c r="DI122" s="225" t="s">
        <v>470</v>
      </c>
      <c r="DJ122" s="225" t="s">
        <v>470</v>
      </c>
      <c r="DK122" s="225" t="s">
        <v>470</v>
      </c>
      <c r="DL122" s="225" t="s">
        <v>470</v>
      </c>
      <c r="DM122" s="225"/>
      <c r="DN122" s="225" t="s">
        <v>470</v>
      </c>
      <c r="DO122" s="225"/>
      <c r="DP122" s="225" t="s">
        <v>470</v>
      </c>
      <c r="DQ122" s="225" t="s">
        <v>470</v>
      </c>
      <c r="DR122" s="225" t="s">
        <v>470</v>
      </c>
      <c r="DS122" s="225" t="s">
        <v>470</v>
      </c>
      <c r="DT122" s="225" t="s">
        <v>470</v>
      </c>
      <c r="DU122" s="225" t="s">
        <v>470</v>
      </c>
      <c r="DV122" s="225" t="s">
        <v>470</v>
      </c>
      <c r="DW122" s="246" t="s">
        <v>470</v>
      </c>
      <c r="DX122" s="225" t="s">
        <v>470</v>
      </c>
      <c r="DY122" s="225" t="s">
        <v>539</v>
      </c>
      <c r="DZ122" s="225" t="s">
        <v>470</v>
      </c>
      <c r="EA122" s="225" t="s">
        <v>470</v>
      </c>
      <c r="EB122" s="225" t="s">
        <v>470</v>
      </c>
      <c r="EC122" s="226"/>
      <c r="ED122" s="225" t="s">
        <v>470</v>
      </c>
      <c r="EE122" s="225" t="s">
        <v>470</v>
      </c>
      <c r="EF122" s="225"/>
      <c r="EG122" s="226"/>
      <c r="EH122" s="225" t="s">
        <v>470</v>
      </c>
      <c r="EI122" s="225" t="s">
        <v>470</v>
      </c>
      <c r="EJ122" s="226"/>
      <c r="EK122" s="226"/>
      <c r="EL122" s="226"/>
      <c r="EM122" s="226"/>
      <c r="EN122" s="226"/>
      <c r="EO122" s="226"/>
      <c r="EP122" s="226"/>
      <c r="EQ122" s="226"/>
      <c r="ER122" s="225" t="s">
        <v>470</v>
      </c>
      <c r="ES122" s="225" t="s">
        <v>470</v>
      </c>
      <c r="ET122" s="322" t="s">
        <v>470</v>
      </c>
      <c r="EU122" s="322" t="s">
        <v>470</v>
      </c>
      <c r="EV122" s="322" t="s">
        <v>470</v>
      </c>
      <c r="EW122" s="225" t="s">
        <v>470</v>
      </c>
      <c r="EX122" s="225" t="s">
        <v>470</v>
      </c>
      <c r="EY122" s="225" t="s">
        <v>470</v>
      </c>
      <c r="EZ122" s="229"/>
      <c r="FA122" s="225" t="s">
        <v>470</v>
      </c>
      <c r="FB122" s="225" t="s">
        <v>470</v>
      </c>
      <c r="FC122" s="225" t="s">
        <v>470</v>
      </c>
      <c r="FD122" s="226"/>
      <c r="FE122" s="404" t="s">
        <v>539</v>
      </c>
      <c r="FF122" s="225" t="s">
        <v>470</v>
      </c>
      <c r="FG122" s="225" t="s">
        <v>470</v>
      </c>
      <c r="FH122" s="225" t="s">
        <v>479</v>
      </c>
      <c r="FI122" s="465" t="s">
        <v>479</v>
      </c>
      <c r="FJ122" s="465" t="s">
        <v>470</v>
      </c>
      <c r="FK122" s="465"/>
      <c r="FL122" s="465" t="s">
        <v>470</v>
      </c>
      <c r="FM122" s="225" t="s">
        <v>479</v>
      </c>
      <c r="FN122" s="225"/>
      <c r="FO122" s="394" t="s">
        <v>470</v>
      </c>
      <c r="FP122" s="394"/>
      <c r="FQ122" s="465" t="s">
        <v>470</v>
      </c>
      <c r="FR122" s="394"/>
      <c r="FS122" s="394"/>
      <c r="FT122" s="394"/>
      <c r="FU122" s="226"/>
      <c r="FV122" s="394"/>
      <c r="FW122" s="394"/>
      <c r="FX122" s="394"/>
      <c r="FY122" s="226"/>
      <c r="FZ122" s="394"/>
      <c r="GA122" s="394"/>
      <c r="GB122" s="394"/>
      <c r="GC122" s="394"/>
      <c r="GD122" s="394" t="s">
        <v>470</v>
      </c>
      <c r="GE122" s="394"/>
      <c r="GF122" s="394"/>
      <c r="GG122" s="394" t="s">
        <v>470</v>
      </c>
      <c r="GH122" s="394" t="s">
        <v>470</v>
      </c>
      <c r="GI122" s="226"/>
      <c r="GJ122" s="394" t="s">
        <v>470</v>
      </c>
      <c r="GK122" s="394"/>
      <c r="GL122" s="394" t="s">
        <v>470</v>
      </c>
      <c r="GM122" s="394"/>
      <c r="GN122" s="394"/>
      <c r="GO122" s="226"/>
      <c r="GP122" s="394"/>
      <c r="GQ122" s="226"/>
      <c r="GR122" s="394" t="s">
        <v>479</v>
      </c>
      <c r="GS122" s="394" t="s">
        <v>479</v>
      </c>
      <c r="GT122" s="394"/>
      <c r="GU122" s="394" t="s">
        <v>470</v>
      </c>
      <c r="GV122" s="394" t="s">
        <v>470</v>
      </c>
      <c r="GW122" s="226"/>
      <c r="GX122" s="225" t="s">
        <v>470</v>
      </c>
      <c r="GY122" s="225" t="s">
        <v>479</v>
      </c>
      <c r="GZ122" s="394" t="s">
        <v>470</v>
      </c>
      <c r="HA122" s="225" t="s">
        <v>470</v>
      </c>
      <c r="HB122" s="225" t="s">
        <v>470</v>
      </c>
      <c r="HC122" s="225" t="s">
        <v>470</v>
      </c>
      <c r="HD122" s="225" t="s">
        <v>470</v>
      </c>
      <c r="HE122" s="225" t="s">
        <v>470</v>
      </c>
      <c r="HF122" s="226"/>
      <c r="HG122" s="227" t="s">
        <v>470</v>
      </c>
      <c r="HH122" s="227" t="s">
        <v>479</v>
      </c>
      <c r="HI122" s="227" t="s">
        <v>470</v>
      </c>
      <c r="HJ122" s="225" t="s">
        <v>479</v>
      </c>
      <c r="HK122" s="227" t="s">
        <v>656</v>
      </c>
      <c r="HL122" s="226"/>
      <c r="HM122" s="225" t="s">
        <v>470</v>
      </c>
      <c r="HN122" s="226"/>
      <c r="HO122" s="225" t="s">
        <v>470</v>
      </c>
      <c r="HP122" s="225" t="s">
        <v>470</v>
      </c>
      <c r="HQ122" s="225" t="s">
        <v>873</v>
      </c>
      <c r="HR122" s="225" t="s">
        <v>873</v>
      </c>
      <c r="HS122" s="225" t="s">
        <v>470</v>
      </c>
      <c r="HT122" s="225" t="s">
        <v>479</v>
      </c>
      <c r="HU122" s="225" t="s">
        <v>470</v>
      </c>
      <c r="HV122" s="225" t="s">
        <v>470</v>
      </c>
      <c r="HW122" s="225" t="s">
        <v>479</v>
      </c>
      <c r="HX122" s="225" t="s">
        <v>470</v>
      </c>
      <c r="HY122" s="225" t="s">
        <v>470</v>
      </c>
      <c r="HZ122" s="225" t="s">
        <v>470</v>
      </c>
      <c r="IA122" s="225"/>
      <c r="IB122" s="225"/>
      <c r="IC122" s="225"/>
      <c r="ID122" s="322" t="s">
        <v>470</v>
      </c>
      <c r="IE122" s="225" t="s">
        <v>470</v>
      </c>
      <c r="IF122" s="322" t="s">
        <v>470</v>
      </c>
      <c r="IG122" s="225" t="s">
        <v>470</v>
      </c>
      <c r="IH122" s="229" t="s">
        <v>470</v>
      </c>
      <c r="II122" s="225" t="s">
        <v>470</v>
      </c>
      <c r="IJ122" s="225" t="s">
        <v>470</v>
      </c>
      <c r="IK122" s="225" t="s">
        <v>470</v>
      </c>
      <c r="IL122" s="225" t="s">
        <v>539</v>
      </c>
      <c r="IM122" s="225" t="s">
        <v>539</v>
      </c>
      <c r="IN122" s="225" t="s">
        <v>470</v>
      </c>
      <c r="IO122" s="225" t="s">
        <v>470</v>
      </c>
      <c r="IP122" s="225" t="s">
        <v>470</v>
      </c>
      <c r="IQ122" s="225" t="s">
        <v>470</v>
      </c>
      <c r="IR122" s="225" t="s">
        <v>470</v>
      </c>
      <c r="IS122" s="225" t="s">
        <v>470</v>
      </c>
      <c r="IT122" s="225" t="s">
        <v>470</v>
      </c>
      <c r="IU122" s="225" t="s">
        <v>470</v>
      </c>
      <c r="IV122" s="225" t="s">
        <v>470</v>
      </c>
      <c r="IW122" s="225" t="s">
        <v>470</v>
      </c>
      <c r="IX122" s="225" t="s">
        <v>470</v>
      </c>
      <c r="IY122" s="225" t="s">
        <v>470</v>
      </c>
      <c r="IZ122" s="225"/>
      <c r="JA122" s="225"/>
      <c r="JB122" s="225"/>
      <c r="JC122" s="225" t="s">
        <v>470</v>
      </c>
      <c r="JD122" s="225" t="s">
        <v>479</v>
      </c>
      <c r="JE122" s="226"/>
      <c r="JF122" s="226"/>
      <c r="JG122" s="226"/>
      <c r="JH122" s="225" t="s">
        <v>470</v>
      </c>
      <c r="JI122" s="225" t="s">
        <v>479</v>
      </c>
      <c r="JJ122" s="225" t="s">
        <v>470</v>
      </c>
      <c r="JK122" s="237" t="s">
        <v>470</v>
      </c>
      <c r="JL122" s="225" t="s">
        <v>656</v>
      </c>
      <c r="JM122" s="225" t="s">
        <v>470</v>
      </c>
      <c r="JN122" s="226"/>
      <c r="JO122" s="226"/>
      <c r="JP122" s="226"/>
      <c r="JQ122" s="225" t="s">
        <v>470</v>
      </c>
      <c r="JR122" s="225" t="s">
        <v>470</v>
      </c>
      <c r="JS122" s="225" t="s">
        <v>470</v>
      </c>
      <c r="JT122" s="225" t="s">
        <v>470</v>
      </c>
      <c r="JU122" s="225" t="s">
        <v>470</v>
      </c>
      <c r="JV122" s="225" t="s">
        <v>470</v>
      </c>
      <c r="JW122" s="225" t="s">
        <v>470</v>
      </c>
      <c r="JX122" s="225" t="s">
        <v>470</v>
      </c>
      <c r="JY122" s="225" t="s">
        <v>470</v>
      </c>
      <c r="JZ122" s="225" t="s">
        <v>470</v>
      </c>
      <c r="KA122" s="225" t="s">
        <v>539</v>
      </c>
      <c r="KB122" s="225" t="s">
        <v>470</v>
      </c>
      <c r="KC122" s="322" t="s">
        <v>540</v>
      </c>
      <c r="KD122" s="225" t="s">
        <v>470</v>
      </c>
      <c r="KE122" s="232" t="s">
        <v>470</v>
      </c>
      <c r="KF122" s="225" t="s">
        <v>470</v>
      </c>
      <c r="KG122" s="225" t="s">
        <v>470</v>
      </c>
      <c r="KH122" s="225"/>
      <c r="KI122" s="225" t="s">
        <v>470</v>
      </c>
      <c r="KJ122" s="322" t="s">
        <v>470</v>
      </c>
      <c r="KK122" s="225" t="s">
        <v>470</v>
      </c>
      <c r="KL122" s="225" t="s">
        <v>470</v>
      </c>
      <c r="KM122" s="225" t="s">
        <v>470</v>
      </c>
      <c r="KN122" s="225" t="s">
        <v>470</v>
      </c>
      <c r="KO122" s="225" t="s">
        <v>470</v>
      </c>
      <c r="KP122" s="225" t="s">
        <v>470</v>
      </c>
      <c r="KQ122" s="226"/>
      <c r="KR122" s="226"/>
      <c r="KS122" s="226"/>
      <c r="KT122" s="226"/>
      <c r="KU122" s="226"/>
      <c r="KV122" s="225" t="s">
        <v>479</v>
      </c>
      <c r="KW122" s="225" t="s">
        <v>470</v>
      </c>
      <c r="KX122" s="228" t="s">
        <v>470</v>
      </c>
      <c r="KY122" s="793"/>
      <c r="KZ122" s="225" t="s">
        <v>470</v>
      </c>
      <c r="LA122" s="225" t="s">
        <v>470</v>
      </c>
      <c r="LB122" s="225"/>
      <c r="LC122" s="322" t="s">
        <v>470</v>
      </c>
      <c r="LD122" s="225" t="s">
        <v>470</v>
      </c>
      <c r="LE122" s="225" t="s">
        <v>873</v>
      </c>
      <c r="LF122" s="225" t="s">
        <v>470</v>
      </c>
      <c r="LG122" s="225" t="s">
        <v>470</v>
      </c>
      <c r="LH122" s="225" t="s">
        <v>470</v>
      </c>
      <c r="LI122" s="225" t="s">
        <v>470</v>
      </c>
      <c r="LJ122" s="225" t="s">
        <v>470</v>
      </c>
      <c r="LK122" s="225" t="s">
        <v>470</v>
      </c>
      <c r="LL122" s="225" t="s">
        <v>470</v>
      </c>
      <c r="LM122" s="226"/>
      <c r="LN122" s="225" t="s">
        <v>470</v>
      </c>
      <c r="LO122" s="225" t="s">
        <v>470</v>
      </c>
      <c r="LP122" s="225" t="s">
        <v>470</v>
      </c>
      <c r="LQ122" s="225" t="s">
        <v>470</v>
      </c>
      <c r="LR122" s="225" t="s">
        <v>479</v>
      </c>
      <c r="LS122" s="225" t="s">
        <v>479</v>
      </c>
      <c r="LT122" s="234" t="s">
        <v>470</v>
      </c>
      <c r="LU122" s="225"/>
      <c r="LV122" s="225" t="s">
        <v>479</v>
      </c>
      <c r="LW122" s="225" t="s">
        <v>470</v>
      </c>
      <c r="LX122" s="225"/>
      <c r="LY122" s="225" t="s">
        <v>470</v>
      </c>
      <c r="LZ122" s="225" t="s">
        <v>470</v>
      </c>
      <c r="MA122" s="225" t="s">
        <v>470</v>
      </c>
      <c r="MB122" s="225" t="s">
        <v>470</v>
      </c>
      <c r="MC122" s="225" t="s">
        <v>479</v>
      </c>
      <c r="MD122" s="225" t="s">
        <v>470</v>
      </c>
      <c r="ME122" s="225" t="s">
        <v>470</v>
      </c>
      <c r="MF122" s="225" t="s">
        <v>470</v>
      </c>
      <c r="MG122" s="226"/>
      <c r="MH122" s="226"/>
      <c r="MI122" s="226"/>
      <c r="MJ122" s="235" t="s">
        <v>479</v>
      </c>
      <c r="MK122" s="235"/>
      <c r="ML122" s="235" t="s">
        <v>540</v>
      </c>
      <c r="MM122" s="235" t="s">
        <v>479</v>
      </c>
      <c r="MN122" s="236" t="s">
        <v>479</v>
      </c>
      <c r="MO122" s="236" t="s">
        <v>479</v>
      </c>
      <c r="MP122" s="236" t="s">
        <v>479</v>
      </c>
      <c r="MQ122" s="236" t="s">
        <v>479</v>
      </c>
      <c r="MR122" s="236" t="s">
        <v>479</v>
      </c>
      <c r="MS122" s="236" t="s">
        <v>540</v>
      </c>
      <c r="MT122" s="235"/>
      <c r="MU122" s="236" t="s">
        <v>479</v>
      </c>
      <c r="MV122" s="235" t="s">
        <v>470</v>
      </c>
      <c r="MW122" s="235" t="s">
        <v>479</v>
      </c>
      <c r="MX122" s="226"/>
      <c r="MY122" s="226"/>
      <c r="MZ122" s="226"/>
      <c r="NA122" s="226"/>
    </row>
    <row r="123" spans="1:365" ht="238" x14ac:dyDescent="0.2">
      <c r="A123" s="1216"/>
      <c r="B123" s="1217"/>
      <c r="C123" s="1218"/>
      <c r="D123" s="215" t="s">
        <v>205</v>
      </c>
      <c r="E123" s="225"/>
      <c r="F123" s="225"/>
      <c r="G123" s="225" t="s">
        <v>656</v>
      </c>
      <c r="H123" s="225" t="s">
        <v>656</v>
      </c>
      <c r="I123" s="322" t="s">
        <v>656</v>
      </c>
      <c r="J123" s="225" t="s">
        <v>656</v>
      </c>
      <c r="K123" s="225" t="s">
        <v>1924</v>
      </c>
      <c r="L123" s="225" t="s">
        <v>1924</v>
      </c>
      <c r="M123" s="225" t="s">
        <v>1924</v>
      </c>
      <c r="N123" s="225" t="s">
        <v>1924</v>
      </c>
      <c r="O123" s="225" t="s">
        <v>1924</v>
      </c>
      <c r="P123" s="400" t="s">
        <v>1924</v>
      </c>
      <c r="Q123" s="225" t="s">
        <v>1924</v>
      </c>
      <c r="R123" s="322"/>
      <c r="S123" s="225"/>
      <c r="T123" s="225"/>
      <c r="U123" s="225"/>
      <c r="V123" s="225" t="s">
        <v>5465</v>
      </c>
      <c r="W123" s="226"/>
      <c r="X123" s="226"/>
      <c r="Y123" s="226"/>
      <c r="Z123" s="226"/>
      <c r="AA123" s="226"/>
      <c r="AB123" s="226"/>
      <c r="AC123" s="226"/>
      <c r="AD123" s="226"/>
      <c r="AE123" s="226"/>
      <c r="AF123" s="225" t="s">
        <v>1447</v>
      </c>
      <c r="AG123" s="225"/>
      <c r="AH123" s="226"/>
      <c r="AI123" s="260" t="s">
        <v>5464</v>
      </c>
      <c r="AJ123" s="225"/>
      <c r="AK123" s="229"/>
      <c r="AL123" s="225"/>
      <c r="AM123" s="226"/>
      <c r="AN123" s="226"/>
      <c r="AO123" s="226"/>
      <c r="AP123" s="226"/>
      <c r="AQ123" s="225"/>
      <c r="AR123" s="225"/>
      <c r="AS123" s="225"/>
      <c r="AT123" s="225" t="s">
        <v>470</v>
      </c>
      <c r="AU123" s="225" t="s">
        <v>656</v>
      </c>
      <c r="AV123" s="322"/>
      <c r="AW123" s="225"/>
      <c r="AX123" s="225"/>
      <c r="AY123" s="229" t="s">
        <v>2234</v>
      </c>
      <c r="AZ123" s="225"/>
      <c r="BA123" s="225"/>
      <c r="BB123" s="225"/>
      <c r="BC123" s="225"/>
      <c r="BD123" s="225"/>
      <c r="BE123" s="229"/>
      <c r="BF123" s="225"/>
      <c r="BG123" s="225"/>
      <c r="BH123" s="225" t="s">
        <v>470</v>
      </c>
      <c r="BI123" s="225" t="s">
        <v>656</v>
      </c>
      <c r="BJ123" s="225"/>
      <c r="BK123" s="225"/>
      <c r="BL123" s="225"/>
      <c r="BM123" s="225"/>
      <c r="BN123" s="226"/>
      <c r="BO123" s="225"/>
      <c r="BP123" s="225"/>
      <c r="BQ123" s="225"/>
      <c r="BR123" s="233" t="s">
        <v>205</v>
      </c>
      <c r="BS123" s="225" t="s">
        <v>656</v>
      </c>
      <c r="BT123" s="225"/>
      <c r="BU123" s="225"/>
      <c r="BV123" s="225"/>
      <c r="BW123" s="225"/>
      <c r="BX123" s="225"/>
      <c r="BY123" s="225"/>
      <c r="BZ123" s="225"/>
      <c r="CA123" s="225"/>
      <c r="CB123" s="225"/>
      <c r="CC123" s="225"/>
      <c r="CD123" s="229"/>
      <c r="CE123" s="229"/>
      <c r="CF123" s="229"/>
      <c r="CG123" s="229"/>
      <c r="CH123" s="229"/>
      <c r="CI123" s="229"/>
      <c r="CJ123" s="229"/>
      <c r="CK123" s="229"/>
      <c r="CL123" s="229"/>
      <c r="CM123" s="229"/>
      <c r="CN123" s="225"/>
      <c r="CO123" s="225"/>
      <c r="CP123" s="225"/>
      <c r="CQ123" s="406"/>
      <c r="CR123" s="394" t="s">
        <v>5463</v>
      </c>
      <c r="CS123" s="225"/>
      <c r="CT123" s="225"/>
      <c r="CU123" s="322">
        <v>0</v>
      </c>
      <c r="CV123" s="225"/>
      <c r="CW123" s="225" t="s">
        <v>656</v>
      </c>
      <c r="CX123" s="225"/>
      <c r="CY123" s="225"/>
      <c r="CZ123" s="225"/>
      <c r="DA123" s="225" t="s">
        <v>5462</v>
      </c>
      <c r="DB123" s="225"/>
      <c r="DC123" s="225"/>
      <c r="DD123" s="225"/>
      <c r="DE123" s="225"/>
      <c r="DF123" s="225"/>
      <c r="DG123" s="225"/>
      <c r="DH123" s="225"/>
      <c r="DI123" s="225"/>
      <c r="DJ123" s="225"/>
      <c r="DK123" s="225"/>
      <c r="DL123" s="225"/>
      <c r="DM123" s="225"/>
      <c r="DN123" s="225" t="s">
        <v>656</v>
      </c>
      <c r="DO123" s="225"/>
      <c r="DP123" s="225" t="s">
        <v>470</v>
      </c>
      <c r="DQ123" s="225" t="s">
        <v>470</v>
      </c>
      <c r="DR123" s="225" t="s">
        <v>470</v>
      </c>
      <c r="DS123" s="225" t="s">
        <v>470</v>
      </c>
      <c r="DT123" s="225" t="s">
        <v>470</v>
      </c>
      <c r="DU123" s="225" t="s">
        <v>470</v>
      </c>
      <c r="DV123" s="225"/>
      <c r="DW123" s="246" t="s">
        <v>2234</v>
      </c>
      <c r="DX123" s="225"/>
      <c r="DY123" s="225"/>
      <c r="DZ123" s="225"/>
      <c r="EA123" s="225"/>
      <c r="EB123" s="225"/>
      <c r="EC123" s="226"/>
      <c r="ED123" s="225"/>
      <c r="EE123" s="225" t="s">
        <v>656</v>
      </c>
      <c r="EF123" s="225"/>
      <c r="EG123" s="226"/>
      <c r="EH123" s="225"/>
      <c r="EI123" s="225" t="s">
        <v>656</v>
      </c>
      <c r="EJ123" s="226"/>
      <c r="EK123" s="226"/>
      <c r="EL123" s="226"/>
      <c r="EM123" s="226"/>
      <c r="EN123" s="226"/>
      <c r="EO123" s="226"/>
      <c r="EP123" s="226"/>
      <c r="EQ123" s="226"/>
      <c r="ER123" s="225"/>
      <c r="ES123" s="225"/>
      <c r="ET123" s="225"/>
      <c r="EU123" s="225"/>
      <c r="EV123" s="225"/>
      <c r="EW123" s="225"/>
      <c r="EX123" s="225"/>
      <c r="EY123" s="225"/>
      <c r="EZ123" s="229"/>
      <c r="FA123" s="225"/>
      <c r="FB123" s="225"/>
      <c r="FC123" s="225" t="s">
        <v>470</v>
      </c>
      <c r="FD123" s="226"/>
      <c r="FE123" s="404"/>
      <c r="FF123" s="225" t="s">
        <v>470</v>
      </c>
      <c r="FG123" s="225" t="s">
        <v>470</v>
      </c>
      <c r="FH123" s="264" t="s">
        <v>5461</v>
      </c>
      <c r="FI123" s="486" t="s">
        <v>5460</v>
      </c>
      <c r="FJ123" s="465" t="s">
        <v>656</v>
      </c>
      <c r="FK123" s="465"/>
      <c r="FL123" s="465" t="s">
        <v>656</v>
      </c>
      <c r="FM123" s="428" t="s">
        <v>5459</v>
      </c>
      <c r="FN123" s="428"/>
      <c r="FO123" s="394"/>
      <c r="FP123" s="394"/>
      <c r="FQ123" s="465" t="s">
        <v>656</v>
      </c>
      <c r="FR123" s="394"/>
      <c r="FS123" s="394"/>
      <c r="FT123" s="394"/>
      <c r="FU123" s="226"/>
      <c r="FV123" s="394"/>
      <c r="FW123" s="394"/>
      <c r="FX123" s="394"/>
      <c r="FY123" s="226"/>
      <c r="FZ123" s="394"/>
      <c r="GA123" s="394"/>
      <c r="GB123" s="394"/>
      <c r="GC123" s="394"/>
      <c r="GD123" s="394"/>
      <c r="GE123" s="394"/>
      <c r="GF123" s="394"/>
      <c r="GG123" s="394" t="s">
        <v>4906</v>
      </c>
      <c r="GH123" s="394" t="s">
        <v>4906</v>
      </c>
      <c r="GI123" s="226"/>
      <c r="GJ123" s="394"/>
      <c r="GK123" s="394"/>
      <c r="GL123" s="394"/>
      <c r="GM123" s="394"/>
      <c r="GN123" s="394"/>
      <c r="GO123" s="226"/>
      <c r="GP123" s="394"/>
      <c r="GQ123" s="226"/>
      <c r="GR123" s="394" t="s">
        <v>5458</v>
      </c>
      <c r="GS123" s="388" t="s">
        <v>5457</v>
      </c>
      <c r="GT123" s="388"/>
      <c r="GU123" s="394"/>
      <c r="GV123" s="394"/>
      <c r="GW123" s="226"/>
      <c r="GX123" s="225"/>
      <c r="GY123" s="225"/>
      <c r="GZ123" s="394"/>
      <c r="HA123" s="225"/>
      <c r="HB123" s="225"/>
      <c r="HC123" s="225"/>
      <c r="HD123" s="225"/>
      <c r="HE123" s="225"/>
      <c r="HF123" s="226"/>
      <c r="HG123" s="227" t="s">
        <v>656</v>
      </c>
      <c r="HH123" s="227" t="s">
        <v>5456</v>
      </c>
      <c r="HI123" s="227" t="s">
        <v>656</v>
      </c>
      <c r="HJ123" s="225" t="s">
        <v>5455</v>
      </c>
      <c r="HK123" s="227" t="s">
        <v>656</v>
      </c>
      <c r="HL123" s="226"/>
      <c r="HM123" s="225"/>
      <c r="HN123" s="226"/>
      <c r="HO123" s="225"/>
      <c r="HP123" s="225"/>
      <c r="HQ123" s="225"/>
      <c r="HR123" s="225"/>
      <c r="HS123" s="225"/>
      <c r="HT123" s="225" t="s">
        <v>5454</v>
      </c>
      <c r="HU123" s="225"/>
      <c r="HV123" s="225"/>
      <c r="HW123" s="225" t="s">
        <v>640</v>
      </c>
      <c r="HX123" s="225"/>
      <c r="HY123" s="225"/>
      <c r="HZ123" s="225" t="s">
        <v>656</v>
      </c>
      <c r="IA123" s="225"/>
      <c r="IB123" s="225"/>
      <c r="IC123" s="225"/>
      <c r="ID123" s="225"/>
      <c r="IE123" s="225"/>
      <c r="IF123" s="225"/>
      <c r="IG123" s="225"/>
      <c r="IH123" s="229"/>
      <c r="II123" s="225"/>
      <c r="IJ123" s="225"/>
      <c r="IK123" s="225"/>
      <c r="IL123" s="225"/>
      <c r="IM123" s="225"/>
      <c r="IN123" s="225"/>
      <c r="IO123" s="225"/>
      <c r="IP123" s="225"/>
      <c r="IQ123" s="225"/>
      <c r="IR123" s="225"/>
      <c r="IS123" s="225"/>
      <c r="IT123" s="225"/>
      <c r="IU123" s="225"/>
      <c r="IV123" s="225"/>
      <c r="IW123" s="225"/>
      <c r="IX123" s="225"/>
      <c r="IY123" s="225" t="s">
        <v>656</v>
      </c>
      <c r="IZ123" s="225"/>
      <c r="JA123" s="225"/>
      <c r="JB123" s="225"/>
      <c r="JC123" s="225" t="s">
        <v>656</v>
      </c>
      <c r="JD123" s="264" t="s">
        <v>5453</v>
      </c>
      <c r="JE123" s="226"/>
      <c r="JF123" s="226"/>
      <c r="JG123" s="226"/>
      <c r="JH123" s="225"/>
      <c r="JI123" s="225" t="s">
        <v>5452</v>
      </c>
      <c r="JJ123" s="225" t="s">
        <v>656</v>
      </c>
      <c r="JK123" s="237"/>
      <c r="JL123" s="225" t="s">
        <v>656</v>
      </c>
      <c r="JM123" s="225"/>
      <c r="JN123" s="226"/>
      <c r="JO123" s="226"/>
      <c r="JP123" s="226"/>
      <c r="JQ123" s="225"/>
      <c r="JR123" s="225"/>
      <c r="JS123" s="225"/>
      <c r="JT123" s="225"/>
      <c r="JU123" s="225"/>
      <c r="JV123" s="225"/>
      <c r="JW123" s="225" t="s">
        <v>656</v>
      </c>
      <c r="JX123" s="225" t="s">
        <v>656</v>
      </c>
      <c r="JY123" s="225" t="s">
        <v>470</v>
      </c>
      <c r="JZ123" s="225" t="s">
        <v>470</v>
      </c>
      <c r="KA123" s="225"/>
      <c r="KB123" s="225"/>
      <c r="KC123" s="322" t="s">
        <v>5451</v>
      </c>
      <c r="KD123" s="225"/>
      <c r="KE123" s="232"/>
      <c r="KF123" s="225"/>
      <c r="KG123" s="225" t="s">
        <v>470</v>
      </c>
      <c r="KH123" s="225"/>
      <c r="KI123" s="225"/>
      <c r="KJ123" s="225"/>
      <c r="KK123" s="225"/>
      <c r="KL123" s="225" t="s">
        <v>656</v>
      </c>
      <c r="KM123" s="225"/>
      <c r="KN123" s="225"/>
      <c r="KO123" s="225"/>
      <c r="KP123" s="225"/>
      <c r="KQ123" s="226"/>
      <c r="KR123" s="226"/>
      <c r="KS123" s="226"/>
      <c r="KT123" s="226"/>
      <c r="KU123" s="226"/>
      <c r="KV123" s="225" t="s">
        <v>5450</v>
      </c>
      <c r="KW123" s="225"/>
      <c r="KX123" s="228"/>
      <c r="KY123" s="793"/>
      <c r="KZ123" s="225"/>
      <c r="LA123" s="225"/>
      <c r="LB123" s="225"/>
      <c r="LC123" s="225"/>
      <c r="LD123" s="225"/>
      <c r="LE123" s="225"/>
      <c r="LF123" s="225"/>
      <c r="LG123" s="225"/>
      <c r="LH123" s="225"/>
      <c r="LI123" s="225"/>
      <c r="LJ123" s="225"/>
      <c r="LK123" s="225"/>
      <c r="LL123" s="225"/>
      <c r="LM123" s="226"/>
      <c r="LN123" s="225"/>
      <c r="LO123" s="225"/>
      <c r="LP123" s="225"/>
      <c r="LQ123" s="225"/>
      <c r="LR123" s="225" t="s">
        <v>5449</v>
      </c>
      <c r="LS123" s="260" t="s">
        <v>3376</v>
      </c>
      <c r="LT123" s="234"/>
      <c r="LU123" s="225"/>
      <c r="LV123" s="225" t="s">
        <v>5448</v>
      </c>
      <c r="LW123" s="225"/>
      <c r="LX123" s="225"/>
      <c r="LY123" s="225"/>
      <c r="LZ123" s="225"/>
      <c r="MA123" s="225"/>
      <c r="MB123" s="225"/>
      <c r="MC123" s="260" t="s">
        <v>5447</v>
      </c>
      <c r="MD123" s="260"/>
      <c r="ME123" s="225"/>
      <c r="MF123" s="225"/>
      <c r="MG123" s="226"/>
      <c r="MH123" s="226"/>
      <c r="MI123" s="226"/>
      <c r="MJ123" s="235" t="s">
        <v>5446</v>
      </c>
      <c r="MK123" s="235"/>
      <c r="ML123" s="235" t="s">
        <v>5445</v>
      </c>
      <c r="MM123" s="235" t="s">
        <v>5262</v>
      </c>
      <c r="MN123" s="271" t="s">
        <v>5444</v>
      </c>
      <c r="MO123" s="236" t="s">
        <v>5443</v>
      </c>
      <c r="MP123" s="236" t="s">
        <v>5442</v>
      </c>
      <c r="MQ123" s="236" t="s">
        <v>5441</v>
      </c>
      <c r="MR123" s="271" t="s">
        <v>5440</v>
      </c>
      <c r="MS123" s="236" t="s">
        <v>5439</v>
      </c>
      <c r="MT123" s="235"/>
      <c r="MU123" s="236" t="s">
        <v>5438</v>
      </c>
      <c r="MV123" s="235"/>
      <c r="MW123" s="284" t="s">
        <v>5437</v>
      </c>
      <c r="MX123" s="226"/>
      <c r="MY123" s="226"/>
      <c r="MZ123" s="226"/>
      <c r="NA123" s="226"/>
    </row>
    <row r="124" spans="1:365" ht="51" x14ac:dyDescent="0.2">
      <c r="A124" s="1216"/>
      <c r="B124" s="1217"/>
      <c r="C124" s="1218"/>
      <c r="D124" s="215" t="s">
        <v>209</v>
      </c>
      <c r="E124" s="322"/>
      <c r="F124" s="322"/>
      <c r="G124" s="322" t="s">
        <v>656</v>
      </c>
      <c r="H124" s="322" t="s">
        <v>656</v>
      </c>
      <c r="I124" s="225" t="s">
        <v>656</v>
      </c>
      <c r="J124" s="322" t="s">
        <v>656</v>
      </c>
      <c r="K124" s="322">
        <v>0</v>
      </c>
      <c r="L124" s="225">
        <v>0</v>
      </c>
      <c r="M124" s="322">
        <v>0</v>
      </c>
      <c r="N124" s="322">
        <v>0</v>
      </c>
      <c r="O124" s="322">
        <v>0</v>
      </c>
      <c r="P124" s="463">
        <v>0</v>
      </c>
      <c r="Q124" s="322">
        <v>0</v>
      </c>
      <c r="R124" s="322"/>
      <c r="S124" s="322"/>
      <c r="T124" s="322"/>
      <c r="U124" s="322"/>
      <c r="V124" s="322" t="s">
        <v>5223</v>
      </c>
      <c r="W124" s="226"/>
      <c r="X124" s="226"/>
      <c r="Y124" s="226"/>
      <c r="Z124" s="226"/>
      <c r="AA124" s="226"/>
      <c r="AB124" s="226"/>
      <c r="AC124" s="226"/>
      <c r="AD124" s="226"/>
      <c r="AE124" s="226"/>
      <c r="AF124" s="322" t="s">
        <v>1447</v>
      </c>
      <c r="AG124" s="225"/>
      <c r="AH124" s="226"/>
      <c r="AI124" s="322">
        <v>450</v>
      </c>
      <c r="AJ124" s="322"/>
      <c r="AK124" s="229"/>
      <c r="AL124" s="322"/>
      <c r="AM124" s="226"/>
      <c r="AN124" s="226"/>
      <c r="AO124" s="226"/>
      <c r="AP124" s="226"/>
      <c r="AQ124" s="322"/>
      <c r="AR124" s="322"/>
      <c r="AS124" s="322"/>
      <c r="AT124" s="322">
        <v>0</v>
      </c>
      <c r="AU124" s="322" t="s">
        <v>656</v>
      </c>
      <c r="AV124" s="322"/>
      <c r="AW124" s="322"/>
      <c r="AX124" s="322"/>
      <c r="AY124" s="344" t="s">
        <v>2234</v>
      </c>
      <c r="AZ124" s="322"/>
      <c r="BA124" s="322"/>
      <c r="BB124" s="322"/>
      <c r="BC124" s="322"/>
      <c r="BD124" s="322"/>
      <c r="BE124" s="344"/>
      <c r="BF124" s="322"/>
      <c r="BG124" s="322"/>
      <c r="BH124" s="322" t="s">
        <v>470</v>
      </c>
      <c r="BI124" s="322" t="s">
        <v>656</v>
      </c>
      <c r="BJ124" s="322"/>
      <c r="BK124" s="322"/>
      <c r="BL124" s="322"/>
      <c r="BM124" s="322"/>
      <c r="BN124" s="226"/>
      <c r="BO124" s="322"/>
      <c r="BP124" s="322"/>
      <c r="BQ124" s="322"/>
      <c r="BR124" s="233" t="s">
        <v>209</v>
      </c>
      <c r="BS124" s="322" t="s">
        <v>656</v>
      </c>
      <c r="BT124" s="322"/>
      <c r="BU124" s="322"/>
      <c r="BV124" s="322"/>
      <c r="BW124" s="322"/>
      <c r="BX124" s="322"/>
      <c r="BY124" s="322"/>
      <c r="BZ124" s="322"/>
      <c r="CA124" s="322"/>
      <c r="CB124" s="322"/>
      <c r="CC124" s="322"/>
      <c r="CD124" s="344"/>
      <c r="CE124" s="344"/>
      <c r="CF124" s="344"/>
      <c r="CG124" s="344">
        <v>0</v>
      </c>
      <c r="CH124" s="344"/>
      <c r="CI124" s="344"/>
      <c r="CJ124" s="344">
        <v>0</v>
      </c>
      <c r="CK124" s="344"/>
      <c r="CL124" s="344"/>
      <c r="CM124" s="344"/>
      <c r="CN124" s="322"/>
      <c r="CO124" s="322"/>
      <c r="CP124" s="322"/>
      <c r="CQ124" s="464"/>
      <c r="CR124" s="465">
        <v>3542</v>
      </c>
      <c r="CS124" s="322"/>
      <c r="CT124" s="322"/>
      <c r="CU124" s="322">
        <v>0</v>
      </c>
      <c r="CV124" s="322"/>
      <c r="CW124" s="322" t="s">
        <v>656</v>
      </c>
      <c r="CX124" s="322"/>
      <c r="CY124" s="322"/>
      <c r="CZ124" s="322"/>
      <c r="DA124" s="322">
        <v>12000</v>
      </c>
      <c r="DB124" s="322"/>
      <c r="DC124" s="322"/>
      <c r="DD124" s="322"/>
      <c r="DE124" s="322"/>
      <c r="DF124" s="322"/>
      <c r="DG124" s="322"/>
      <c r="DH124" s="322"/>
      <c r="DI124" s="322"/>
      <c r="DJ124" s="322"/>
      <c r="DK124" s="322"/>
      <c r="DL124" s="322"/>
      <c r="DM124" s="322"/>
      <c r="DN124" s="322" t="s">
        <v>656</v>
      </c>
      <c r="DO124" s="322"/>
      <c r="DP124" s="225">
        <v>0</v>
      </c>
      <c r="DQ124" s="225">
        <v>0</v>
      </c>
      <c r="DR124" s="225">
        <v>0</v>
      </c>
      <c r="DS124" s="225">
        <v>0</v>
      </c>
      <c r="DT124" s="225">
        <v>0</v>
      </c>
      <c r="DU124" s="322">
        <v>0</v>
      </c>
      <c r="DV124" s="322"/>
      <c r="DW124" s="246" t="s">
        <v>2234</v>
      </c>
      <c r="DX124" s="322"/>
      <c r="DY124" s="322"/>
      <c r="DZ124" s="322"/>
      <c r="EA124" s="322"/>
      <c r="EB124" s="322"/>
      <c r="EC124" s="226"/>
      <c r="ED124" s="322"/>
      <c r="EE124" s="322" t="s">
        <v>656</v>
      </c>
      <c r="EF124" s="322"/>
      <c r="EG124" s="226"/>
      <c r="EH124" s="322"/>
      <c r="EI124" s="322" t="s">
        <v>656</v>
      </c>
      <c r="EJ124" s="226"/>
      <c r="EK124" s="226"/>
      <c r="EL124" s="226"/>
      <c r="EM124" s="226"/>
      <c r="EN124" s="226"/>
      <c r="EO124" s="226"/>
      <c r="EP124" s="226"/>
      <c r="EQ124" s="226"/>
      <c r="ER124" s="322"/>
      <c r="ES124" s="322"/>
      <c r="ET124" s="225"/>
      <c r="EU124" s="225"/>
      <c r="EV124" s="225"/>
      <c r="EW124" s="322"/>
      <c r="EX124" s="322"/>
      <c r="EY124" s="322"/>
      <c r="EZ124" s="344"/>
      <c r="FA124" s="322"/>
      <c r="FB124" s="322"/>
      <c r="FC124" s="322" t="s">
        <v>470</v>
      </c>
      <c r="FD124" s="226"/>
      <c r="FE124" s="466"/>
      <c r="FF124" s="225" t="s">
        <v>470</v>
      </c>
      <c r="FG124" s="225" t="s">
        <v>470</v>
      </c>
      <c r="FH124" s="322">
        <v>2415</v>
      </c>
      <c r="FI124" s="465"/>
      <c r="FJ124" s="465" t="s">
        <v>656</v>
      </c>
      <c r="FK124" s="465"/>
      <c r="FL124" s="465" t="s">
        <v>656</v>
      </c>
      <c r="FM124" s="322">
        <v>1043</v>
      </c>
      <c r="FN124" s="322"/>
      <c r="FO124" s="465"/>
      <c r="FP124" s="465"/>
      <c r="FQ124" s="465" t="s">
        <v>656</v>
      </c>
      <c r="FR124" s="465"/>
      <c r="FS124" s="465"/>
      <c r="FT124" s="465"/>
      <c r="FU124" s="226"/>
      <c r="FV124" s="465"/>
      <c r="FW124" s="465"/>
      <c r="FX124" s="465"/>
      <c r="FY124" s="226"/>
      <c r="FZ124" s="465"/>
      <c r="GA124" s="465"/>
      <c r="GB124" s="465"/>
      <c r="GC124" s="465"/>
      <c r="GD124" s="465"/>
      <c r="GE124" s="465"/>
      <c r="GF124" s="465"/>
      <c r="GG124" s="394" t="s">
        <v>4906</v>
      </c>
      <c r="GH124" s="394" t="s">
        <v>4906</v>
      </c>
      <c r="GI124" s="226"/>
      <c r="GJ124" s="465"/>
      <c r="GK124" s="465"/>
      <c r="GL124" s="465"/>
      <c r="GM124" s="465"/>
      <c r="GN124" s="465"/>
      <c r="GO124" s="226"/>
      <c r="GP124" s="465"/>
      <c r="GQ124" s="226"/>
      <c r="GR124" s="465">
        <v>169</v>
      </c>
      <c r="GS124" s="465">
        <v>59897</v>
      </c>
      <c r="GT124" s="465"/>
      <c r="GU124" s="465"/>
      <c r="GV124" s="465"/>
      <c r="GW124" s="226"/>
      <c r="GX124" s="322"/>
      <c r="GY124" s="322"/>
      <c r="GZ124" s="465"/>
      <c r="HA124" s="322"/>
      <c r="HB124" s="322"/>
      <c r="HC124" s="322"/>
      <c r="HD124" s="322"/>
      <c r="HE124" s="322"/>
      <c r="HF124" s="226"/>
      <c r="HG124" s="343" t="s">
        <v>656</v>
      </c>
      <c r="HH124" s="343">
        <v>3242</v>
      </c>
      <c r="HI124" s="343" t="s">
        <v>656</v>
      </c>
      <c r="HJ124" s="322">
        <v>5666</v>
      </c>
      <c r="HK124" s="343" t="s">
        <v>656</v>
      </c>
      <c r="HL124" s="226"/>
      <c r="HM124" s="322"/>
      <c r="HN124" s="226"/>
      <c r="HO124" s="322"/>
      <c r="HP124" s="322"/>
      <c r="HQ124" s="322"/>
      <c r="HR124" s="322"/>
      <c r="HS124" s="322"/>
      <c r="HT124" s="322">
        <v>1642</v>
      </c>
      <c r="HU124" s="322"/>
      <c r="HV124" s="322"/>
      <c r="HW124" s="322">
        <v>24</v>
      </c>
      <c r="HX124" s="322"/>
      <c r="HY124" s="322"/>
      <c r="HZ124" s="322" t="s">
        <v>656</v>
      </c>
      <c r="IA124" s="322"/>
      <c r="IB124" s="322"/>
      <c r="IC124" s="322"/>
      <c r="ID124" s="322"/>
      <c r="IE124" s="322"/>
      <c r="IF124" s="322"/>
      <c r="IG124" s="322"/>
      <c r="IH124" s="344"/>
      <c r="II124" s="322"/>
      <c r="IJ124" s="322"/>
      <c r="IK124" s="322"/>
      <c r="IL124" s="322"/>
      <c r="IM124" s="322"/>
      <c r="IN124" s="322"/>
      <c r="IO124" s="322"/>
      <c r="IP124" s="322"/>
      <c r="IQ124" s="322"/>
      <c r="IR124" s="322"/>
      <c r="IS124" s="322"/>
      <c r="IT124" s="322"/>
      <c r="IU124" s="322"/>
      <c r="IV124" s="322"/>
      <c r="IW124" s="322"/>
      <c r="IX124" s="322"/>
      <c r="IY124" s="322" t="s">
        <v>656</v>
      </c>
      <c r="IZ124" s="322"/>
      <c r="JA124" s="322"/>
      <c r="JB124" s="322"/>
      <c r="JC124" s="322" t="s">
        <v>656</v>
      </c>
      <c r="JD124" s="322">
        <v>209</v>
      </c>
      <c r="JE124" s="226"/>
      <c r="JF124" s="226"/>
      <c r="JG124" s="226"/>
      <c r="JH124" s="322"/>
      <c r="JI124" s="322">
        <v>1877</v>
      </c>
      <c r="JJ124" s="322" t="s">
        <v>656</v>
      </c>
      <c r="JK124" s="345"/>
      <c r="JL124" s="322" t="s">
        <v>656</v>
      </c>
      <c r="JM124" s="322"/>
      <c r="JN124" s="226"/>
      <c r="JO124" s="226"/>
      <c r="JP124" s="226"/>
      <c r="JQ124" s="322"/>
      <c r="JR124" s="322"/>
      <c r="JS124" s="322"/>
      <c r="JT124" s="322"/>
      <c r="JU124" s="322"/>
      <c r="JV124" s="322"/>
      <c r="JW124" s="322" t="s">
        <v>656</v>
      </c>
      <c r="JX124" s="322" t="s">
        <v>656</v>
      </c>
      <c r="JY124" s="322">
        <v>0</v>
      </c>
      <c r="JZ124" s="322" t="s">
        <v>470</v>
      </c>
      <c r="KA124" s="322"/>
      <c r="KB124" s="322"/>
      <c r="KC124" s="322">
        <v>158</v>
      </c>
      <c r="KD124" s="322"/>
      <c r="KE124" s="232"/>
      <c r="KF124" s="322"/>
      <c r="KG124" s="225" t="s">
        <v>470</v>
      </c>
      <c r="KH124" s="322"/>
      <c r="KI124" s="322"/>
      <c r="KJ124" s="322"/>
      <c r="KK124" s="322"/>
      <c r="KL124" s="322" t="s">
        <v>656</v>
      </c>
      <c r="KM124" s="322"/>
      <c r="KN124" s="322"/>
      <c r="KO124" s="322"/>
      <c r="KP124" s="322"/>
      <c r="KQ124" s="226"/>
      <c r="KR124" s="226"/>
      <c r="KS124" s="226"/>
      <c r="KT124" s="226"/>
      <c r="KU124" s="226"/>
      <c r="KV124" s="322">
        <v>10559</v>
      </c>
      <c r="KW124" s="322"/>
      <c r="KX124" s="383"/>
      <c r="KY124" s="386"/>
      <c r="KZ124" s="322"/>
      <c r="LA124" s="322"/>
      <c r="LB124" s="322"/>
      <c r="LC124" s="322"/>
      <c r="LD124" s="322"/>
      <c r="LE124" s="322"/>
      <c r="LF124" s="322"/>
      <c r="LG124" s="322"/>
      <c r="LH124" s="322"/>
      <c r="LI124" s="322"/>
      <c r="LJ124" s="322"/>
      <c r="LK124" s="322"/>
      <c r="LL124" s="322"/>
      <c r="LM124" s="226"/>
      <c r="LN124" s="322">
        <v>0</v>
      </c>
      <c r="LO124" s="322">
        <v>0</v>
      </c>
      <c r="LP124" s="322">
        <v>0</v>
      </c>
      <c r="LQ124" s="322">
        <v>0</v>
      </c>
      <c r="LR124" s="322">
        <v>636</v>
      </c>
      <c r="LS124" s="322">
        <v>11488</v>
      </c>
      <c r="LT124" s="346">
        <v>0</v>
      </c>
      <c r="LU124" s="322" t="e">
        <v>#REF!</v>
      </c>
      <c r="LV124" s="322">
        <v>276</v>
      </c>
      <c r="LW124" s="322"/>
      <c r="LX124" s="322"/>
      <c r="LY124" s="322"/>
      <c r="LZ124" s="322"/>
      <c r="MA124" s="322"/>
      <c r="MB124" s="322"/>
      <c r="MC124" s="322">
        <v>2054</v>
      </c>
      <c r="MD124" s="322">
        <v>0</v>
      </c>
      <c r="ME124" s="322">
        <v>0</v>
      </c>
      <c r="MF124" s="322"/>
      <c r="MG124" s="226"/>
      <c r="MH124" s="226"/>
      <c r="MI124" s="226"/>
      <c r="MJ124" s="325">
        <f>1497+1753</f>
        <v>3250</v>
      </c>
      <c r="MK124" s="325"/>
      <c r="ML124" s="347">
        <v>457</v>
      </c>
      <c r="MM124" s="347">
        <v>3155</v>
      </c>
      <c r="MN124" s="348">
        <v>2919</v>
      </c>
      <c r="MO124" s="348">
        <v>2323</v>
      </c>
      <c r="MP124" s="236">
        <v>901</v>
      </c>
      <c r="MQ124" s="236">
        <v>1354</v>
      </c>
      <c r="MR124" s="348">
        <v>269</v>
      </c>
      <c r="MS124" s="348">
        <v>1213</v>
      </c>
      <c r="MT124" s="347"/>
      <c r="MU124" s="348">
        <v>829</v>
      </c>
      <c r="MV124" s="347"/>
      <c r="MW124" s="347">
        <f>37+23</f>
        <v>60</v>
      </c>
      <c r="MX124" s="226"/>
      <c r="MY124" s="226"/>
      <c r="MZ124" s="226"/>
      <c r="NA124" s="226"/>
    </row>
    <row r="125" spans="1:365" ht="51" x14ac:dyDescent="0.2">
      <c r="A125" s="1216"/>
      <c r="B125" s="1217" t="s">
        <v>227</v>
      </c>
      <c r="C125" s="1218" t="s">
        <v>228</v>
      </c>
      <c r="D125" s="215" t="s">
        <v>204</v>
      </c>
      <c r="E125" s="225" t="s">
        <v>470</v>
      </c>
      <c r="F125" s="225" t="s">
        <v>470</v>
      </c>
      <c r="G125" s="225" t="s">
        <v>540</v>
      </c>
      <c r="H125" s="225" t="s">
        <v>540</v>
      </c>
      <c r="I125" s="225" t="s">
        <v>540</v>
      </c>
      <c r="J125" s="225" t="s">
        <v>540</v>
      </c>
      <c r="K125" s="225" t="s">
        <v>470</v>
      </c>
      <c r="L125" s="225" t="s">
        <v>479</v>
      </c>
      <c r="M125" s="225" t="s">
        <v>470</v>
      </c>
      <c r="N125" s="225" t="s">
        <v>470</v>
      </c>
      <c r="O125" s="225" t="s">
        <v>470</v>
      </c>
      <c r="P125" s="400" t="s">
        <v>479</v>
      </c>
      <c r="Q125" s="322" t="s">
        <v>470</v>
      </c>
      <c r="R125" s="322" t="s">
        <v>470</v>
      </c>
      <c r="S125" s="225" t="s">
        <v>479</v>
      </c>
      <c r="T125" s="225" t="s">
        <v>689</v>
      </c>
      <c r="U125" s="225" t="s">
        <v>539</v>
      </c>
      <c r="V125" s="225" t="s">
        <v>479</v>
      </c>
      <c r="W125" s="226"/>
      <c r="X125" s="226"/>
      <c r="Y125" s="226"/>
      <c r="Z125" s="226"/>
      <c r="AA125" s="226"/>
      <c r="AB125" s="226"/>
      <c r="AC125" s="226"/>
      <c r="AD125" s="226"/>
      <c r="AE125" s="226"/>
      <c r="AF125" s="225" t="s">
        <v>470</v>
      </c>
      <c r="AG125" s="225" t="s">
        <v>470</v>
      </c>
      <c r="AH125" s="226"/>
      <c r="AI125" s="225" t="s">
        <v>479</v>
      </c>
      <c r="AJ125" s="225" t="s">
        <v>479</v>
      </c>
      <c r="AK125" s="229" t="s">
        <v>470</v>
      </c>
      <c r="AL125" s="225" t="s">
        <v>479</v>
      </c>
      <c r="AM125" s="226"/>
      <c r="AN125" s="226"/>
      <c r="AO125" s="226"/>
      <c r="AP125" s="226"/>
      <c r="AQ125" s="225" t="s">
        <v>470</v>
      </c>
      <c r="AR125" s="225" t="s">
        <v>470</v>
      </c>
      <c r="AS125" s="225" t="s">
        <v>470</v>
      </c>
      <c r="AT125" s="225" t="s">
        <v>470</v>
      </c>
      <c r="AU125" s="225" t="s">
        <v>656</v>
      </c>
      <c r="AV125" s="322" t="s">
        <v>470</v>
      </c>
      <c r="AW125" s="225"/>
      <c r="AX125" s="225"/>
      <c r="AY125" s="229" t="s">
        <v>2234</v>
      </c>
      <c r="AZ125" s="225" t="s">
        <v>470</v>
      </c>
      <c r="BA125" s="225"/>
      <c r="BB125" s="225" t="s">
        <v>470</v>
      </c>
      <c r="BC125" s="225" t="s">
        <v>470</v>
      </c>
      <c r="BD125" s="225" t="s">
        <v>470</v>
      </c>
      <c r="BE125" s="229" t="s">
        <v>470</v>
      </c>
      <c r="BF125" s="225" t="s">
        <v>470</v>
      </c>
      <c r="BG125" s="225" t="s">
        <v>470</v>
      </c>
      <c r="BH125" s="225" t="s">
        <v>470</v>
      </c>
      <c r="BI125" s="225" t="s">
        <v>470</v>
      </c>
      <c r="BJ125" s="225" t="s">
        <v>470</v>
      </c>
      <c r="BK125" s="225" t="s">
        <v>479</v>
      </c>
      <c r="BL125" s="225"/>
      <c r="BM125" s="225" t="s">
        <v>470</v>
      </c>
      <c r="BN125" s="226"/>
      <c r="BO125" s="225" t="s">
        <v>479</v>
      </c>
      <c r="BP125" s="225" t="s">
        <v>479</v>
      </c>
      <c r="BQ125" s="225" t="s">
        <v>479</v>
      </c>
      <c r="BR125" s="233" t="s">
        <v>479</v>
      </c>
      <c r="BS125" s="225" t="s">
        <v>479</v>
      </c>
      <c r="BT125" s="225" t="s">
        <v>479</v>
      </c>
      <c r="BU125" s="225" t="s">
        <v>689</v>
      </c>
      <c r="BV125" s="225" t="s">
        <v>479</v>
      </c>
      <c r="BW125" s="225" t="s">
        <v>479</v>
      </c>
      <c r="BX125" s="225" t="s">
        <v>479</v>
      </c>
      <c r="BY125" s="225" t="s">
        <v>479</v>
      </c>
      <c r="BZ125" s="225" t="s">
        <v>470</v>
      </c>
      <c r="CA125" s="225" t="s">
        <v>479</v>
      </c>
      <c r="CB125" s="225" t="s">
        <v>479</v>
      </c>
      <c r="CC125" s="225" t="s">
        <v>479</v>
      </c>
      <c r="CD125" s="229" t="s">
        <v>479</v>
      </c>
      <c r="CE125" s="229" t="s">
        <v>470</v>
      </c>
      <c r="CF125" s="229" t="s">
        <v>479</v>
      </c>
      <c r="CG125" s="229" t="s">
        <v>470</v>
      </c>
      <c r="CH125" s="229" t="s">
        <v>479</v>
      </c>
      <c r="CI125" s="229" t="s">
        <v>479</v>
      </c>
      <c r="CJ125" s="229" t="s">
        <v>470</v>
      </c>
      <c r="CK125" s="229"/>
      <c r="CL125" s="229" t="s">
        <v>479</v>
      </c>
      <c r="CM125" s="229" t="s">
        <v>470</v>
      </c>
      <c r="CN125" s="225" t="s">
        <v>479</v>
      </c>
      <c r="CO125" s="225" t="s">
        <v>479</v>
      </c>
      <c r="CP125" s="225"/>
      <c r="CQ125" s="406" t="s">
        <v>479</v>
      </c>
      <c r="CR125" s="394" t="s">
        <v>479</v>
      </c>
      <c r="CS125" s="225" t="s">
        <v>479</v>
      </c>
      <c r="CT125" s="225"/>
      <c r="CU125" s="402" t="s">
        <v>479</v>
      </c>
      <c r="CV125" s="225" t="s">
        <v>479</v>
      </c>
      <c r="CW125" s="225" t="s">
        <v>656</v>
      </c>
      <c r="CX125" s="225" t="s">
        <v>479</v>
      </c>
      <c r="CY125" s="225" t="s">
        <v>479</v>
      </c>
      <c r="CZ125" s="225"/>
      <c r="DA125" s="225" t="s">
        <v>479</v>
      </c>
      <c r="DB125" s="225" t="s">
        <v>470</v>
      </c>
      <c r="DC125" s="225" t="s">
        <v>470</v>
      </c>
      <c r="DD125" s="225" t="s">
        <v>470</v>
      </c>
      <c r="DE125" s="225" t="s">
        <v>470</v>
      </c>
      <c r="DF125" s="225" t="s">
        <v>479</v>
      </c>
      <c r="DG125" s="225" t="s">
        <v>479</v>
      </c>
      <c r="DH125" s="225" t="s">
        <v>470</v>
      </c>
      <c r="DI125" s="225" t="s">
        <v>470</v>
      </c>
      <c r="DJ125" s="225" t="s">
        <v>470</v>
      </c>
      <c r="DK125" s="225" t="s">
        <v>479</v>
      </c>
      <c r="DL125" s="225" t="s">
        <v>479</v>
      </c>
      <c r="DM125" s="225" t="s">
        <v>479</v>
      </c>
      <c r="DN125" s="225" t="s">
        <v>479</v>
      </c>
      <c r="DO125" s="225"/>
      <c r="DP125" s="225" t="s">
        <v>479</v>
      </c>
      <c r="DQ125" s="225" t="s">
        <v>479</v>
      </c>
      <c r="DR125" s="225" t="s">
        <v>479</v>
      </c>
      <c r="DS125" s="225" t="s">
        <v>479</v>
      </c>
      <c r="DT125" s="225" t="s">
        <v>479</v>
      </c>
      <c r="DU125" s="225" t="s">
        <v>470</v>
      </c>
      <c r="DV125" s="225" t="s">
        <v>470</v>
      </c>
      <c r="DW125" s="246" t="s">
        <v>470</v>
      </c>
      <c r="DX125" s="225" t="s">
        <v>470</v>
      </c>
      <c r="DY125" s="225" t="s">
        <v>539</v>
      </c>
      <c r="DZ125" s="225" t="s">
        <v>470</v>
      </c>
      <c r="EA125" s="225" t="s">
        <v>470</v>
      </c>
      <c r="EB125" s="225" t="s">
        <v>479</v>
      </c>
      <c r="EC125" s="226"/>
      <c r="ED125" s="225" t="s">
        <v>470</v>
      </c>
      <c r="EE125" s="225" t="s">
        <v>479</v>
      </c>
      <c r="EF125" s="225"/>
      <c r="EG125" s="226"/>
      <c r="EH125" s="225" t="s">
        <v>470</v>
      </c>
      <c r="EI125" s="225" t="s">
        <v>470</v>
      </c>
      <c r="EJ125" s="226"/>
      <c r="EK125" s="226"/>
      <c r="EL125" s="226"/>
      <c r="EM125" s="226"/>
      <c r="EN125" s="226"/>
      <c r="EO125" s="226"/>
      <c r="EP125" s="226"/>
      <c r="EQ125" s="226"/>
      <c r="ER125" s="225" t="s">
        <v>470</v>
      </c>
      <c r="ES125" s="225" t="s">
        <v>470</v>
      </c>
      <c r="ET125" s="322" t="s">
        <v>479</v>
      </c>
      <c r="EU125" s="322" t="s">
        <v>479</v>
      </c>
      <c r="EV125" s="322" t="s">
        <v>479</v>
      </c>
      <c r="EW125" s="225" t="s">
        <v>470</v>
      </c>
      <c r="EX125" s="225" t="s">
        <v>470</v>
      </c>
      <c r="EY125" s="225" t="s">
        <v>479</v>
      </c>
      <c r="EZ125" s="229" t="s">
        <v>479</v>
      </c>
      <c r="FA125" s="225" t="s">
        <v>470</v>
      </c>
      <c r="FB125" s="225" t="s">
        <v>470</v>
      </c>
      <c r="FC125" s="225" t="s">
        <v>479</v>
      </c>
      <c r="FD125" s="226"/>
      <c r="FE125" s="404" t="s">
        <v>539</v>
      </c>
      <c r="FF125" s="225" t="s">
        <v>470</v>
      </c>
      <c r="FG125" s="225" t="s">
        <v>470</v>
      </c>
      <c r="FH125" s="225" t="s">
        <v>470</v>
      </c>
      <c r="FI125" s="465" t="s">
        <v>470</v>
      </c>
      <c r="FJ125" s="465" t="s">
        <v>470</v>
      </c>
      <c r="FK125" s="465"/>
      <c r="FL125" s="465" t="s">
        <v>470</v>
      </c>
      <c r="FM125" s="225" t="s">
        <v>470</v>
      </c>
      <c r="FN125" s="225"/>
      <c r="FO125" s="394" t="s">
        <v>470</v>
      </c>
      <c r="FP125" s="394"/>
      <c r="FQ125" s="465" t="s">
        <v>470</v>
      </c>
      <c r="FR125" s="394"/>
      <c r="FS125" s="394"/>
      <c r="FT125" s="394"/>
      <c r="FU125" s="226"/>
      <c r="FV125" s="394"/>
      <c r="FW125" s="394"/>
      <c r="FX125" s="394"/>
      <c r="FY125" s="226"/>
      <c r="FZ125" s="394"/>
      <c r="GA125" s="394" t="s">
        <v>479</v>
      </c>
      <c r="GB125" s="394"/>
      <c r="GC125" s="394"/>
      <c r="GD125" s="394" t="s">
        <v>479</v>
      </c>
      <c r="GE125" s="394"/>
      <c r="GF125" s="394"/>
      <c r="GG125" s="394" t="s">
        <v>470</v>
      </c>
      <c r="GH125" s="394" t="s">
        <v>470</v>
      </c>
      <c r="GI125" s="226"/>
      <c r="GJ125" s="394" t="s">
        <v>479</v>
      </c>
      <c r="GK125" s="394"/>
      <c r="GL125" s="394" t="s">
        <v>470</v>
      </c>
      <c r="GM125" s="394"/>
      <c r="GN125" s="394"/>
      <c r="GO125" s="226"/>
      <c r="GP125" s="394" t="s">
        <v>479</v>
      </c>
      <c r="GQ125" s="226"/>
      <c r="GR125" s="394"/>
      <c r="GS125" s="394"/>
      <c r="GT125" s="394"/>
      <c r="GU125" s="394" t="s">
        <v>479</v>
      </c>
      <c r="GV125" s="394" t="s">
        <v>479</v>
      </c>
      <c r="GW125" s="226"/>
      <c r="GX125" s="225" t="s">
        <v>470</v>
      </c>
      <c r="GY125" s="225" t="s">
        <v>470</v>
      </c>
      <c r="GZ125" s="394" t="s">
        <v>479</v>
      </c>
      <c r="HA125" s="225" t="s">
        <v>470</v>
      </c>
      <c r="HB125" s="225" t="s">
        <v>479</v>
      </c>
      <c r="HC125" s="225" t="s">
        <v>470</v>
      </c>
      <c r="HD125" s="225" t="s">
        <v>479</v>
      </c>
      <c r="HE125" s="225" t="s">
        <v>470</v>
      </c>
      <c r="HF125" s="226"/>
      <c r="HG125" s="227" t="s">
        <v>470</v>
      </c>
      <c r="HH125" s="227" t="s">
        <v>470</v>
      </c>
      <c r="HI125" s="227" t="s">
        <v>470</v>
      </c>
      <c r="HJ125" s="225" t="s">
        <v>656</v>
      </c>
      <c r="HK125" s="227" t="s">
        <v>656</v>
      </c>
      <c r="HL125" s="226"/>
      <c r="HM125" s="225" t="s">
        <v>470</v>
      </c>
      <c r="HN125" s="226"/>
      <c r="HO125" s="225" t="s">
        <v>470</v>
      </c>
      <c r="HP125" s="226" t="s">
        <v>470</v>
      </c>
      <c r="HQ125" s="225" t="s">
        <v>689</v>
      </c>
      <c r="HR125" s="225" t="s">
        <v>689</v>
      </c>
      <c r="HS125" s="225" t="s">
        <v>479</v>
      </c>
      <c r="HT125" s="294" t="s">
        <v>470</v>
      </c>
      <c r="HU125" s="225" t="s">
        <v>470</v>
      </c>
      <c r="HV125" s="225" t="s">
        <v>470</v>
      </c>
      <c r="HW125" s="225" t="s">
        <v>479</v>
      </c>
      <c r="HX125" s="225" t="s">
        <v>470</v>
      </c>
      <c r="HY125" s="225" t="s">
        <v>470</v>
      </c>
      <c r="HZ125" s="228" t="s">
        <v>479</v>
      </c>
      <c r="IA125" s="225" t="s">
        <v>479</v>
      </c>
      <c r="IB125" s="225" t="s">
        <v>479</v>
      </c>
      <c r="IC125" s="225" t="s">
        <v>479</v>
      </c>
      <c r="ID125" s="322" t="s">
        <v>470</v>
      </c>
      <c r="IE125" s="225" t="s">
        <v>470</v>
      </c>
      <c r="IF125" s="322" t="s">
        <v>470</v>
      </c>
      <c r="IG125" s="225" t="s">
        <v>470</v>
      </c>
      <c r="IH125" s="229" t="s">
        <v>470</v>
      </c>
      <c r="II125" s="225" t="s">
        <v>470</v>
      </c>
      <c r="IJ125" s="225" t="s">
        <v>470</v>
      </c>
      <c r="IK125" s="225" t="s">
        <v>470</v>
      </c>
      <c r="IL125" s="225" t="s">
        <v>539</v>
      </c>
      <c r="IM125" s="225" t="s">
        <v>539</v>
      </c>
      <c r="IN125" s="225" t="s">
        <v>470</v>
      </c>
      <c r="IO125" s="225" t="s">
        <v>470</v>
      </c>
      <c r="IP125" s="225" t="s">
        <v>470</v>
      </c>
      <c r="IQ125" s="225" t="s">
        <v>470</v>
      </c>
      <c r="IR125" s="225" t="s">
        <v>470</v>
      </c>
      <c r="IS125" s="225" t="s">
        <v>470</v>
      </c>
      <c r="IT125" s="225" t="s">
        <v>470</v>
      </c>
      <c r="IU125" s="225" t="s">
        <v>470</v>
      </c>
      <c r="IV125" s="225" t="s">
        <v>470</v>
      </c>
      <c r="IW125" s="225" t="s">
        <v>470</v>
      </c>
      <c r="IX125" s="225" t="s">
        <v>479</v>
      </c>
      <c r="IY125" s="225" t="s">
        <v>479</v>
      </c>
      <c r="IZ125" s="225" t="s">
        <v>479</v>
      </c>
      <c r="JA125" s="225" t="s">
        <v>479</v>
      </c>
      <c r="JB125" s="225" t="s">
        <v>479</v>
      </c>
      <c r="JC125" s="225" t="s">
        <v>689</v>
      </c>
      <c r="JD125" s="225" t="s">
        <v>479</v>
      </c>
      <c r="JE125" s="226"/>
      <c r="JF125" s="226"/>
      <c r="JG125" s="226"/>
      <c r="JH125" s="225" t="s">
        <v>479</v>
      </c>
      <c r="JI125" s="225" t="s">
        <v>470</v>
      </c>
      <c r="JJ125" s="225" t="s">
        <v>470</v>
      </c>
      <c r="JK125" s="237" t="s">
        <v>479</v>
      </c>
      <c r="JL125" s="225" t="s">
        <v>479</v>
      </c>
      <c r="JM125" s="225" t="s">
        <v>479</v>
      </c>
      <c r="JN125" s="226"/>
      <c r="JO125" s="226"/>
      <c r="JP125" s="226"/>
      <c r="JQ125" s="225" t="s">
        <v>479</v>
      </c>
      <c r="JR125" s="225" t="s">
        <v>470</v>
      </c>
      <c r="JS125" s="225" t="s">
        <v>479</v>
      </c>
      <c r="JT125" s="225" t="s">
        <v>470</v>
      </c>
      <c r="JU125" s="225" t="s">
        <v>470</v>
      </c>
      <c r="JV125" s="225" t="s">
        <v>470</v>
      </c>
      <c r="JW125" s="225" t="s">
        <v>470</v>
      </c>
      <c r="JX125" s="225" t="s">
        <v>470</v>
      </c>
      <c r="JY125" s="225" t="s">
        <v>479</v>
      </c>
      <c r="JZ125" s="225" t="s">
        <v>470</v>
      </c>
      <c r="KA125" s="225" t="s">
        <v>470</v>
      </c>
      <c r="KB125" s="225" t="s">
        <v>479</v>
      </c>
      <c r="KC125" s="225" t="s">
        <v>479</v>
      </c>
      <c r="KD125" s="225" t="s">
        <v>470</v>
      </c>
      <c r="KE125" s="232"/>
      <c r="KF125" s="225" t="s">
        <v>479</v>
      </c>
      <c r="KG125" s="225" t="s">
        <v>479</v>
      </c>
      <c r="KH125" s="225"/>
      <c r="KI125" s="225" t="s">
        <v>479</v>
      </c>
      <c r="KJ125" s="322" t="s">
        <v>470</v>
      </c>
      <c r="KK125" s="225" t="s">
        <v>470</v>
      </c>
      <c r="KL125" s="225" t="s">
        <v>470</v>
      </c>
      <c r="KM125" s="225" t="s">
        <v>470</v>
      </c>
      <c r="KN125" s="225" t="s">
        <v>479</v>
      </c>
      <c r="KO125" s="225" t="s">
        <v>470</v>
      </c>
      <c r="KP125" s="225" t="s">
        <v>479</v>
      </c>
      <c r="KQ125" s="226"/>
      <c r="KR125" s="226"/>
      <c r="KS125" s="226"/>
      <c r="KT125" s="226"/>
      <c r="KU125" s="226"/>
      <c r="KV125" s="225" t="s">
        <v>470</v>
      </c>
      <c r="KW125" s="225" t="s">
        <v>470</v>
      </c>
      <c r="KX125" s="228" t="s">
        <v>479</v>
      </c>
      <c r="KY125" s="793"/>
      <c r="KZ125" s="225" t="s">
        <v>479</v>
      </c>
      <c r="LA125" s="322" t="s">
        <v>470</v>
      </c>
      <c r="LB125" s="225"/>
      <c r="LC125" s="322" t="s">
        <v>470</v>
      </c>
      <c r="LD125" s="225" t="s">
        <v>479</v>
      </c>
      <c r="LE125" s="225" t="s">
        <v>479</v>
      </c>
      <c r="LF125" s="225" t="s">
        <v>479</v>
      </c>
      <c r="LG125" s="225" t="s">
        <v>479</v>
      </c>
      <c r="LH125" s="225" t="s">
        <v>479</v>
      </c>
      <c r="LI125" s="225" t="s">
        <v>470</v>
      </c>
      <c r="LJ125" s="225" t="s">
        <v>470</v>
      </c>
      <c r="LK125" s="225" t="s">
        <v>479</v>
      </c>
      <c r="LL125" s="225" t="s">
        <v>470</v>
      </c>
      <c r="LM125" s="226"/>
      <c r="LN125" s="225" t="s">
        <v>470</v>
      </c>
      <c r="LO125" s="225" t="s">
        <v>470</v>
      </c>
      <c r="LP125" s="225" t="s">
        <v>479</v>
      </c>
      <c r="LQ125" s="225" t="s">
        <v>470</v>
      </c>
      <c r="LR125" s="225" t="s">
        <v>470</v>
      </c>
      <c r="LS125" s="225" t="s">
        <v>470</v>
      </c>
      <c r="LT125" s="234" t="s">
        <v>470</v>
      </c>
      <c r="LU125" s="225"/>
      <c r="LV125" s="225" t="s">
        <v>470</v>
      </c>
      <c r="LW125" s="225" t="s">
        <v>470</v>
      </c>
      <c r="LX125" s="225" t="s">
        <v>479</v>
      </c>
      <c r="LY125" s="225" t="s">
        <v>470</v>
      </c>
      <c r="LZ125" s="225" t="s">
        <v>470</v>
      </c>
      <c r="MA125" s="225" t="s">
        <v>479</v>
      </c>
      <c r="MB125" s="225" t="s">
        <v>479</v>
      </c>
      <c r="MC125" s="225" t="s">
        <v>470</v>
      </c>
      <c r="MD125" s="225"/>
      <c r="ME125" s="225" t="s">
        <v>470</v>
      </c>
      <c r="MF125" s="225" t="s">
        <v>470</v>
      </c>
      <c r="MG125" s="226"/>
      <c r="MH125" s="226"/>
      <c r="MI125" s="226"/>
      <c r="MJ125" s="235" t="s">
        <v>479</v>
      </c>
      <c r="MK125" s="235"/>
      <c r="ML125" s="235" t="s">
        <v>540</v>
      </c>
      <c r="MM125" s="235" t="s">
        <v>470</v>
      </c>
      <c r="MN125" s="236"/>
      <c r="MO125" s="236" t="s">
        <v>479</v>
      </c>
      <c r="MP125" s="236" t="s">
        <v>479</v>
      </c>
      <c r="MQ125" s="236" t="s">
        <v>470</v>
      </c>
      <c r="MR125" s="236" t="s">
        <v>479</v>
      </c>
      <c r="MS125" s="236" t="s">
        <v>539</v>
      </c>
      <c r="MT125" s="235" t="s">
        <v>479</v>
      </c>
      <c r="MU125" s="236"/>
      <c r="MV125" s="235" t="s">
        <v>470</v>
      </c>
      <c r="MW125" s="235" t="s">
        <v>479</v>
      </c>
      <c r="MX125" s="226"/>
      <c r="MY125" s="226"/>
      <c r="MZ125" s="226"/>
      <c r="NA125" s="226"/>
    </row>
    <row r="126" spans="1:365" ht="178" customHeight="1" x14ac:dyDescent="0.2">
      <c r="A126" s="1216"/>
      <c r="B126" s="1217"/>
      <c r="C126" s="1218"/>
      <c r="D126" s="215" t="s">
        <v>205</v>
      </c>
      <c r="E126" s="225"/>
      <c r="F126" s="225"/>
      <c r="G126" s="225" t="s">
        <v>543</v>
      </c>
      <c r="H126" s="225" t="s">
        <v>543</v>
      </c>
      <c r="I126" s="322" t="s">
        <v>5436</v>
      </c>
      <c r="J126" s="225" t="s">
        <v>543</v>
      </c>
      <c r="K126" s="225" t="s">
        <v>1924</v>
      </c>
      <c r="L126" s="225" t="s">
        <v>640</v>
      </c>
      <c r="M126" s="225" t="s">
        <v>1924</v>
      </c>
      <c r="N126" s="225" t="s">
        <v>1924</v>
      </c>
      <c r="O126" s="225" t="s">
        <v>1924</v>
      </c>
      <c r="P126" s="400" t="s">
        <v>2533</v>
      </c>
      <c r="Q126" s="225" t="s">
        <v>1924</v>
      </c>
      <c r="R126" s="322"/>
      <c r="S126" s="226" t="s">
        <v>726</v>
      </c>
      <c r="T126" s="225" t="s">
        <v>5435</v>
      </c>
      <c r="U126" s="225"/>
      <c r="V126" s="225" t="s">
        <v>5434</v>
      </c>
      <c r="W126" s="226"/>
      <c r="X126" s="226"/>
      <c r="Y126" s="226"/>
      <c r="Z126" s="226"/>
      <c r="AA126" s="226"/>
      <c r="AB126" s="226"/>
      <c r="AC126" s="226"/>
      <c r="AD126" s="226"/>
      <c r="AE126" s="226"/>
      <c r="AF126" s="225" t="s">
        <v>1447</v>
      </c>
      <c r="AG126" s="225"/>
      <c r="AH126" s="226"/>
      <c r="AI126" s="225" t="s">
        <v>5433</v>
      </c>
      <c r="AJ126" s="225" t="s">
        <v>5432</v>
      </c>
      <c r="AK126" s="229"/>
      <c r="AL126" s="225" t="s">
        <v>640</v>
      </c>
      <c r="AM126" s="226"/>
      <c r="AN126" s="226"/>
      <c r="AO126" s="226"/>
      <c r="AP126" s="226"/>
      <c r="AQ126" s="225"/>
      <c r="AR126" s="225"/>
      <c r="AS126" s="225"/>
      <c r="AT126" s="225" t="s">
        <v>470</v>
      </c>
      <c r="AU126" s="225" t="s">
        <v>656</v>
      </c>
      <c r="AV126" s="322"/>
      <c r="AW126" s="225"/>
      <c r="AX126" s="225"/>
      <c r="AY126" s="229" t="s">
        <v>2234</v>
      </c>
      <c r="AZ126" s="225"/>
      <c r="BA126" s="225"/>
      <c r="BB126" s="225"/>
      <c r="BC126" s="225"/>
      <c r="BD126" s="225"/>
      <c r="BE126" s="229"/>
      <c r="BF126" s="225"/>
      <c r="BG126" s="225"/>
      <c r="BH126" s="225" t="s">
        <v>470</v>
      </c>
      <c r="BI126" s="225" t="s">
        <v>656</v>
      </c>
      <c r="BJ126" s="225"/>
      <c r="BK126" s="225"/>
      <c r="BL126" s="225"/>
      <c r="BM126" s="225"/>
      <c r="BN126" s="226"/>
      <c r="BO126" s="225" t="s">
        <v>5431</v>
      </c>
      <c r="BP126" s="225"/>
      <c r="BQ126" s="225" t="s">
        <v>5430</v>
      </c>
      <c r="BR126" s="264" t="s">
        <v>4854</v>
      </c>
      <c r="BS126" s="225" t="s">
        <v>656</v>
      </c>
      <c r="BT126" s="225" t="s">
        <v>5429</v>
      </c>
      <c r="BU126" s="225" t="s">
        <v>640</v>
      </c>
      <c r="BV126" s="225" t="s">
        <v>5427</v>
      </c>
      <c r="BW126" s="225" t="s">
        <v>2533</v>
      </c>
      <c r="BX126" s="225" t="s">
        <v>5428</v>
      </c>
      <c r="BY126" s="225" t="s">
        <v>5427</v>
      </c>
      <c r="BZ126" s="225"/>
      <c r="CA126" s="225" t="s">
        <v>5426</v>
      </c>
      <c r="CB126" s="225" t="s">
        <v>5426</v>
      </c>
      <c r="CC126" s="225" t="s">
        <v>5425</v>
      </c>
      <c r="CD126" s="229" t="s">
        <v>640</v>
      </c>
      <c r="CE126" s="229"/>
      <c r="CF126" s="229" t="s">
        <v>640</v>
      </c>
      <c r="CG126" s="229"/>
      <c r="CH126" s="229" t="s">
        <v>5424</v>
      </c>
      <c r="CI126" s="229" t="s">
        <v>5423</v>
      </c>
      <c r="CJ126" s="229"/>
      <c r="CK126" s="229"/>
      <c r="CL126" s="229" t="s">
        <v>5422</v>
      </c>
      <c r="CM126" s="229"/>
      <c r="CN126" s="225" t="s">
        <v>961</v>
      </c>
      <c r="CO126" s="225" t="s">
        <v>2533</v>
      </c>
      <c r="CP126" s="225"/>
      <c r="CQ126" s="406" t="s">
        <v>5421</v>
      </c>
      <c r="CR126" s="465" t="s">
        <v>5378</v>
      </c>
      <c r="CS126" s="225" t="s">
        <v>640</v>
      </c>
      <c r="CT126" s="225"/>
      <c r="CU126" s="402" t="s">
        <v>3157</v>
      </c>
      <c r="CV126" s="225" t="s">
        <v>5420</v>
      </c>
      <c r="CW126" s="225" t="s">
        <v>656</v>
      </c>
      <c r="CX126" s="225" t="s">
        <v>707</v>
      </c>
      <c r="CY126" s="225" t="s">
        <v>5419</v>
      </c>
      <c r="CZ126" s="225"/>
      <c r="DA126" s="225" t="s">
        <v>5418</v>
      </c>
      <c r="DB126" s="225"/>
      <c r="DC126" s="225"/>
      <c r="DD126" s="225"/>
      <c r="DE126" s="225"/>
      <c r="DF126" s="225" t="s">
        <v>5417</v>
      </c>
      <c r="DG126" s="225" t="s">
        <v>5416</v>
      </c>
      <c r="DH126" s="225"/>
      <c r="DI126" s="225"/>
      <c r="DJ126" s="225"/>
      <c r="DK126" s="225" t="s">
        <v>5415</v>
      </c>
      <c r="DL126" s="225"/>
      <c r="DM126" s="225" t="s">
        <v>2533</v>
      </c>
      <c r="DN126" s="225" t="s">
        <v>1007</v>
      </c>
      <c r="DO126" s="225"/>
      <c r="DP126" s="225" t="s">
        <v>5412</v>
      </c>
      <c r="DQ126" s="225" t="s">
        <v>5414</v>
      </c>
      <c r="DR126" s="225" t="s">
        <v>5355</v>
      </c>
      <c r="DS126" s="225" t="s">
        <v>5413</v>
      </c>
      <c r="DT126" s="225" t="s">
        <v>5412</v>
      </c>
      <c r="DU126" s="225" t="s">
        <v>470</v>
      </c>
      <c r="DV126" s="225"/>
      <c r="DW126" s="246" t="s">
        <v>2234</v>
      </c>
      <c r="DX126" s="225"/>
      <c r="DY126" s="225"/>
      <c r="DZ126" s="225"/>
      <c r="EA126" s="225"/>
      <c r="EB126" s="225" t="s">
        <v>5411</v>
      </c>
      <c r="EC126" s="226"/>
      <c r="ED126" s="225"/>
      <c r="EE126" s="225" t="s">
        <v>5410</v>
      </c>
      <c r="EF126" s="225"/>
      <c r="EG126" s="226"/>
      <c r="EH126" s="225"/>
      <c r="EI126" s="225" t="s">
        <v>656</v>
      </c>
      <c r="EJ126" s="226"/>
      <c r="EK126" s="226"/>
      <c r="EL126" s="226"/>
      <c r="EM126" s="226"/>
      <c r="EN126" s="226"/>
      <c r="EO126" s="226"/>
      <c r="EP126" s="226"/>
      <c r="EQ126" s="226"/>
      <c r="ER126" s="225"/>
      <c r="ES126" s="225"/>
      <c r="ET126" s="225" t="s">
        <v>5409</v>
      </c>
      <c r="EU126" s="225" t="s">
        <v>5409</v>
      </c>
      <c r="EV126" s="225" t="s">
        <v>5409</v>
      </c>
      <c r="EW126" s="225"/>
      <c r="EX126" s="225"/>
      <c r="EY126" s="225" t="s">
        <v>5408</v>
      </c>
      <c r="EZ126" s="229"/>
      <c r="FA126" s="225"/>
      <c r="FB126" s="225"/>
      <c r="FC126" s="225" t="s">
        <v>640</v>
      </c>
      <c r="FD126" s="226"/>
      <c r="FE126" s="404"/>
      <c r="FF126" s="225" t="s">
        <v>470</v>
      </c>
      <c r="FG126" s="225" t="s">
        <v>470</v>
      </c>
      <c r="FH126" s="225" t="s">
        <v>470</v>
      </c>
      <c r="FI126" s="465" t="s">
        <v>656</v>
      </c>
      <c r="FJ126" s="465" t="s">
        <v>656</v>
      </c>
      <c r="FK126" s="465"/>
      <c r="FL126" s="465" t="s">
        <v>656</v>
      </c>
      <c r="FM126" s="225"/>
      <c r="FN126" s="225"/>
      <c r="FO126" s="394"/>
      <c r="FP126" s="394"/>
      <c r="FQ126" s="465" t="s">
        <v>656</v>
      </c>
      <c r="FR126" s="394"/>
      <c r="FS126" s="394"/>
      <c r="FT126" s="394"/>
      <c r="FU126" s="226"/>
      <c r="FV126" s="394"/>
      <c r="FW126" s="394"/>
      <c r="FX126" s="394"/>
      <c r="FY126" s="226"/>
      <c r="FZ126" s="394"/>
      <c r="GA126" s="394" t="s">
        <v>640</v>
      </c>
      <c r="GB126" s="394"/>
      <c r="GC126" s="394"/>
      <c r="GD126" s="394" t="s">
        <v>5407</v>
      </c>
      <c r="GE126" s="394"/>
      <c r="GF126" s="394"/>
      <c r="GG126" s="394" t="s">
        <v>4906</v>
      </c>
      <c r="GH126" s="394" t="s">
        <v>4906</v>
      </c>
      <c r="GI126" s="226"/>
      <c r="GJ126" s="394" t="s">
        <v>1365</v>
      </c>
      <c r="GK126" s="394"/>
      <c r="GL126" s="394"/>
      <c r="GM126" s="394"/>
      <c r="GN126" s="394"/>
      <c r="GO126" s="226"/>
      <c r="GP126" s="394" t="s">
        <v>5406</v>
      </c>
      <c r="GQ126" s="226"/>
      <c r="GR126" s="394"/>
      <c r="GS126" s="394"/>
      <c r="GT126" s="394"/>
      <c r="GU126" s="394" t="s">
        <v>2533</v>
      </c>
      <c r="GV126" s="388" t="s">
        <v>5405</v>
      </c>
      <c r="GW126" s="226"/>
      <c r="GX126" s="225"/>
      <c r="GY126" s="225"/>
      <c r="GZ126" s="394" t="s">
        <v>640</v>
      </c>
      <c r="HA126" s="225"/>
      <c r="HB126" s="225" t="s">
        <v>541</v>
      </c>
      <c r="HC126" s="225"/>
      <c r="HD126" s="225" t="s">
        <v>5404</v>
      </c>
      <c r="HE126" s="225"/>
      <c r="HF126" s="226"/>
      <c r="HG126" s="227" t="s">
        <v>656</v>
      </c>
      <c r="HH126" s="227" t="s">
        <v>656</v>
      </c>
      <c r="HI126" s="227" t="s">
        <v>656</v>
      </c>
      <c r="HJ126" s="225" t="s">
        <v>656</v>
      </c>
      <c r="HK126" s="227" t="s">
        <v>656</v>
      </c>
      <c r="HL126" s="226"/>
      <c r="HM126" s="225"/>
      <c r="HN126" s="226"/>
      <c r="HO126" s="225"/>
      <c r="HP126" s="226"/>
      <c r="HQ126" s="225" t="s">
        <v>5403</v>
      </c>
      <c r="HR126" s="225" t="s">
        <v>5403</v>
      </c>
      <c r="HS126" s="225" t="s">
        <v>1243</v>
      </c>
      <c r="HT126" s="225"/>
      <c r="HU126" s="225"/>
      <c r="HV126" s="225"/>
      <c r="HW126" s="225" t="s">
        <v>640</v>
      </c>
      <c r="HX126" s="225"/>
      <c r="HY126" s="225"/>
      <c r="HZ126" s="228" t="s">
        <v>726</v>
      </c>
      <c r="IA126" s="225" t="s">
        <v>5402</v>
      </c>
      <c r="IB126" s="225" t="s">
        <v>5401</v>
      </c>
      <c r="IC126" s="225" t="s">
        <v>5400</v>
      </c>
      <c r="ID126" s="225"/>
      <c r="IE126" s="225"/>
      <c r="IF126" s="225"/>
      <c r="IG126" s="225"/>
      <c r="IH126" s="229"/>
      <c r="II126" s="225"/>
      <c r="IJ126" s="225"/>
      <c r="IK126" s="225"/>
      <c r="IL126" s="225"/>
      <c r="IM126" s="225"/>
      <c r="IN126" s="225"/>
      <c r="IO126" s="225"/>
      <c r="IP126" s="225"/>
      <c r="IQ126" s="225"/>
      <c r="IR126" s="225"/>
      <c r="IS126" s="225"/>
      <c r="IT126" s="225"/>
      <c r="IU126" s="225"/>
      <c r="IV126" s="225"/>
      <c r="IW126" s="225"/>
      <c r="IX126" s="225"/>
      <c r="IY126" s="225" t="s">
        <v>5399</v>
      </c>
      <c r="IZ126" s="225" t="s">
        <v>5398</v>
      </c>
      <c r="JA126" s="225" t="s">
        <v>5398</v>
      </c>
      <c r="JB126" s="225" t="s">
        <v>5398</v>
      </c>
      <c r="JC126" s="225" t="s">
        <v>5397</v>
      </c>
      <c r="JD126" s="225" t="s">
        <v>5280</v>
      </c>
      <c r="JE126" s="226"/>
      <c r="JF126" s="226"/>
      <c r="JG126" s="226"/>
      <c r="JH126" s="225" t="s">
        <v>1007</v>
      </c>
      <c r="JI126" s="225"/>
      <c r="JJ126" s="225" t="s">
        <v>656</v>
      </c>
      <c r="JK126" s="237" t="s">
        <v>619</v>
      </c>
      <c r="JL126" s="225" t="s">
        <v>640</v>
      </c>
      <c r="JM126" s="225" t="s">
        <v>5396</v>
      </c>
      <c r="JN126" s="226"/>
      <c r="JO126" s="226"/>
      <c r="JP126" s="226"/>
      <c r="JQ126" s="225" t="s">
        <v>640</v>
      </c>
      <c r="JR126" s="225"/>
      <c r="JS126" s="225" t="s">
        <v>1033</v>
      </c>
      <c r="JT126" s="225"/>
      <c r="JU126" s="225"/>
      <c r="JV126" s="225"/>
      <c r="JW126" s="225" t="s">
        <v>656</v>
      </c>
      <c r="JX126" s="225" t="s">
        <v>656</v>
      </c>
      <c r="JY126" s="225" t="s">
        <v>5395</v>
      </c>
      <c r="JZ126" s="225" t="s">
        <v>470</v>
      </c>
      <c r="KA126" s="225"/>
      <c r="KB126" s="225" t="s">
        <v>2826</v>
      </c>
      <c r="KC126" s="225" t="s">
        <v>5394</v>
      </c>
      <c r="KD126" s="225"/>
      <c r="KE126" s="232"/>
      <c r="KF126" s="225" t="s">
        <v>5393</v>
      </c>
      <c r="KG126" s="225" t="s">
        <v>1877</v>
      </c>
      <c r="KH126" s="225"/>
      <c r="KI126" s="225" t="s">
        <v>5392</v>
      </c>
      <c r="KJ126" s="225"/>
      <c r="KK126" s="225"/>
      <c r="KL126" s="225" t="s">
        <v>656</v>
      </c>
      <c r="KM126" s="225"/>
      <c r="KN126" s="225" t="s">
        <v>5391</v>
      </c>
      <c r="KO126" s="225"/>
      <c r="KP126" s="225" t="s">
        <v>5390</v>
      </c>
      <c r="KQ126" s="226"/>
      <c r="KR126" s="226"/>
      <c r="KS126" s="226"/>
      <c r="KT126" s="226"/>
      <c r="KU126" s="226"/>
      <c r="KV126" s="225" t="s">
        <v>656</v>
      </c>
      <c r="KW126" s="225"/>
      <c r="KX126" s="228" t="s">
        <v>1537</v>
      </c>
      <c r="KY126" s="793"/>
      <c r="KZ126" s="225" t="s">
        <v>1537</v>
      </c>
      <c r="LA126" s="225"/>
      <c r="LB126" s="225"/>
      <c r="LC126" s="225"/>
      <c r="LD126" s="225" t="s">
        <v>1537</v>
      </c>
      <c r="LE126" s="225" t="s">
        <v>2533</v>
      </c>
      <c r="LF126" s="225" t="s">
        <v>1537</v>
      </c>
      <c r="LG126" s="225" t="s">
        <v>1537</v>
      </c>
      <c r="LH126" s="225" t="s">
        <v>1537</v>
      </c>
      <c r="LI126" s="225"/>
      <c r="LJ126" s="225"/>
      <c r="LK126" s="225"/>
      <c r="LL126" s="225"/>
      <c r="LM126" s="226"/>
      <c r="LN126" s="225"/>
      <c r="LO126" s="225"/>
      <c r="LP126" s="225" t="s">
        <v>5389</v>
      </c>
      <c r="LQ126" s="225"/>
      <c r="LR126" s="225"/>
      <c r="LS126" s="225"/>
      <c r="LT126" s="234"/>
      <c r="LU126" s="225"/>
      <c r="LV126" s="225"/>
      <c r="LW126" s="225"/>
      <c r="LX126" s="264" t="s">
        <v>5388</v>
      </c>
      <c r="LY126" s="225"/>
      <c r="LZ126" s="225"/>
      <c r="MA126" s="382" t="s">
        <v>1243</v>
      </c>
      <c r="MB126" s="225" t="s">
        <v>1007</v>
      </c>
      <c r="MC126" s="225"/>
      <c r="MD126" s="225"/>
      <c r="ME126" s="225"/>
      <c r="MF126" s="225"/>
      <c r="MG126" s="226"/>
      <c r="MH126" s="226"/>
      <c r="MI126" s="226"/>
      <c r="MJ126" s="235" t="s">
        <v>5387</v>
      </c>
      <c r="MK126" s="235"/>
      <c r="ML126" s="235" t="s">
        <v>5386</v>
      </c>
      <c r="MM126" s="235"/>
      <c r="MN126" s="236"/>
      <c r="MO126" s="271" t="s">
        <v>5385</v>
      </c>
      <c r="MP126" s="236" t="s">
        <v>920</v>
      </c>
      <c r="MQ126" s="236"/>
      <c r="MR126" s="236" t="s">
        <v>543</v>
      </c>
      <c r="MS126" s="236"/>
      <c r="MT126" s="235" t="s">
        <v>5384</v>
      </c>
      <c r="MU126" s="236"/>
      <c r="MV126" s="235"/>
      <c r="MW126" s="235" t="s">
        <v>5383</v>
      </c>
      <c r="MX126" s="226"/>
      <c r="MY126" s="226"/>
      <c r="MZ126" s="226"/>
      <c r="NA126" s="226"/>
    </row>
    <row r="127" spans="1:365" ht="51" x14ac:dyDescent="0.2">
      <c r="A127" s="1216"/>
      <c r="B127" s="1217"/>
      <c r="C127" s="1218"/>
      <c r="D127" s="215" t="s">
        <v>209</v>
      </c>
      <c r="E127" s="322"/>
      <c r="F127" s="322"/>
      <c r="G127" s="322">
        <v>268</v>
      </c>
      <c r="H127" s="322">
        <v>768</v>
      </c>
      <c r="I127" s="322">
        <v>222</v>
      </c>
      <c r="J127" s="322">
        <v>157</v>
      </c>
      <c r="K127" s="322">
        <v>0</v>
      </c>
      <c r="L127" s="322">
        <v>313</v>
      </c>
      <c r="M127" s="322">
        <v>0</v>
      </c>
      <c r="N127" s="322">
        <v>0</v>
      </c>
      <c r="O127" s="322">
        <v>0</v>
      </c>
      <c r="P127" s="463">
        <v>80</v>
      </c>
      <c r="Q127" s="322">
        <v>0</v>
      </c>
      <c r="R127" s="322"/>
      <c r="S127" s="322">
        <v>28</v>
      </c>
      <c r="T127" s="322">
        <v>15</v>
      </c>
      <c r="U127" s="322"/>
      <c r="V127" s="322" t="s">
        <v>5382</v>
      </c>
      <c r="W127" s="226"/>
      <c r="X127" s="226"/>
      <c r="Y127" s="226"/>
      <c r="Z127" s="226"/>
      <c r="AA127" s="226"/>
      <c r="AB127" s="226"/>
      <c r="AC127" s="226"/>
      <c r="AD127" s="226"/>
      <c r="AE127" s="226"/>
      <c r="AF127" s="322" t="s">
        <v>1447</v>
      </c>
      <c r="AG127" s="225"/>
      <c r="AH127" s="226"/>
      <c r="AI127" s="322">
        <v>139</v>
      </c>
      <c r="AJ127" s="322">
        <v>160</v>
      </c>
      <c r="AK127" s="229"/>
      <c r="AL127" s="322">
        <v>60</v>
      </c>
      <c r="AM127" s="226"/>
      <c r="AN127" s="226"/>
      <c r="AO127" s="226"/>
      <c r="AP127" s="226"/>
      <c r="AQ127" s="322"/>
      <c r="AR127" s="322"/>
      <c r="AS127" s="322"/>
      <c r="AT127" s="322">
        <v>0</v>
      </c>
      <c r="AU127" s="322" t="s">
        <v>656</v>
      </c>
      <c r="AV127" s="225"/>
      <c r="AW127" s="322"/>
      <c r="AX127" s="322"/>
      <c r="AY127" s="344" t="s">
        <v>2234</v>
      </c>
      <c r="AZ127" s="322"/>
      <c r="BA127" s="322"/>
      <c r="BB127" s="322"/>
      <c r="BC127" s="322"/>
      <c r="BD127" s="322"/>
      <c r="BE127" s="344"/>
      <c r="BF127" s="322"/>
      <c r="BG127" s="322"/>
      <c r="BH127" s="322" t="s">
        <v>470</v>
      </c>
      <c r="BI127" s="322" t="s">
        <v>656</v>
      </c>
      <c r="BJ127" s="322"/>
      <c r="BK127" s="322"/>
      <c r="BL127" s="322"/>
      <c r="BM127" s="322"/>
      <c r="BN127" s="226"/>
      <c r="BO127" s="322">
        <v>47</v>
      </c>
      <c r="BP127" s="322"/>
      <c r="BQ127" s="322">
        <v>68</v>
      </c>
      <c r="BR127" s="233">
        <v>184</v>
      </c>
      <c r="BS127" s="322" t="s">
        <v>656</v>
      </c>
      <c r="BT127" s="322">
        <v>128</v>
      </c>
      <c r="BU127" s="322">
        <v>34</v>
      </c>
      <c r="BV127" s="322">
        <v>30</v>
      </c>
      <c r="BW127" s="322">
        <v>26</v>
      </c>
      <c r="BX127" s="322">
        <v>11</v>
      </c>
      <c r="BY127" s="322">
        <v>120</v>
      </c>
      <c r="BZ127" s="322"/>
      <c r="CA127" s="322">
        <v>570</v>
      </c>
      <c r="CB127" s="322">
        <v>570</v>
      </c>
      <c r="CC127" s="322"/>
      <c r="CD127" s="344">
        <v>46</v>
      </c>
      <c r="CE127" s="344"/>
      <c r="CF127" s="344">
        <v>20</v>
      </c>
      <c r="CG127" s="344">
        <v>0</v>
      </c>
      <c r="CH127" s="344">
        <v>20</v>
      </c>
      <c r="CI127" s="344">
        <v>30</v>
      </c>
      <c r="CJ127" s="344">
        <v>0</v>
      </c>
      <c r="CK127" s="344"/>
      <c r="CL127" s="344">
        <v>10</v>
      </c>
      <c r="CM127" s="344"/>
      <c r="CN127" s="322">
        <v>24</v>
      </c>
      <c r="CO127" s="322">
        <v>103</v>
      </c>
      <c r="CP127" s="322"/>
      <c r="CQ127" s="464">
        <v>60</v>
      </c>
      <c r="CR127" s="465">
        <v>2848</v>
      </c>
      <c r="CS127" s="322">
        <v>46</v>
      </c>
      <c r="CT127" s="322"/>
      <c r="CU127" s="483">
        <v>1600</v>
      </c>
      <c r="CV127" s="322"/>
      <c r="CW127" s="322" t="s">
        <v>656</v>
      </c>
      <c r="CX127" s="322">
        <v>39</v>
      </c>
      <c r="CY127" s="322">
        <v>236</v>
      </c>
      <c r="CZ127" s="322"/>
      <c r="DA127" s="322">
        <v>525</v>
      </c>
      <c r="DB127" s="322"/>
      <c r="DC127" s="322"/>
      <c r="DD127" s="322"/>
      <c r="DE127" s="322"/>
      <c r="DF127" s="322"/>
      <c r="DG127" s="322">
        <v>10</v>
      </c>
      <c r="DH127" s="322"/>
      <c r="DI127" s="322"/>
      <c r="DJ127" s="322"/>
      <c r="DK127" s="322">
        <v>40</v>
      </c>
      <c r="DL127" s="322">
        <v>10</v>
      </c>
      <c r="DM127" s="322">
        <v>36</v>
      </c>
      <c r="DN127" s="322">
        <v>214</v>
      </c>
      <c r="DO127" s="322"/>
      <c r="DP127" s="322">
        <v>43</v>
      </c>
      <c r="DQ127" s="322">
        <v>35</v>
      </c>
      <c r="DR127" s="322">
        <v>30</v>
      </c>
      <c r="DS127" s="322">
        <v>45</v>
      </c>
      <c r="DT127" s="322">
        <v>124</v>
      </c>
      <c r="DU127" s="322">
        <v>0</v>
      </c>
      <c r="DV127" s="322"/>
      <c r="DW127" s="246" t="s">
        <v>2234</v>
      </c>
      <c r="DX127" s="322"/>
      <c r="DY127" s="322"/>
      <c r="DZ127" s="322"/>
      <c r="EA127" s="322"/>
      <c r="EB127" s="322">
        <v>54</v>
      </c>
      <c r="EC127" s="226"/>
      <c r="ED127" s="322"/>
      <c r="EE127" s="322">
        <v>7</v>
      </c>
      <c r="EF127" s="322"/>
      <c r="EG127" s="226"/>
      <c r="EH127" s="322"/>
      <c r="EI127" s="322" t="s">
        <v>656</v>
      </c>
      <c r="EJ127" s="226"/>
      <c r="EK127" s="226"/>
      <c r="EL127" s="226"/>
      <c r="EM127" s="226"/>
      <c r="EN127" s="226"/>
      <c r="EO127" s="226"/>
      <c r="EP127" s="226"/>
      <c r="EQ127" s="226"/>
      <c r="ER127" s="322"/>
      <c r="ES127" s="322"/>
      <c r="ET127" s="225">
        <v>208</v>
      </c>
      <c r="EU127" s="225">
        <v>167</v>
      </c>
      <c r="EV127" s="225">
        <v>26</v>
      </c>
      <c r="EW127" s="322"/>
      <c r="EX127" s="322"/>
      <c r="EY127" s="322">
        <v>18</v>
      </c>
      <c r="EZ127" s="344"/>
      <c r="FA127" s="322"/>
      <c r="FB127" s="322"/>
      <c r="FC127" s="322">
        <v>14</v>
      </c>
      <c r="FD127" s="226"/>
      <c r="FE127" s="466"/>
      <c r="FF127" s="225" t="s">
        <v>470</v>
      </c>
      <c r="FG127" s="225" t="s">
        <v>470</v>
      </c>
      <c r="FH127" s="225" t="s">
        <v>470</v>
      </c>
      <c r="FI127" s="465" t="s">
        <v>656</v>
      </c>
      <c r="FJ127" s="465" t="s">
        <v>656</v>
      </c>
      <c r="FK127" s="465"/>
      <c r="FL127" s="465" t="s">
        <v>656</v>
      </c>
      <c r="FM127" s="322"/>
      <c r="FN127" s="322"/>
      <c r="FO127" s="465"/>
      <c r="FP127" s="465"/>
      <c r="FQ127" s="465" t="s">
        <v>656</v>
      </c>
      <c r="FR127" s="465"/>
      <c r="FS127" s="465"/>
      <c r="FT127" s="465"/>
      <c r="FU127" s="226"/>
      <c r="FV127" s="465"/>
      <c r="FW127" s="465"/>
      <c r="FX127" s="465"/>
      <c r="FY127" s="226"/>
      <c r="FZ127" s="465"/>
      <c r="GA127" s="465">
        <v>142</v>
      </c>
      <c r="GB127" s="465"/>
      <c r="GC127" s="465"/>
      <c r="GD127" s="465">
        <v>282</v>
      </c>
      <c r="GE127" s="465"/>
      <c r="GF127" s="465"/>
      <c r="GG127" s="394" t="s">
        <v>4906</v>
      </c>
      <c r="GH127" s="394" t="s">
        <v>4906</v>
      </c>
      <c r="GI127" s="226"/>
      <c r="GJ127" s="465">
        <v>110</v>
      </c>
      <c r="GK127" s="465"/>
      <c r="GL127" s="465"/>
      <c r="GM127" s="465"/>
      <c r="GN127" s="465"/>
      <c r="GO127" s="226"/>
      <c r="GP127" s="465">
        <v>8</v>
      </c>
      <c r="GQ127" s="226"/>
      <c r="GR127" s="465"/>
      <c r="GS127" s="465"/>
      <c r="GT127" s="465"/>
      <c r="GU127" s="465">
        <v>277</v>
      </c>
      <c r="GV127" s="465">
        <v>30</v>
      </c>
      <c r="GW127" s="226"/>
      <c r="GX127" s="322"/>
      <c r="GY127" s="322"/>
      <c r="GZ127" s="465">
        <v>8</v>
      </c>
      <c r="HA127" s="322"/>
      <c r="HB127" s="322">
        <v>114</v>
      </c>
      <c r="HC127" s="322"/>
      <c r="HD127" s="322">
        <v>50</v>
      </c>
      <c r="HE127" s="322"/>
      <c r="HF127" s="226"/>
      <c r="HG127" s="343" t="s">
        <v>656</v>
      </c>
      <c r="HH127" s="343" t="s">
        <v>656</v>
      </c>
      <c r="HI127" s="343" t="s">
        <v>656</v>
      </c>
      <c r="HJ127" s="322" t="s">
        <v>656</v>
      </c>
      <c r="HK127" s="343" t="s">
        <v>656</v>
      </c>
      <c r="HL127" s="226"/>
      <c r="HM127" s="322"/>
      <c r="HN127" s="226"/>
      <c r="HO127" s="322"/>
      <c r="HP127" s="322"/>
      <c r="HQ127" s="322"/>
      <c r="HR127" s="322">
        <v>253</v>
      </c>
      <c r="HS127" s="322">
        <v>179</v>
      </c>
      <c r="HT127" s="322"/>
      <c r="HU127" s="322"/>
      <c r="HV127" s="322"/>
      <c r="HW127" s="322">
        <v>24</v>
      </c>
      <c r="HX127" s="322"/>
      <c r="HY127" s="322"/>
      <c r="HZ127" s="383">
        <v>150</v>
      </c>
      <c r="IA127" s="322"/>
      <c r="IB127" s="322" t="s">
        <v>5381</v>
      </c>
      <c r="IC127" s="322">
        <v>55</v>
      </c>
      <c r="ID127" s="322"/>
      <c r="IE127" s="322"/>
      <c r="IF127" s="322"/>
      <c r="IG127" s="322"/>
      <c r="IH127" s="344"/>
      <c r="II127" s="322"/>
      <c r="IJ127" s="322"/>
      <c r="IK127" s="322"/>
      <c r="IL127" s="322"/>
      <c r="IM127" s="322"/>
      <c r="IN127" s="322"/>
      <c r="IO127" s="322"/>
      <c r="IP127" s="322"/>
      <c r="IQ127" s="322"/>
      <c r="IR127" s="322"/>
      <c r="IS127" s="322"/>
      <c r="IT127" s="322"/>
      <c r="IU127" s="322"/>
      <c r="IV127" s="322"/>
      <c r="IW127" s="322"/>
      <c r="IX127" s="322">
        <v>220</v>
      </c>
      <c r="IY127" s="322">
        <v>23</v>
      </c>
      <c r="IZ127" s="322">
        <v>49</v>
      </c>
      <c r="JA127" s="322">
        <v>48</v>
      </c>
      <c r="JB127" s="322">
        <v>50</v>
      </c>
      <c r="JC127" s="322">
        <v>300</v>
      </c>
      <c r="JD127" s="322"/>
      <c r="JE127" s="226"/>
      <c r="JF127" s="226"/>
      <c r="JG127" s="226"/>
      <c r="JH127" s="322">
        <v>534</v>
      </c>
      <c r="JI127" s="322"/>
      <c r="JJ127" s="322" t="s">
        <v>656</v>
      </c>
      <c r="JK127" s="345">
        <v>65</v>
      </c>
      <c r="JL127" s="322">
        <v>798</v>
      </c>
      <c r="JM127" s="322">
        <v>30</v>
      </c>
      <c r="JN127" s="226"/>
      <c r="JO127" s="226"/>
      <c r="JP127" s="226"/>
      <c r="JQ127" s="322">
        <v>928</v>
      </c>
      <c r="JR127" s="322"/>
      <c r="JS127" s="322">
        <v>199</v>
      </c>
      <c r="JT127" s="322"/>
      <c r="JU127" s="322"/>
      <c r="JV127" s="322"/>
      <c r="JW127" s="322" t="s">
        <v>656</v>
      </c>
      <c r="JX127" s="322" t="s">
        <v>656</v>
      </c>
      <c r="JY127" s="322">
        <v>582</v>
      </c>
      <c r="JZ127" s="322" t="s">
        <v>470</v>
      </c>
      <c r="KA127" s="322"/>
      <c r="KB127" s="322">
        <v>329</v>
      </c>
      <c r="KC127" s="322">
        <v>840</v>
      </c>
      <c r="KD127" s="322"/>
      <c r="KE127" s="232"/>
      <c r="KF127" s="322">
        <v>120</v>
      </c>
      <c r="KG127" s="322">
        <v>2337</v>
      </c>
      <c r="KH127" s="322"/>
      <c r="KI127" s="322">
        <v>19</v>
      </c>
      <c r="KJ127" s="322"/>
      <c r="KK127" s="322"/>
      <c r="KL127" s="322" t="s">
        <v>656</v>
      </c>
      <c r="KM127" s="322"/>
      <c r="KN127" s="322" t="s">
        <v>5380</v>
      </c>
      <c r="KO127" s="322"/>
      <c r="KP127" s="322"/>
      <c r="KQ127" s="226"/>
      <c r="KR127" s="226"/>
      <c r="KS127" s="226"/>
      <c r="KT127" s="226"/>
      <c r="KU127" s="226"/>
      <c r="KV127" s="322" t="s">
        <v>656</v>
      </c>
      <c r="KW127" s="322"/>
      <c r="KX127" s="383">
        <v>5</v>
      </c>
      <c r="KY127" s="386"/>
      <c r="KZ127" s="322">
        <v>25</v>
      </c>
      <c r="LA127" s="322"/>
      <c r="LB127" s="322"/>
      <c r="LC127" s="322"/>
      <c r="LD127" s="322">
        <v>40</v>
      </c>
      <c r="LE127" s="322">
        <v>93</v>
      </c>
      <c r="LF127" s="322">
        <v>5</v>
      </c>
      <c r="LG127" s="322">
        <v>5</v>
      </c>
      <c r="LH127" s="322">
        <v>5</v>
      </c>
      <c r="LI127" s="322"/>
      <c r="LJ127" s="322"/>
      <c r="LK127" s="322"/>
      <c r="LL127" s="322"/>
      <c r="LM127" s="226"/>
      <c r="LN127" s="322">
        <v>0</v>
      </c>
      <c r="LO127" s="322">
        <v>0</v>
      </c>
      <c r="LP127" s="322">
        <v>40</v>
      </c>
      <c r="LQ127" s="322">
        <v>0</v>
      </c>
      <c r="LR127" s="322">
        <v>0</v>
      </c>
      <c r="LS127" s="322">
        <v>0</v>
      </c>
      <c r="LT127" s="346">
        <v>0</v>
      </c>
      <c r="LU127" s="322" t="e">
        <v>#REF!</v>
      </c>
      <c r="LV127" s="322"/>
      <c r="LW127" s="322"/>
      <c r="LX127" s="322">
        <v>37</v>
      </c>
      <c r="LY127" s="322"/>
      <c r="LZ127" s="322"/>
      <c r="MA127" s="322">
        <v>20</v>
      </c>
      <c r="MB127" s="322">
        <v>27</v>
      </c>
      <c r="MC127" s="322">
        <v>0</v>
      </c>
      <c r="MD127" s="322">
        <v>0</v>
      </c>
      <c r="ME127" s="322">
        <v>0</v>
      </c>
      <c r="MF127" s="322"/>
      <c r="MG127" s="226"/>
      <c r="MH127" s="226"/>
      <c r="MI127" s="226"/>
      <c r="MJ127" s="325">
        <v>14677</v>
      </c>
      <c r="MK127" s="325"/>
      <c r="ML127" s="347">
        <v>10651</v>
      </c>
      <c r="MM127" s="347"/>
      <c r="MN127" s="348"/>
      <c r="MO127" s="348">
        <f>2323+3654</f>
        <v>5977</v>
      </c>
      <c r="MP127" s="348">
        <v>10932</v>
      </c>
      <c r="MQ127" s="348"/>
      <c r="MR127" s="348">
        <f>20+587</f>
        <v>607</v>
      </c>
      <c r="MS127" s="348"/>
      <c r="MT127" s="347">
        <v>1901</v>
      </c>
      <c r="MU127" s="348"/>
      <c r="MV127" s="347"/>
      <c r="MW127" s="347">
        <f>473+1312+49</f>
        <v>1834</v>
      </c>
      <c r="MX127" s="226"/>
      <c r="MY127" s="226"/>
      <c r="MZ127" s="226"/>
      <c r="NA127" s="226"/>
    </row>
    <row r="128" spans="1:365" ht="51" x14ac:dyDescent="0.2">
      <c r="A128" s="1216"/>
      <c r="B128" s="1217" t="s">
        <v>229</v>
      </c>
      <c r="C128" s="1218" t="s">
        <v>230</v>
      </c>
      <c r="D128" s="215" t="s">
        <v>204</v>
      </c>
      <c r="E128" s="322" t="s">
        <v>470</v>
      </c>
      <c r="F128" s="322" t="s">
        <v>470</v>
      </c>
      <c r="G128" s="322" t="s">
        <v>539</v>
      </c>
      <c r="H128" s="322" t="s">
        <v>539</v>
      </c>
      <c r="I128" s="322" t="s">
        <v>539</v>
      </c>
      <c r="J128" s="322" t="s">
        <v>539</v>
      </c>
      <c r="K128" s="225" t="s">
        <v>470</v>
      </c>
      <c r="L128" s="322" t="s">
        <v>479</v>
      </c>
      <c r="M128" s="225" t="s">
        <v>470</v>
      </c>
      <c r="N128" s="225" t="s">
        <v>470</v>
      </c>
      <c r="O128" s="225" t="s">
        <v>470</v>
      </c>
      <c r="P128" s="400" t="s">
        <v>470</v>
      </c>
      <c r="Q128" s="322" t="s">
        <v>470</v>
      </c>
      <c r="R128" s="322" t="s">
        <v>470</v>
      </c>
      <c r="S128" s="322" t="s">
        <v>470</v>
      </c>
      <c r="T128" s="322"/>
      <c r="U128" s="322" t="s">
        <v>539</v>
      </c>
      <c r="V128" s="322" t="s">
        <v>479</v>
      </c>
      <c r="W128" s="226"/>
      <c r="X128" s="226"/>
      <c r="Y128" s="226"/>
      <c r="Z128" s="226"/>
      <c r="AA128" s="226"/>
      <c r="AB128" s="226"/>
      <c r="AC128" s="226"/>
      <c r="AD128" s="226"/>
      <c r="AE128" s="226"/>
      <c r="AF128" s="322" t="s">
        <v>470</v>
      </c>
      <c r="AG128" s="225" t="s">
        <v>470</v>
      </c>
      <c r="AH128" s="226"/>
      <c r="AI128" s="322" t="s">
        <v>470</v>
      </c>
      <c r="AJ128" s="322" t="s">
        <v>470</v>
      </c>
      <c r="AK128" s="229" t="s">
        <v>470</v>
      </c>
      <c r="AL128" s="322" t="s">
        <v>470</v>
      </c>
      <c r="AM128" s="226"/>
      <c r="AN128" s="226"/>
      <c r="AO128" s="226"/>
      <c r="AP128" s="226"/>
      <c r="AQ128" s="322" t="s">
        <v>470</v>
      </c>
      <c r="AR128" s="322" t="s">
        <v>479</v>
      </c>
      <c r="AS128" s="322" t="s">
        <v>479</v>
      </c>
      <c r="AT128" s="225" t="s">
        <v>470</v>
      </c>
      <c r="AU128" s="322" t="s">
        <v>656</v>
      </c>
      <c r="AV128" s="225" t="s">
        <v>470</v>
      </c>
      <c r="AW128" s="322"/>
      <c r="AX128" s="322"/>
      <c r="AY128" s="229" t="s">
        <v>2234</v>
      </c>
      <c r="AZ128" s="322" t="s">
        <v>470</v>
      </c>
      <c r="BA128" s="322"/>
      <c r="BB128" s="322" t="s">
        <v>470</v>
      </c>
      <c r="BC128" s="322" t="s">
        <v>470</v>
      </c>
      <c r="BD128" s="322" t="s">
        <v>470</v>
      </c>
      <c r="BE128" s="344" t="s">
        <v>470</v>
      </c>
      <c r="BF128" s="322" t="s">
        <v>470</v>
      </c>
      <c r="BG128" s="322" t="s">
        <v>470</v>
      </c>
      <c r="BH128" s="322" t="s">
        <v>470</v>
      </c>
      <c r="BI128" s="322" t="s">
        <v>470</v>
      </c>
      <c r="BJ128" s="322" t="s">
        <v>470</v>
      </c>
      <c r="BK128" s="322" t="s">
        <v>470</v>
      </c>
      <c r="BL128" s="322"/>
      <c r="BM128" s="322" t="s">
        <v>470</v>
      </c>
      <c r="BN128" s="226"/>
      <c r="BO128" s="322" t="s">
        <v>470</v>
      </c>
      <c r="BP128" s="322"/>
      <c r="BQ128" s="322" t="s">
        <v>479</v>
      </c>
      <c r="BR128" s="233" t="s">
        <v>470</v>
      </c>
      <c r="BS128" s="322" t="s">
        <v>656</v>
      </c>
      <c r="BT128" s="322"/>
      <c r="BU128" s="322"/>
      <c r="BV128" s="322" t="s">
        <v>470</v>
      </c>
      <c r="BW128" s="322"/>
      <c r="BX128" s="322" t="s">
        <v>470</v>
      </c>
      <c r="BY128" s="322" t="s">
        <v>479</v>
      </c>
      <c r="BZ128" s="322" t="s">
        <v>470</v>
      </c>
      <c r="CA128" s="322" t="s">
        <v>470</v>
      </c>
      <c r="CB128" s="322" t="s">
        <v>470</v>
      </c>
      <c r="CC128" s="322" t="s">
        <v>470</v>
      </c>
      <c r="CD128" s="344" t="s">
        <v>470</v>
      </c>
      <c r="CE128" s="344" t="s">
        <v>470</v>
      </c>
      <c r="CF128" s="344"/>
      <c r="CG128" s="344" t="s">
        <v>479</v>
      </c>
      <c r="CH128" s="344"/>
      <c r="CI128" s="344"/>
      <c r="CJ128" s="344" t="s">
        <v>470</v>
      </c>
      <c r="CK128" s="344" t="s">
        <v>479</v>
      </c>
      <c r="CL128" s="344" t="s">
        <v>470</v>
      </c>
      <c r="CM128" s="344" t="s">
        <v>479</v>
      </c>
      <c r="CN128" s="322"/>
      <c r="CO128" s="225" t="s">
        <v>479</v>
      </c>
      <c r="CP128" s="322"/>
      <c r="CQ128" s="464" t="s">
        <v>470</v>
      </c>
      <c r="CR128" s="465" t="s">
        <v>479</v>
      </c>
      <c r="CS128" s="322"/>
      <c r="CT128" s="322"/>
      <c r="CU128" s="322" t="s">
        <v>470</v>
      </c>
      <c r="CV128" s="322" t="s">
        <v>470</v>
      </c>
      <c r="CW128" s="322" t="s">
        <v>656</v>
      </c>
      <c r="CX128" s="322" t="s">
        <v>470</v>
      </c>
      <c r="CY128" s="322" t="s">
        <v>470</v>
      </c>
      <c r="CZ128" s="322"/>
      <c r="DA128" s="322"/>
      <c r="DB128" s="322" t="s">
        <v>470</v>
      </c>
      <c r="DC128" s="322" t="s">
        <v>470</v>
      </c>
      <c r="DD128" s="322" t="s">
        <v>479</v>
      </c>
      <c r="DE128" s="225" t="s">
        <v>470</v>
      </c>
      <c r="DF128" s="322" t="s">
        <v>470</v>
      </c>
      <c r="DG128" s="322" t="s">
        <v>470</v>
      </c>
      <c r="DH128" s="322" t="s">
        <v>470</v>
      </c>
      <c r="DI128" s="322" t="s">
        <v>470</v>
      </c>
      <c r="DJ128" s="322" t="s">
        <v>470</v>
      </c>
      <c r="DK128" s="322" t="s">
        <v>470</v>
      </c>
      <c r="DL128" s="322" t="s">
        <v>470</v>
      </c>
      <c r="DM128" s="322"/>
      <c r="DN128" s="322" t="s">
        <v>470</v>
      </c>
      <c r="DO128" s="322"/>
      <c r="DP128" s="225" t="s">
        <v>470</v>
      </c>
      <c r="DQ128" s="225" t="s">
        <v>470</v>
      </c>
      <c r="DR128" s="225" t="s">
        <v>470</v>
      </c>
      <c r="DS128" s="225" t="s">
        <v>470</v>
      </c>
      <c r="DT128" s="225" t="s">
        <v>470</v>
      </c>
      <c r="DU128" s="322" t="s">
        <v>470</v>
      </c>
      <c r="DV128" s="322" t="s">
        <v>470</v>
      </c>
      <c r="DW128" s="246" t="s">
        <v>470</v>
      </c>
      <c r="DX128" s="322" t="s">
        <v>470</v>
      </c>
      <c r="DY128" s="322" t="s">
        <v>539</v>
      </c>
      <c r="DZ128" s="225" t="s">
        <v>470</v>
      </c>
      <c r="EA128" s="322" t="s">
        <v>470</v>
      </c>
      <c r="EB128" s="322" t="s">
        <v>470</v>
      </c>
      <c r="EC128" s="226"/>
      <c r="ED128" s="322" t="s">
        <v>470</v>
      </c>
      <c r="EE128" s="322" t="s">
        <v>470</v>
      </c>
      <c r="EF128" s="322"/>
      <c r="EG128" s="226"/>
      <c r="EH128" s="322" t="s">
        <v>470</v>
      </c>
      <c r="EI128" s="322" t="s">
        <v>470</v>
      </c>
      <c r="EJ128" s="226"/>
      <c r="EK128" s="226"/>
      <c r="EL128" s="226"/>
      <c r="EM128" s="226"/>
      <c r="EN128" s="226"/>
      <c r="EO128" s="226"/>
      <c r="EP128" s="226"/>
      <c r="EQ128" s="226"/>
      <c r="ER128" s="322" t="s">
        <v>470</v>
      </c>
      <c r="ES128" s="322" t="s">
        <v>470</v>
      </c>
      <c r="ET128" s="322" t="s">
        <v>470</v>
      </c>
      <c r="EU128" s="322" t="s">
        <v>470</v>
      </c>
      <c r="EV128" s="322" t="s">
        <v>470</v>
      </c>
      <c r="EW128" s="322" t="s">
        <v>470</v>
      </c>
      <c r="EX128" s="322" t="s">
        <v>470</v>
      </c>
      <c r="EY128" s="322" t="s">
        <v>470</v>
      </c>
      <c r="EZ128" s="229" t="s">
        <v>470</v>
      </c>
      <c r="FA128" s="322" t="s">
        <v>470</v>
      </c>
      <c r="FB128" s="322" t="s">
        <v>470</v>
      </c>
      <c r="FC128" s="322" t="s">
        <v>470</v>
      </c>
      <c r="FD128" s="226"/>
      <c r="FE128" s="466" t="s">
        <v>539</v>
      </c>
      <c r="FF128" s="225" t="s">
        <v>470</v>
      </c>
      <c r="FG128" s="225" t="s">
        <v>470</v>
      </c>
      <c r="FH128" s="225" t="s">
        <v>470</v>
      </c>
      <c r="FI128" s="465" t="s">
        <v>470</v>
      </c>
      <c r="FJ128" s="465" t="s">
        <v>470</v>
      </c>
      <c r="FK128" s="465"/>
      <c r="FL128" s="465" t="s">
        <v>470</v>
      </c>
      <c r="FM128" s="322" t="s">
        <v>470</v>
      </c>
      <c r="FN128" s="322"/>
      <c r="FO128" s="465" t="s">
        <v>470</v>
      </c>
      <c r="FP128" s="465"/>
      <c r="FQ128" s="465" t="s">
        <v>470</v>
      </c>
      <c r="FR128" s="465"/>
      <c r="FS128" s="465"/>
      <c r="FT128" s="465"/>
      <c r="FU128" s="226"/>
      <c r="FV128" s="465"/>
      <c r="FW128" s="465"/>
      <c r="FX128" s="465"/>
      <c r="FY128" s="226"/>
      <c r="FZ128" s="465"/>
      <c r="GA128" s="465"/>
      <c r="GB128" s="465"/>
      <c r="GC128" s="465"/>
      <c r="GD128" s="465" t="s">
        <v>470</v>
      </c>
      <c r="GE128" s="465"/>
      <c r="GF128" s="465"/>
      <c r="GG128" s="394" t="s">
        <v>470</v>
      </c>
      <c r="GH128" s="394" t="s">
        <v>470</v>
      </c>
      <c r="GI128" s="226"/>
      <c r="GJ128" s="465" t="s">
        <v>470</v>
      </c>
      <c r="GK128" s="465"/>
      <c r="GL128" s="465" t="s">
        <v>470</v>
      </c>
      <c r="GM128" s="465"/>
      <c r="GN128" s="465"/>
      <c r="GO128" s="226"/>
      <c r="GP128" s="465"/>
      <c r="GQ128" s="226"/>
      <c r="GR128" s="465"/>
      <c r="GS128" s="465"/>
      <c r="GT128" s="465"/>
      <c r="GU128" s="465" t="s">
        <v>470</v>
      </c>
      <c r="GV128" s="465" t="s">
        <v>470</v>
      </c>
      <c r="GW128" s="226"/>
      <c r="GX128" s="322" t="s">
        <v>470</v>
      </c>
      <c r="GY128" s="322" t="s">
        <v>470</v>
      </c>
      <c r="GZ128" s="465" t="s">
        <v>470</v>
      </c>
      <c r="HA128" s="225" t="s">
        <v>470</v>
      </c>
      <c r="HB128" s="322" t="s">
        <v>470</v>
      </c>
      <c r="HC128" s="322" t="s">
        <v>470</v>
      </c>
      <c r="HD128" s="322" t="s">
        <v>470</v>
      </c>
      <c r="HE128" s="322" t="s">
        <v>479</v>
      </c>
      <c r="HF128" s="226"/>
      <c r="HG128" s="343" t="s">
        <v>470</v>
      </c>
      <c r="HH128" s="343" t="s">
        <v>470</v>
      </c>
      <c r="HI128" s="343" t="s">
        <v>470</v>
      </c>
      <c r="HJ128" s="322" t="s">
        <v>479</v>
      </c>
      <c r="HK128" s="343" t="s">
        <v>656</v>
      </c>
      <c r="HL128" s="226"/>
      <c r="HM128" s="322" t="s">
        <v>470</v>
      </c>
      <c r="HN128" s="226"/>
      <c r="HO128" s="322" t="s">
        <v>470</v>
      </c>
      <c r="HP128" s="322" t="s">
        <v>470</v>
      </c>
      <c r="HQ128" s="322" t="s">
        <v>873</v>
      </c>
      <c r="HR128" s="322" t="s">
        <v>873</v>
      </c>
      <c r="HS128" s="322" t="s">
        <v>479</v>
      </c>
      <c r="HT128" s="294" t="s">
        <v>470</v>
      </c>
      <c r="HU128" s="322" t="s">
        <v>479</v>
      </c>
      <c r="HV128" s="322" t="s">
        <v>479</v>
      </c>
      <c r="HW128" s="322" t="s">
        <v>470</v>
      </c>
      <c r="HX128" s="322" t="s">
        <v>470</v>
      </c>
      <c r="HY128" s="322" t="s">
        <v>470</v>
      </c>
      <c r="HZ128" s="322" t="s">
        <v>470</v>
      </c>
      <c r="IA128" s="322"/>
      <c r="IB128" s="322"/>
      <c r="IC128" s="322"/>
      <c r="ID128" s="322" t="s">
        <v>470</v>
      </c>
      <c r="IE128" s="225" t="s">
        <v>470</v>
      </c>
      <c r="IF128" s="322" t="s">
        <v>470</v>
      </c>
      <c r="IG128" s="322" t="s">
        <v>470</v>
      </c>
      <c r="IH128" s="344" t="s">
        <v>470</v>
      </c>
      <c r="II128" s="322" t="s">
        <v>470</v>
      </c>
      <c r="IJ128" s="322" t="s">
        <v>470</v>
      </c>
      <c r="IK128" s="322" t="s">
        <v>470</v>
      </c>
      <c r="IL128" s="225" t="s">
        <v>539</v>
      </c>
      <c r="IM128" s="225" t="s">
        <v>539</v>
      </c>
      <c r="IN128" s="322" t="s">
        <v>470</v>
      </c>
      <c r="IO128" s="322" t="s">
        <v>470</v>
      </c>
      <c r="IP128" s="322" t="s">
        <v>470</v>
      </c>
      <c r="IQ128" s="322" t="s">
        <v>470</v>
      </c>
      <c r="IR128" s="322"/>
      <c r="IS128" s="322" t="s">
        <v>470</v>
      </c>
      <c r="IT128" s="225" t="s">
        <v>470</v>
      </c>
      <c r="IU128" s="225" t="s">
        <v>470</v>
      </c>
      <c r="IV128" s="225" t="s">
        <v>470</v>
      </c>
      <c r="IW128" s="225" t="s">
        <v>470</v>
      </c>
      <c r="IX128" s="322" t="s">
        <v>470</v>
      </c>
      <c r="IY128" s="322" t="s">
        <v>470</v>
      </c>
      <c r="IZ128" s="322"/>
      <c r="JA128" s="322"/>
      <c r="JB128" s="322"/>
      <c r="JC128" s="322" t="s">
        <v>470</v>
      </c>
      <c r="JD128" s="322" t="s">
        <v>470</v>
      </c>
      <c r="JE128" s="226"/>
      <c r="JF128" s="226"/>
      <c r="JG128" s="226"/>
      <c r="JH128" s="322" t="s">
        <v>470</v>
      </c>
      <c r="JI128" s="322" t="s">
        <v>470</v>
      </c>
      <c r="JJ128" s="322" t="s">
        <v>470</v>
      </c>
      <c r="JK128" s="345" t="s">
        <v>470</v>
      </c>
      <c r="JL128" s="322" t="s">
        <v>656</v>
      </c>
      <c r="JM128" s="322" t="s">
        <v>470</v>
      </c>
      <c r="JN128" s="226"/>
      <c r="JO128" s="226"/>
      <c r="JP128" s="226"/>
      <c r="JQ128" s="322" t="s">
        <v>470</v>
      </c>
      <c r="JR128" s="322" t="s">
        <v>470</v>
      </c>
      <c r="JS128" s="322" t="s">
        <v>470</v>
      </c>
      <c r="JT128" s="322" t="s">
        <v>470</v>
      </c>
      <c r="JU128" s="322" t="s">
        <v>470</v>
      </c>
      <c r="JV128" s="322" t="s">
        <v>470</v>
      </c>
      <c r="JW128" s="322" t="s">
        <v>470</v>
      </c>
      <c r="JX128" s="225" t="s">
        <v>470</v>
      </c>
      <c r="JY128" s="322" t="s">
        <v>479</v>
      </c>
      <c r="JZ128" s="322" t="s">
        <v>470</v>
      </c>
      <c r="KA128" s="322" t="s">
        <v>470</v>
      </c>
      <c r="KB128" s="322" t="s">
        <v>470</v>
      </c>
      <c r="KC128" s="322" t="s">
        <v>540</v>
      </c>
      <c r="KD128" s="322" t="s">
        <v>470</v>
      </c>
      <c r="KE128" s="232" t="s">
        <v>470</v>
      </c>
      <c r="KF128" s="322" t="s">
        <v>470</v>
      </c>
      <c r="KG128" s="225" t="s">
        <v>470</v>
      </c>
      <c r="KH128" s="322"/>
      <c r="KI128" s="322" t="s">
        <v>470</v>
      </c>
      <c r="KJ128" s="322" t="s">
        <v>470</v>
      </c>
      <c r="KK128" s="322" t="s">
        <v>470</v>
      </c>
      <c r="KL128" s="322" t="s">
        <v>470</v>
      </c>
      <c r="KM128" s="322" t="s">
        <v>470</v>
      </c>
      <c r="KN128" s="322" t="s">
        <v>470</v>
      </c>
      <c r="KO128" s="322" t="s">
        <v>470</v>
      </c>
      <c r="KP128" s="322" t="s">
        <v>470</v>
      </c>
      <c r="KQ128" s="226"/>
      <c r="KR128" s="226"/>
      <c r="KS128" s="226"/>
      <c r="KT128" s="226"/>
      <c r="KU128" s="226"/>
      <c r="KV128" s="322" t="s">
        <v>470</v>
      </c>
      <c r="KW128" s="322" t="s">
        <v>470</v>
      </c>
      <c r="KX128" s="383" t="s">
        <v>470</v>
      </c>
      <c r="KY128" s="386"/>
      <c r="KZ128" s="322" t="s">
        <v>470</v>
      </c>
      <c r="LA128" s="322" t="s">
        <v>470</v>
      </c>
      <c r="LB128" s="322"/>
      <c r="LC128" s="322" t="s">
        <v>470</v>
      </c>
      <c r="LD128" s="322" t="s">
        <v>470</v>
      </c>
      <c r="LE128" s="322" t="s">
        <v>873</v>
      </c>
      <c r="LF128" s="322" t="s">
        <v>470</v>
      </c>
      <c r="LG128" s="322" t="s">
        <v>470</v>
      </c>
      <c r="LH128" s="322" t="s">
        <v>470</v>
      </c>
      <c r="LI128" s="322" t="s">
        <v>470</v>
      </c>
      <c r="LJ128" s="322" t="s">
        <v>470</v>
      </c>
      <c r="LK128" s="322" t="s">
        <v>479</v>
      </c>
      <c r="LL128" s="322" t="s">
        <v>470</v>
      </c>
      <c r="LM128" s="226"/>
      <c r="LN128" s="322" t="s">
        <v>470</v>
      </c>
      <c r="LO128" s="322" t="s">
        <v>470</v>
      </c>
      <c r="LP128" s="322" t="s">
        <v>470</v>
      </c>
      <c r="LQ128" s="322" t="s">
        <v>470</v>
      </c>
      <c r="LR128" s="322" t="s">
        <v>470</v>
      </c>
      <c r="LS128" s="322" t="s">
        <v>470</v>
      </c>
      <c r="LT128" s="234" t="s">
        <v>470</v>
      </c>
      <c r="LU128" s="322"/>
      <c r="LV128" s="322" t="s">
        <v>470</v>
      </c>
      <c r="LW128" s="322" t="s">
        <v>470</v>
      </c>
      <c r="LX128" s="322" t="s">
        <v>470</v>
      </c>
      <c r="LY128" s="322" t="s">
        <v>470</v>
      </c>
      <c r="LZ128" s="322" t="s">
        <v>470</v>
      </c>
      <c r="MA128" s="322" t="s">
        <v>470</v>
      </c>
      <c r="MB128" s="322" t="s">
        <v>470</v>
      </c>
      <c r="MC128" s="322" t="s">
        <v>470</v>
      </c>
      <c r="MD128" s="322" t="s">
        <v>470</v>
      </c>
      <c r="ME128" s="225" t="s">
        <v>470</v>
      </c>
      <c r="MF128" s="322" t="s">
        <v>470</v>
      </c>
      <c r="MG128" s="226"/>
      <c r="MH128" s="226"/>
      <c r="MI128" s="226"/>
      <c r="MJ128" s="347" t="s">
        <v>470</v>
      </c>
      <c r="MK128" s="347"/>
      <c r="ML128" s="347" t="s">
        <v>470</v>
      </c>
      <c r="MM128" s="347" t="s">
        <v>470</v>
      </c>
      <c r="MN128" s="348"/>
      <c r="MO128" s="348" t="s">
        <v>470</v>
      </c>
      <c r="MP128" s="348" t="s">
        <v>470</v>
      </c>
      <c r="MQ128" s="348" t="s">
        <v>470</v>
      </c>
      <c r="MR128" s="348" t="s">
        <v>470</v>
      </c>
      <c r="MS128" s="348" t="s">
        <v>539</v>
      </c>
      <c r="MT128" s="347"/>
      <c r="MU128" s="348"/>
      <c r="MV128" s="347" t="s">
        <v>470</v>
      </c>
      <c r="MW128" s="347" t="s">
        <v>470</v>
      </c>
      <c r="MX128" s="226"/>
      <c r="MY128" s="226"/>
      <c r="MZ128" s="226"/>
      <c r="NA128" s="226"/>
    </row>
    <row r="129" spans="1:365" ht="119" x14ac:dyDescent="0.2">
      <c r="A129" s="1216"/>
      <c r="B129" s="1216"/>
      <c r="C129" s="1218"/>
      <c r="D129" s="215" t="s">
        <v>205</v>
      </c>
      <c r="E129" s="322"/>
      <c r="F129" s="322"/>
      <c r="G129" s="322" t="s">
        <v>656</v>
      </c>
      <c r="H129" s="322" t="s">
        <v>656</v>
      </c>
      <c r="I129" s="322" t="s">
        <v>656</v>
      </c>
      <c r="J129" s="322" t="s">
        <v>656</v>
      </c>
      <c r="K129" s="225" t="s">
        <v>1924</v>
      </c>
      <c r="L129" s="322" t="s">
        <v>640</v>
      </c>
      <c r="M129" s="225" t="s">
        <v>1924</v>
      </c>
      <c r="N129" s="225" t="s">
        <v>1924</v>
      </c>
      <c r="O129" s="225" t="s">
        <v>1924</v>
      </c>
      <c r="P129" s="400" t="s">
        <v>1924</v>
      </c>
      <c r="Q129" s="225" t="s">
        <v>1924</v>
      </c>
      <c r="R129" s="322"/>
      <c r="S129" s="322"/>
      <c r="T129" s="322"/>
      <c r="U129" s="322"/>
      <c r="V129" s="322" t="s">
        <v>5379</v>
      </c>
      <c r="W129" s="226"/>
      <c r="X129" s="226"/>
      <c r="Y129" s="226"/>
      <c r="Z129" s="226"/>
      <c r="AA129" s="226"/>
      <c r="AB129" s="226"/>
      <c r="AC129" s="226"/>
      <c r="AD129" s="226"/>
      <c r="AE129" s="226"/>
      <c r="AF129" s="322" t="s">
        <v>1447</v>
      </c>
      <c r="AG129" s="225"/>
      <c r="AH129" s="226"/>
      <c r="AI129" s="322"/>
      <c r="AJ129" s="322"/>
      <c r="AK129" s="229"/>
      <c r="AL129" s="322"/>
      <c r="AM129" s="226"/>
      <c r="AN129" s="226"/>
      <c r="AO129" s="226"/>
      <c r="AP129" s="226"/>
      <c r="AQ129" s="322"/>
      <c r="AR129" s="322" t="s">
        <v>1877</v>
      </c>
      <c r="AS129" s="322" t="s">
        <v>1877</v>
      </c>
      <c r="AT129" s="225" t="s">
        <v>470</v>
      </c>
      <c r="AU129" s="322" t="s">
        <v>656</v>
      </c>
      <c r="AV129" s="322"/>
      <c r="AW129" s="322"/>
      <c r="AX129" s="322"/>
      <c r="AY129" s="229" t="s">
        <v>2234</v>
      </c>
      <c r="AZ129" s="322"/>
      <c r="BA129" s="322"/>
      <c r="BB129" s="322"/>
      <c r="BC129" s="322"/>
      <c r="BD129" s="322"/>
      <c r="BE129" s="344"/>
      <c r="BF129" s="322"/>
      <c r="BG129" s="322"/>
      <c r="BH129" s="322" t="s">
        <v>470</v>
      </c>
      <c r="BI129" s="322" t="s">
        <v>656</v>
      </c>
      <c r="BJ129" s="322"/>
      <c r="BK129" s="322"/>
      <c r="BL129" s="322"/>
      <c r="BM129" s="322"/>
      <c r="BN129" s="226"/>
      <c r="BO129" s="322"/>
      <c r="BP129" s="322"/>
      <c r="BQ129" s="322" t="s">
        <v>5312</v>
      </c>
      <c r="BR129" s="233" t="s">
        <v>205</v>
      </c>
      <c r="BS129" s="322" t="s">
        <v>656</v>
      </c>
      <c r="BT129" s="322"/>
      <c r="BU129" s="322"/>
      <c r="BV129" s="322"/>
      <c r="BW129" s="322"/>
      <c r="BX129" s="322"/>
      <c r="BY129" s="322"/>
      <c r="BZ129" s="322"/>
      <c r="CA129" s="322"/>
      <c r="CB129" s="322"/>
      <c r="CC129" s="322"/>
      <c r="CD129" s="344"/>
      <c r="CE129" s="344"/>
      <c r="CF129" s="344"/>
      <c r="CG129" s="344" t="s">
        <v>920</v>
      </c>
      <c r="CH129" s="344"/>
      <c r="CI129" s="344"/>
      <c r="CJ129" s="344"/>
      <c r="CK129" s="344" t="s">
        <v>640</v>
      </c>
      <c r="CL129" s="344"/>
      <c r="CM129" s="344" t="s">
        <v>15</v>
      </c>
      <c r="CN129" s="322"/>
      <c r="CO129" s="225" t="s">
        <v>2533</v>
      </c>
      <c r="CP129" s="322"/>
      <c r="CQ129" s="464"/>
      <c r="CR129" s="465" t="s">
        <v>5378</v>
      </c>
      <c r="CS129" s="322"/>
      <c r="CT129" s="322"/>
      <c r="CU129" s="322">
        <v>0</v>
      </c>
      <c r="CV129" s="322"/>
      <c r="CW129" s="322" t="s">
        <v>656</v>
      </c>
      <c r="CX129" s="322"/>
      <c r="CY129" s="322"/>
      <c r="CZ129" s="322"/>
      <c r="DA129" s="322"/>
      <c r="DB129" s="322"/>
      <c r="DC129" s="322"/>
      <c r="DD129" s="322" t="s">
        <v>5377</v>
      </c>
      <c r="DE129" s="264"/>
      <c r="DF129" s="322"/>
      <c r="DG129" s="322"/>
      <c r="DH129" s="322"/>
      <c r="DI129" s="322"/>
      <c r="DJ129" s="322"/>
      <c r="DK129" s="322"/>
      <c r="DL129" s="322"/>
      <c r="DM129" s="322"/>
      <c r="DN129" s="322" t="s">
        <v>656</v>
      </c>
      <c r="DO129" s="322"/>
      <c r="DP129" s="225" t="s">
        <v>470</v>
      </c>
      <c r="DQ129" s="225" t="s">
        <v>470</v>
      </c>
      <c r="DR129" s="225" t="s">
        <v>470</v>
      </c>
      <c r="DS129" s="225" t="s">
        <v>470</v>
      </c>
      <c r="DT129" s="225" t="s">
        <v>470</v>
      </c>
      <c r="DU129" s="322"/>
      <c r="DV129" s="322"/>
      <c r="DW129" s="246" t="s">
        <v>2234</v>
      </c>
      <c r="DX129" s="322"/>
      <c r="DY129" s="322"/>
      <c r="DZ129" s="225"/>
      <c r="EA129" s="322"/>
      <c r="EB129" s="322"/>
      <c r="EC129" s="226"/>
      <c r="ED129" s="322"/>
      <c r="EE129" s="322" t="s">
        <v>656</v>
      </c>
      <c r="EF129" s="322"/>
      <c r="EG129" s="226"/>
      <c r="EH129" s="322"/>
      <c r="EI129" s="322" t="s">
        <v>656</v>
      </c>
      <c r="EJ129" s="226"/>
      <c r="EK129" s="226"/>
      <c r="EL129" s="226"/>
      <c r="EM129" s="226"/>
      <c r="EN129" s="226"/>
      <c r="EO129" s="226"/>
      <c r="EP129" s="226"/>
      <c r="EQ129" s="226"/>
      <c r="ER129" s="322"/>
      <c r="ES129" s="322"/>
      <c r="ET129" s="225"/>
      <c r="EU129" s="225"/>
      <c r="EV129" s="225"/>
      <c r="EW129" s="322"/>
      <c r="EX129" s="322"/>
      <c r="EY129" s="322"/>
      <c r="EZ129" s="229"/>
      <c r="FA129" s="322"/>
      <c r="FB129" s="322"/>
      <c r="FC129" s="322" t="s">
        <v>470</v>
      </c>
      <c r="FD129" s="226"/>
      <c r="FE129" s="466"/>
      <c r="FF129" s="225" t="s">
        <v>470</v>
      </c>
      <c r="FG129" s="225" t="s">
        <v>470</v>
      </c>
      <c r="FH129" s="225" t="s">
        <v>470</v>
      </c>
      <c r="FI129" s="465" t="s">
        <v>656</v>
      </c>
      <c r="FJ129" s="465" t="s">
        <v>656</v>
      </c>
      <c r="FK129" s="465"/>
      <c r="FL129" s="465" t="s">
        <v>656</v>
      </c>
      <c r="FM129" s="322"/>
      <c r="FN129" s="322"/>
      <c r="FO129" s="465"/>
      <c r="FP129" s="465"/>
      <c r="FQ129" s="465" t="s">
        <v>656</v>
      </c>
      <c r="FR129" s="465"/>
      <c r="FS129" s="465"/>
      <c r="FT129" s="465"/>
      <c r="FU129" s="226"/>
      <c r="FV129" s="465"/>
      <c r="FW129" s="465"/>
      <c r="FX129" s="465"/>
      <c r="FY129" s="226"/>
      <c r="FZ129" s="465"/>
      <c r="GA129" s="465"/>
      <c r="GB129" s="465"/>
      <c r="GC129" s="465"/>
      <c r="GD129" s="465"/>
      <c r="GE129" s="465"/>
      <c r="GF129" s="465"/>
      <c r="GG129" s="394" t="s">
        <v>4906</v>
      </c>
      <c r="GH129" s="394" t="s">
        <v>4906</v>
      </c>
      <c r="GI129" s="226"/>
      <c r="GJ129" s="465"/>
      <c r="GK129" s="465"/>
      <c r="GL129" s="465"/>
      <c r="GM129" s="465"/>
      <c r="GN129" s="465"/>
      <c r="GO129" s="226"/>
      <c r="GP129" s="465"/>
      <c r="GQ129" s="226"/>
      <c r="GR129" s="465"/>
      <c r="GS129" s="465"/>
      <c r="GT129" s="465"/>
      <c r="GU129" s="465"/>
      <c r="GV129" s="465"/>
      <c r="GW129" s="226"/>
      <c r="GX129" s="322"/>
      <c r="GY129" s="322"/>
      <c r="GZ129" s="465"/>
      <c r="HA129" s="322"/>
      <c r="HB129" s="322"/>
      <c r="HC129" s="322"/>
      <c r="HD129" s="322"/>
      <c r="HE129" s="322" t="s">
        <v>5376</v>
      </c>
      <c r="HF129" s="226"/>
      <c r="HG129" s="343" t="s">
        <v>656</v>
      </c>
      <c r="HH129" s="343" t="s">
        <v>656</v>
      </c>
      <c r="HI129" s="343" t="s">
        <v>656</v>
      </c>
      <c r="HJ129" s="322" t="s">
        <v>5375</v>
      </c>
      <c r="HK129" s="343" t="s">
        <v>656</v>
      </c>
      <c r="HL129" s="226"/>
      <c r="HM129" s="322"/>
      <c r="HN129" s="226"/>
      <c r="HO129" s="322"/>
      <c r="HP129" s="322"/>
      <c r="HQ129" s="322"/>
      <c r="HR129" s="322"/>
      <c r="HS129" s="322" t="s">
        <v>1243</v>
      </c>
      <c r="HT129" s="322"/>
      <c r="HU129" s="322" t="s">
        <v>5374</v>
      </c>
      <c r="HV129" s="322" t="s">
        <v>5373</v>
      </c>
      <c r="HW129" s="322"/>
      <c r="HX129" s="322"/>
      <c r="HY129" s="322"/>
      <c r="HZ129" s="322" t="s">
        <v>656</v>
      </c>
      <c r="IA129" s="322"/>
      <c r="IB129" s="322"/>
      <c r="IC129" s="322"/>
      <c r="ID129" s="322"/>
      <c r="IE129" s="322"/>
      <c r="IF129" s="322"/>
      <c r="IG129" s="322"/>
      <c r="IH129" s="344"/>
      <c r="II129" s="322"/>
      <c r="IJ129" s="322"/>
      <c r="IK129" s="322"/>
      <c r="IL129" s="225"/>
      <c r="IM129" s="225"/>
      <c r="IN129" s="322"/>
      <c r="IO129" s="322"/>
      <c r="IP129" s="322"/>
      <c r="IQ129" s="322"/>
      <c r="IR129" s="322"/>
      <c r="IS129" s="322"/>
      <c r="IT129" s="322"/>
      <c r="IU129" s="322"/>
      <c r="IV129" s="322"/>
      <c r="IW129" s="322"/>
      <c r="IX129" s="322"/>
      <c r="IY129" s="322" t="s">
        <v>656</v>
      </c>
      <c r="IZ129" s="322"/>
      <c r="JA129" s="322"/>
      <c r="JB129" s="322"/>
      <c r="JC129" s="322" t="s">
        <v>656</v>
      </c>
      <c r="JD129" s="322" t="s">
        <v>656</v>
      </c>
      <c r="JE129" s="226"/>
      <c r="JF129" s="226"/>
      <c r="JG129" s="226"/>
      <c r="JH129" s="322"/>
      <c r="JI129" s="322"/>
      <c r="JJ129" s="322" t="s">
        <v>656</v>
      </c>
      <c r="JK129" s="345"/>
      <c r="JL129" s="322" t="s">
        <v>656</v>
      </c>
      <c r="JM129" s="322"/>
      <c r="JN129" s="226"/>
      <c r="JO129" s="226"/>
      <c r="JP129" s="226"/>
      <c r="JQ129" s="322"/>
      <c r="JR129" s="322"/>
      <c r="JS129" s="322"/>
      <c r="JT129" s="322"/>
      <c r="JU129" s="322"/>
      <c r="JV129" s="322"/>
      <c r="JW129" s="322" t="s">
        <v>656</v>
      </c>
      <c r="JX129" s="225" t="s">
        <v>656</v>
      </c>
      <c r="JY129" s="322" t="s">
        <v>1033</v>
      </c>
      <c r="JZ129" s="322" t="s">
        <v>470</v>
      </c>
      <c r="KA129" s="322"/>
      <c r="KB129" s="322"/>
      <c r="KC129" s="322" t="s">
        <v>920</v>
      </c>
      <c r="KD129" s="322"/>
      <c r="KE129" s="232"/>
      <c r="KF129" s="322"/>
      <c r="KG129" s="225" t="s">
        <v>470</v>
      </c>
      <c r="KH129" s="322"/>
      <c r="KI129" s="322"/>
      <c r="KJ129" s="322"/>
      <c r="KK129" s="322"/>
      <c r="KL129" s="322" t="s">
        <v>656</v>
      </c>
      <c r="KM129" s="322"/>
      <c r="KN129" s="322"/>
      <c r="KO129" s="322"/>
      <c r="KP129" s="322"/>
      <c r="KQ129" s="226"/>
      <c r="KR129" s="226"/>
      <c r="KS129" s="226"/>
      <c r="KT129" s="226"/>
      <c r="KU129" s="226"/>
      <c r="KV129" s="322" t="s">
        <v>656</v>
      </c>
      <c r="KW129" s="322"/>
      <c r="KX129" s="383"/>
      <c r="KY129" s="386"/>
      <c r="KZ129" s="322"/>
      <c r="LA129" s="322"/>
      <c r="LB129" s="322"/>
      <c r="LC129" s="322"/>
      <c r="LD129" s="322"/>
      <c r="LE129" s="322"/>
      <c r="LF129" s="322"/>
      <c r="LG129" s="322"/>
      <c r="LH129" s="322"/>
      <c r="LI129" s="322"/>
      <c r="LJ129" s="322"/>
      <c r="LK129" s="322" t="s">
        <v>5372</v>
      </c>
      <c r="LL129" s="322"/>
      <c r="LM129" s="226"/>
      <c r="LN129" s="322"/>
      <c r="LO129" s="322"/>
      <c r="LP129" s="322"/>
      <c r="LQ129" s="322"/>
      <c r="LR129" s="322"/>
      <c r="LS129" s="322"/>
      <c r="LT129" s="346"/>
      <c r="LU129" s="322"/>
      <c r="LV129" s="322"/>
      <c r="LW129" s="322"/>
      <c r="LX129" s="322"/>
      <c r="LY129" s="322"/>
      <c r="LZ129" s="322"/>
      <c r="MA129" s="322"/>
      <c r="MB129" s="322"/>
      <c r="MC129" s="322"/>
      <c r="MD129" s="322"/>
      <c r="ME129" s="322"/>
      <c r="MF129" s="322"/>
      <c r="MG129" s="226"/>
      <c r="MH129" s="226"/>
      <c r="MI129" s="226"/>
      <c r="MJ129" s="347"/>
      <c r="MK129" s="347"/>
      <c r="ML129" s="347" t="s">
        <v>656</v>
      </c>
      <c r="MM129" s="347"/>
      <c r="MN129" s="348"/>
      <c r="MO129" s="348"/>
      <c r="MP129" s="348"/>
      <c r="MQ129" s="348"/>
      <c r="MR129" s="348" t="s">
        <v>1482</v>
      </c>
      <c r="MS129" s="348"/>
      <c r="MT129" s="347"/>
      <c r="MU129" s="348"/>
      <c r="MV129" s="347"/>
      <c r="MW129" s="347"/>
      <c r="MX129" s="226"/>
      <c r="MY129" s="226"/>
      <c r="MZ129" s="226"/>
      <c r="NA129" s="226"/>
    </row>
    <row r="130" spans="1:365" ht="51" x14ac:dyDescent="0.2">
      <c r="A130" s="1216"/>
      <c r="B130" s="1216"/>
      <c r="C130" s="1218"/>
      <c r="D130" s="215" t="s">
        <v>209</v>
      </c>
      <c r="E130" s="322"/>
      <c r="F130" s="322"/>
      <c r="G130" s="322" t="s">
        <v>656</v>
      </c>
      <c r="H130" s="322" t="s">
        <v>656</v>
      </c>
      <c r="I130" s="225" t="s">
        <v>656</v>
      </c>
      <c r="J130" s="322" t="s">
        <v>656</v>
      </c>
      <c r="K130" s="322">
        <v>0</v>
      </c>
      <c r="L130" s="322">
        <v>167</v>
      </c>
      <c r="M130" s="322">
        <v>0</v>
      </c>
      <c r="N130" s="322">
        <v>0</v>
      </c>
      <c r="O130" s="322">
        <v>0</v>
      </c>
      <c r="P130" s="463">
        <v>0</v>
      </c>
      <c r="Q130" s="322">
        <v>0</v>
      </c>
      <c r="R130" s="322"/>
      <c r="S130" s="322"/>
      <c r="T130" s="322"/>
      <c r="U130" s="322"/>
      <c r="V130" s="322" t="s">
        <v>4574</v>
      </c>
      <c r="W130" s="226"/>
      <c r="X130" s="226"/>
      <c r="Y130" s="226"/>
      <c r="Z130" s="226"/>
      <c r="AA130" s="226"/>
      <c r="AB130" s="226"/>
      <c r="AC130" s="226"/>
      <c r="AD130" s="226"/>
      <c r="AE130" s="226"/>
      <c r="AF130" s="322" t="s">
        <v>1447</v>
      </c>
      <c r="AG130" s="225"/>
      <c r="AH130" s="226"/>
      <c r="AI130" s="322"/>
      <c r="AJ130" s="322"/>
      <c r="AK130" s="229"/>
      <c r="AL130" s="322"/>
      <c r="AM130" s="226"/>
      <c r="AN130" s="226"/>
      <c r="AO130" s="226"/>
      <c r="AP130" s="226"/>
      <c r="AQ130" s="322"/>
      <c r="AR130" s="322">
        <v>3900</v>
      </c>
      <c r="AS130" s="322">
        <v>3120</v>
      </c>
      <c r="AT130" s="322">
        <v>0</v>
      </c>
      <c r="AU130" s="322" t="s">
        <v>656</v>
      </c>
      <c r="AV130" s="225"/>
      <c r="AW130" s="322"/>
      <c r="AX130" s="322"/>
      <c r="AY130" s="344" t="s">
        <v>2234</v>
      </c>
      <c r="AZ130" s="322"/>
      <c r="BA130" s="322"/>
      <c r="BB130" s="322"/>
      <c r="BC130" s="322"/>
      <c r="BD130" s="322"/>
      <c r="BE130" s="344"/>
      <c r="BF130" s="322"/>
      <c r="BG130" s="322"/>
      <c r="BH130" s="322" t="s">
        <v>470</v>
      </c>
      <c r="BI130" s="322" t="s">
        <v>656</v>
      </c>
      <c r="BJ130" s="322"/>
      <c r="BK130" s="322"/>
      <c r="BL130" s="322"/>
      <c r="BM130" s="322"/>
      <c r="BN130" s="226"/>
      <c r="BO130" s="322"/>
      <c r="BP130" s="322"/>
      <c r="BQ130" s="322">
        <v>18</v>
      </c>
      <c r="BR130" s="233" t="s">
        <v>209</v>
      </c>
      <c r="BS130" s="322" t="s">
        <v>656</v>
      </c>
      <c r="BT130" s="322"/>
      <c r="BU130" s="322"/>
      <c r="BV130" s="322"/>
      <c r="BW130" s="322"/>
      <c r="BX130" s="322"/>
      <c r="BY130" s="322"/>
      <c r="BZ130" s="322"/>
      <c r="CA130" s="322"/>
      <c r="CB130" s="322"/>
      <c r="CC130" s="322"/>
      <c r="CD130" s="344"/>
      <c r="CE130" s="344"/>
      <c r="CF130" s="344"/>
      <c r="CG130" s="344">
        <v>31</v>
      </c>
      <c r="CH130" s="344"/>
      <c r="CI130" s="344"/>
      <c r="CJ130" s="344">
        <v>0</v>
      </c>
      <c r="CK130" s="344">
        <v>2</v>
      </c>
      <c r="CL130" s="344"/>
      <c r="CM130" s="344">
        <v>10</v>
      </c>
      <c r="CN130" s="322"/>
      <c r="CO130" s="322">
        <v>183</v>
      </c>
      <c r="CP130" s="322"/>
      <c r="CQ130" s="464"/>
      <c r="CR130" s="465">
        <v>332</v>
      </c>
      <c r="CS130" s="322"/>
      <c r="CT130" s="322"/>
      <c r="CU130" s="322">
        <v>0</v>
      </c>
      <c r="CV130" s="322"/>
      <c r="CW130" s="322" t="s">
        <v>656</v>
      </c>
      <c r="CX130" s="322"/>
      <c r="CY130" s="322"/>
      <c r="CZ130" s="322"/>
      <c r="DA130" s="322"/>
      <c r="DB130" s="322"/>
      <c r="DC130" s="322"/>
      <c r="DD130" s="322">
        <v>17</v>
      </c>
      <c r="DE130" s="322"/>
      <c r="DF130" s="322"/>
      <c r="DG130" s="322"/>
      <c r="DH130" s="322"/>
      <c r="DI130" s="322"/>
      <c r="DJ130" s="322"/>
      <c r="DK130" s="322"/>
      <c r="DL130" s="322"/>
      <c r="DM130" s="322"/>
      <c r="DN130" s="322" t="s">
        <v>656</v>
      </c>
      <c r="DO130" s="322"/>
      <c r="DP130" s="225">
        <v>0</v>
      </c>
      <c r="DQ130" s="225">
        <v>0</v>
      </c>
      <c r="DR130" s="225">
        <v>0</v>
      </c>
      <c r="DS130" s="225">
        <v>0</v>
      </c>
      <c r="DT130" s="225">
        <v>0</v>
      </c>
      <c r="DU130" s="322">
        <v>0</v>
      </c>
      <c r="DV130" s="322"/>
      <c r="DW130" s="246" t="s">
        <v>2234</v>
      </c>
      <c r="DX130" s="322"/>
      <c r="DY130" s="322"/>
      <c r="DZ130" s="322"/>
      <c r="EA130" s="322"/>
      <c r="EB130" s="322"/>
      <c r="EC130" s="226"/>
      <c r="ED130" s="322"/>
      <c r="EE130" s="322" t="s">
        <v>656</v>
      </c>
      <c r="EF130" s="322"/>
      <c r="EG130" s="226"/>
      <c r="EH130" s="322"/>
      <c r="EI130" s="322" t="s">
        <v>656</v>
      </c>
      <c r="EJ130" s="226"/>
      <c r="EK130" s="226"/>
      <c r="EL130" s="226"/>
      <c r="EM130" s="226"/>
      <c r="EN130" s="226"/>
      <c r="EO130" s="226"/>
      <c r="EP130" s="226"/>
      <c r="EQ130" s="226"/>
      <c r="ER130" s="322"/>
      <c r="ES130" s="322"/>
      <c r="ET130" s="225"/>
      <c r="EU130" s="225"/>
      <c r="EV130" s="225"/>
      <c r="EW130" s="322"/>
      <c r="EX130" s="322"/>
      <c r="EY130" s="322"/>
      <c r="EZ130" s="344"/>
      <c r="FA130" s="322"/>
      <c r="FB130" s="322"/>
      <c r="FC130" s="322"/>
      <c r="FD130" s="226"/>
      <c r="FE130" s="466"/>
      <c r="FF130" s="225" t="s">
        <v>470</v>
      </c>
      <c r="FG130" s="225" t="s">
        <v>470</v>
      </c>
      <c r="FH130" s="225" t="s">
        <v>470</v>
      </c>
      <c r="FI130" s="465" t="s">
        <v>656</v>
      </c>
      <c r="FJ130" s="465" t="s">
        <v>656</v>
      </c>
      <c r="FK130" s="465"/>
      <c r="FL130" s="465" t="s">
        <v>656</v>
      </c>
      <c r="FM130" s="322" t="s">
        <v>470</v>
      </c>
      <c r="FN130" s="322"/>
      <c r="FO130" s="465"/>
      <c r="FP130" s="465"/>
      <c r="FQ130" s="465" t="s">
        <v>656</v>
      </c>
      <c r="FR130" s="465"/>
      <c r="FS130" s="465"/>
      <c r="FT130" s="465"/>
      <c r="FU130" s="226"/>
      <c r="FV130" s="465"/>
      <c r="FW130" s="465"/>
      <c r="FX130" s="465"/>
      <c r="FY130" s="226"/>
      <c r="FZ130" s="465"/>
      <c r="GA130" s="465"/>
      <c r="GB130" s="465"/>
      <c r="GC130" s="465"/>
      <c r="GD130" s="465"/>
      <c r="GE130" s="465"/>
      <c r="GF130" s="465"/>
      <c r="GG130" s="394" t="s">
        <v>4906</v>
      </c>
      <c r="GH130" s="394" t="s">
        <v>4906</v>
      </c>
      <c r="GI130" s="226"/>
      <c r="GJ130" s="465"/>
      <c r="GK130" s="465"/>
      <c r="GL130" s="465"/>
      <c r="GM130" s="465"/>
      <c r="GN130" s="465"/>
      <c r="GO130" s="226"/>
      <c r="GP130" s="465"/>
      <c r="GQ130" s="226"/>
      <c r="GR130" s="465"/>
      <c r="GS130" s="465"/>
      <c r="GT130" s="465"/>
      <c r="GU130" s="465"/>
      <c r="GV130" s="465"/>
      <c r="GW130" s="226"/>
      <c r="GX130" s="322"/>
      <c r="GY130" s="322"/>
      <c r="GZ130" s="465"/>
      <c r="HA130" s="322"/>
      <c r="HB130" s="322"/>
      <c r="HC130" s="322"/>
      <c r="HD130" s="322"/>
      <c r="HE130" s="322">
        <v>0</v>
      </c>
      <c r="HF130" s="226"/>
      <c r="HG130" s="343" t="s">
        <v>656</v>
      </c>
      <c r="HH130" s="343" t="s">
        <v>656</v>
      </c>
      <c r="HI130" s="343" t="s">
        <v>656</v>
      </c>
      <c r="HJ130" s="322">
        <v>50</v>
      </c>
      <c r="HK130" s="343" t="s">
        <v>656</v>
      </c>
      <c r="HL130" s="226"/>
      <c r="HM130" s="322"/>
      <c r="HN130" s="226"/>
      <c r="HO130" s="322"/>
      <c r="HP130" s="322"/>
      <c r="HQ130" s="322"/>
      <c r="HR130" s="322"/>
      <c r="HS130" s="322">
        <v>179</v>
      </c>
      <c r="HT130" s="322"/>
      <c r="HU130" s="322">
        <v>84</v>
      </c>
      <c r="HV130" s="322">
        <v>226</v>
      </c>
      <c r="HW130" s="322"/>
      <c r="HX130" s="322"/>
      <c r="HY130" s="322"/>
      <c r="HZ130" s="322" t="s">
        <v>656</v>
      </c>
      <c r="IA130" s="322"/>
      <c r="IB130" s="322"/>
      <c r="IC130" s="322"/>
      <c r="ID130" s="322"/>
      <c r="IE130" s="322"/>
      <c r="IF130" s="322"/>
      <c r="IG130" s="322"/>
      <c r="IH130" s="344"/>
      <c r="II130" s="322"/>
      <c r="IJ130" s="322"/>
      <c r="IK130" s="322"/>
      <c r="IL130" s="322"/>
      <c r="IM130" s="322"/>
      <c r="IN130" s="322"/>
      <c r="IO130" s="322"/>
      <c r="IP130" s="322"/>
      <c r="IQ130" s="322"/>
      <c r="IR130" s="322"/>
      <c r="IS130" s="322"/>
      <c r="IT130" s="322"/>
      <c r="IU130" s="322"/>
      <c r="IV130" s="322"/>
      <c r="IW130" s="322"/>
      <c r="IX130" s="322"/>
      <c r="IY130" s="322" t="s">
        <v>656</v>
      </c>
      <c r="IZ130" s="322"/>
      <c r="JA130" s="322"/>
      <c r="JB130" s="322"/>
      <c r="JC130" s="322" t="s">
        <v>656</v>
      </c>
      <c r="JD130" s="322" t="s">
        <v>656</v>
      </c>
      <c r="JE130" s="226"/>
      <c r="JF130" s="226"/>
      <c r="JG130" s="226"/>
      <c r="JH130" s="322"/>
      <c r="JI130" s="322"/>
      <c r="JJ130" s="322" t="s">
        <v>656</v>
      </c>
      <c r="JK130" s="345"/>
      <c r="JL130" s="322" t="s">
        <v>656</v>
      </c>
      <c r="JM130" s="322"/>
      <c r="JN130" s="226"/>
      <c r="JO130" s="226"/>
      <c r="JP130" s="226"/>
      <c r="JQ130" s="322"/>
      <c r="JR130" s="322"/>
      <c r="JS130" s="322"/>
      <c r="JT130" s="322"/>
      <c r="JU130" s="322"/>
      <c r="JV130" s="322"/>
      <c r="JW130" s="322" t="s">
        <v>656</v>
      </c>
      <c r="JX130" s="322" t="s">
        <v>656</v>
      </c>
      <c r="JY130" s="322">
        <v>562</v>
      </c>
      <c r="JZ130" s="322" t="s">
        <v>470</v>
      </c>
      <c r="KA130" s="322"/>
      <c r="KB130" s="322"/>
      <c r="KC130" s="322">
        <v>470</v>
      </c>
      <c r="KD130" s="322"/>
      <c r="KE130" s="232"/>
      <c r="KF130" s="322"/>
      <c r="KG130" s="225" t="s">
        <v>470</v>
      </c>
      <c r="KH130" s="322"/>
      <c r="KI130" s="322"/>
      <c r="KJ130" s="322"/>
      <c r="KK130" s="322"/>
      <c r="KL130" s="322" t="s">
        <v>656</v>
      </c>
      <c r="KM130" s="322"/>
      <c r="KN130" s="322"/>
      <c r="KO130" s="322"/>
      <c r="KP130" s="322"/>
      <c r="KQ130" s="226"/>
      <c r="KR130" s="226"/>
      <c r="KS130" s="226"/>
      <c r="KT130" s="226"/>
      <c r="KU130" s="226"/>
      <c r="KV130" s="322" t="s">
        <v>656</v>
      </c>
      <c r="KW130" s="322"/>
      <c r="KX130" s="383"/>
      <c r="KY130" s="386"/>
      <c r="KZ130" s="322"/>
      <c r="LA130" s="322"/>
      <c r="LB130" s="322"/>
      <c r="LC130" s="322"/>
      <c r="LD130" s="322"/>
      <c r="LE130" s="322"/>
      <c r="LF130" s="322"/>
      <c r="LG130" s="322"/>
      <c r="LH130" s="322"/>
      <c r="LI130" s="322"/>
      <c r="LJ130" s="322"/>
      <c r="LK130" s="322">
        <v>10</v>
      </c>
      <c r="LL130" s="322"/>
      <c r="LM130" s="226"/>
      <c r="LN130" s="322">
        <v>0</v>
      </c>
      <c r="LO130" s="322">
        <v>0</v>
      </c>
      <c r="LP130" s="322">
        <v>0</v>
      </c>
      <c r="LQ130" s="322">
        <v>0</v>
      </c>
      <c r="LR130" s="322">
        <v>0</v>
      </c>
      <c r="LS130" s="322">
        <v>0</v>
      </c>
      <c r="LT130" s="346">
        <v>0</v>
      </c>
      <c r="LU130" s="322" t="e">
        <v>#REF!</v>
      </c>
      <c r="LV130" s="322"/>
      <c r="LW130" s="322"/>
      <c r="LX130" s="322"/>
      <c r="LY130" s="322"/>
      <c r="LZ130" s="322"/>
      <c r="MA130" s="322"/>
      <c r="MB130" s="322"/>
      <c r="MC130" s="322">
        <v>0</v>
      </c>
      <c r="MD130" s="322">
        <v>0</v>
      </c>
      <c r="ME130" s="322">
        <v>0</v>
      </c>
      <c r="MF130" s="322"/>
      <c r="MG130" s="226"/>
      <c r="MH130" s="226"/>
      <c r="MI130" s="226"/>
      <c r="MJ130" s="347"/>
      <c r="MK130" s="347"/>
      <c r="ML130" s="347" t="s">
        <v>656</v>
      </c>
      <c r="MM130" s="347"/>
      <c r="MN130" s="348"/>
      <c r="MO130" s="348"/>
      <c r="MP130" s="348"/>
      <c r="MQ130" s="348"/>
      <c r="MR130" s="348" t="s">
        <v>1482</v>
      </c>
      <c r="MS130" s="348"/>
      <c r="MT130" s="347"/>
      <c r="MU130" s="348"/>
      <c r="MV130" s="347"/>
      <c r="MW130" s="347"/>
      <c r="MX130" s="226"/>
      <c r="MY130" s="226"/>
      <c r="MZ130" s="226"/>
      <c r="NA130" s="226"/>
    </row>
    <row r="131" spans="1:365" ht="51" x14ac:dyDescent="0.2">
      <c r="A131" s="1216"/>
      <c r="B131" s="1217" t="s">
        <v>231</v>
      </c>
      <c r="C131" s="1218" t="s">
        <v>232</v>
      </c>
      <c r="D131" s="215" t="s">
        <v>204</v>
      </c>
      <c r="E131" s="225" t="s">
        <v>470</v>
      </c>
      <c r="F131" s="225" t="s">
        <v>470</v>
      </c>
      <c r="G131" s="225" t="s">
        <v>539</v>
      </c>
      <c r="H131" s="225" t="s">
        <v>539</v>
      </c>
      <c r="I131" s="225" t="s">
        <v>539</v>
      </c>
      <c r="J131" s="225" t="s">
        <v>539</v>
      </c>
      <c r="K131" s="225" t="s">
        <v>470</v>
      </c>
      <c r="L131" s="225" t="s">
        <v>470</v>
      </c>
      <c r="M131" s="225" t="s">
        <v>470</v>
      </c>
      <c r="N131" s="225" t="s">
        <v>470</v>
      </c>
      <c r="O131" s="225" t="s">
        <v>470</v>
      </c>
      <c r="P131" s="400" t="s">
        <v>470</v>
      </c>
      <c r="Q131" s="322" t="s">
        <v>470</v>
      </c>
      <c r="R131" s="322" t="s">
        <v>470</v>
      </c>
      <c r="S131" s="225" t="s">
        <v>470</v>
      </c>
      <c r="T131" s="225"/>
      <c r="U131" s="225" t="s">
        <v>539</v>
      </c>
      <c r="V131" s="225" t="s">
        <v>470</v>
      </c>
      <c r="W131" s="226"/>
      <c r="X131" s="226"/>
      <c r="Y131" s="226"/>
      <c r="Z131" s="226"/>
      <c r="AA131" s="226"/>
      <c r="AB131" s="226"/>
      <c r="AC131" s="226"/>
      <c r="AD131" s="226"/>
      <c r="AE131" s="226"/>
      <c r="AF131" s="225" t="s">
        <v>470</v>
      </c>
      <c r="AG131" s="225" t="s">
        <v>470</v>
      </c>
      <c r="AH131" s="226"/>
      <c r="AI131" s="225" t="s">
        <v>470</v>
      </c>
      <c r="AJ131" s="225" t="s">
        <v>470</v>
      </c>
      <c r="AK131" s="229" t="s">
        <v>470</v>
      </c>
      <c r="AL131" s="225" t="s">
        <v>470</v>
      </c>
      <c r="AM131" s="226"/>
      <c r="AN131" s="226"/>
      <c r="AO131" s="226"/>
      <c r="AP131" s="226"/>
      <c r="AQ131" s="225" t="s">
        <v>470</v>
      </c>
      <c r="AR131" s="225" t="s">
        <v>470</v>
      </c>
      <c r="AS131" s="225" t="s">
        <v>470</v>
      </c>
      <c r="AT131" s="225" t="s">
        <v>470</v>
      </c>
      <c r="AU131" s="225" t="s">
        <v>656</v>
      </c>
      <c r="AV131" s="225" t="s">
        <v>470</v>
      </c>
      <c r="AW131" s="225"/>
      <c r="AX131" s="225"/>
      <c r="AY131" s="229" t="s">
        <v>2234</v>
      </c>
      <c r="AZ131" s="225" t="s">
        <v>470</v>
      </c>
      <c r="BA131" s="225"/>
      <c r="BB131" s="225" t="s">
        <v>470</v>
      </c>
      <c r="BC131" s="225" t="s">
        <v>470</v>
      </c>
      <c r="BD131" s="225" t="s">
        <v>470</v>
      </c>
      <c r="BE131" s="229" t="s">
        <v>470</v>
      </c>
      <c r="BF131" s="225" t="s">
        <v>470</v>
      </c>
      <c r="BG131" s="225" t="s">
        <v>470</v>
      </c>
      <c r="BH131" s="322" t="s">
        <v>470</v>
      </c>
      <c r="BI131" s="225" t="s">
        <v>470</v>
      </c>
      <c r="BJ131" s="225" t="s">
        <v>470</v>
      </c>
      <c r="BK131" s="225" t="s">
        <v>470</v>
      </c>
      <c r="BL131" s="225"/>
      <c r="BM131" s="225" t="s">
        <v>470</v>
      </c>
      <c r="BN131" s="226"/>
      <c r="BO131" s="225" t="s">
        <v>470</v>
      </c>
      <c r="BP131" s="225"/>
      <c r="BQ131" s="225" t="s">
        <v>470</v>
      </c>
      <c r="BR131" s="233" t="s">
        <v>470</v>
      </c>
      <c r="BS131" s="225" t="s">
        <v>873</v>
      </c>
      <c r="BT131" s="225"/>
      <c r="BU131" s="225"/>
      <c r="BV131" s="225" t="s">
        <v>470</v>
      </c>
      <c r="BW131" s="225"/>
      <c r="BX131" s="225" t="s">
        <v>470</v>
      </c>
      <c r="BY131" s="225" t="s">
        <v>470</v>
      </c>
      <c r="BZ131" s="225" t="s">
        <v>470</v>
      </c>
      <c r="CA131" s="225" t="s">
        <v>470</v>
      </c>
      <c r="CB131" s="225" t="s">
        <v>470</v>
      </c>
      <c r="CC131" s="225" t="s">
        <v>470</v>
      </c>
      <c r="CD131" s="229" t="s">
        <v>470</v>
      </c>
      <c r="CE131" s="229" t="s">
        <v>470</v>
      </c>
      <c r="CF131" s="229"/>
      <c r="CG131" s="229" t="s">
        <v>470</v>
      </c>
      <c r="CH131" s="229"/>
      <c r="CI131" s="229"/>
      <c r="CJ131" s="229" t="s">
        <v>470</v>
      </c>
      <c r="CK131" s="229"/>
      <c r="CL131" s="229" t="s">
        <v>470</v>
      </c>
      <c r="CM131" s="229" t="s">
        <v>470</v>
      </c>
      <c r="CN131" s="225"/>
      <c r="CO131" s="225" t="s">
        <v>470</v>
      </c>
      <c r="CP131" s="225"/>
      <c r="CQ131" s="406" t="s">
        <v>470</v>
      </c>
      <c r="CR131" s="394"/>
      <c r="CS131" s="225"/>
      <c r="CT131" s="225"/>
      <c r="CU131" s="322" t="s">
        <v>470</v>
      </c>
      <c r="CV131" s="225" t="s">
        <v>470</v>
      </c>
      <c r="CW131" s="225" t="s">
        <v>656</v>
      </c>
      <c r="CX131" s="225" t="s">
        <v>470</v>
      </c>
      <c r="CY131" s="225" t="s">
        <v>470</v>
      </c>
      <c r="CZ131" s="225"/>
      <c r="DA131" s="225"/>
      <c r="DB131" s="225" t="s">
        <v>470</v>
      </c>
      <c r="DC131" s="225" t="s">
        <v>470</v>
      </c>
      <c r="DD131" s="225" t="s">
        <v>470</v>
      </c>
      <c r="DE131" s="225" t="s">
        <v>470</v>
      </c>
      <c r="DF131" s="225" t="s">
        <v>470</v>
      </c>
      <c r="DG131" s="225" t="s">
        <v>470</v>
      </c>
      <c r="DH131" s="225" t="s">
        <v>470</v>
      </c>
      <c r="DI131" s="225" t="s">
        <v>470</v>
      </c>
      <c r="DJ131" s="225" t="s">
        <v>470</v>
      </c>
      <c r="DK131" s="225" t="s">
        <v>470</v>
      </c>
      <c r="DL131" s="225" t="s">
        <v>470</v>
      </c>
      <c r="DM131" s="225"/>
      <c r="DN131" s="225" t="s">
        <v>470</v>
      </c>
      <c r="DO131" s="225"/>
      <c r="DP131" s="225" t="s">
        <v>470</v>
      </c>
      <c r="DQ131" s="225" t="s">
        <v>470</v>
      </c>
      <c r="DR131" s="225" t="s">
        <v>470</v>
      </c>
      <c r="DS131" s="225" t="s">
        <v>470</v>
      </c>
      <c r="DT131" s="225" t="s">
        <v>470</v>
      </c>
      <c r="DU131" s="225" t="s">
        <v>470</v>
      </c>
      <c r="DV131" s="225" t="s">
        <v>470</v>
      </c>
      <c r="DW131" s="246" t="s">
        <v>470</v>
      </c>
      <c r="DX131" s="225" t="s">
        <v>470</v>
      </c>
      <c r="DY131" s="225" t="s">
        <v>539</v>
      </c>
      <c r="DZ131" s="225" t="s">
        <v>470</v>
      </c>
      <c r="EA131" s="225" t="s">
        <v>470</v>
      </c>
      <c r="EB131" s="225" t="s">
        <v>470</v>
      </c>
      <c r="EC131" s="226"/>
      <c r="ED131" s="225" t="s">
        <v>470</v>
      </c>
      <c r="EE131" s="225" t="s">
        <v>470</v>
      </c>
      <c r="EF131" s="225"/>
      <c r="EG131" s="226"/>
      <c r="EH131" s="225" t="s">
        <v>470</v>
      </c>
      <c r="EI131" s="225" t="s">
        <v>470</v>
      </c>
      <c r="EJ131" s="226"/>
      <c r="EK131" s="226"/>
      <c r="EL131" s="226"/>
      <c r="EM131" s="226"/>
      <c r="EN131" s="226"/>
      <c r="EO131" s="226"/>
      <c r="EP131" s="226"/>
      <c r="EQ131" s="226"/>
      <c r="ER131" s="225" t="s">
        <v>470</v>
      </c>
      <c r="ES131" s="225" t="s">
        <v>470</v>
      </c>
      <c r="ET131" s="322" t="s">
        <v>470</v>
      </c>
      <c r="EU131" s="322" t="s">
        <v>470</v>
      </c>
      <c r="EV131" s="322" t="s">
        <v>470</v>
      </c>
      <c r="EW131" s="225" t="s">
        <v>470</v>
      </c>
      <c r="EX131" s="225" t="s">
        <v>470</v>
      </c>
      <c r="EY131" s="225" t="s">
        <v>470</v>
      </c>
      <c r="EZ131" s="344" t="s">
        <v>470</v>
      </c>
      <c r="FA131" s="225" t="s">
        <v>470</v>
      </c>
      <c r="FB131" s="225" t="s">
        <v>470</v>
      </c>
      <c r="FC131" s="225" t="s">
        <v>470</v>
      </c>
      <c r="FD131" s="226"/>
      <c r="FE131" s="404" t="s">
        <v>539</v>
      </c>
      <c r="FF131" s="225" t="s">
        <v>470</v>
      </c>
      <c r="FG131" s="225" t="s">
        <v>470</v>
      </c>
      <c r="FH131" s="225" t="s">
        <v>470</v>
      </c>
      <c r="FI131" s="465" t="s">
        <v>470</v>
      </c>
      <c r="FJ131" s="465" t="s">
        <v>470</v>
      </c>
      <c r="FK131" s="465"/>
      <c r="FL131" s="465" t="s">
        <v>470</v>
      </c>
      <c r="FM131" s="225" t="s">
        <v>470</v>
      </c>
      <c r="FN131" s="225"/>
      <c r="FO131" s="394" t="s">
        <v>470</v>
      </c>
      <c r="FP131" s="394"/>
      <c r="FQ131" s="465" t="s">
        <v>470</v>
      </c>
      <c r="FR131" s="394"/>
      <c r="FS131" s="394"/>
      <c r="FT131" s="394"/>
      <c r="FU131" s="226"/>
      <c r="FV131" s="394"/>
      <c r="FW131" s="394"/>
      <c r="FX131" s="394"/>
      <c r="FY131" s="226"/>
      <c r="FZ131" s="394"/>
      <c r="GA131" s="394"/>
      <c r="GB131" s="394"/>
      <c r="GC131" s="394"/>
      <c r="GD131" s="394" t="s">
        <v>470</v>
      </c>
      <c r="GE131" s="394"/>
      <c r="GF131" s="394"/>
      <c r="GG131" s="394" t="s">
        <v>470</v>
      </c>
      <c r="GH131" s="394" t="s">
        <v>470</v>
      </c>
      <c r="GI131" s="226"/>
      <c r="GJ131" s="394" t="s">
        <v>470</v>
      </c>
      <c r="GK131" s="394"/>
      <c r="GL131" s="394" t="s">
        <v>470</v>
      </c>
      <c r="GM131" s="394"/>
      <c r="GN131" s="394"/>
      <c r="GO131" s="226"/>
      <c r="GP131" s="394"/>
      <c r="GQ131" s="226"/>
      <c r="GR131" s="394"/>
      <c r="GS131" s="394"/>
      <c r="GT131" s="394"/>
      <c r="GU131" s="394" t="s">
        <v>470</v>
      </c>
      <c r="GV131" s="394"/>
      <c r="GW131" s="226"/>
      <c r="GX131" s="225" t="s">
        <v>470</v>
      </c>
      <c r="GY131" s="225" t="s">
        <v>470</v>
      </c>
      <c r="GZ131" s="394" t="s">
        <v>470</v>
      </c>
      <c r="HA131" s="225" t="s">
        <v>470</v>
      </c>
      <c r="HB131" s="225" t="s">
        <v>470</v>
      </c>
      <c r="HC131" s="225" t="s">
        <v>470</v>
      </c>
      <c r="HD131" s="225" t="s">
        <v>470</v>
      </c>
      <c r="HE131" s="225" t="s">
        <v>470</v>
      </c>
      <c r="HF131" s="226"/>
      <c r="HG131" s="227" t="s">
        <v>470</v>
      </c>
      <c r="HH131" s="227" t="s">
        <v>470</v>
      </c>
      <c r="HI131" s="227" t="s">
        <v>470</v>
      </c>
      <c r="HJ131" s="225" t="s">
        <v>470</v>
      </c>
      <c r="HK131" s="227" t="s">
        <v>656</v>
      </c>
      <c r="HL131" s="226"/>
      <c r="HM131" s="225" t="s">
        <v>470</v>
      </c>
      <c r="HN131" s="226"/>
      <c r="HO131" s="225" t="s">
        <v>470</v>
      </c>
      <c r="HP131" s="225" t="s">
        <v>470</v>
      </c>
      <c r="HQ131" s="225" t="s">
        <v>873</v>
      </c>
      <c r="HR131" s="225" t="s">
        <v>873</v>
      </c>
      <c r="HS131" s="225" t="s">
        <v>470</v>
      </c>
      <c r="HT131" s="294" t="s">
        <v>470</v>
      </c>
      <c r="HU131" s="225" t="s">
        <v>470</v>
      </c>
      <c r="HV131" s="225" t="s">
        <v>470</v>
      </c>
      <c r="HW131" s="225" t="s">
        <v>470</v>
      </c>
      <c r="HX131" s="225" t="s">
        <v>470</v>
      </c>
      <c r="HY131" s="225" t="s">
        <v>470</v>
      </c>
      <c r="HZ131" s="225" t="s">
        <v>470</v>
      </c>
      <c r="IA131" s="225"/>
      <c r="IB131" s="225"/>
      <c r="IC131" s="225"/>
      <c r="ID131" s="322" t="s">
        <v>470</v>
      </c>
      <c r="IE131" s="225" t="s">
        <v>470</v>
      </c>
      <c r="IF131" s="322" t="s">
        <v>470</v>
      </c>
      <c r="IG131" s="225" t="s">
        <v>470</v>
      </c>
      <c r="IH131" s="229" t="s">
        <v>470</v>
      </c>
      <c r="II131" s="225" t="s">
        <v>470</v>
      </c>
      <c r="IJ131" s="225" t="s">
        <v>470</v>
      </c>
      <c r="IK131" s="225" t="s">
        <v>470</v>
      </c>
      <c r="IL131" s="225" t="s">
        <v>539</v>
      </c>
      <c r="IM131" s="225" t="s">
        <v>539</v>
      </c>
      <c r="IN131" s="225" t="s">
        <v>470</v>
      </c>
      <c r="IO131" s="225" t="s">
        <v>470</v>
      </c>
      <c r="IP131" s="225" t="s">
        <v>470</v>
      </c>
      <c r="IQ131" s="225" t="s">
        <v>470</v>
      </c>
      <c r="IR131" s="225" t="s">
        <v>470</v>
      </c>
      <c r="IS131" s="225" t="s">
        <v>470</v>
      </c>
      <c r="IT131" s="225" t="s">
        <v>470</v>
      </c>
      <c r="IU131" s="225" t="s">
        <v>470</v>
      </c>
      <c r="IV131" s="225" t="s">
        <v>470</v>
      </c>
      <c r="IW131" s="225" t="s">
        <v>470</v>
      </c>
      <c r="IX131" s="225" t="s">
        <v>470</v>
      </c>
      <c r="IY131" s="225" t="s">
        <v>470</v>
      </c>
      <c r="IZ131" s="225"/>
      <c r="JA131" s="225"/>
      <c r="JB131" s="225"/>
      <c r="JC131" s="225" t="s">
        <v>470</v>
      </c>
      <c r="JD131" s="225" t="s">
        <v>470</v>
      </c>
      <c r="JE131" s="226"/>
      <c r="JF131" s="226"/>
      <c r="JG131" s="226"/>
      <c r="JH131" s="225" t="s">
        <v>470</v>
      </c>
      <c r="JI131" s="225" t="s">
        <v>470</v>
      </c>
      <c r="JJ131" s="225" t="s">
        <v>470</v>
      </c>
      <c r="JK131" s="237" t="s">
        <v>470</v>
      </c>
      <c r="JL131" s="225" t="s">
        <v>656</v>
      </c>
      <c r="JM131" s="225" t="s">
        <v>470</v>
      </c>
      <c r="JN131" s="226"/>
      <c r="JO131" s="226"/>
      <c r="JP131" s="226"/>
      <c r="JQ131" s="225" t="s">
        <v>470</v>
      </c>
      <c r="JR131" s="225" t="s">
        <v>470</v>
      </c>
      <c r="JS131" s="225" t="s">
        <v>470</v>
      </c>
      <c r="JT131" s="225" t="s">
        <v>470</v>
      </c>
      <c r="JU131" s="225" t="s">
        <v>470</v>
      </c>
      <c r="JV131" s="225" t="s">
        <v>470</v>
      </c>
      <c r="JW131" s="225" t="s">
        <v>470</v>
      </c>
      <c r="JX131" s="225" t="s">
        <v>470</v>
      </c>
      <c r="JY131" s="225" t="s">
        <v>470</v>
      </c>
      <c r="JZ131" s="225" t="s">
        <v>470</v>
      </c>
      <c r="KA131" s="225" t="s">
        <v>470</v>
      </c>
      <c r="KB131" s="225" t="s">
        <v>470</v>
      </c>
      <c r="KC131" s="225" t="s">
        <v>470</v>
      </c>
      <c r="KD131" s="225" t="s">
        <v>470</v>
      </c>
      <c r="KE131" s="232"/>
      <c r="KF131" s="225" t="s">
        <v>470</v>
      </c>
      <c r="KG131" s="225" t="s">
        <v>470</v>
      </c>
      <c r="KH131" s="225"/>
      <c r="KI131" s="225" t="s">
        <v>470</v>
      </c>
      <c r="KJ131" s="322" t="s">
        <v>470</v>
      </c>
      <c r="KK131" s="225" t="s">
        <v>470</v>
      </c>
      <c r="KL131" s="225" t="s">
        <v>470</v>
      </c>
      <c r="KM131" s="322" t="s">
        <v>470</v>
      </c>
      <c r="KN131" s="225" t="s">
        <v>470</v>
      </c>
      <c r="KO131" s="225" t="s">
        <v>470</v>
      </c>
      <c r="KP131" s="225" t="s">
        <v>470</v>
      </c>
      <c r="KQ131" s="226"/>
      <c r="KR131" s="226"/>
      <c r="KS131" s="226"/>
      <c r="KT131" s="226"/>
      <c r="KU131" s="226"/>
      <c r="KV131" s="225" t="s">
        <v>470</v>
      </c>
      <c r="KW131" s="225" t="s">
        <v>470</v>
      </c>
      <c r="KX131" s="228" t="s">
        <v>470</v>
      </c>
      <c r="KY131" s="793"/>
      <c r="KZ131" s="225" t="s">
        <v>470</v>
      </c>
      <c r="LA131" s="322" t="s">
        <v>470</v>
      </c>
      <c r="LB131" s="225"/>
      <c r="LC131" s="225" t="s">
        <v>470</v>
      </c>
      <c r="LD131" s="225" t="s">
        <v>470</v>
      </c>
      <c r="LE131" s="225" t="s">
        <v>873</v>
      </c>
      <c r="LF131" s="225" t="s">
        <v>470</v>
      </c>
      <c r="LG131" s="225" t="s">
        <v>470</v>
      </c>
      <c r="LH131" s="225" t="s">
        <v>470</v>
      </c>
      <c r="LI131" s="225" t="s">
        <v>470</v>
      </c>
      <c r="LJ131" s="225" t="s">
        <v>470</v>
      </c>
      <c r="LK131" s="225" t="s">
        <v>470</v>
      </c>
      <c r="LL131" s="225" t="s">
        <v>470</v>
      </c>
      <c r="LM131" s="226"/>
      <c r="LN131" s="225" t="s">
        <v>470</v>
      </c>
      <c r="LO131" s="225" t="s">
        <v>470</v>
      </c>
      <c r="LP131" s="225" t="s">
        <v>470</v>
      </c>
      <c r="LQ131" s="225" t="s">
        <v>470</v>
      </c>
      <c r="LR131" s="225" t="s">
        <v>470</v>
      </c>
      <c r="LS131" s="225" t="s">
        <v>470</v>
      </c>
      <c r="LT131" s="234" t="s">
        <v>470</v>
      </c>
      <c r="LU131" s="225"/>
      <c r="LV131" s="225" t="s">
        <v>470</v>
      </c>
      <c r="LW131" s="225" t="s">
        <v>470</v>
      </c>
      <c r="LX131" s="225" t="s">
        <v>470</v>
      </c>
      <c r="LY131" s="225" t="s">
        <v>470</v>
      </c>
      <c r="LZ131" s="225" t="s">
        <v>470</v>
      </c>
      <c r="MA131" s="225" t="s">
        <v>470</v>
      </c>
      <c r="MB131" s="225" t="s">
        <v>470</v>
      </c>
      <c r="MC131" s="225" t="s">
        <v>470</v>
      </c>
      <c r="MD131" s="225" t="s">
        <v>470</v>
      </c>
      <c r="ME131" s="225" t="s">
        <v>470</v>
      </c>
      <c r="MF131" s="225" t="s">
        <v>470</v>
      </c>
      <c r="MG131" s="226"/>
      <c r="MH131" s="226"/>
      <c r="MI131" s="226"/>
      <c r="MJ131" s="235" t="s">
        <v>470</v>
      </c>
      <c r="MK131" s="235"/>
      <c r="ML131" s="347" t="s">
        <v>470</v>
      </c>
      <c r="MM131" s="235" t="s">
        <v>470</v>
      </c>
      <c r="MN131" s="236"/>
      <c r="MO131" s="348" t="s">
        <v>470</v>
      </c>
      <c r="MP131" s="236" t="s">
        <v>470</v>
      </c>
      <c r="MQ131" s="236" t="s">
        <v>470</v>
      </c>
      <c r="MR131" s="236" t="s">
        <v>470</v>
      </c>
      <c r="MS131" s="236" t="s">
        <v>539</v>
      </c>
      <c r="MT131" s="235"/>
      <c r="MU131" s="236"/>
      <c r="MV131" s="235" t="s">
        <v>470</v>
      </c>
      <c r="MW131" s="235" t="s">
        <v>470</v>
      </c>
      <c r="MX131" s="226"/>
      <c r="MY131" s="226"/>
      <c r="MZ131" s="226"/>
      <c r="NA131" s="226"/>
    </row>
    <row r="132" spans="1:365" ht="51" x14ac:dyDescent="0.2">
      <c r="A132" s="1216"/>
      <c r="B132" s="1217"/>
      <c r="C132" s="1218"/>
      <c r="D132" s="215" t="s">
        <v>205</v>
      </c>
      <c r="E132" s="225"/>
      <c r="F132" s="225"/>
      <c r="G132" s="225" t="s">
        <v>656</v>
      </c>
      <c r="H132" s="225" t="s">
        <v>656</v>
      </c>
      <c r="I132" s="322" t="s">
        <v>656</v>
      </c>
      <c r="J132" s="225" t="s">
        <v>656</v>
      </c>
      <c r="K132" s="225" t="s">
        <v>1924</v>
      </c>
      <c r="L132" s="225" t="s">
        <v>1924</v>
      </c>
      <c r="M132" s="225" t="s">
        <v>1924</v>
      </c>
      <c r="N132" s="225" t="s">
        <v>1924</v>
      </c>
      <c r="O132" s="225" t="s">
        <v>1924</v>
      </c>
      <c r="P132" s="400" t="s">
        <v>1924</v>
      </c>
      <c r="Q132" s="225" t="s">
        <v>1924</v>
      </c>
      <c r="R132" s="322"/>
      <c r="S132" s="225"/>
      <c r="T132" s="225"/>
      <c r="U132" s="225"/>
      <c r="V132" s="225"/>
      <c r="W132" s="226"/>
      <c r="X132" s="226"/>
      <c r="Y132" s="226"/>
      <c r="Z132" s="226"/>
      <c r="AA132" s="226"/>
      <c r="AB132" s="226"/>
      <c r="AC132" s="226"/>
      <c r="AD132" s="226"/>
      <c r="AE132" s="226"/>
      <c r="AF132" s="225" t="s">
        <v>1447</v>
      </c>
      <c r="AG132" s="225"/>
      <c r="AH132" s="226"/>
      <c r="AI132" s="225"/>
      <c r="AJ132" s="225"/>
      <c r="AK132" s="229"/>
      <c r="AL132" s="225"/>
      <c r="AM132" s="226"/>
      <c r="AN132" s="226"/>
      <c r="AO132" s="226"/>
      <c r="AP132" s="226"/>
      <c r="AQ132" s="225"/>
      <c r="AR132" s="225"/>
      <c r="AS132" s="225"/>
      <c r="AT132" s="225" t="s">
        <v>470</v>
      </c>
      <c r="AU132" s="225" t="s">
        <v>656</v>
      </c>
      <c r="AV132" s="322"/>
      <c r="AW132" s="225"/>
      <c r="AX132" s="225"/>
      <c r="AY132" s="229" t="s">
        <v>2234</v>
      </c>
      <c r="AZ132" s="225"/>
      <c r="BA132" s="225"/>
      <c r="BB132" s="225"/>
      <c r="BC132" s="225"/>
      <c r="BD132" s="225"/>
      <c r="BE132" s="229"/>
      <c r="BF132" s="225"/>
      <c r="BG132" s="225"/>
      <c r="BH132" s="322" t="s">
        <v>470</v>
      </c>
      <c r="BI132" s="225" t="s">
        <v>656</v>
      </c>
      <c r="BJ132" s="225"/>
      <c r="BK132" s="225"/>
      <c r="BL132" s="225"/>
      <c r="BM132" s="225"/>
      <c r="BN132" s="226"/>
      <c r="BO132" s="225"/>
      <c r="BP132" s="225"/>
      <c r="BQ132" s="225"/>
      <c r="BR132" s="233" t="s">
        <v>205</v>
      </c>
      <c r="BS132" s="225" t="s">
        <v>656</v>
      </c>
      <c r="BT132" s="225"/>
      <c r="BU132" s="225"/>
      <c r="BV132" s="225"/>
      <c r="BW132" s="225"/>
      <c r="BX132" s="225"/>
      <c r="BY132" s="225"/>
      <c r="BZ132" s="225"/>
      <c r="CA132" s="225"/>
      <c r="CB132" s="225"/>
      <c r="CC132" s="225"/>
      <c r="CD132" s="229"/>
      <c r="CE132" s="229"/>
      <c r="CF132" s="229"/>
      <c r="CG132" s="229"/>
      <c r="CH132" s="229"/>
      <c r="CI132" s="229"/>
      <c r="CJ132" s="229"/>
      <c r="CK132" s="229"/>
      <c r="CL132" s="229"/>
      <c r="CM132" s="229"/>
      <c r="CN132" s="225"/>
      <c r="CO132" s="225"/>
      <c r="CP132" s="225"/>
      <c r="CQ132" s="406"/>
      <c r="CR132" s="394"/>
      <c r="CS132" s="225"/>
      <c r="CT132" s="225"/>
      <c r="CU132" s="322">
        <v>0</v>
      </c>
      <c r="CV132" s="225"/>
      <c r="CW132" s="225" t="s">
        <v>656</v>
      </c>
      <c r="CX132" s="225"/>
      <c r="CY132" s="225"/>
      <c r="CZ132" s="225"/>
      <c r="DA132" s="225"/>
      <c r="DB132" s="225"/>
      <c r="DC132" s="225"/>
      <c r="DD132" s="225"/>
      <c r="DE132" s="225"/>
      <c r="DF132" s="225"/>
      <c r="DG132" s="225"/>
      <c r="DH132" s="225"/>
      <c r="DI132" s="225"/>
      <c r="DJ132" s="225"/>
      <c r="DK132" s="225"/>
      <c r="DL132" s="225"/>
      <c r="DM132" s="225"/>
      <c r="DN132" s="225" t="s">
        <v>656</v>
      </c>
      <c r="DO132" s="225"/>
      <c r="DP132" s="225" t="s">
        <v>470</v>
      </c>
      <c r="DQ132" s="225" t="s">
        <v>470</v>
      </c>
      <c r="DR132" s="225" t="s">
        <v>470</v>
      </c>
      <c r="DS132" s="225" t="s">
        <v>470</v>
      </c>
      <c r="DT132" s="225" t="s">
        <v>470</v>
      </c>
      <c r="DU132" s="225" t="s">
        <v>470</v>
      </c>
      <c r="DV132" s="225"/>
      <c r="DW132" s="246" t="s">
        <v>2234</v>
      </c>
      <c r="DX132" s="225"/>
      <c r="DY132" s="225"/>
      <c r="DZ132" s="225"/>
      <c r="EA132" s="225"/>
      <c r="EB132" s="225"/>
      <c r="EC132" s="226"/>
      <c r="ED132" s="225"/>
      <c r="EE132" s="225" t="s">
        <v>656</v>
      </c>
      <c r="EF132" s="225"/>
      <c r="EG132" s="226"/>
      <c r="EH132" s="225"/>
      <c r="EI132" s="225" t="s">
        <v>656</v>
      </c>
      <c r="EJ132" s="226"/>
      <c r="EK132" s="226"/>
      <c r="EL132" s="226"/>
      <c r="EM132" s="226"/>
      <c r="EN132" s="226"/>
      <c r="EO132" s="226"/>
      <c r="EP132" s="226"/>
      <c r="EQ132" s="226"/>
      <c r="ER132" s="225"/>
      <c r="ES132" s="225"/>
      <c r="ET132" s="322"/>
      <c r="EU132" s="322"/>
      <c r="EV132" s="322"/>
      <c r="EW132" s="225"/>
      <c r="EX132" s="225"/>
      <c r="EY132" s="225"/>
      <c r="EZ132" s="344"/>
      <c r="FA132" s="225"/>
      <c r="FB132" s="225"/>
      <c r="FC132" s="225" t="s">
        <v>470</v>
      </c>
      <c r="FD132" s="226"/>
      <c r="FE132" s="404"/>
      <c r="FF132" s="225" t="s">
        <v>470</v>
      </c>
      <c r="FG132" s="225" t="s">
        <v>470</v>
      </c>
      <c r="FH132" s="225" t="s">
        <v>470</v>
      </c>
      <c r="FI132" s="465" t="s">
        <v>656</v>
      </c>
      <c r="FJ132" s="465" t="s">
        <v>656</v>
      </c>
      <c r="FK132" s="465"/>
      <c r="FL132" s="465" t="s">
        <v>656</v>
      </c>
      <c r="FM132" s="225"/>
      <c r="FN132" s="225"/>
      <c r="FO132" s="394"/>
      <c r="FP132" s="394"/>
      <c r="FQ132" s="465" t="s">
        <v>656</v>
      </c>
      <c r="FR132" s="394"/>
      <c r="FS132" s="394"/>
      <c r="FT132" s="394"/>
      <c r="FU132" s="226"/>
      <c r="FV132" s="394"/>
      <c r="FW132" s="394"/>
      <c r="FX132" s="394"/>
      <c r="FY132" s="226"/>
      <c r="FZ132" s="394"/>
      <c r="GA132" s="394"/>
      <c r="GB132" s="394"/>
      <c r="GC132" s="394"/>
      <c r="GD132" s="394"/>
      <c r="GE132" s="394"/>
      <c r="GF132" s="394"/>
      <c r="GG132" s="394" t="s">
        <v>4906</v>
      </c>
      <c r="GH132" s="394" t="s">
        <v>4906</v>
      </c>
      <c r="GI132" s="226"/>
      <c r="GJ132" s="394"/>
      <c r="GK132" s="394"/>
      <c r="GL132" s="394"/>
      <c r="GM132" s="394"/>
      <c r="GN132" s="394"/>
      <c r="GO132" s="226"/>
      <c r="GP132" s="394"/>
      <c r="GQ132" s="226"/>
      <c r="GR132" s="394"/>
      <c r="GS132" s="394"/>
      <c r="GT132" s="394"/>
      <c r="GU132" s="394"/>
      <c r="GV132" s="394" t="s">
        <v>470</v>
      </c>
      <c r="GW132" s="226"/>
      <c r="GX132" s="225"/>
      <c r="GY132" s="225"/>
      <c r="GZ132" s="394"/>
      <c r="HA132" s="225"/>
      <c r="HB132" s="225"/>
      <c r="HC132" s="225"/>
      <c r="HD132" s="225"/>
      <c r="HE132" s="225"/>
      <c r="HF132" s="226"/>
      <c r="HG132" s="227" t="s">
        <v>656</v>
      </c>
      <c r="HH132" s="227" t="s">
        <v>656</v>
      </c>
      <c r="HI132" s="227" t="s">
        <v>656</v>
      </c>
      <c r="HJ132" s="225" t="s">
        <v>656</v>
      </c>
      <c r="HK132" s="227" t="s">
        <v>656</v>
      </c>
      <c r="HL132" s="226"/>
      <c r="HM132" s="225"/>
      <c r="HN132" s="226"/>
      <c r="HO132" s="225"/>
      <c r="HP132" s="225"/>
      <c r="HQ132" s="225"/>
      <c r="HR132" s="225"/>
      <c r="HS132" s="225"/>
      <c r="HT132" s="225"/>
      <c r="HU132" s="225"/>
      <c r="HV132" s="225"/>
      <c r="HW132" s="225"/>
      <c r="HX132" s="225"/>
      <c r="HY132" s="225"/>
      <c r="HZ132" s="225" t="s">
        <v>656</v>
      </c>
      <c r="IA132" s="225"/>
      <c r="IB132" s="225"/>
      <c r="IC132" s="225"/>
      <c r="ID132" s="225"/>
      <c r="IE132" s="225"/>
      <c r="IF132" s="225"/>
      <c r="IG132" s="225"/>
      <c r="IH132" s="229"/>
      <c r="II132" s="225"/>
      <c r="IJ132" s="225"/>
      <c r="IK132" s="225"/>
      <c r="IL132" s="225"/>
      <c r="IM132" s="225"/>
      <c r="IN132" s="225"/>
      <c r="IO132" s="225"/>
      <c r="IP132" s="225"/>
      <c r="IQ132" s="225"/>
      <c r="IR132" s="225"/>
      <c r="IS132" s="225"/>
      <c r="IT132" s="225"/>
      <c r="IU132" s="225"/>
      <c r="IV132" s="225"/>
      <c r="IW132" s="225"/>
      <c r="IX132" s="225"/>
      <c r="IY132" s="225" t="s">
        <v>656</v>
      </c>
      <c r="IZ132" s="225"/>
      <c r="JA132" s="225"/>
      <c r="JB132" s="225"/>
      <c r="JC132" s="225" t="s">
        <v>656</v>
      </c>
      <c r="JD132" s="225" t="s">
        <v>656</v>
      </c>
      <c r="JE132" s="226"/>
      <c r="JF132" s="226"/>
      <c r="JG132" s="226"/>
      <c r="JH132" s="225"/>
      <c r="JI132" s="225"/>
      <c r="JJ132" s="225" t="s">
        <v>656</v>
      </c>
      <c r="JK132" s="237"/>
      <c r="JL132" s="225" t="s">
        <v>656</v>
      </c>
      <c r="JM132" s="225"/>
      <c r="JN132" s="226"/>
      <c r="JO132" s="226"/>
      <c r="JP132" s="226"/>
      <c r="JQ132" s="225"/>
      <c r="JR132" s="225"/>
      <c r="JS132" s="225"/>
      <c r="JT132" s="225"/>
      <c r="JU132" s="225"/>
      <c r="JV132" s="225"/>
      <c r="JW132" s="225" t="s">
        <v>656</v>
      </c>
      <c r="JX132" s="225" t="s">
        <v>656</v>
      </c>
      <c r="JY132" s="225" t="s">
        <v>470</v>
      </c>
      <c r="JZ132" s="225" t="s">
        <v>470</v>
      </c>
      <c r="KA132" s="225"/>
      <c r="KB132" s="225"/>
      <c r="KC132" s="225" t="s">
        <v>470</v>
      </c>
      <c r="KD132" s="225"/>
      <c r="KE132" s="232"/>
      <c r="KF132" s="225"/>
      <c r="KG132" s="225" t="s">
        <v>470</v>
      </c>
      <c r="KH132" s="225"/>
      <c r="KI132" s="225"/>
      <c r="KJ132" s="225"/>
      <c r="KK132" s="225"/>
      <c r="KL132" s="225" t="s">
        <v>656</v>
      </c>
      <c r="KM132" s="225"/>
      <c r="KN132" s="225"/>
      <c r="KO132" s="225"/>
      <c r="KP132" s="225"/>
      <c r="KQ132" s="226"/>
      <c r="KR132" s="226"/>
      <c r="KS132" s="226"/>
      <c r="KT132" s="226"/>
      <c r="KU132" s="226"/>
      <c r="KV132" s="225" t="s">
        <v>656</v>
      </c>
      <c r="KW132" s="225"/>
      <c r="KX132" s="228"/>
      <c r="KY132" s="793"/>
      <c r="KZ132" s="225"/>
      <c r="LA132" s="225"/>
      <c r="LB132" s="225"/>
      <c r="LC132" s="225"/>
      <c r="LD132" s="225"/>
      <c r="LE132" s="225"/>
      <c r="LF132" s="225"/>
      <c r="LG132" s="225"/>
      <c r="LH132" s="225"/>
      <c r="LI132" s="225"/>
      <c r="LJ132" s="225"/>
      <c r="LK132" s="225"/>
      <c r="LL132" s="225"/>
      <c r="LM132" s="226"/>
      <c r="LN132" s="225"/>
      <c r="LO132" s="225"/>
      <c r="LP132" s="225"/>
      <c r="LQ132" s="225"/>
      <c r="LR132" s="225"/>
      <c r="LS132" s="225"/>
      <c r="LT132" s="234"/>
      <c r="LU132" s="225"/>
      <c r="LV132" s="225"/>
      <c r="LW132" s="225"/>
      <c r="LX132" s="225"/>
      <c r="LY132" s="225"/>
      <c r="LZ132" s="225"/>
      <c r="MA132" s="225"/>
      <c r="MB132" s="225"/>
      <c r="MC132" s="225"/>
      <c r="MD132" s="225"/>
      <c r="ME132" s="225"/>
      <c r="MF132" s="225"/>
      <c r="MG132" s="226"/>
      <c r="MH132" s="226"/>
      <c r="MI132" s="226"/>
      <c r="MJ132" s="235"/>
      <c r="MK132" s="235"/>
      <c r="ML132" s="347" t="s">
        <v>656</v>
      </c>
      <c r="MM132" s="235"/>
      <c r="MN132" s="236"/>
      <c r="MO132" s="236"/>
      <c r="MP132" s="236"/>
      <c r="MQ132" s="236"/>
      <c r="MR132" s="236" t="s">
        <v>1482</v>
      </c>
      <c r="MS132" s="236"/>
      <c r="MT132" s="235"/>
      <c r="MU132" s="236"/>
      <c r="MV132" s="235"/>
      <c r="MW132" s="235"/>
      <c r="MX132" s="226"/>
      <c r="MY132" s="226"/>
      <c r="MZ132" s="226"/>
      <c r="NA132" s="226"/>
    </row>
    <row r="133" spans="1:365" ht="51" x14ac:dyDescent="0.2">
      <c r="A133" s="1216"/>
      <c r="B133" s="1217"/>
      <c r="C133" s="1218"/>
      <c r="D133" s="215" t="s">
        <v>209</v>
      </c>
      <c r="E133" s="322"/>
      <c r="F133" s="322"/>
      <c r="G133" s="322" t="s">
        <v>656</v>
      </c>
      <c r="H133" s="322" t="s">
        <v>656</v>
      </c>
      <c r="I133" s="225"/>
      <c r="J133" s="322" t="s">
        <v>656</v>
      </c>
      <c r="K133" s="322">
        <v>0</v>
      </c>
      <c r="L133" s="225">
        <v>0</v>
      </c>
      <c r="M133" s="322">
        <v>0</v>
      </c>
      <c r="N133" s="322">
        <v>0</v>
      </c>
      <c r="O133" s="322">
        <v>0</v>
      </c>
      <c r="P133" s="463">
        <v>0</v>
      </c>
      <c r="Q133" s="322">
        <v>0</v>
      </c>
      <c r="R133" s="322"/>
      <c r="S133" s="322"/>
      <c r="T133" s="322"/>
      <c r="U133" s="322"/>
      <c r="V133" s="322"/>
      <c r="W133" s="226"/>
      <c r="X133" s="226"/>
      <c r="Y133" s="226"/>
      <c r="Z133" s="226"/>
      <c r="AA133" s="226"/>
      <c r="AB133" s="226"/>
      <c r="AC133" s="226"/>
      <c r="AD133" s="226"/>
      <c r="AE133" s="226"/>
      <c r="AF133" s="322" t="s">
        <v>1447</v>
      </c>
      <c r="AG133" s="225"/>
      <c r="AH133" s="226"/>
      <c r="AI133" s="322"/>
      <c r="AJ133" s="322"/>
      <c r="AK133" s="229"/>
      <c r="AL133" s="322"/>
      <c r="AM133" s="226"/>
      <c r="AN133" s="226"/>
      <c r="AO133" s="226"/>
      <c r="AP133" s="226"/>
      <c r="AQ133" s="322"/>
      <c r="AR133" s="322"/>
      <c r="AS133" s="322"/>
      <c r="AT133" s="322">
        <v>0</v>
      </c>
      <c r="AU133" s="322" t="s">
        <v>656</v>
      </c>
      <c r="AV133" s="225"/>
      <c r="AW133" s="322"/>
      <c r="AX133" s="322"/>
      <c r="AY133" s="344" t="s">
        <v>2234</v>
      </c>
      <c r="AZ133" s="322"/>
      <c r="BA133" s="322"/>
      <c r="BB133" s="322"/>
      <c r="BC133" s="322"/>
      <c r="BD133" s="322"/>
      <c r="BE133" s="344"/>
      <c r="BF133" s="322"/>
      <c r="BG133" s="322"/>
      <c r="BH133" s="322" t="s">
        <v>470</v>
      </c>
      <c r="BI133" s="322" t="s">
        <v>656</v>
      </c>
      <c r="BJ133" s="322"/>
      <c r="BK133" s="322"/>
      <c r="BL133" s="322"/>
      <c r="BM133" s="322"/>
      <c r="BN133" s="226"/>
      <c r="BO133" s="322"/>
      <c r="BP133" s="322"/>
      <c r="BQ133" s="322"/>
      <c r="BR133" s="233" t="s">
        <v>209</v>
      </c>
      <c r="BS133" s="322" t="s">
        <v>656</v>
      </c>
      <c r="BT133" s="322"/>
      <c r="BU133" s="322"/>
      <c r="BV133" s="322"/>
      <c r="BW133" s="322"/>
      <c r="BX133" s="322"/>
      <c r="BY133" s="322"/>
      <c r="BZ133" s="322"/>
      <c r="CA133" s="322"/>
      <c r="CB133" s="322"/>
      <c r="CC133" s="322"/>
      <c r="CD133" s="344"/>
      <c r="CE133" s="344"/>
      <c r="CF133" s="344"/>
      <c r="CG133" s="344">
        <v>0</v>
      </c>
      <c r="CH133" s="344"/>
      <c r="CI133" s="344"/>
      <c r="CJ133" s="344">
        <v>0</v>
      </c>
      <c r="CK133" s="344"/>
      <c r="CL133" s="344"/>
      <c r="CM133" s="344"/>
      <c r="CN133" s="322"/>
      <c r="CO133" s="322"/>
      <c r="CP133" s="322"/>
      <c r="CQ133" s="464"/>
      <c r="CR133" s="465"/>
      <c r="CS133" s="322"/>
      <c r="CT133" s="322"/>
      <c r="CU133" s="322">
        <v>0</v>
      </c>
      <c r="CV133" s="322"/>
      <c r="CW133" s="322" t="s">
        <v>656</v>
      </c>
      <c r="CX133" s="322"/>
      <c r="CY133" s="322"/>
      <c r="CZ133" s="322"/>
      <c r="DA133" s="322"/>
      <c r="DB133" s="322"/>
      <c r="DC133" s="322"/>
      <c r="DD133" s="322"/>
      <c r="DE133" s="322"/>
      <c r="DF133" s="322"/>
      <c r="DG133" s="322"/>
      <c r="DH133" s="322"/>
      <c r="DI133" s="322"/>
      <c r="DJ133" s="322"/>
      <c r="DK133" s="322"/>
      <c r="DL133" s="322"/>
      <c r="DM133" s="322"/>
      <c r="DN133" s="322" t="s">
        <v>656</v>
      </c>
      <c r="DO133" s="322"/>
      <c r="DP133" s="225">
        <v>0</v>
      </c>
      <c r="DQ133" s="225">
        <v>0</v>
      </c>
      <c r="DR133" s="225">
        <v>0</v>
      </c>
      <c r="DS133" s="225">
        <v>0</v>
      </c>
      <c r="DT133" s="225">
        <v>0</v>
      </c>
      <c r="DU133" s="322">
        <v>0</v>
      </c>
      <c r="DV133" s="322"/>
      <c r="DW133" s="246" t="s">
        <v>2234</v>
      </c>
      <c r="DX133" s="322"/>
      <c r="DY133" s="322"/>
      <c r="DZ133" s="322"/>
      <c r="EA133" s="322"/>
      <c r="EB133" s="322"/>
      <c r="EC133" s="226"/>
      <c r="ED133" s="322"/>
      <c r="EE133" s="322" t="s">
        <v>656</v>
      </c>
      <c r="EF133" s="322"/>
      <c r="EG133" s="226"/>
      <c r="EH133" s="322"/>
      <c r="EI133" s="322" t="s">
        <v>656</v>
      </c>
      <c r="EJ133" s="226"/>
      <c r="EK133" s="226"/>
      <c r="EL133" s="226"/>
      <c r="EM133" s="226"/>
      <c r="EN133" s="226"/>
      <c r="EO133" s="226"/>
      <c r="EP133" s="226"/>
      <c r="EQ133" s="226"/>
      <c r="ER133" s="322"/>
      <c r="ES133" s="322"/>
      <c r="ET133" s="322"/>
      <c r="EU133" s="322"/>
      <c r="EV133" s="322"/>
      <c r="EW133" s="322"/>
      <c r="EX133" s="322"/>
      <c r="EY133" s="322"/>
      <c r="EZ133" s="344"/>
      <c r="FA133" s="322"/>
      <c r="FB133" s="322"/>
      <c r="FC133" s="322"/>
      <c r="FD133" s="226"/>
      <c r="FE133" s="466"/>
      <c r="FF133" s="225" t="s">
        <v>470</v>
      </c>
      <c r="FG133" s="225" t="s">
        <v>470</v>
      </c>
      <c r="FH133" s="225" t="s">
        <v>470</v>
      </c>
      <c r="FI133" s="465" t="s">
        <v>656</v>
      </c>
      <c r="FJ133" s="465" t="s">
        <v>656</v>
      </c>
      <c r="FK133" s="465"/>
      <c r="FL133" s="465" t="s">
        <v>656</v>
      </c>
      <c r="FM133" s="322"/>
      <c r="FN133" s="322"/>
      <c r="FO133" s="465"/>
      <c r="FP133" s="465"/>
      <c r="FQ133" s="465" t="s">
        <v>656</v>
      </c>
      <c r="FR133" s="465"/>
      <c r="FS133" s="465"/>
      <c r="FT133" s="465"/>
      <c r="FU133" s="226"/>
      <c r="FV133" s="465"/>
      <c r="FW133" s="465"/>
      <c r="FX133" s="465"/>
      <c r="FY133" s="226"/>
      <c r="FZ133" s="465"/>
      <c r="GA133" s="465"/>
      <c r="GB133" s="465"/>
      <c r="GC133" s="465"/>
      <c r="GD133" s="465"/>
      <c r="GE133" s="465"/>
      <c r="GF133" s="465"/>
      <c r="GG133" s="394" t="s">
        <v>4906</v>
      </c>
      <c r="GH133" s="394" t="s">
        <v>4906</v>
      </c>
      <c r="GI133" s="226"/>
      <c r="GJ133" s="465"/>
      <c r="GK133" s="465"/>
      <c r="GL133" s="465"/>
      <c r="GM133" s="465"/>
      <c r="GN133" s="465"/>
      <c r="GO133" s="226"/>
      <c r="GP133" s="465"/>
      <c r="GQ133" s="226"/>
      <c r="GR133" s="465"/>
      <c r="GS133" s="465"/>
      <c r="GT133" s="465"/>
      <c r="GU133" s="465"/>
      <c r="GV133" s="465"/>
      <c r="GW133" s="226"/>
      <c r="GX133" s="322"/>
      <c r="GY133" s="322"/>
      <c r="GZ133" s="465"/>
      <c r="HA133" s="322"/>
      <c r="HB133" s="322"/>
      <c r="HC133" s="322"/>
      <c r="HD133" s="322"/>
      <c r="HE133" s="322"/>
      <c r="HF133" s="226"/>
      <c r="HG133" s="343" t="s">
        <v>656</v>
      </c>
      <c r="HH133" s="343" t="s">
        <v>656</v>
      </c>
      <c r="HI133" s="343" t="s">
        <v>656</v>
      </c>
      <c r="HJ133" s="225" t="s">
        <v>656</v>
      </c>
      <c r="HK133" s="343" t="s">
        <v>656</v>
      </c>
      <c r="HL133" s="226"/>
      <c r="HM133" s="322"/>
      <c r="HN133" s="226"/>
      <c r="HO133" s="322"/>
      <c r="HP133" s="322"/>
      <c r="HQ133" s="322"/>
      <c r="HR133" s="322"/>
      <c r="HS133" s="322"/>
      <c r="HT133" s="322"/>
      <c r="HU133" s="322"/>
      <c r="HV133" s="322"/>
      <c r="HW133" s="322"/>
      <c r="HX133" s="322"/>
      <c r="HY133" s="322"/>
      <c r="HZ133" s="322" t="s">
        <v>656</v>
      </c>
      <c r="IA133" s="322"/>
      <c r="IB133" s="322"/>
      <c r="IC133" s="322"/>
      <c r="ID133" s="322"/>
      <c r="IE133" s="322"/>
      <c r="IF133" s="322"/>
      <c r="IG133" s="322"/>
      <c r="IH133" s="344"/>
      <c r="II133" s="322"/>
      <c r="IJ133" s="322"/>
      <c r="IK133" s="322"/>
      <c r="IL133" s="322"/>
      <c r="IM133" s="322"/>
      <c r="IN133" s="322"/>
      <c r="IO133" s="322"/>
      <c r="IP133" s="322"/>
      <c r="IQ133" s="322"/>
      <c r="IR133" s="322"/>
      <c r="IS133" s="322"/>
      <c r="IT133" s="322"/>
      <c r="IU133" s="322"/>
      <c r="IV133" s="322"/>
      <c r="IW133" s="322"/>
      <c r="IX133" s="322"/>
      <c r="IY133" s="322" t="s">
        <v>656</v>
      </c>
      <c r="IZ133" s="322"/>
      <c r="JA133" s="322"/>
      <c r="JB133" s="322"/>
      <c r="JC133" s="322" t="s">
        <v>656</v>
      </c>
      <c r="JD133" s="322" t="s">
        <v>656</v>
      </c>
      <c r="JE133" s="226"/>
      <c r="JF133" s="226"/>
      <c r="JG133" s="226"/>
      <c r="JH133" s="322"/>
      <c r="JI133" s="322"/>
      <c r="JJ133" s="322" t="s">
        <v>656</v>
      </c>
      <c r="JK133" s="345"/>
      <c r="JL133" s="322" t="s">
        <v>656</v>
      </c>
      <c r="JM133" s="322"/>
      <c r="JN133" s="226"/>
      <c r="JO133" s="226"/>
      <c r="JP133" s="226"/>
      <c r="JQ133" s="322"/>
      <c r="JR133" s="322"/>
      <c r="JS133" s="322"/>
      <c r="JT133" s="322"/>
      <c r="JU133" s="322"/>
      <c r="JV133" s="322"/>
      <c r="JW133" s="322" t="s">
        <v>656</v>
      </c>
      <c r="JX133" s="322" t="s">
        <v>656</v>
      </c>
      <c r="JY133" s="322">
        <v>0</v>
      </c>
      <c r="JZ133" s="322" t="s">
        <v>470</v>
      </c>
      <c r="KA133" s="322"/>
      <c r="KB133" s="322"/>
      <c r="KC133" s="322" t="s">
        <v>470</v>
      </c>
      <c r="KD133" s="322"/>
      <c r="KE133" s="232"/>
      <c r="KF133" s="322"/>
      <c r="KG133" s="225" t="s">
        <v>470</v>
      </c>
      <c r="KH133" s="322"/>
      <c r="KI133" s="322"/>
      <c r="KJ133" s="322"/>
      <c r="KK133" s="322"/>
      <c r="KL133" s="322" t="s">
        <v>656</v>
      </c>
      <c r="KM133" s="322"/>
      <c r="KN133" s="322"/>
      <c r="KO133" s="322"/>
      <c r="KP133" s="322"/>
      <c r="KQ133" s="226"/>
      <c r="KR133" s="226"/>
      <c r="KS133" s="226"/>
      <c r="KT133" s="226"/>
      <c r="KU133" s="226"/>
      <c r="KV133" s="322" t="s">
        <v>656</v>
      </c>
      <c r="KW133" s="322"/>
      <c r="KX133" s="383"/>
      <c r="KY133" s="386"/>
      <c r="KZ133" s="322"/>
      <c r="LA133" s="322"/>
      <c r="LB133" s="322"/>
      <c r="LC133" s="322"/>
      <c r="LD133" s="322"/>
      <c r="LE133" s="322"/>
      <c r="LF133" s="322"/>
      <c r="LG133" s="322"/>
      <c r="LH133" s="322"/>
      <c r="LI133" s="322"/>
      <c r="LJ133" s="322"/>
      <c r="LK133" s="322"/>
      <c r="LL133" s="322"/>
      <c r="LM133" s="226"/>
      <c r="LN133" s="322">
        <v>0</v>
      </c>
      <c r="LO133" s="322">
        <v>0</v>
      </c>
      <c r="LP133" s="322">
        <v>0</v>
      </c>
      <c r="LQ133" s="322">
        <v>0</v>
      </c>
      <c r="LR133" s="322">
        <v>0</v>
      </c>
      <c r="LS133" s="322">
        <v>0</v>
      </c>
      <c r="LT133" s="346">
        <v>0</v>
      </c>
      <c r="LU133" s="322" t="e">
        <v>#REF!</v>
      </c>
      <c r="LV133" s="322"/>
      <c r="LW133" s="322"/>
      <c r="LX133" s="322"/>
      <c r="LY133" s="322"/>
      <c r="LZ133" s="322"/>
      <c r="MA133" s="322"/>
      <c r="MB133" s="322"/>
      <c r="MC133" s="322">
        <v>0</v>
      </c>
      <c r="MD133" s="322">
        <v>0</v>
      </c>
      <c r="ME133" s="322">
        <v>0</v>
      </c>
      <c r="MF133" s="322"/>
      <c r="MG133" s="226"/>
      <c r="MH133" s="226"/>
      <c r="MI133" s="226"/>
      <c r="MJ133" s="347"/>
      <c r="MK133" s="347"/>
      <c r="ML133" s="347" t="s">
        <v>656</v>
      </c>
      <c r="MM133" s="347"/>
      <c r="MN133" s="348"/>
      <c r="MO133" s="348"/>
      <c r="MP133" s="348"/>
      <c r="MQ133" s="348"/>
      <c r="MR133" s="348" t="s">
        <v>1482</v>
      </c>
      <c r="MS133" s="348"/>
      <c r="MT133" s="347"/>
      <c r="MU133" s="348"/>
      <c r="MV133" s="347"/>
      <c r="MW133" s="347"/>
      <c r="MX133" s="226"/>
      <c r="MY133" s="226"/>
      <c r="MZ133" s="226"/>
      <c r="NA133" s="226"/>
    </row>
    <row r="134" spans="1:365" ht="51" x14ac:dyDescent="0.2">
      <c r="A134" s="1216"/>
      <c r="B134" s="1217" t="s">
        <v>233</v>
      </c>
      <c r="C134" s="1218" t="s">
        <v>234</v>
      </c>
      <c r="D134" s="215" t="s">
        <v>204</v>
      </c>
      <c r="E134" s="225" t="s">
        <v>470</v>
      </c>
      <c r="F134" s="225" t="s">
        <v>470</v>
      </c>
      <c r="G134" s="225" t="s">
        <v>539</v>
      </c>
      <c r="H134" s="225" t="s">
        <v>539</v>
      </c>
      <c r="I134" s="225" t="s">
        <v>539</v>
      </c>
      <c r="J134" s="225" t="s">
        <v>539</v>
      </c>
      <c r="K134" s="225" t="s">
        <v>470</v>
      </c>
      <c r="L134" s="225" t="s">
        <v>470</v>
      </c>
      <c r="M134" s="225" t="s">
        <v>470</v>
      </c>
      <c r="N134" s="225" t="s">
        <v>470</v>
      </c>
      <c r="O134" s="225" t="s">
        <v>470</v>
      </c>
      <c r="P134" s="400" t="s">
        <v>470</v>
      </c>
      <c r="Q134" s="322" t="s">
        <v>470</v>
      </c>
      <c r="R134" s="322" t="s">
        <v>470</v>
      </c>
      <c r="S134" s="225" t="s">
        <v>470</v>
      </c>
      <c r="T134" s="225"/>
      <c r="U134" s="225" t="s">
        <v>539</v>
      </c>
      <c r="V134" s="225" t="s">
        <v>470</v>
      </c>
      <c r="W134" s="226"/>
      <c r="X134" s="226"/>
      <c r="Y134" s="226"/>
      <c r="Z134" s="226"/>
      <c r="AA134" s="226"/>
      <c r="AB134" s="226"/>
      <c r="AC134" s="226"/>
      <c r="AD134" s="226"/>
      <c r="AE134" s="226"/>
      <c r="AF134" s="225" t="s">
        <v>470</v>
      </c>
      <c r="AG134" s="225" t="s">
        <v>470</v>
      </c>
      <c r="AH134" s="226"/>
      <c r="AI134" s="225" t="s">
        <v>470</v>
      </c>
      <c r="AJ134" s="225" t="s">
        <v>470</v>
      </c>
      <c r="AK134" s="229" t="s">
        <v>470</v>
      </c>
      <c r="AL134" s="225" t="s">
        <v>470</v>
      </c>
      <c r="AM134" s="226"/>
      <c r="AN134" s="226"/>
      <c r="AO134" s="226"/>
      <c r="AP134" s="226"/>
      <c r="AQ134" s="225" t="s">
        <v>470</v>
      </c>
      <c r="AR134" s="225" t="s">
        <v>470</v>
      </c>
      <c r="AS134" s="225" t="s">
        <v>470</v>
      </c>
      <c r="AT134" s="225" t="s">
        <v>470</v>
      </c>
      <c r="AU134" s="225" t="s">
        <v>656</v>
      </c>
      <c r="AV134" s="225" t="s">
        <v>470</v>
      </c>
      <c r="AW134" s="225"/>
      <c r="AX134" s="225"/>
      <c r="AY134" s="229" t="s">
        <v>2234</v>
      </c>
      <c r="AZ134" s="225" t="s">
        <v>470</v>
      </c>
      <c r="BA134" s="225"/>
      <c r="BB134" s="225" t="s">
        <v>470</v>
      </c>
      <c r="BC134" s="225" t="s">
        <v>470</v>
      </c>
      <c r="BD134" s="225" t="s">
        <v>470</v>
      </c>
      <c r="BE134" s="229" t="s">
        <v>470</v>
      </c>
      <c r="BF134" s="225" t="s">
        <v>470</v>
      </c>
      <c r="BG134" s="225" t="s">
        <v>470</v>
      </c>
      <c r="BH134" s="225" t="s">
        <v>470</v>
      </c>
      <c r="BI134" s="225" t="s">
        <v>470</v>
      </c>
      <c r="BJ134" s="225" t="s">
        <v>470</v>
      </c>
      <c r="BK134" s="225" t="s">
        <v>479</v>
      </c>
      <c r="BL134" s="225"/>
      <c r="BM134" s="225" t="s">
        <v>470</v>
      </c>
      <c r="BN134" s="226"/>
      <c r="BO134" s="225" t="s">
        <v>470</v>
      </c>
      <c r="BP134" s="225"/>
      <c r="BQ134" s="225" t="s">
        <v>470</v>
      </c>
      <c r="BR134" s="233" t="s">
        <v>470</v>
      </c>
      <c r="BS134" s="225" t="s">
        <v>656</v>
      </c>
      <c r="BT134" s="225"/>
      <c r="BU134" s="225"/>
      <c r="BV134" s="225" t="s">
        <v>470</v>
      </c>
      <c r="BW134" s="225"/>
      <c r="BX134" s="225" t="s">
        <v>470</v>
      </c>
      <c r="BY134" s="225" t="s">
        <v>470</v>
      </c>
      <c r="BZ134" s="225" t="s">
        <v>470</v>
      </c>
      <c r="CA134" s="225" t="s">
        <v>470</v>
      </c>
      <c r="CB134" s="225" t="s">
        <v>470</v>
      </c>
      <c r="CC134" s="225"/>
      <c r="CD134" s="229" t="s">
        <v>470</v>
      </c>
      <c r="CE134" s="229" t="s">
        <v>470</v>
      </c>
      <c r="CF134" s="229"/>
      <c r="CG134" s="229" t="s">
        <v>470</v>
      </c>
      <c r="CH134" s="229"/>
      <c r="CI134" s="229"/>
      <c r="CJ134" s="229" t="s">
        <v>470</v>
      </c>
      <c r="CK134" s="229"/>
      <c r="CL134" s="229" t="s">
        <v>470</v>
      </c>
      <c r="CM134" s="229" t="s">
        <v>470</v>
      </c>
      <c r="CN134" s="225"/>
      <c r="CO134" s="225" t="s">
        <v>470</v>
      </c>
      <c r="CP134" s="225"/>
      <c r="CQ134" s="406" t="s">
        <v>470</v>
      </c>
      <c r="CR134" s="394"/>
      <c r="CS134" s="225"/>
      <c r="CT134" s="225"/>
      <c r="CU134" s="322" t="s">
        <v>470</v>
      </c>
      <c r="CV134" s="225" t="s">
        <v>470</v>
      </c>
      <c r="CW134" s="225" t="s">
        <v>656</v>
      </c>
      <c r="CX134" s="225" t="s">
        <v>470</v>
      </c>
      <c r="CY134" s="225" t="s">
        <v>470</v>
      </c>
      <c r="CZ134" s="225"/>
      <c r="DA134" s="225"/>
      <c r="DB134" s="225" t="s">
        <v>470</v>
      </c>
      <c r="DC134" s="225" t="s">
        <v>470</v>
      </c>
      <c r="DD134" s="225" t="s">
        <v>470</v>
      </c>
      <c r="DE134" s="225" t="s">
        <v>470</v>
      </c>
      <c r="DF134" s="225" t="s">
        <v>470</v>
      </c>
      <c r="DG134" s="225" t="s">
        <v>470</v>
      </c>
      <c r="DH134" s="225" t="s">
        <v>470</v>
      </c>
      <c r="DI134" s="225" t="s">
        <v>470</v>
      </c>
      <c r="DJ134" s="225" t="s">
        <v>470</v>
      </c>
      <c r="DK134" s="225" t="s">
        <v>470</v>
      </c>
      <c r="DL134" s="225" t="s">
        <v>470</v>
      </c>
      <c r="DM134" s="225"/>
      <c r="DN134" s="225" t="s">
        <v>470</v>
      </c>
      <c r="DO134" s="225"/>
      <c r="DP134" s="225" t="s">
        <v>470</v>
      </c>
      <c r="DQ134" s="225" t="s">
        <v>470</v>
      </c>
      <c r="DR134" s="225" t="s">
        <v>470</v>
      </c>
      <c r="DS134" s="225" t="s">
        <v>470</v>
      </c>
      <c r="DT134" s="225" t="s">
        <v>470</v>
      </c>
      <c r="DU134" s="225" t="s">
        <v>470</v>
      </c>
      <c r="DV134" s="225" t="s">
        <v>470</v>
      </c>
      <c r="DW134" s="246" t="s">
        <v>470</v>
      </c>
      <c r="DX134" s="225" t="s">
        <v>470</v>
      </c>
      <c r="DY134" s="225" t="s">
        <v>539</v>
      </c>
      <c r="DZ134" s="225" t="s">
        <v>470</v>
      </c>
      <c r="EA134" s="225" t="s">
        <v>470</v>
      </c>
      <c r="EB134" s="225" t="s">
        <v>470</v>
      </c>
      <c r="EC134" s="226"/>
      <c r="ED134" s="225" t="s">
        <v>470</v>
      </c>
      <c r="EE134" s="225" t="s">
        <v>470</v>
      </c>
      <c r="EF134" s="225"/>
      <c r="EG134" s="226"/>
      <c r="EH134" s="225" t="s">
        <v>470</v>
      </c>
      <c r="EI134" s="225" t="s">
        <v>470</v>
      </c>
      <c r="EJ134" s="226"/>
      <c r="EK134" s="226"/>
      <c r="EL134" s="226"/>
      <c r="EM134" s="226"/>
      <c r="EN134" s="226"/>
      <c r="EO134" s="226"/>
      <c r="EP134" s="226"/>
      <c r="EQ134" s="226"/>
      <c r="ER134" s="225" t="s">
        <v>470</v>
      </c>
      <c r="ES134" s="225" t="s">
        <v>470</v>
      </c>
      <c r="ET134" s="322" t="s">
        <v>470</v>
      </c>
      <c r="EU134" s="322" t="s">
        <v>470</v>
      </c>
      <c r="EV134" s="322" t="s">
        <v>470</v>
      </c>
      <c r="EW134" s="225" t="s">
        <v>470</v>
      </c>
      <c r="EX134" s="225" t="s">
        <v>470</v>
      </c>
      <c r="EY134" s="225" t="s">
        <v>470</v>
      </c>
      <c r="EZ134" s="344" t="s">
        <v>470</v>
      </c>
      <c r="FA134" s="225" t="s">
        <v>470</v>
      </c>
      <c r="FB134" s="225" t="s">
        <v>479</v>
      </c>
      <c r="FC134" s="225" t="s">
        <v>479</v>
      </c>
      <c r="FD134" s="226"/>
      <c r="FE134" s="404" t="s">
        <v>539</v>
      </c>
      <c r="FF134" s="225" t="s">
        <v>470</v>
      </c>
      <c r="FG134" s="225" t="s">
        <v>470</v>
      </c>
      <c r="FH134" s="225" t="s">
        <v>470</v>
      </c>
      <c r="FI134" s="465" t="s">
        <v>470</v>
      </c>
      <c r="FJ134" s="465" t="s">
        <v>470</v>
      </c>
      <c r="FK134" s="465"/>
      <c r="FL134" s="465" t="s">
        <v>470</v>
      </c>
      <c r="FM134" s="225" t="s">
        <v>470</v>
      </c>
      <c r="FN134" s="225"/>
      <c r="FO134" s="394" t="s">
        <v>470</v>
      </c>
      <c r="FP134" s="394"/>
      <c r="FQ134" s="465" t="s">
        <v>470</v>
      </c>
      <c r="FR134" s="394" t="s">
        <v>479</v>
      </c>
      <c r="FS134" s="394"/>
      <c r="FT134" s="394"/>
      <c r="FU134" s="226"/>
      <c r="FV134" s="394"/>
      <c r="FW134" s="394"/>
      <c r="FX134" s="394"/>
      <c r="FY134" s="226"/>
      <c r="FZ134" s="394"/>
      <c r="GA134" s="394"/>
      <c r="GB134" s="394"/>
      <c r="GC134" s="394"/>
      <c r="GD134" s="394" t="s">
        <v>470</v>
      </c>
      <c r="GE134" s="394"/>
      <c r="GF134" s="394"/>
      <c r="GG134" s="394" t="s">
        <v>470</v>
      </c>
      <c r="GH134" s="394" t="s">
        <v>470</v>
      </c>
      <c r="GI134" s="226"/>
      <c r="GJ134" s="394" t="s">
        <v>470</v>
      </c>
      <c r="GK134" s="394"/>
      <c r="GL134" s="394" t="s">
        <v>470</v>
      </c>
      <c r="GM134" s="394"/>
      <c r="GN134" s="394"/>
      <c r="GO134" s="226"/>
      <c r="GP134" s="394"/>
      <c r="GQ134" s="226"/>
      <c r="GR134" s="394"/>
      <c r="GS134" s="394"/>
      <c r="GT134" s="394"/>
      <c r="GU134" s="394" t="s">
        <v>470</v>
      </c>
      <c r="GV134" s="394" t="s">
        <v>470</v>
      </c>
      <c r="GW134" s="226"/>
      <c r="GX134" s="225" t="s">
        <v>470</v>
      </c>
      <c r="GY134" s="225" t="s">
        <v>470</v>
      </c>
      <c r="GZ134" s="394" t="s">
        <v>470</v>
      </c>
      <c r="HA134" s="225" t="s">
        <v>470</v>
      </c>
      <c r="HB134" s="225" t="s">
        <v>470</v>
      </c>
      <c r="HC134" s="225" t="s">
        <v>470</v>
      </c>
      <c r="HD134" s="225" t="s">
        <v>470</v>
      </c>
      <c r="HE134" s="225" t="s">
        <v>470</v>
      </c>
      <c r="HF134" s="226"/>
      <c r="HG134" s="227" t="s">
        <v>470</v>
      </c>
      <c r="HH134" s="227" t="s">
        <v>470</v>
      </c>
      <c r="HI134" s="227" t="s">
        <v>470</v>
      </c>
      <c r="HJ134" s="225" t="s">
        <v>470</v>
      </c>
      <c r="HK134" s="227" t="s">
        <v>656</v>
      </c>
      <c r="HL134" s="226"/>
      <c r="HM134" s="225" t="s">
        <v>470</v>
      </c>
      <c r="HN134" s="226"/>
      <c r="HO134" s="225" t="s">
        <v>470</v>
      </c>
      <c r="HP134" s="225" t="s">
        <v>470</v>
      </c>
      <c r="HQ134" s="225" t="s">
        <v>873</v>
      </c>
      <c r="HR134" s="225" t="s">
        <v>873</v>
      </c>
      <c r="HS134" s="225" t="s">
        <v>470</v>
      </c>
      <c r="HT134" s="294" t="s">
        <v>470</v>
      </c>
      <c r="HU134" s="225" t="s">
        <v>470</v>
      </c>
      <c r="HV134" s="225" t="s">
        <v>470</v>
      </c>
      <c r="HW134" s="225" t="s">
        <v>470</v>
      </c>
      <c r="HX134" s="225" t="s">
        <v>470</v>
      </c>
      <c r="HY134" s="225" t="s">
        <v>470</v>
      </c>
      <c r="HZ134" s="225" t="s">
        <v>470</v>
      </c>
      <c r="IA134" s="225"/>
      <c r="IB134" s="225"/>
      <c r="IC134" s="225"/>
      <c r="ID134" s="322" t="s">
        <v>470</v>
      </c>
      <c r="IE134" s="225" t="s">
        <v>470</v>
      </c>
      <c r="IF134" s="322" t="s">
        <v>470</v>
      </c>
      <c r="IG134" s="225" t="s">
        <v>470</v>
      </c>
      <c r="IH134" s="229" t="s">
        <v>470</v>
      </c>
      <c r="II134" s="225" t="s">
        <v>470</v>
      </c>
      <c r="IJ134" s="225" t="s">
        <v>470</v>
      </c>
      <c r="IK134" s="225" t="s">
        <v>470</v>
      </c>
      <c r="IL134" s="225" t="s">
        <v>539</v>
      </c>
      <c r="IM134" s="225" t="s">
        <v>539</v>
      </c>
      <c r="IN134" s="225" t="s">
        <v>470</v>
      </c>
      <c r="IO134" s="225" t="s">
        <v>470</v>
      </c>
      <c r="IP134" s="225" t="s">
        <v>470</v>
      </c>
      <c r="IQ134" s="225" t="s">
        <v>470</v>
      </c>
      <c r="IR134" s="225" t="s">
        <v>470</v>
      </c>
      <c r="IS134" s="225" t="s">
        <v>470</v>
      </c>
      <c r="IT134" s="225" t="s">
        <v>470</v>
      </c>
      <c r="IU134" s="225" t="s">
        <v>470</v>
      </c>
      <c r="IV134" s="225" t="s">
        <v>470</v>
      </c>
      <c r="IW134" s="225" t="s">
        <v>470</v>
      </c>
      <c r="IX134" s="225" t="s">
        <v>470</v>
      </c>
      <c r="IY134" s="225" t="s">
        <v>470</v>
      </c>
      <c r="IZ134" s="225"/>
      <c r="JA134" s="225"/>
      <c r="JB134" s="225"/>
      <c r="JC134" s="225" t="s">
        <v>470</v>
      </c>
      <c r="JD134" s="225" t="s">
        <v>479</v>
      </c>
      <c r="JE134" s="226"/>
      <c r="JF134" s="226"/>
      <c r="JG134" s="226"/>
      <c r="JH134" s="225" t="s">
        <v>470</v>
      </c>
      <c r="JI134" s="225" t="s">
        <v>470</v>
      </c>
      <c r="JJ134" s="225" t="s">
        <v>470</v>
      </c>
      <c r="JK134" s="237" t="s">
        <v>470</v>
      </c>
      <c r="JL134" s="225" t="s">
        <v>656</v>
      </c>
      <c r="JM134" s="225" t="s">
        <v>470</v>
      </c>
      <c r="JN134" s="226"/>
      <c r="JO134" s="226"/>
      <c r="JP134" s="226"/>
      <c r="JQ134" s="225" t="s">
        <v>470</v>
      </c>
      <c r="JR134" s="225" t="s">
        <v>470</v>
      </c>
      <c r="JS134" s="225" t="s">
        <v>470</v>
      </c>
      <c r="JT134" s="225" t="s">
        <v>470</v>
      </c>
      <c r="JU134" s="225" t="s">
        <v>470</v>
      </c>
      <c r="JV134" s="225" t="s">
        <v>470</v>
      </c>
      <c r="JW134" s="225" t="s">
        <v>470</v>
      </c>
      <c r="JX134" s="225" t="s">
        <v>470</v>
      </c>
      <c r="JY134" s="225" t="s">
        <v>470</v>
      </c>
      <c r="JZ134" s="225" t="s">
        <v>470</v>
      </c>
      <c r="KA134" s="225" t="s">
        <v>470</v>
      </c>
      <c r="KB134" s="225" t="s">
        <v>470</v>
      </c>
      <c r="KC134" s="225" t="s">
        <v>470</v>
      </c>
      <c r="KD134" s="225" t="s">
        <v>470</v>
      </c>
      <c r="KE134" s="232" t="s">
        <v>470</v>
      </c>
      <c r="KF134" s="225" t="s">
        <v>470</v>
      </c>
      <c r="KG134" s="225" t="s">
        <v>470</v>
      </c>
      <c r="KH134" s="225"/>
      <c r="KI134" s="225" t="s">
        <v>470</v>
      </c>
      <c r="KJ134" s="322" t="s">
        <v>470</v>
      </c>
      <c r="KK134" s="225" t="s">
        <v>470</v>
      </c>
      <c r="KL134" s="225" t="s">
        <v>470</v>
      </c>
      <c r="KM134" s="322" t="s">
        <v>470</v>
      </c>
      <c r="KN134" s="225" t="s">
        <v>470</v>
      </c>
      <c r="KO134" s="225" t="s">
        <v>470</v>
      </c>
      <c r="KP134" s="225" t="s">
        <v>470</v>
      </c>
      <c r="KQ134" s="226"/>
      <c r="KR134" s="226"/>
      <c r="KS134" s="226"/>
      <c r="KT134" s="226"/>
      <c r="KU134" s="226"/>
      <c r="KV134" s="225" t="s">
        <v>470</v>
      </c>
      <c r="KW134" s="225" t="s">
        <v>470</v>
      </c>
      <c r="KX134" s="228" t="s">
        <v>470</v>
      </c>
      <c r="KY134" s="793" t="s">
        <v>479</v>
      </c>
      <c r="KZ134" s="225" t="s">
        <v>470</v>
      </c>
      <c r="LA134" s="225" t="s">
        <v>479</v>
      </c>
      <c r="LB134" s="225" t="s">
        <v>479</v>
      </c>
      <c r="LC134" s="225" t="s">
        <v>479</v>
      </c>
      <c r="LD134" s="225" t="s">
        <v>470</v>
      </c>
      <c r="LE134" s="225" t="s">
        <v>873</v>
      </c>
      <c r="LF134" s="225" t="s">
        <v>470</v>
      </c>
      <c r="LG134" s="225" t="s">
        <v>470</v>
      </c>
      <c r="LH134" s="225" t="s">
        <v>470</v>
      </c>
      <c r="LI134" s="225" t="s">
        <v>479</v>
      </c>
      <c r="LJ134" s="225" t="s">
        <v>479</v>
      </c>
      <c r="LK134" s="225"/>
      <c r="LL134" s="225" t="s">
        <v>470</v>
      </c>
      <c r="LM134" s="226"/>
      <c r="LN134" s="225" t="s">
        <v>470</v>
      </c>
      <c r="LO134" s="225" t="s">
        <v>470</v>
      </c>
      <c r="LP134" s="225"/>
      <c r="LQ134" s="225" t="s">
        <v>470</v>
      </c>
      <c r="LR134" s="225" t="s">
        <v>470</v>
      </c>
      <c r="LS134" s="225" t="s">
        <v>470</v>
      </c>
      <c r="LT134" s="234" t="s">
        <v>470</v>
      </c>
      <c r="LU134" s="225"/>
      <c r="LV134" s="225" t="s">
        <v>470</v>
      </c>
      <c r="LW134" s="225" t="s">
        <v>470</v>
      </c>
      <c r="LX134" s="225" t="s">
        <v>470</v>
      </c>
      <c r="LY134" s="225" t="s">
        <v>470</v>
      </c>
      <c r="LZ134" s="225" t="s">
        <v>470</v>
      </c>
      <c r="MA134" s="225" t="s">
        <v>470</v>
      </c>
      <c r="MB134" s="225" t="s">
        <v>470</v>
      </c>
      <c r="MC134" s="225"/>
      <c r="MD134" s="225" t="s">
        <v>470</v>
      </c>
      <c r="ME134" s="225" t="s">
        <v>470</v>
      </c>
      <c r="MF134" s="225" t="s">
        <v>470</v>
      </c>
      <c r="MG134" s="226"/>
      <c r="MH134" s="226"/>
      <c r="MI134" s="226"/>
      <c r="MJ134" s="235" t="s">
        <v>470</v>
      </c>
      <c r="MK134" s="235"/>
      <c r="ML134" s="347" t="s">
        <v>470</v>
      </c>
      <c r="MM134" s="235" t="s">
        <v>470</v>
      </c>
      <c r="MN134" s="236"/>
      <c r="MO134" s="348" t="s">
        <v>470</v>
      </c>
      <c r="MP134" s="236" t="s">
        <v>470</v>
      </c>
      <c r="MQ134" s="236" t="s">
        <v>470</v>
      </c>
      <c r="MR134" s="236" t="s">
        <v>470</v>
      </c>
      <c r="MS134" s="236" t="s">
        <v>470</v>
      </c>
      <c r="MT134" s="235"/>
      <c r="MU134" s="236"/>
      <c r="MV134" s="235" t="s">
        <v>470</v>
      </c>
      <c r="MW134" s="235" t="s">
        <v>470</v>
      </c>
      <c r="MX134" s="226"/>
      <c r="MY134" s="226"/>
      <c r="MZ134" s="226"/>
      <c r="NA134" s="226"/>
    </row>
    <row r="135" spans="1:365" ht="153" x14ac:dyDescent="0.2">
      <c r="A135" s="1216"/>
      <c r="B135" s="1217"/>
      <c r="C135" s="1218"/>
      <c r="D135" s="215" t="s">
        <v>205</v>
      </c>
      <c r="E135" s="225"/>
      <c r="F135" s="225"/>
      <c r="G135" s="225" t="s">
        <v>656</v>
      </c>
      <c r="H135" s="225" t="s">
        <v>656</v>
      </c>
      <c r="I135" s="322" t="s">
        <v>656</v>
      </c>
      <c r="J135" s="225" t="s">
        <v>656</v>
      </c>
      <c r="K135" s="225" t="s">
        <v>1924</v>
      </c>
      <c r="L135" s="225" t="s">
        <v>1924</v>
      </c>
      <c r="M135" s="225" t="s">
        <v>1924</v>
      </c>
      <c r="N135" s="225" t="s">
        <v>1924</v>
      </c>
      <c r="O135" s="225" t="s">
        <v>1924</v>
      </c>
      <c r="P135" s="400" t="s">
        <v>1924</v>
      </c>
      <c r="Q135" s="225" t="s">
        <v>1924</v>
      </c>
      <c r="R135" s="322"/>
      <c r="S135" s="225"/>
      <c r="T135" s="225"/>
      <c r="U135" s="225"/>
      <c r="V135" s="225"/>
      <c r="W135" s="226"/>
      <c r="X135" s="226"/>
      <c r="Y135" s="226"/>
      <c r="Z135" s="226"/>
      <c r="AA135" s="226"/>
      <c r="AB135" s="226"/>
      <c r="AC135" s="226"/>
      <c r="AD135" s="226"/>
      <c r="AE135" s="226"/>
      <c r="AF135" s="225" t="s">
        <v>1447</v>
      </c>
      <c r="AG135" s="225"/>
      <c r="AH135" s="226"/>
      <c r="AI135" s="225"/>
      <c r="AJ135" s="225"/>
      <c r="AK135" s="229"/>
      <c r="AL135" s="225"/>
      <c r="AM135" s="226"/>
      <c r="AN135" s="226"/>
      <c r="AO135" s="226"/>
      <c r="AP135" s="226"/>
      <c r="AQ135" s="225"/>
      <c r="AR135" s="225"/>
      <c r="AS135" s="225"/>
      <c r="AT135" s="225" t="s">
        <v>470</v>
      </c>
      <c r="AU135" s="225" t="s">
        <v>656</v>
      </c>
      <c r="AV135" s="322"/>
      <c r="AW135" s="225"/>
      <c r="AX135" s="225"/>
      <c r="AY135" s="229" t="s">
        <v>2234</v>
      </c>
      <c r="AZ135" s="225"/>
      <c r="BA135" s="225"/>
      <c r="BB135" s="225"/>
      <c r="BC135" s="225"/>
      <c r="BD135" s="225"/>
      <c r="BE135" s="229"/>
      <c r="BF135" s="225"/>
      <c r="BG135" s="225"/>
      <c r="BH135" s="225" t="s">
        <v>470</v>
      </c>
      <c r="BI135" s="225" t="s">
        <v>656</v>
      </c>
      <c r="BJ135" s="225"/>
      <c r="BK135" s="225"/>
      <c r="BL135" s="225"/>
      <c r="BM135" s="225"/>
      <c r="BN135" s="226"/>
      <c r="BO135" s="225"/>
      <c r="BP135" s="225"/>
      <c r="BQ135" s="225"/>
      <c r="BR135" s="233" t="s">
        <v>205</v>
      </c>
      <c r="BS135" s="225" t="s">
        <v>656</v>
      </c>
      <c r="BT135" s="225"/>
      <c r="BU135" s="225"/>
      <c r="BV135" s="225"/>
      <c r="BW135" s="225"/>
      <c r="BX135" s="225"/>
      <c r="BY135" s="225"/>
      <c r="BZ135" s="225"/>
      <c r="CA135" s="225"/>
      <c r="CB135" s="225"/>
      <c r="CC135" s="225"/>
      <c r="CD135" s="229"/>
      <c r="CE135" s="229"/>
      <c r="CF135" s="229"/>
      <c r="CG135" s="229"/>
      <c r="CH135" s="229"/>
      <c r="CI135" s="229"/>
      <c r="CJ135" s="229"/>
      <c r="CK135" s="229"/>
      <c r="CL135" s="229"/>
      <c r="CM135" s="229"/>
      <c r="CN135" s="225"/>
      <c r="CO135" s="225"/>
      <c r="CP135" s="225"/>
      <c r="CQ135" s="406"/>
      <c r="CR135" s="394"/>
      <c r="CS135" s="225"/>
      <c r="CT135" s="225"/>
      <c r="CU135" s="322">
        <v>0</v>
      </c>
      <c r="CV135" s="225"/>
      <c r="CW135" s="225" t="s">
        <v>656</v>
      </c>
      <c r="CX135" s="225"/>
      <c r="CY135" s="225"/>
      <c r="CZ135" s="225"/>
      <c r="DA135" s="225"/>
      <c r="DB135" s="225"/>
      <c r="DC135" s="225"/>
      <c r="DD135" s="225"/>
      <c r="DE135" s="225"/>
      <c r="DF135" s="225"/>
      <c r="DG135" s="225"/>
      <c r="DH135" s="225"/>
      <c r="DI135" s="225"/>
      <c r="DJ135" s="225"/>
      <c r="DK135" s="225"/>
      <c r="DL135" s="225"/>
      <c r="DM135" s="225"/>
      <c r="DN135" s="225" t="s">
        <v>656</v>
      </c>
      <c r="DO135" s="225"/>
      <c r="DP135" s="225" t="s">
        <v>470</v>
      </c>
      <c r="DQ135" s="225" t="s">
        <v>470</v>
      </c>
      <c r="DR135" s="225" t="s">
        <v>470</v>
      </c>
      <c r="DS135" s="225" t="s">
        <v>470</v>
      </c>
      <c r="DT135" s="225" t="s">
        <v>470</v>
      </c>
      <c r="DU135" s="225" t="s">
        <v>470</v>
      </c>
      <c r="DV135" s="225"/>
      <c r="DW135" s="246" t="s">
        <v>2234</v>
      </c>
      <c r="DX135" s="225"/>
      <c r="DY135" s="225"/>
      <c r="DZ135" s="225"/>
      <c r="EA135" s="225"/>
      <c r="EB135" s="225"/>
      <c r="EC135" s="226"/>
      <c r="ED135" s="225"/>
      <c r="EE135" s="225" t="s">
        <v>656</v>
      </c>
      <c r="EF135" s="225"/>
      <c r="EG135" s="226"/>
      <c r="EH135" s="225"/>
      <c r="EI135" s="225" t="s">
        <v>656</v>
      </c>
      <c r="EJ135" s="226"/>
      <c r="EK135" s="226"/>
      <c r="EL135" s="226"/>
      <c r="EM135" s="226"/>
      <c r="EN135" s="226"/>
      <c r="EO135" s="226"/>
      <c r="EP135" s="226"/>
      <c r="EQ135" s="226"/>
      <c r="ER135" s="225"/>
      <c r="ES135" s="225"/>
      <c r="ET135" s="225"/>
      <c r="EU135" s="225"/>
      <c r="EV135" s="225"/>
      <c r="EW135" s="225"/>
      <c r="EX135" s="225"/>
      <c r="EY135" s="225"/>
      <c r="EZ135" s="229"/>
      <c r="FA135" s="225"/>
      <c r="FB135" s="260" t="s">
        <v>5371</v>
      </c>
      <c r="FC135" s="225" t="s">
        <v>640</v>
      </c>
      <c r="FD135" s="226"/>
      <c r="FE135" s="404"/>
      <c r="FF135" s="225" t="s">
        <v>470</v>
      </c>
      <c r="FG135" s="225" t="s">
        <v>470</v>
      </c>
      <c r="FH135" s="225" t="s">
        <v>470</v>
      </c>
      <c r="FI135" s="465" t="s">
        <v>656</v>
      </c>
      <c r="FJ135" s="465" t="s">
        <v>656</v>
      </c>
      <c r="FK135" s="465"/>
      <c r="FL135" s="465" t="s">
        <v>656</v>
      </c>
      <c r="FM135" s="225"/>
      <c r="FN135" s="225"/>
      <c r="FO135" s="394"/>
      <c r="FP135" s="394"/>
      <c r="FQ135" s="465" t="s">
        <v>656</v>
      </c>
      <c r="FR135" s="394" t="s">
        <v>5370</v>
      </c>
      <c r="FS135" s="394"/>
      <c r="FT135" s="394"/>
      <c r="FU135" s="226"/>
      <c r="FV135" s="394"/>
      <c r="FW135" s="394"/>
      <c r="FX135" s="394"/>
      <c r="FY135" s="226"/>
      <c r="FZ135" s="394"/>
      <c r="GA135" s="394"/>
      <c r="GB135" s="394"/>
      <c r="GC135" s="394"/>
      <c r="GD135" s="394"/>
      <c r="GE135" s="394"/>
      <c r="GF135" s="394"/>
      <c r="GG135" s="394" t="s">
        <v>4906</v>
      </c>
      <c r="GH135" s="394" t="s">
        <v>4906</v>
      </c>
      <c r="GI135" s="226"/>
      <c r="GJ135" s="394"/>
      <c r="GK135" s="394"/>
      <c r="GL135" s="394"/>
      <c r="GM135" s="394"/>
      <c r="GN135" s="394"/>
      <c r="GO135" s="226"/>
      <c r="GP135" s="394"/>
      <c r="GQ135" s="226"/>
      <c r="GR135" s="394"/>
      <c r="GS135" s="394"/>
      <c r="GT135" s="394"/>
      <c r="GU135" s="394"/>
      <c r="GV135" s="394"/>
      <c r="GW135" s="226"/>
      <c r="GX135" s="225"/>
      <c r="GY135" s="225"/>
      <c r="GZ135" s="394"/>
      <c r="HA135" s="225"/>
      <c r="HB135" s="225"/>
      <c r="HC135" s="225"/>
      <c r="HD135" s="225"/>
      <c r="HE135" s="225"/>
      <c r="HF135" s="226"/>
      <c r="HG135" s="227" t="s">
        <v>656</v>
      </c>
      <c r="HH135" s="227" t="s">
        <v>656</v>
      </c>
      <c r="HI135" s="227" t="s">
        <v>656</v>
      </c>
      <c r="HJ135" s="225" t="s">
        <v>656</v>
      </c>
      <c r="HK135" s="227" t="s">
        <v>656</v>
      </c>
      <c r="HL135" s="226"/>
      <c r="HM135" s="225"/>
      <c r="HN135" s="226"/>
      <c r="HO135" s="225"/>
      <c r="HP135" s="225"/>
      <c r="HQ135" s="225"/>
      <c r="HR135" s="225"/>
      <c r="HS135" s="225"/>
      <c r="HT135" s="225"/>
      <c r="HU135" s="225"/>
      <c r="HV135" s="225"/>
      <c r="HW135" s="225"/>
      <c r="HX135" s="225"/>
      <c r="HY135" s="225"/>
      <c r="HZ135" s="225" t="s">
        <v>656</v>
      </c>
      <c r="IA135" s="225"/>
      <c r="IB135" s="225"/>
      <c r="IC135" s="225"/>
      <c r="ID135" s="225"/>
      <c r="IE135" s="225"/>
      <c r="IF135" s="225"/>
      <c r="IG135" s="225"/>
      <c r="IH135" s="229"/>
      <c r="II135" s="225"/>
      <c r="IJ135" s="225"/>
      <c r="IK135" s="225"/>
      <c r="IL135" s="225"/>
      <c r="IM135" s="225"/>
      <c r="IN135" s="225"/>
      <c r="IO135" s="225"/>
      <c r="IP135" s="225"/>
      <c r="IQ135" s="225"/>
      <c r="IR135" s="225"/>
      <c r="IS135" s="225"/>
      <c r="IT135" s="225"/>
      <c r="IU135" s="225"/>
      <c r="IV135" s="225"/>
      <c r="IW135" s="225"/>
      <c r="IX135" s="225"/>
      <c r="IY135" s="225" t="s">
        <v>656</v>
      </c>
      <c r="IZ135" s="225"/>
      <c r="JA135" s="225"/>
      <c r="JB135" s="225"/>
      <c r="JC135" s="225" t="s">
        <v>656</v>
      </c>
      <c r="JD135" s="264" t="s">
        <v>5369</v>
      </c>
      <c r="JE135" s="226"/>
      <c r="JF135" s="226"/>
      <c r="JG135" s="226"/>
      <c r="JH135" s="225"/>
      <c r="JI135" s="225"/>
      <c r="JJ135" s="225" t="s">
        <v>656</v>
      </c>
      <c r="JK135" s="237"/>
      <c r="JL135" s="225" t="s">
        <v>656</v>
      </c>
      <c r="JM135" s="225"/>
      <c r="JN135" s="226"/>
      <c r="JO135" s="226"/>
      <c r="JP135" s="226"/>
      <c r="JQ135" s="225"/>
      <c r="JR135" s="225"/>
      <c r="JS135" s="225"/>
      <c r="JT135" s="225"/>
      <c r="JU135" s="225"/>
      <c r="JV135" s="225"/>
      <c r="JW135" s="225" t="s">
        <v>656</v>
      </c>
      <c r="JX135" s="225" t="s">
        <v>656</v>
      </c>
      <c r="JY135" s="225" t="s">
        <v>470</v>
      </c>
      <c r="JZ135" s="225" t="s">
        <v>470</v>
      </c>
      <c r="KA135" s="225"/>
      <c r="KB135" s="225"/>
      <c r="KC135" s="322" t="s">
        <v>470</v>
      </c>
      <c r="KD135" s="225"/>
      <c r="KE135" s="232"/>
      <c r="KF135" s="225"/>
      <c r="KG135" s="225" t="s">
        <v>470</v>
      </c>
      <c r="KH135" s="225"/>
      <c r="KI135" s="225"/>
      <c r="KJ135" s="225"/>
      <c r="KK135" s="225"/>
      <c r="KL135" s="225" t="s">
        <v>656</v>
      </c>
      <c r="KM135" s="225"/>
      <c r="KN135" s="225"/>
      <c r="KO135" s="225"/>
      <c r="KP135" s="225"/>
      <c r="KQ135" s="226"/>
      <c r="KR135" s="226"/>
      <c r="KS135" s="226"/>
      <c r="KT135" s="226"/>
      <c r="KU135" s="226"/>
      <c r="KV135" s="225" t="s">
        <v>656</v>
      </c>
      <c r="KW135" s="225"/>
      <c r="KX135" s="228"/>
      <c r="KY135" s="801" t="s">
        <v>9287</v>
      </c>
      <c r="KZ135" s="225"/>
      <c r="LA135" s="225" t="s">
        <v>920</v>
      </c>
      <c r="LB135" s="225" t="s">
        <v>5307</v>
      </c>
      <c r="LC135" s="225" t="s">
        <v>640</v>
      </c>
      <c r="LD135" s="225"/>
      <c r="LE135" s="225"/>
      <c r="LF135" s="225"/>
      <c r="LG135" s="225"/>
      <c r="LH135" s="225"/>
      <c r="LI135" s="224" t="s">
        <v>5427</v>
      </c>
      <c r="LJ135" s="225" t="s">
        <v>1007</v>
      </c>
      <c r="LK135" s="225"/>
      <c r="LL135" s="225"/>
      <c r="LM135" s="226"/>
      <c r="LN135" s="225"/>
      <c r="LO135" s="225"/>
      <c r="LP135" s="225"/>
      <c r="LQ135" s="225"/>
      <c r="LR135" s="225"/>
      <c r="LS135" s="225"/>
      <c r="LT135" s="234"/>
      <c r="LU135" s="225"/>
      <c r="LV135" s="225"/>
      <c r="LW135" s="225"/>
      <c r="LX135" s="225"/>
      <c r="LY135" s="225"/>
      <c r="LZ135" s="225"/>
      <c r="MA135" s="225"/>
      <c r="MB135" s="225"/>
      <c r="MC135" s="225"/>
      <c r="MD135" s="225"/>
      <c r="ME135" s="225"/>
      <c r="MF135" s="225"/>
      <c r="MG135" s="226"/>
      <c r="MH135" s="226"/>
      <c r="MI135" s="226"/>
      <c r="MJ135" s="235"/>
      <c r="MK135" s="235"/>
      <c r="ML135" s="347" t="s">
        <v>656</v>
      </c>
      <c r="MM135" s="235"/>
      <c r="MN135" s="236"/>
      <c r="MO135" s="236"/>
      <c r="MP135" s="236"/>
      <c r="MQ135" s="236"/>
      <c r="MR135" s="236" t="s">
        <v>1482</v>
      </c>
      <c r="MS135" s="236"/>
      <c r="MT135" s="235"/>
      <c r="MU135" s="236"/>
      <c r="MV135" s="235"/>
      <c r="MW135" s="235"/>
      <c r="MX135" s="226"/>
      <c r="MY135" s="226"/>
      <c r="MZ135" s="226"/>
      <c r="NA135" s="226"/>
    </row>
    <row r="136" spans="1:365" ht="51" x14ac:dyDescent="0.2">
      <c r="A136" s="1216"/>
      <c r="B136" s="1217"/>
      <c r="C136" s="1218"/>
      <c r="D136" s="215" t="s">
        <v>209</v>
      </c>
      <c r="E136" s="322"/>
      <c r="F136" s="322"/>
      <c r="G136" s="322" t="s">
        <v>656</v>
      </c>
      <c r="H136" s="322" t="s">
        <v>656</v>
      </c>
      <c r="I136" s="225" t="s">
        <v>656</v>
      </c>
      <c r="J136" s="322" t="s">
        <v>656</v>
      </c>
      <c r="K136" s="322">
        <v>0</v>
      </c>
      <c r="L136" s="225">
        <v>0</v>
      </c>
      <c r="M136" s="322">
        <v>0</v>
      </c>
      <c r="N136" s="322">
        <v>0</v>
      </c>
      <c r="O136" s="322">
        <v>0</v>
      </c>
      <c r="P136" s="463">
        <v>0</v>
      </c>
      <c r="Q136" s="322">
        <v>0</v>
      </c>
      <c r="R136" s="322"/>
      <c r="S136" s="322"/>
      <c r="T136" s="322"/>
      <c r="U136" s="322"/>
      <c r="V136" s="322"/>
      <c r="W136" s="226"/>
      <c r="X136" s="226"/>
      <c r="Y136" s="226"/>
      <c r="Z136" s="226"/>
      <c r="AA136" s="226"/>
      <c r="AB136" s="226"/>
      <c r="AC136" s="226"/>
      <c r="AD136" s="226"/>
      <c r="AE136" s="226"/>
      <c r="AF136" s="322" t="s">
        <v>1447</v>
      </c>
      <c r="AG136" s="225"/>
      <c r="AH136" s="226"/>
      <c r="AI136" s="322"/>
      <c r="AJ136" s="322"/>
      <c r="AK136" s="229"/>
      <c r="AL136" s="322"/>
      <c r="AM136" s="226"/>
      <c r="AN136" s="226"/>
      <c r="AO136" s="226"/>
      <c r="AP136" s="226"/>
      <c r="AQ136" s="322"/>
      <c r="AR136" s="322"/>
      <c r="AS136" s="322"/>
      <c r="AT136" s="322">
        <v>0</v>
      </c>
      <c r="AU136" s="322" t="s">
        <v>656</v>
      </c>
      <c r="AV136" s="322"/>
      <c r="AW136" s="322"/>
      <c r="AX136" s="322"/>
      <c r="AY136" s="344" t="s">
        <v>2234</v>
      </c>
      <c r="AZ136" s="322"/>
      <c r="BA136" s="322"/>
      <c r="BB136" s="322"/>
      <c r="BC136" s="322"/>
      <c r="BD136" s="322"/>
      <c r="BE136" s="344"/>
      <c r="BF136" s="322"/>
      <c r="BG136" s="322"/>
      <c r="BH136" s="322" t="s">
        <v>470</v>
      </c>
      <c r="BI136" s="322" t="s">
        <v>656</v>
      </c>
      <c r="BJ136" s="322"/>
      <c r="BK136" s="322">
        <v>45</v>
      </c>
      <c r="BL136" s="322"/>
      <c r="BM136" s="322"/>
      <c r="BN136" s="226"/>
      <c r="BO136" s="322"/>
      <c r="BP136" s="322"/>
      <c r="BQ136" s="322"/>
      <c r="BR136" s="233" t="s">
        <v>209</v>
      </c>
      <c r="BS136" s="322" t="s">
        <v>656</v>
      </c>
      <c r="BT136" s="322"/>
      <c r="BU136" s="322"/>
      <c r="BV136" s="322"/>
      <c r="BW136" s="322"/>
      <c r="BX136" s="322"/>
      <c r="BY136" s="322"/>
      <c r="BZ136" s="322"/>
      <c r="CA136" s="322"/>
      <c r="CB136" s="322"/>
      <c r="CC136" s="322"/>
      <c r="CD136" s="344"/>
      <c r="CE136" s="344"/>
      <c r="CF136" s="344"/>
      <c r="CG136" s="344">
        <v>0</v>
      </c>
      <c r="CH136" s="344"/>
      <c r="CI136" s="344"/>
      <c r="CJ136" s="344">
        <v>0</v>
      </c>
      <c r="CK136" s="344"/>
      <c r="CL136" s="344"/>
      <c r="CM136" s="344"/>
      <c r="CN136" s="322"/>
      <c r="CO136" s="322"/>
      <c r="CP136" s="322"/>
      <c r="CQ136" s="464"/>
      <c r="CR136" s="465"/>
      <c r="CS136" s="322"/>
      <c r="CT136" s="322"/>
      <c r="CU136" s="322">
        <v>0</v>
      </c>
      <c r="CV136" s="322"/>
      <c r="CW136" s="322" t="s">
        <v>656</v>
      </c>
      <c r="CX136" s="322"/>
      <c r="CY136" s="322"/>
      <c r="CZ136" s="322"/>
      <c r="DA136" s="322"/>
      <c r="DB136" s="322"/>
      <c r="DC136" s="322"/>
      <c r="DD136" s="322"/>
      <c r="DE136" s="322"/>
      <c r="DF136" s="322"/>
      <c r="DG136" s="322"/>
      <c r="DH136" s="322"/>
      <c r="DI136" s="322"/>
      <c r="DJ136" s="322"/>
      <c r="DK136" s="322"/>
      <c r="DL136" s="322"/>
      <c r="DM136" s="322"/>
      <c r="DN136" s="322" t="s">
        <v>656</v>
      </c>
      <c r="DO136" s="322"/>
      <c r="DP136" s="225">
        <v>0</v>
      </c>
      <c r="DQ136" s="225">
        <v>0</v>
      </c>
      <c r="DR136" s="225">
        <v>0</v>
      </c>
      <c r="DS136" s="225">
        <v>0</v>
      </c>
      <c r="DT136" s="225">
        <v>0</v>
      </c>
      <c r="DU136" s="322">
        <v>0</v>
      </c>
      <c r="DV136" s="322"/>
      <c r="DW136" s="246" t="s">
        <v>2234</v>
      </c>
      <c r="DX136" s="322"/>
      <c r="DY136" s="322"/>
      <c r="DZ136" s="322"/>
      <c r="EA136" s="322"/>
      <c r="EB136" s="322"/>
      <c r="EC136" s="226"/>
      <c r="ED136" s="322"/>
      <c r="EE136" s="322" t="s">
        <v>656</v>
      </c>
      <c r="EF136" s="322"/>
      <c r="EG136" s="226"/>
      <c r="EH136" s="322"/>
      <c r="EI136" s="322" t="s">
        <v>656</v>
      </c>
      <c r="EJ136" s="226"/>
      <c r="EK136" s="226"/>
      <c r="EL136" s="226"/>
      <c r="EM136" s="226"/>
      <c r="EN136" s="226"/>
      <c r="EO136" s="226"/>
      <c r="EP136" s="226"/>
      <c r="EQ136" s="226"/>
      <c r="ER136" s="322"/>
      <c r="ES136" s="322"/>
      <c r="ET136" s="225"/>
      <c r="EU136" s="225"/>
      <c r="EV136" s="225"/>
      <c r="EW136" s="322"/>
      <c r="EX136" s="322"/>
      <c r="EY136" s="322"/>
      <c r="EZ136" s="344"/>
      <c r="FA136" s="322"/>
      <c r="FB136" s="322">
        <v>6</v>
      </c>
      <c r="FC136" s="322">
        <v>11</v>
      </c>
      <c r="FD136" s="226"/>
      <c r="FE136" s="466"/>
      <c r="FF136" s="225" t="s">
        <v>470</v>
      </c>
      <c r="FG136" s="225" t="s">
        <v>470</v>
      </c>
      <c r="FH136" s="225" t="s">
        <v>470</v>
      </c>
      <c r="FI136" s="465" t="s">
        <v>656</v>
      </c>
      <c r="FJ136" s="465" t="s">
        <v>656</v>
      </c>
      <c r="FK136" s="465"/>
      <c r="FL136" s="465" t="s">
        <v>656</v>
      </c>
      <c r="FM136" s="322"/>
      <c r="FN136" s="322"/>
      <c r="FO136" s="465"/>
      <c r="FP136" s="465"/>
      <c r="FQ136" s="465" t="s">
        <v>656</v>
      </c>
      <c r="FR136" s="465">
        <v>20</v>
      </c>
      <c r="FS136" s="465"/>
      <c r="FT136" s="465"/>
      <c r="FU136" s="226"/>
      <c r="FV136" s="465"/>
      <c r="FW136" s="465"/>
      <c r="FX136" s="465"/>
      <c r="FY136" s="226"/>
      <c r="FZ136" s="465"/>
      <c r="GA136" s="465"/>
      <c r="GB136" s="465"/>
      <c r="GC136" s="465"/>
      <c r="GD136" s="465"/>
      <c r="GE136" s="465"/>
      <c r="GF136" s="465"/>
      <c r="GG136" s="394" t="s">
        <v>4906</v>
      </c>
      <c r="GH136" s="394" t="s">
        <v>4906</v>
      </c>
      <c r="GI136" s="226"/>
      <c r="GJ136" s="465"/>
      <c r="GK136" s="465"/>
      <c r="GL136" s="465"/>
      <c r="GM136" s="465"/>
      <c r="GN136" s="465"/>
      <c r="GO136" s="226"/>
      <c r="GP136" s="465"/>
      <c r="GQ136" s="226"/>
      <c r="GR136" s="465"/>
      <c r="GS136" s="465"/>
      <c r="GT136" s="465"/>
      <c r="GU136" s="465"/>
      <c r="GV136" s="465"/>
      <c r="GW136" s="226"/>
      <c r="GX136" s="322"/>
      <c r="GY136" s="322"/>
      <c r="GZ136" s="465"/>
      <c r="HA136" s="322"/>
      <c r="HB136" s="322"/>
      <c r="HC136" s="322"/>
      <c r="HD136" s="322"/>
      <c r="HE136" s="322"/>
      <c r="HF136" s="226"/>
      <c r="HG136" s="343" t="s">
        <v>656</v>
      </c>
      <c r="HH136" s="343" t="s">
        <v>656</v>
      </c>
      <c r="HI136" s="343" t="s">
        <v>656</v>
      </c>
      <c r="HJ136" s="225" t="s">
        <v>656</v>
      </c>
      <c r="HK136" s="343" t="s">
        <v>656</v>
      </c>
      <c r="HL136" s="226"/>
      <c r="HM136" s="322"/>
      <c r="HN136" s="226"/>
      <c r="HO136" s="322"/>
      <c r="HP136" s="322"/>
      <c r="HQ136" s="322"/>
      <c r="HR136" s="322"/>
      <c r="HS136" s="322"/>
      <c r="HT136" s="322"/>
      <c r="HU136" s="322"/>
      <c r="HV136" s="322"/>
      <c r="HW136" s="322"/>
      <c r="HX136" s="322"/>
      <c r="HY136" s="322"/>
      <c r="HZ136" s="322" t="s">
        <v>656</v>
      </c>
      <c r="IA136" s="322"/>
      <c r="IB136" s="322"/>
      <c r="IC136" s="322"/>
      <c r="ID136" s="322"/>
      <c r="IE136" s="322"/>
      <c r="IF136" s="322"/>
      <c r="IG136" s="322"/>
      <c r="IH136" s="344"/>
      <c r="II136" s="322"/>
      <c r="IJ136" s="322"/>
      <c r="IK136" s="322"/>
      <c r="IL136" s="322"/>
      <c r="IM136" s="322"/>
      <c r="IN136" s="322"/>
      <c r="IO136" s="322"/>
      <c r="IP136" s="322"/>
      <c r="IQ136" s="322"/>
      <c r="IR136" s="322"/>
      <c r="IS136" s="322"/>
      <c r="IT136" s="322"/>
      <c r="IU136" s="322"/>
      <c r="IV136" s="322"/>
      <c r="IW136" s="322"/>
      <c r="IX136" s="322"/>
      <c r="IY136" s="322" t="s">
        <v>656</v>
      </c>
      <c r="IZ136" s="322"/>
      <c r="JA136" s="322"/>
      <c r="JB136" s="322"/>
      <c r="JC136" s="322" t="s">
        <v>656</v>
      </c>
      <c r="JD136" s="322">
        <v>15</v>
      </c>
      <c r="JE136" s="226"/>
      <c r="JF136" s="226"/>
      <c r="JG136" s="226"/>
      <c r="JH136" s="322"/>
      <c r="JI136" s="322"/>
      <c r="JJ136" s="322" t="s">
        <v>656</v>
      </c>
      <c r="JK136" s="345"/>
      <c r="JL136" s="322" t="s">
        <v>656</v>
      </c>
      <c r="JM136" s="322"/>
      <c r="JN136" s="226"/>
      <c r="JO136" s="226"/>
      <c r="JP136" s="226"/>
      <c r="JQ136" s="322"/>
      <c r="JR136" s="322"/>
      <c r="JS136" s="322"/>
      <c r="JT136" s="322"/>
      <c r="JU136" s="322"/>
      <c r="JV136" s="322"/>
      <c r="JW136" s="322" t="s">
        <v>656</v>
      </c>
      <c r="JX136" s="322" t="s">
        <v>656</v>
      </c>
      <c r="JY136" s="322">
        <v>0</v>
      </c>
      <c r="JZ136" s="322" t="s">
        <v>470</v>
      </c>
      <c r="KA136" s="322"/>
      <c r="KB136" s="322"/>
      <c r="KC136" s="322" t="s">
        <v>470</v>
      </c>
      <c r="KD136" s="322"/>
      <c r="KE136" s="232"/>
      <c r="KF136" s="322"/>
      <c r="KG136" s="225" t="s">
        <v>470</v>
      </c>
      <c r="KH136" s="322"/>
      <c r="KI136" s="322"/>
      <c r="KJ136" s="322"/>
      <c r="KK136" s="322"/>
      <c r="KL136" s="322" t="s">
        <v>656</v>
      </c>
      <c r="KM136" s="322"/>
      <c r="KN136" s="322"/>
      <c r="KO136" s="322"/>
      <c r="KP136" s="322"/>
      <c r="KQ136" s="226"/>
      <c r="KR136" s="226"/>
      <c r="KS136" s="226"/>
      <c r="KT136" s="226"/>
      <c r="KU136" s="226"/>
      <c r="KV136" s="322" t="s">
        <v>656</v>
      </c>
      <c r="KW136" s="322"/>
      <c r="KX136" s="383"/>
      <c r="KY136" s="386">
        <v>10</v>
      </c>
      <c r="KZ136" s="322"/>
      <c r="LA136" s="322">
        <v>5</v>
      </c>
      <c r="LB136" s="322">
        <v>9</v>
      </c>
      <c r="LC136" s="322">
        <v>4</v>
      </c>
      <c r="LD136" s="322"/>
      <c r="LE136" s="322"/>
      <c r="LF136" s="322"/>
      <c r="LG136" s="322"/>
      <c r="LH136" s="322"/>
      <c r="LI136" s="497">
        <v>12</v>
      </c>
      <c r="LJ136" s="322">
        <v>78</v>
      </c>
      <c r="LK136" s="322"/>
      <c r="LL136" s="322"/>
      <c r="LM136" s="226"/>
      <c r="LN136" s="322">
        <v>0</v>
      </c>
      <c r="LO136" s="322">
        <v>0</v>
      </c>
      <c r="LP136" s="322">
        <v>0</v>
      </c>
      <c r="LQ136" s="322">
        <v>0</v>
      </c>
      <c r="LR136" s="322">
        <v>0</v>
      </c>
      <c r="LS136" s="322"/>
      <c r="LT136" s="346">
        <v>0</v>
      </c>
      <c r="LU136" s="322" t="e">
        <v>#REF!</v>
      </c>
      <c r="LV136" s="322"/>
      <c r="LW136" s="322"/>
      <c r="LX136" s="322"/>
      <c r="LY136" s="322"/>
      <c r="LZ136" s="322"/>
      <c r="MA136" s="322"/>
      <c r="MB136" s="322"/>
      <c r="MC136" s="322">
        <v>0</v>
      </c>
      <c r="MD136" s="322">
        <v>0</v>
      </c>
      <c r="ME136" s="322">
        <v>0</v>
      </c>
      <c r="MF136" s="322"/>
      <c r="MG136" s="226"/>
      <c r="MH136" s="226"/>
      <c r="MI136" s="226"/>
      <c r="MJ136" s="347"/>
      <c r="MK136" s="347"/>
      <c r="ML136" s="347" t="s">
        <v>656</v>
      </c>
      <c r="MM136" s="347"/>
      <c r="MN136" s="348"/>
      <c r="MO136" s="348"/>
      <c r="MP136" s="348"/>
      <c r="MQ136" s="348"/>
      <c r="MR136" s="348" t="s">
        <v>1482</v>
      </c>
      <c r="MS136" s="348"/>
      <c r="MT136" s="347"/>
      <c r="MU136" s="348"/>
      <c r="MV136" s="347"/>
      <c r="MW136" s="347"/>
      <c r="MX136" s="226"/>
      <c r="MY136" s="226"/>
      <c r="MZ136" s="226"/>
      <c r="NA136" s="226"/>
    </row>
    <row r="137" spans="1:365" ht="51" x14ac:dyDescent="0.2">
      <c r="A137" s="1216"/>
      <c r="B137" s="1217" t="s">
        <v>235</v>
      </c>
      <c r="C137" s="1218" t="s">
        <v>236</v>
      </c>
      <c r="D137" s="215" t="s">
        <v>204</v>
      </c>
      <c r="E137" s="225" t="s">
        <v>5368</v>
      </c>
      <c r="F137" s="225" t="s">
        <v>479</v>
      </c>
      <c r="G137" s="225" t="s">
        <v>539</v>
      </c>
      <c r="H137" s="225" t="s">
        <v>539</v>
      </c>
      <c r="I137" s="225" t="s">
        <v>539</v>
      </c>
      <c r="J137" s="225" t="s">
        <v>539</v>
      </c>
      <c r="K137" s="225" t="s">
        <v>479</v>
      </c>
      <c r="L137" s="225" t="s">
        <v>479</v>
      </c>
      <c r="M137" s="225" t="s">
        <v>479</v>
      </c>
      <c r="N137" s="225" t="s">
        <v>479</v>
      </c>
      <c r="O137" s="225" t="s">
        <v>470</v>
      </c>
      <c r="P137" s="400" t="s">
        <v>470</v>
      </c>
      <c r="Q137" s="225" t="s">
        <v>479</v>
      </c>
      <c r="R137" s="322" t="s">
        <v>470</v>
      </c>
      <c r="S137" s="225" t="s">
        <v>470</v>
      </c>
      <c r="T137" s="225"/>
      <c r="U137" s="225" t="s">
        <v>539</v>
      </c>
      <c r="V137" s="225" t="s">
        <v>479</v>
      </c>
      <c r="W137" s="226"/>
      <c r="X137" s="226"/>
      <c r="Y137" s="226"/>
      <c r="Z137" s="226"/>
      <c r="AA137" s="226"/>
      <c r="AB137" s="226"/>
      <c r="AC137" s="226"/>
      <c r="AD137" s="226"/>
      <c r="AE137" s="226"/>
      <c r="AF137" s="225" t="s">
        <v>479</v>
      </c>
      <c r="AG137" s="225"/>
      <c r="AH137" s="226"/>
      <c r="AI137" s="225" t="s">
        <v>470</v>
      </c>
      <c r="AJ137" s="225" t="s">
        <v>470</v>
      </c>
      <c r="AK137" s="229" t="s">
        <v>470</v>
      </c>
      <c r="AL137" s="225" t="s">
        <v>470</v>
      </c>
      <c r="AM137" s="226"/>
      <c r="AN137" s="226"/>
      <c r="AO137" s="226"/>
      <c r="AP137" s="226"/>
      <c r="AQ137" s="225" t="s">
        <v>470</v>
      </c>
      <c r="AR137" s="225" t="s">
        <v>470</v>
      </c>
      <c r="AS137" s="225" t="s">
        <v>470</v>
      </c>
      <c r="AT137" s="225" t="s">
        <v>470</v>
      </c>
      <c r="AU137" s="225" t="s">
        <v>656</v>
      </c>
      <c r="AV137" s="322" t="s">
        <v>479</v>
      </c>
      <c r="AW137" s="225"/>
      <c r="AX137" s="225"/>
      <c r="AY137" s="229" t="s">
        <v>2234</v>
      </c>
      <c r="AZ137" s="225" t="s">
        <v>470</v>
      </c>
      <c r="BA137" s="225"/>
      <c r="BB137" s="225" t="s">
        <v>470</v>
      </c>
      <c r="BC137" s="225" t="s">
        <v>470</v>
      </c>
      <c r="BD137" s="225" t="s">
        <v>479</v>
      </c>
      <c r="BE137" s="229" t="s">
        <v>470</v>
      </c>
      <c r="BF137" s="225" t="s">
        <v>470</v>
      </c>
      <c r="BG137" s="225" t="s">
        <v>479</v>
      </c>
      <c r="BH137" s="225" t="s">
        <v>470</v>
      </c>
      <c r="BI137" s="225" t="s">
        <v>479</v>
      </c>
      <c r="BJ137" s="225" t="s">
        <v>470</v>
      </c>
      <c r="BK137" s="225" t="s">
        <v>479</v>
      </c>
      <c r="BL137" s="225"/>
      <c r="BM137" s="225" t="s">
        <v>470</v>
      </c>
      <c r="BN137" s="226"/>
      <c r="BO137" s="225" t="s">
        <v>479</v>
      </c>
      <c r="BP137" s="225"/>
      <c r="BQ137" s="225" t="s">
        <v>479</v>
      </c>
      <c r="BR137" s="233" t="s">
        <v>470</v>
      </c>
      <c r="BS137" s="225" t="s">
        <v>656</v>
      </c>
      <c r="BT137" s="225"/>
      <c r="BU137" s="225"/>
      <c r="BV137" s="225" t="s">
        <v>470</v>
      </c>
      <c r="BW137" s="225"/>
      <c r="BX137" s="225" t="s">
        <v>470</v>
      </c>
      <c r="BY137" s="225" t="s">
        <v>470</v>
      </c>
      <c r="BZ137" s="225" t="s">
        <v>470</v>
      </c>
      <c r="CA137" s="225" t="s">
        <v>479</v>
      </c>
      <c r="CB137" s="225" t="s">
        <v>479</v>
      </c>
      <c r="CC137" s="225" t="s">
        <v>470</v>
      </c>
      <c r="CD137" s="229" t="s">
        <v>470</v>
      </c>
      <c r="CE137" s="229" t="s">
        <v>470</v>
      </c>
      <c r="CF137" s="229"/>
      <c r="CG137" s="229" t="s">
        <v>470</v>
      </c>
      <c r="CH137" s="229" t="s">
        <v>479</v>
      </c>
      <c r="CI137" s="229"/>
      <c r="CJ137" s="229" t="s">
        <v>470</v>
      </c>
      <c r="CK137" s="229"/>
      <c r="CL137" s="229" t="s">
        <v>470</v>
      </c>
      <c r="CM137" s="229" t="s">
        <v>470</v>
      </c>
      <c r="CN137" s="225"/>
      <c r="CO137" s="225" t="s">
        <v>470</v>
      </c>
      <c r="CP137" s="225" t="s">
        <v>479</v>
      </c>
      <c r="CQ137" s="406" t="s">
        <v>470</v>
      </c>
      <c r="CR137" s="394"/>
      <c r="CS137" s="225"/>
      <c r="CT137" s="225"/>
      <c r="CU137" s="322" t="s">
        <v>470</v>
      </c>
      <c r="CV137" s="225" t="s">
        <v>470</v>
      </c>
      <c r="CW137" s="225" t="s">
        <v>656</v>
      </c>
      <c r="CX137" s="225" t="s">
        <v>470</v>
      </c>
      <c r="CY137" s="225" t="s">
        <v>470</v>
      </c>
      <c r="CZ137" s="225" t="s">
        <v>479</v>
      </c>
      <c r="DA137" s="225" t="s">
        <v>689</v>
      </c>
      <c r="DB137" s="225" t="s">
        <v>470</v>
      </c>
      <c r="DC137" s="225"/>
      <c r="DD137" s="225" t="s">
        <v>470</v>
      </c>
      <c r="DE137" s="225" t="s">
        <v>470</v>
      </c>
      <c r="DF137" s="225" t="s">
        <v>470</v>
      </c>
      <c r="DG137" s="225" t="s">
        <v>470</v>
      </c>
      <c r="DH137" s="225" t="s">
        <v>470</v>
      </c>
      <c r="DI137" s="225" t="s">
        <v>470</v>
      </c>
      <c r="DJ137" s="225" t="s">
        <v>470</v>
      </c>
      <c r="DK137" s="225" t="s">
        <v>470</v>
      </c>
      <c r="DL137" s="225" t="s">
        <v>470</v>
      </c>
      <c r="DM137" s="225"/>
      <c r="DN137" s="225" t="s">
        <v>479</v>
      </c>
      <c r="DO137" s="225"/>
      <c r="DP137" s="225" t="s">
        <v>479</v>
      </c>
      <c r="DQ137" s="225" t="s">
        <v>479</v>
      </c>
      <c r="DR137" s="225" t="s">
        <v>479</v>
      </c>
      <c r="DS137" s="225" t="s">
        <v>479</v>
      </c>
      <c r="DT137" s="225" t="s">
        <v>479</v>
      </c>
      <c r="DU137" s="225" t="s">
        <v>470</v>
      </c>
      <c r="DV137" s="225" t="s">
        <v>470</v>
      </c>
      <c r="DW137" s="246" t="s">
        <v>479</v>
      </c>
      <c r="DX137" s="225" t="s">
        <v>479</v>
      </c>
      <c r="DY137" s="225" t="s">
        <v>539</v>
      </c>
      <c r="DZ137" s="225" t="s">
        <v>470</v>
      </c>
      <c r="EA137" s="225" t="s">
        <v>479</v>
      </c>
      <c r="EB137" s="225" t="s">
        <v>470</v>
      </c>
      <c r="EC137" s="226"/>
      <c r="ED137" s="225" t="s">
        <v>470</v>
      </c>
      <c r="EE137" s="225" t="s">
        <v>470</v>
      </c>
      <c r="EF137" s="225"/>
      <c r="EG137" s="226"/>
      <c r="EH137" s="225" t="s">
        <v>470</v>
      </c>
      <c r="EI137" s="225" t="s">
        <v>470</v>
      </c>
      <c r="EJ137" s="226"/>
      <c r="EK137" s="226"/>
      <c r="EL137" s="226"/>
      <c r="EM137" s="226"/>
      <c r="EN137" s="226"/>
      <c r="EO137" s="226"/>
      <c r="EP137" s="226"/>
      <c r="EQ137" s="226"/>
      <c r="ER137" s="225" t="s">
        <v>470</v>
      </c>
      <c r="ES137" s="225" t="s">
        <v>470</v>
      </c>
      <c r="ET137" s="322" t="s">
        <v>470</v>
      </c>
      <c r="EU137" s="322" t="s">
        <v>470</v>
      </c>
      <c r="EV137" s="322" t="s">
        <v>470</v>
      </c>
      <c r="EW137" s="225" t="s">
        <v>470</v>
      </c>
      <c r="EX137" s="225" t="s">
        <v>479</v>
      </c>
      <c r="EY137" s="225" t="s">
        <v>470</v>
      </c>
      <c r="EZ137" s="229" t="s">
        <v>479</v>
      </c>
      <c r="FA137" s="225" t="s">
        <v>470</v>
      </c>
      <c r="FB137" s="225" t="s">
        <v>470</v>
      </c>
      <c r="FC137" s="225"/>
      <c r="FD137" s="226"/>
      <c r="FE137" s="404" t="s">
        <v>539</v>
      </c>
      <c r="FF137" s="225" t="s">
        <v>470</v>
      </c>
      <c r="FG137" s="225" t="s">
        <v>470</v>
      </c>
      <c r="FH137" s="225" t="s">
        <v>470</v>
      </c>
      <c r="FI137" s="465" t="s">
        <v>479</v>
      </c>
      <c r="FJ137" s="465" t="s">
        <v>689</v>
      </c>
      <c r="FK137" s="465"/>
      <c r="FL137" s="465" t="s">
        <v>470</v>
      </c>
      <c r="FM137" s="225" t="s">
        <v>470</v>
      </c>
      <c r="FN137" s="225"/>
      <c r="FO137" s="465" t="s">
        <v>479</v>
      </c>
      <c r="FP137" s="465"/>
      <c r="FQ137" s="465" t="s">
        <v>479</v>
      </c>
      <c r="FR137" s="394"/>
      <c r="FS137" s="394"/>
      <c r="FT137" s="394"/>
      <c r="FU137" s="226"/>
      <c r="FV137" s="394"/>
      <c r="FW137" s="394" t="s">
        <v>479</v>
      </c>
      <c r="FX137" s="394" t="s">
        <v>479</v>
      </c>
      <c r="FY137" s="226"/>
      <c r="FZ137" s="394" t="s">
        <v>689</v>
      </c>
      <c r="GA137" s="394"/>
      <c r="GB137" s="394" t="s">
        <v>479</v>
      </c>
      <c r="GC137" s="394"/>
      <c r="GD137" s="394" t="s">
        <v>470</v>
      </c>
      <c r="GE137" s="394" t="s">
        <v>479</v>
      </c>
      <c r="GF137" s="394" t="s">
        <v>479</v>
      </c>
      <c r="GG137" s="394" t="s">
        <v>470</v>
      </c>
      <c r="GH137" s="394" t="s">
        <v>470</v>
      </c>
      <c r="GI137" s="226"/>
      <c r="GJ137" s="394" t="s">
        <v>470</v>
      </c>
      <c r="GK137" s="394" t="s">
        <v>479</v>
      </c>
      <c r="GL137" s="394" t="s">
        <v>479</v>
      </c>
      <c r="GM137" s="394" t="s">
        <v>479</v>
      </c>
      <c r="GN137" s="394" t="s">
        <v>479</v>
      </c>
      <c r="GO137" s="226"/>
      <c r="GP137" s="394"/>
      <c r="GQ137" s="226"/>
      <c r="GR137" s="394"/>
      <c r="GS137" s="394"/>
      <c r="GT137" s="394"/>
      <c r="GU137" s="394" t="s">
        <v>470</v>
      </c>
      <c r="GV137" s="394" t="s">
        <v>470</v>
      </c>
      <c r="GW137" s="226"/>
      <c r="GX137" s="225" t="s">
        <v>470</v>
      </c>
      <c r="GY137" s="225" t="s">
        <v>470</v>
      </c>
      <c r="GZ137" s="394" t="s">
        <v>470</v>
      </c>
      <c r="HA137" s="225" t="s">
        <v>470</v>
      </c>
      <c r="HB137" s="225" t="s">
        <v>479</v>
      </c>
      <c r="HC137" s="225" t="s">
        <v>470</v>
      </c>
      <c r="HD137" s="225" t="s">
        <v>470</v>
      </c>
      <c r="HE137" s="225" t="s">
        <v>470</v>
      </c>
      <c r="HF137" s="226"/>
      <c r="HG137" s="227" t="s">
        <v>479</v>
      </c>
      <c r="HH137" s="227" t="s">
        <v>470</v>
      </c>
      <c r="HI137" s="227" t="s">
        <v>470</v>
      </c>
      <c r="HJ137" s="225" t="s">
        <v>470</v>
      </c>
      <c r="HK137" s="227" t="s">
        <v>656</v>
      </c>
      <c r="HL137" s="226"/>
      <c r="HM137" s="225" t="s">
        <v>479</v>
      </c>
      <c r="HN137" s="226"/>
      <c r="HO137" s="225" t="s">
        <v>479</v>
      </c>
      <c r="HP137" s="225" t="s">
        <v>470</v>
      </c>
      <c r="HQ137" s="225" t="s">
        <v>873</v>
      </c>
      <c r="HR137" s="225" t="s">
        <v>873</v>
      </c>
      <c r="HS137" s="225" t="s">
        <v>479</v>
      </c>
      <c r="HT137" s="225" t="s">
        <v>479</v>
      </c>
      <c r="HU137" s="225" t="s">
        <v>470</v>
      </c>
      <c r="HV137" s="225" t="s">
        <v>479</v>
      </c>
      <c r="HW137" s="225" t="s">
        <v>479</v>
      </c>
      <c r="HX137" s="225" t="s">
        <v>479</v>
      </c>
      <c r="HY137" s="225" t="s">
        <v>470</v>
      </c>
      <c r="HZ137" s="225" t="s">
        <v>470</v>
      </c>
      <c r="IA137" s="225"/>
      <c r="IB137" s="225"/>
      <c r="IC137" s="225"/>
      <c r="ID137" s="322" t="s">
        <v>470</v>
      </c>
      <c r="IE137" s="225" t="s">
        <v>470</v>
      </c>
      <c r="IF137" s="322" t="s">
        <v>470</v>
      </c>
      <c r="IG137" s="225" t="s">
        <v>470</v>
      </c>
      <c r="IH137" s="229" t="s">
        <v>470</v>
      </c>
      <c r="II137" s="225" t="s">
        <v>470</v>
      </c>
      <c r="IJ137" s="225" t="s">
        <v>470</v>
      </c>
      <c r="IK137" s="225" t="s">
        <v>470</v>
      </c>
      <c r="IL137" s="225" t="s">
        <v>539</v>
      </c>
      <c r="IM137" s="225" t="s">
        <v>539</v>
      </c>
      <c r="IN137" s="225" t="s">
        <v>470</v>
      </c>
      <c r="IO137" s="225" t="s">
        <v>470</v>
      </c>
      <c r="IP137" s="225" t="s">
        <v>470</v>
      </c>
      <c r="IQ137" s="225" t="s">
        <v>470</v>
      </c>
      <c r="IR137" s="225" t="s">
        <v>470</v>
      </c>
      <c r="IS137" s="225" t="s">
        <v>470</v>
      </c>
      <c r="IT137" s="225" t="s">
        <v>470</v>
      </c>
      <c r="IU137" s="225" t="s">
        <v>470</v>
      </c>
      <c r="IV137" s="225" t="s">
        <v>470</v>
      </c>
      <c r="IW137" s="225" t="s">
        <v>470</v>
      </c>
      <c r="IX137" s="225" t="s">
        <v>470</v>
      </c>
      <c r="IY137" s="225" t="s">
        <v>470</v>
      </c>
      <c r="IZ137" s="225"/>
      <c r="JA137" s="225"/>
      <c r="JB137" s="225"/>
      <c r="JC137" s="225" t="s">
        <v>470</v>
      </c>
      <c r="JD137" s="225" t="s">
        <v>479</v>
      </c>
      <c r="JE137" s="226"/>
      <c r="JF137" s="226"/>
      <c r="JG137" s="226"/>
      <c r="JH137" s="225" t="s">
        <v>470</v>
      </c>
      <c r="JI137" s="225" t="s">
        <v>470</v>
      </c>
      <c r="JJ137" s="225" t="s">
        <v>479</v>
      </c>
      <c r="JK137" s="237" t="s">
        <v>470</v>
      </c>
      <c r="JL137" s="225" t="s">
        <v>656</v>
      </c>
      <c r="JM137" s="225" t="s">
        <v>470</v>
      </c>
      <c r="JN137" s="226"/>
      <c r="JO137" s="226"/>
      <c r="JP137" s="226"/>
      <c r="JQ137" s="225" t="s">
        <v>470</v>
      </c>
      <c r="JR137" s="225"/>
      <c r="JS137" s="225" t="s">
        <v>470</v>
      </c>
      <c r="JT137" s="225" t="s">
        <v>470</v>
      </c>
      <c r="JU137" s="225" t="s">
        <v>479</v>
      </c>
      <c r="JV137" s="225" t="s">
        <v>470</v>
      </c>
      <c r="JW137" s="225" t="s">
        <v>470</v>
      </c>
      <c r="JX137" s="225" t="s">
        <v>470</v>
      </c>
      <c r="JY137" s="225" t="s">
        <v>479</v>
      </c>
      <c r="JZ137" s="225" t="s">
        <v>470</v>
      </c>
      <c r="KA137" s="225" t="s">
        <v>470</v>
      </c>
      <c r="KB137" s="225" t="s">
        <v>540</v>
      </c>
      <c r="KC137" s="322" t="s">
        <v>540</v>
      </c>
      <c r="KD137" s="225" t="s">
        <v>470</v>
      </c>
      <c r="KE137" s="232" t="s">
        <v>470</v>
      </c>
      <c r="KF137" s="225"/>
      <c r="KG137" s="225" t="s">
        <v>470</v>
      </c>
      <c r="KH137" s="225"/>
      <c r="KI137" s="225" t="s">
        <v>470</v>
      </c>
      <c r="KJ137" s="322" t="s">
        <v>470</v>
      </c>
      <c r="KK137" s="225"/>
      <c r="KL137" s="225" t="s">
        <v>470</v>
      </c>
      <c r="KM137" s="322" t="s">
        <v>470</v>
      </c>
      <c r="KN137" s="225" t="s">
        <v>470</v>
      </c>
      <c r="KO137" s="225" t="s">
        <v>470</v>
      </c>
      <c r="KP137" s="225" t="s">
        <v>470</v>
      </c>
      <c r="KQ137" s="226"/>
      <c r="KR137" s="226"/>
      <c r="KS137" s="226"/>
      <c r="KT137" s="226"/>
      <c r="KU137" s="226"/>
      <c r="KV137" s="225" t="s">
        <v>470</v>
      </c>
      <c r="KW137" s="225" t="s">
        <v>470</v>
      </c>
      <c r="KX137" s="228" t="s">
        <v>470</v>
      </c>
      <c r="KY137" s="793"/>
      <c r="KZ137" s="225" t="s">
        <v>470</v>
      </c>
      <c r="LA137" s="225" t="s">
        <v>470</v>
      </c>
      <c r="LB137" s="225"/>
      <c r="LC137" s="225" t="s">
        <v>470</v>
      </c>
      <c r="LD137" s="225" t="s">
        <v>470</v>
      </c>
      <c r="LE137" s="225" t="s">
        <v>873</v>
      </c>
      <c r="LF137" s="225" t="s">
        <v>470</v>
      </c>
      <c r="LG137" s="225" t="s">
        <v>470</v>
      </c>
      <c r="LH137" s="225" t="s">
        <v>470</v>
      </c>
      <c r="LI137" s="225" t="s">
        <v>470</v>
      </c>
      <c r="LJ137" s="225" t="s">
        <v>470</v>
      </c>
      <c r="LK137" s="225" t="s">
        <v>479</v>
      </c>
      <c r="LL137" s="225" t="s">
        <v>470</v>
      </c>
      <c r="LM137" s="226"/>
      <c r="LN137" s="225" t="s">
        <v>470</v>
      </c>
      <c r="LO137" s="225" t="s">
        <v>470</v>
      </c>
      <c r="LP137" s="225"/>
      <c r="LQ137" s="225" t="s">
        <v>470</v>
      </c>
      <c r="LR137" s="225" t="s">
        <v>470</v>
      </c>
      <c r="LS137" s="225" t="s">
        <v>470</v>
      </c>
      <c r="LT137" s="234" t="s">
        <v>470</v>
      </c>
      <c r="LU137" s="225"/>
      <c r="LV137" s="225" t="s">
        <v>470</v>
      </c>
      <c r="LW137" s="225" t="s">
        <v>470</v>
      </c>
      <c r="LX137" s="225" t="s">
        <v>479</v>
      </c>
      <c r="LY137" s="225" t="s">
        <v>470</v>
      </c>
      <c r="LZ137" s="225" t="s">
        <v>540</v>
      </c>
      <c r="MA137" s="225" t="s">
        <v>470</v>
      </c>
      <c r="MB137" s="225" t="s">
        <v>470</v>
      </c>
      <c r="MC137" s="225" t="s">
        <v>470</v>
      </c>
      <c r="MD137" s="225" t="s">
        <v>470</v>
      </c>
      <c r="ME137" s="225" t="s">
        <v>479</v>
      </c>
      <c r="MF137" s="225" t="s">
        <v>470</v>
      </c>
      <c r="MG137" s="226"/>
      <c r="MH137" s="226"/>
      <c r="MI137" s="226"/>
      <c r="MJ137" s="235" t="s">
        <v>479</v>
      </c>
      <c r="MK137" s="235"/>
      <c r="ML137" s="347" t="s">
        <v>470</v>
      </c>
      <c r="MM137" s="235" t="s">
        <v>470</v>
      </c>
      <c r="MN137" s="236"/>
      <c r="MO137" s="236" t="s">
        <v>470</v>
      </c>
      <c r="MP137" s="236" t="s">
        <v>470</v>
      </c>
      <c r="MQ137" s="236" t="s">
        <v>479</v>
      </c>
      <c r="MR137" s="236" t="s">
        <v>470</v>
      </c>
      <c r="MS137" s="236"/>
      <c r="MT137" s="235"/>
      <c r="MU137" s="348"/>
      <c r="MV137" s="235" t="s">
        <v>470</v>
      </c>
      <c r="MW137" s="235" t="s">
        <v>470</v>
      </c>
      <c r="MX137" s="226"/>
      <c r="MY137" s="226"/>
      <c r="MZ137" s="226"/>
      <c r="NA137" s="226"/>
    </row>
    <row r="138" spans="1:365" ht="409.6" x14ac:dyDescent="0.2">
      <c r="A138" s="1216"/>
      <c r="B138" s="1217"/>
      <c r="C138" s="1218"/>
      <c r="D138" s="215" t="s">
        <v>205</v>
      </c>
      <c r="E138" s="225" t="s">
        <v>5367</v>
      </c>
      <c r="F138" s="225" t="s">
        <v>5366</v>
      </c>
      <c r="G138" s="225" t="s">
        <v>656</v>
      </c>
      <c r="H138" s="225" t="s">
        <v>656</v>
      </c>
      <c r="I138" s="322" t="s">
        <v>656</v>
      </c>
      <c r="J138" s="225" t="s">
        <v>656</v>
      </c>
      <c r="K138" s="225" t="s">
        <v>5365</v>
      </c>
      <c r="L138" s="225" t="s">
        <v>640</v>
      </c>
      <c r="M138" s="225" t="s">
        <v>640</v>
      </c>
      <c r="N138" s="225" t="s">
        <v>640</v>
      </c>
      <c r="O138" s="225" t="s">
        <v>1924</v>
      </c>
      <c r="P138" s="400" t="s">
        <v>1924</v>
      </c>
      <c r="Q138" s="225" t="s">
        <v>5364</v>
      </c>
      <c r="R138" s="322"/>
      <c r="S138" s="225"/>
      <c r="T138" s="225"/>
      <c r="U138" s="225"/>
      <c r="V138" s="225" t="s">
        <v>5363</v>
      </c>
      <c r="W138" s="226"/>
      <c r="X138" s="226"/>
      <c r="Y138" s="226"/>
      <c r="Z138" s="226"/>
      <c r="AA138" s="226"/>
      <c r="AB138" s="226"/>
      <c r="AC138" s="226"/>
      <c r="AD138" s="226"/>
      <c r="AE138" s="226"/>
      <c r="AF138" s="225" t="s">
        <v>5362</v>
      </c>
      <c r="AG138" s="225"/>
      <c r="AH138" s="226"/>
      <c r="AI138" s="225"/>
      <c r="AJ138" s="225"/>
      <c r="AK138" s="229"/>
      <c r="AL138" s="225"/>
      <c r="AM138" s="226"/>
      <c r="AN138" s="226"/>
      <c r="AO138" s="226"/>
      <c r="AP138" s="226"/>
      <c r="AQ138" s="225"/>
      <c r="AR138" s="225"/>
      <c r="AS138" s="225"/>
      <c r="AT138" s="225" t="s">
        <v>470</v>
      </c>
      <c r="AU138" s="225" t="s">
        <v>656</v>
      </c>
      <c r="AV138" s="322" t="s">
        <v>5361</v>
      </c>
      <c r="AW138" s="225"/>
      <c r="AX138" s="225"/>
      <c r="AY138" s="229" t="s">
        <v>2234</v>
      </c>
      <c r="AZ138" s="225"/>
      <c r="BA138" s="225"/>
      <c r="BB138" s="225"/>
      <c r="BC138" s="225"/>
      <c r="BD138" s="225" t="s">
        <v>5360</v>
      </c>
      <c r="BE138" s="229"/>
      <c r="BF138" s="225"/>
      <c r="BG138" s="225" t="s">
        <v>640</v>
      </c>
      <c r="BH138" s="225" t="s">
        <v>470</v>
      </c>
      <c r="BI138" s="226" t="s">
        <v>5359</v>
      </c>
      <c r="BJ138" s="225"/>
      <c r="BK138" s="225"/>
      <c r="BL138" s="225"/>
      <c r="BM138" s="225"/>
      <c r="BN138" s="226"/>
      <c r="BO138" s="225" t="s">
        <v>920</v>
      </c>
      <c r="BP138" s="225"/>
      <c r="BQ138" s="225" t="s">
        <v>5312</v>
      </c>
      <c r="BR138" s="233" t="s">
        <v>205</v>
      </c>
      <c r="BS138" s="225" t="s">
        <v>656</v>
      </c>
      <c r="BT138" s="225"/>
      <c r="BU138" s="225"/>
      <c r="BV138" s="225"/>
      <c r="BW138" s="225"/>
      <c r="BX138" s="225"/>
      <c r="BY138" s="225"/>
      <c r="BZ138" s="225"/>
      <c r="CA138" s="225" t="s">
        <v>5358</v>
      </c>
      <c r="CB138" s="225" t="s">
        <v>5358</v>
      </c>
      <c r="CC138" s="225"/>
      <c r="CD138" s="229"/>
      <c r="CE138" s="229"/>
      <c r="CF138" s="229"/>
      <c r="CG138" s="229"/>
      <c r="CH138" s="229" t="s">
        <v>5357</v>
      </c>
      <c r="CI138" s="229"/>
      <c r="CJ138" s="229"/>
      <c r="CK138" s="229"/>
      <c r="CL138" s="229"/>
      <c r="CM138" s="229"/>
      <c r="CN138" s="225"/>
      <c r="CO138" s="225"/>
      <c r="CP138" s="225" t="s">
        <v>5356</v>
      </c>
      <c r="CQ138" s="406"/>
      <c r="CR138" s="394"/>
      <c r="CS138" s="225"/>
      <c r="CT138" s="225"/>
      <c r="CU138" s="322">
        <v>0</v>
      </c>
      <c r="CV138" s="225"/>
      <c r="CW138" s="225" t="s">
        <v>656</v>
      </c>
      <c r="CX138" s="225"/>
      <c r="CY138" s="225"/>
      <c r="CZ138" s="225" t="s">
        <v>640</v>
      </c>
      <c r="DA138" s="225" t="s">
        <v>5268</v>
      </c>
      <c r="DB138" s="225"/>
      <c r="DC138" s="225"/>
      <c r="DD138" s="225"/>
      <c r="DE138" s="225"/>
      <c r="DF138" s="225"/>
      <c r="DG138" s="225"/>
      <c r="DH138" s="225"/>
      <c r="DI138" s="225"/>
      <c r="DJ138" s="225"/>
      <c r="DK138" s="225"/>
      <c r="DL138" s="225"/>
      <c r="DM138" s="225"/>
      <c r="DN138" s="225" t="s">
        <v>5268</v>
      </c>
      <c r="DO138" s="225"/>
      <c r="DP138" s="225" t="s">
        <v>5354</v>
      </c>
      <c r="DQ138" s="225" t="s">
        <v>5307</v>
      </c>
      <c r="DR138" s="225" t="s">
        <v>5355</v>
      </c>
      <c r="DS138" s="225" t="s">
        <v>5355</v>
      </c>
      <c r="DT138" s="225" t="s">
        <v>5354</v>
      </c>
      <c r="DU138" s="225"/>
      <c r="DV138" s="225"/>
      <c r="DW138" s="246" t="s">
        <v>5268</v>
      </c>
      <c r="DX138" s="225" t="s">
        <v>5353</v>
      </c>
      <c r="DY138" s="225"/>
      <c r="DZ138" s="225"/>
      <c r="EA138" s="225"/>
      <c r="EB138" s="225"/>
      <c r="EC138" s="226"/>
      <c r="ED138" s="225"/>
      <c r="EE138" s="225" t="s">
        <v>656</v>
      </c>
      <c r="EF138" s="225"/>
      <c r="EG138" s="226"/>
      <c r="EH138" s="225"/>
      <c r="EI138" s="225" t="s">
        <v>656</v>
      </c>
      <c r="EJ138" s="226"/>
      <c r="EK138" s="226"/>
      <c r="EL138" s="226"/>
      <c r="EM138" s="226"/>
      <c r="EN138" s="226"/>
      <c r="EO138" s="226"/>
      <c r="EP138" s="226"/>
      <c r="EQ138" s="226"/>
      <c r="ER138" s="225"/>
      <c r="ES138" s="225"/>
      <c r="ET138" s="225"/>
      <c r="EU138" s="225"/>
      <c r="EV138" s="225"/>
      <c r="EW138" s="225"/>
      <c r="EX138" s="225" t="s">
        <v>5352</v>
      </c>
      <c r="EY138" s="225"/>
      <c r="EZ138" s="229"/>
      <c r="FA138" s="225"/>
      <c r="FB138" s="225"/>
      <c r="FC138" s="225"/>
      <c r="FD138" s="226"/>
      <c r="FE138" s="404"/>
      <c r="FF138" s="225" t="s">
        <v>470</v>
      </c>
      <c r="FG138" s="225" t="s">
        <v>470</v>
      </c>
      <c r="FH138" s="225" t="s">
        <v>470</v>
      </c>
      <c r="FI138" s="465" t="s">
        <v>5351</v>
      </c>
      <c r="FJ138" s="465" t="s">
        <v>5350</v>
      </c>
      <c r="FK138" s="465"/>
      <c r="FL138" s="465" t="s">
        <v>656</v>
      </c>
      <c r="FM138" s="225"/>
      <c r="FN138" s="225"/>
      <c r="FO138" s="465" t="s">
        <v>5349</v>
      </c>
      <c r="FP138" s="465"/>
      <c r="FQ138" s="465" t="s">
        <v>640</v>
      </c>
      <c r="FR138" s="394"/>
      <c r="FS138" s="394"/>
      <c r="FT138" s="394"/>
      <c r="FU138" s="226"/>
      <c r="FV138" s="394"/>
      <c r="FW138" s="388" t="s">
        <v>5348</v>
      </c>
      <c r="FX138" s="388" t="s">
        <v>5347</v>
      </c>
      <c r="FY138" s="226"/>
      <c r="FZ138" s="394"/>
      <c r="GA138" s="394"/>
      <c r="GB138" s="394" t="s">
        <v>640</v>
      </c>
      <c r="GC138" s="394"/>
      <c r="GD138" s="394"/>
      <c r="GE138" s="388" t="s">
        <v>5346</v>
      </c>
      <c r="GF138" s="388" t="s">
        <v>5345</v>
      </c>
      <c r="GG138" s="394" t="s">
        <v>4906</v>
      </c>
      <c r="GH138" s="394" t="s">
        <v>4906</v>
      </c>
      <c r="GI138" s="226"/>
      <c r="GJ138" s="394"/>
      <c r="GK138" s="394" t="s">
        <v>1007</v>
      </c>
      <c r="GL138" s="388" t="s">
        <v>5344</v>
      </c>
      <c r="GM138" s="394" t="s">
        <v>5343</v>
      </c>
      <c r="GN138" s="394" t="s">
        <v>5342</v>
      </c>
      <c r="GO138" s="226"/>
      <c r="GP138" s="394"/>
      <c r="GQ138" s="226"/>
      <c r="GR138" s="394"/>
      <c r="GS138" s="394"/>
      <c r="GT138" s="394"/>
      <c r="GU138" s="394"/>
      <c r="GV138" s="394"/>
      <c r="GW138" s="226"/>
      <c r="GX138" s="225"/>
      <c r="GY138" s="225"/>
      <c r="GZ138" s="394"/>
      <c r="HA138" s="225" t="s">
        <v>5341</v>
      </c>
      <c r="HB138" s="225" t="s">
        <v>5340</v>
      </c>
      <c r="HC138" s="225"/>
      <c r="HD138" s="225"/>
      <c r="HE138" s="225"/>
      <c r="HF138" s="226"/>
      <c r="HG138" s="227" t="s">
        <v>5339</v>
      </c>
      <c r="HH138" s="227" t="s">
        <v>656</v>
      </c>
      <c r="HI138" s="227" t="s">
        <v>656</v>
      </c>
      <c r="HJ138" s="225" t="s">
        <v>656</v>
      </c>
      <c r="HK138" s="227" t="s">
        <v>656</v>
      </c>
      <c r="HL138" s="226"/>
      <c r="HM138" s="225" t="s">
        <v>5338</v>
      </c>
      <c r="HN138" s="226"/>
      <c r="HO138" s="260" t="s">
        <v>5337</v>
      </c>
      <c r="HP138" s="225"/>
      <c r="HQ138" s="225"/>
      <c r="HR138" s="225"/>
      <c r="HS138" s="238" t="s">
        <v>5336</v>
      </c>
      <c r="HT138" s="238" t="s">
        <v>5335</v>
      </c>
      <c r="HU138" s="225"/>
      <c r="HV138" s="322" t="s">
        <v>5334</v>
      </c>
      <c r="HW138" s="225" t="s">
        <v>640</v>
      </c>
      <c r="HX138" s="225" t="s">
        <v>5333</v>
      </c>
      <c r="HY138" s="225"/>
      <c r="HZ138" s="225" t="s">
        <v>656</v>
      </c>
      <c r="IA138" s="225"/>
      <c r="IB138" s="225"/>
      <c r="IC138" s="225"/>
      <c r="ID138" s="225"/>
      <c r="IE138" s="225"/>
      <c r="IF138" s="225"/>
      <c r="IG138" s="225"/>
      <c r="IH138" s="229"/>
      <c r="II138" s="225"/>
      <c r="IJ138" s="225"/>
      <c r="IK138" s="225"/>
      <c r="IL138" s="225"/>
      <c r="IM138" s="225"/>
      <c r="IN138" s="225"/>
      <c r="IO138" s="225"/>
      <c r="IP138" s="225"/>
      <c r="IQ138" s="225"/>
      <c r="IR138" s="225"/>
      <c r="IS138" s="225"/>
      <c r="IT138" s="225"/>
      <c r="IU138" s="225"/>
      <c r="IV138" s="225"/>
      <c r="IW138" s="225"/>
      <c r="IX138" s="225"/>
      <c r="IY138" s="225" t="s">
        <v>656</v>
      </c>
      <c r="IZ138" s="225"/>
      <c r="JA138" s="225"/>
      <c r="JB138" s="225"/>
      <c r="JC138" s="225" t="s">
        <v>656</v>
      </c>
      <c r="JD138" s="225" t="s">
        <v>5332</v>
      </c>
      <c r="JE138" s="226"/>
      <c r="JF138" s="226"/>
      <c r="JG138" s="226"/>
      <c r="JH138" s="225"/>
      <c r="JI138" s="225"/>
      <c r="JJ138" s="225" t="s">
        <v>920</v>
      </c>
      <c r="JK138" s="237"/>
      <c r="JL138" s="225" t="s">
        <v>656</v>
      </c>
      <c r="JM138" s="225"/>
      <c r="JN138" s="226"/>
      <c r="JO138" s="226"/>
      <c r="JP138" s="226"/>
      <c r="JQ138" s="225"/>
      <c r="JR138" s="225"/>
      <c r="JS138" s="225"/>
      <c r="JT138" s="225"/>
      <c r="JU138" s="225" t="s">
        <v>1597</v>
      </c>
      <c r="JV138" s="225"/>
      <c r="JW138" s="225" t="s">
        <v>656</v>
      </c>
      <c r="JX138" s="225" t="s">
        <v>656</v>
      </c>
      <c r="JY138" s="225" t="s">
        <v>5331</v>
      </c>
      <c r="JZ138" s="225" t="s">
        <v>470</v>
      </c>
      <c r="KA138" s="225"/>
      <c r="KB138" s="225" t="s">
        <v>2535</v>
      </c>
      <c r="KC138" s="322" t="s">
        <v>920</v>
      </c>
      <c r="KD138" s="225"/>
      <c r="KE138" s="232"/>
      <c r="KF138" s="225"/>
      <c r="KG138" s="225" t="s">
        <v>470</v>
      </c>
      <c r="KH138" s="225"/>
      <c r="KI138" s="225"/>
      <c r="KJ138" s="225"/>
      <c r="KK138" s="225"/>
      <c r="KL138" s="225" t="s">
        <v>656</v>
      </c>
      <c r="KM138" s="225"/>
      <c r="KN138" s="225"/>
      <c r="KO138" s="225"/>
      <c r="KP138" s="225"/>
      <c r="KQ138" s="226"/>
      <c r="KR138" s="226"/>
      <c r="KS138" s="226"/>
      <c r="KT138" s="226"/>
      <c r="KU138" s="226"/>
      <c r="KV138" s="225" t="s">
        <v>656</v>
      </c>
      <c r="KW138" s="225"/>
      <c r="KX138" s="228"/>
      <c r="KY138" s="793"/>
      <c r="KZ138" s="225"/>
      <c r="LA138" s="225"/>
      <c r="LB138" s="225"/>
      <c r="LC138" s="225"/>
      <c r="LD138" s="225"/>
      <c r="LE138" s="225"/>
      <c r="LF138" s="225"/>
      <c r="LG138" s="225"/>
      <c r="LH138" s="225"/>
      <c r="LI138" s="225"/>
      <c r="LJ138" s="225"/>
      <c r="LK138" s="225" t="s">
        <v>5330</v>
      </c>
      <c r="LL138" s="225"/>
      <c r="LM138" s="226"/>
      <c r="LN138" s="225"/>
      <c r="LO138" s="225"/>
      <c r="LP138" s="225"/>
      <c r="LQ138" s="225"/>
      <c r="LR138" s="225"/>
      <c r="LS138" s="225"/>
      <c r="LT138" s="234"/>
      <c r="LU138" s="225"/>
      <c r="LV138" s="225"/>
      <c r="LW138" s="225"/>
      <c r="LX138" s="264" t="s">
        <v>5329</v>
      </c>
      <c r="LY138" s="225"/>
      <c r="LZ138" s="380" t="s">
        <v>5048</v>
      </c>
      <c r="MA138" s="225"/>
      <c r="MB138" s="225"/>
      <c r="MC138" s="225"/>
      <c r="MD138" s="225"/>
      <c r="ME138" s="225" t="s">
        <v>2533</v>
      </c>
      <c r="MF138" s="225"/>
      <c r="MG138" s="226"/>
      <c r="MH138" s="226"/>
      <c r="MI138" s="226"/>
      <c r="MJ138" s="275" t="s">
        <v>5328</v>
      </c>
      <c r="MK138" s="275"/>
      <c r="ML138" s="347" t="s">
        <v>656</v>
      </c>
      <c r="MM138" s="235"/>
      <c r="MN138" s="236"/>
      <c r="MO138" s="236"/>
      <c r="MP138" s="236"/>
      <c r="MQ138" s="236" t="s">
        <v>1097</v>
      </c>
      <c r="MR138" s="236" t="s">
        <v>1482</v>
      </c>
      <c r="MS138" s="348"/>
      <c r="MT138" s="235"/>
      <c r="MU138" s="348"/>
      <c r="MV138" s="235"/>
      <c r="MW138" s="235"/>
      <c r="MX138" s="226"/>
      <c r="MY138" s="226"/>
      <c r="MZ138" s="226"/>
      <c r="NA138" s="226"/>
    </row>
    <row r="139" spans="1:365" ht="51" x14ac:dyDescent="0.2">
      <c r="A139" s="1216"/>
      <c r="B139" s="1217"/>
      <c r="C139" s="1218"/>
      <c r="D139" s="215" t="s">
        <v>209</v>
      </c>
      <c r="E139" s="322" t="s">
        <v>5327</v>
      </c>
      <c r="F139" s="322" t="s">
        <v>5326</v>
      </c>
      <c r="G139" s="322" t="s">
        <v>656</v>
      </c>
      <c r="H139" s="322" t="s">
        <v>656</v>
      </c>
      <c r="I139" s="322" t="s">
        <v>656</v>
      </c>
      <c r="J139" s="322" t="s">
        <v>656</v>
      </c>
      <c r="K139" s="322">
        <v>11</v>
      </c>
      <c r="L139" s="322">
        <v>14</v>
      </c>
      <c r="M139" s="322">
        <v>8</v>
      </c>
      <c r="N139" s="322">
        <v>8</v>
      </c>
      <c r="O139" s="322">
        <v>0</v>
      </c>
      <c r="P139" s="463">
        <v>0</v>
      </c>
      <c r="Q139" s="322">
        <v>8</v>
      </c>
      <c r="R139" s="322"/>
      <c r="S139" s="322"/>
      <c r="T139" s="322"/>
      <c r="U139" s="322"/>
      <c r="V139" s="322" t="s">
        <v>5325</v>
      </c>
      <c r="W139" s="226"/>
      <c r="X139" s="226"/>
      <c r="Y139" s="226"/>
      <c r="Z139" s="226"/>
      <c r="AA139" s="226"/>
      <c r="AB139" s="226"/>
      <c r="AC139" s="226"/>
      <c r="AD139" s="226"/>
      <c r="AE139" s="226"/>
      <c r="AF139" s="322">
        <v>6</v>
      </c>
      <c r="AG139" s="225"/>
      <c r="AH139" s="226"/>
      <c r="AI139" s="322"/>
      <c r="AJ139" s="322"/>
      <c r="AK139" s="229"/>
      <c r="AL139" s="322"/>
      <c r="AM139" s="226"/>
      <c r="AN139" s="226"/>
      <c r="AO139" s="226"/>
      <c r="AP139" s="226"/>
      <c r="AQ139" s="322"/>
      <c r="AR139" s="322"/>
      <c r="AS139" s="322"/>
      <c r="AT139" s="322">
        <v>0</v>
      </c>
      <c r="AU139" s="322" t="s">
        <v>656</v>
      </c>
      <c r="AV139" s="225">
        <v>10</v>
      </c>
      <c r="AW139" s="322"/>
      <c r="AX139" s="322"/>
      <c r="AY139" s="344" t="s">
        <v>2234</v>
      </c>
      <c r="AZ139" s="322"/>
      <c r="BA139" s="322"/>
      <c r="BB139" s="322"/>
      <c r="BC139" s="322"/>
      <c r="BD139" s="322">
        <v>4</v>
      </c>
      <c r="BE139" s="344"/>
      <c r="BF139" s="225"/>
      <c r="BG139" s="322">
        <v>5</v>
      </c>
      <c r="BH139" s="322" t="s">
        <v>470</v>
      </c>
      <c r="BI139" s="322">
        <v>5</v>
      </c>
      <c r="BJ139" s="322"/>
      <c r="BK139" s="322">
        <v>9</v>
      </c>
      <c r="BL139" s="322"/>
      <c r="BM139" s="322"/>
      <c r="BN139" s="226"/>
      <c r="BO139" s="322">
        <v>7</v>
      </c>
      <c r="BP139" s="322"/>
      <c r="BQ139" s="322">
        <v>10</v>
      </c>
      <c r="BR139" s="233" t="s">
        <v>209</v>
      </c>
      <c r="BS139" s="322" t="s">
        <v>656</v>
      </c>
      <c r="BT139" s="322"/>
      <c r="BU139" s="322"/>
      <c r="BV139" s="322"/>
      <c r="BW139" s="322"/>
      <c r="BX139" s="322"/>
      <c r="BY139" s="322"/>
      <c r="BZ139" s="322"/>
      <c r="CA139" s="322">
        <v>570</v>
      </c>
      <c r="CB139" s="322">
        <v>570</v>
      </c>
      <c r="CC139" s="322"/>
      <c r="CD139" s="344"/>
      <c r="CE139" s="344"/>
      <c r="CF139" s="344"/>
      <c r="CG139" s="344">
        <v>0</v>
      </c>
      <c r="CH139" s="344">
        <v>7</v>
      </c>
      <c r="CI139" s="344"/>
      <c r="CJ139" s="344">
        <v>0</v>
      </c>
      <c r="CK139" s="344"/>
      <c r="CL139" s="344"/>
      <c r="CM139" s="344"/>
      <c r="CN139" s="322"/>
      <c r="CO139" s="322"/>
      <c r="CP139" s="322">
        <v>7</v>
      </c>
      <c r="CQ139" s="464"/>
      <c r="CR139" s="465"/>
      <c r="CS139" s="322"/>
      <c r="CT139" s="322"/>
      <c r="CU139" s="322">
        <v>0</v>
      </c>
      <c r="CV139" s="322"/>
      <c r="CW139" s="322" t="s">
        <v>656</v>
      </c>
      <c r="CX139" s="322"/>
      <c r="CY139" s="322"/>
      <c r="CZ139" s="322">
        <v>11</v>
      </c>
      <c r="DA139" s="322">
        <v>525</v>
      </c>
      <c r="DB139" s="322"/>
      <c r="DC139" s="322"/>
      <c r="DD139" s="322"/>
      <c r="DE139" s="322"/>
      <c r="DF139" s="322"/>
      <c r="DG139" s="322"/>
      <c r="DH139" s="322"/>
      <c r="DI139" s="322"/>
      <c r="DJ139" s="322"/>
      <c r="DK139" s="322"/>
      <c r="DL139" s="322"/>
      <c r="DM139" s="322"/>
      <c r="DN139" s="322">
        <v>8</v>
      </c>
      <c r="DO139" s="322"/>
      <c r="DP139" s="322">
        <v>7</v>
      </c>
      <c r="DQ139" s="322">
        <v>7</v>
      </c>
      <c r="DR139" s="322">
        <v>7</v>
      </c>
      <c r="DS139" s="322">
        <v>7</v>
      </c>
      <c r="DT139" s="322">
        <v>7</v>
      </c>
      <c r="DU139" s="322">
        <v>0</v>
      </c>
      <c r="DV139" s="322"/>
      <c r="DW139" s="246">
        <v>5</v>
      </c>
      <c r="DX139" s="322">
        <v>8</v>
      </c>
      <c r="DY139" s="322"/>
      <c r="DZ139" s="322"/>
      <c r="EA139" s="322"/>
      <c r="EB139" s="322"/>
      <c r="EC139" s="226"/>
      <c r="ED139" s="322"/>
      <c r="EE139" s="322" t="s">
        <v>656</v>
      </c>
      <c r="EF139" s="322"/>
      <c r="EG139" s="226"/>
      <c r="EH139" s="322"/>
      <c r="EI139" s="322" t="s">
        <v>656</v>
      </c>
      <c r="EJ139" s="226"/>
      <c r="EK139" s="226"/>
      <c r="EL139" s="226"/>
      <c r="EM139" s="226"/>
      <c r="EN139" s="226"/>
      <c r="EO139" s="226"/>
      <c r="EP139" s="226"/>
      <c r="EQ139" s="226"/>
      <c r="ER139" s="322"/>
      <c r="ES139" s="322"/>
      <c r="ET139" s="225"/>
      <c r="EU139" s="225"/>
      <c r="EV139" s="225"/>
      <c r="EW139" s="322"/>
      <c r="EX139" s="322">
        <v>10</v>
      </c>
      <c r="EY139" s="322"/>
      <c r="EZ139" s="344">
        <v>8</v>
      </c>
      <c r="FA139" s="322"/>
      <c r="FB139" s="322"/>
      <c r="FC139" s="322"/>
      <c r="FD139" s="226"/>
      <c r="FE139" s="466"/>
      <c r="FF139" s="225" t="s">
        <v>470</v>
      </c>
      <c r="FG139" s="225" t="s">
        <v>470</v>
      </c>
      <c r="FH139" s="225" t="s">
        <v>470</v>
      </c>
      <c r="FI139" s="465">
        <v>7</v>
      </c>
      <c r="FJ139" s="465">
        <v>67</v>
      </c>
      <c r="FK139" s="465"/>
      <c r="FL139" s="465" t="s">
        <v>656</v>
      </c>
      <c r="FM139" s="322"/>
      <c r="FN139" s="322"/>
      <c r="FO139" s="465">
        <v>5</v>
      </c>
      <c r="FP139" s="465"/>
      <c r="FQ139" s="465">
        <v>17</v>
      </c>
      <c r="FR139" s="465"/>
      <c r="FS139" s="465"/>
      <c r="FT139" s="465"/>
      <c r="FU139" s="226"/>
      <c r="FV139" s="465"/>
      <c r="FW139" s="465">
        <v>7</v>
      </c>
      <c r="FX139" s="465">
        <v>7</v>
      </c>
      <c r="FY139" s="226"/>
      <c r="FZ139" s="465">
        <v>6</v>
      </c>
      <c r="GA139" s="465"/>
      <c r="GB139" s="465">
        <v>11</v>
      </c>
      <c r="GC139" s="465"/>
      <c r="GD139" s="465"/>
      <c r="GE139" s="465" t="s">
        <v>5324</v>
      </c>
      <c r="GF139" s="465">
        <v>9</v>
      </c>
      <c r="GG139" s="394" t="s">
        <v>4906</v>
      </c>
      <c r="GH139" s="394" t="s">
        <v>4906</v>
      </c>
      <c r="GI139" s="226"/>
      <c r="GJ139" s="465"/>
      <c r="GK139" s="465">
        <v>728</v>
      </c>
      <c r="GL139" s="465">
        <v>6</v>
      </c>
      <c r="GM139" s="465">
        <v>8</v>
      </c>
      <c r="GN139" s="465">
        <v>5</v>
      </c>
      <c r="GO139" s="226"/>
      <c r="GP139" s="465"/>
      <c r="GQ139" s="226"/>
      <c r="GR139" s="465"/>
      <c r="GS139" s="465"/>
      <c r="GT139" s="465"/>
      <c r="GU139" s="465"/>
      <c r="GV139" s="465"/>
      <c r="GW139" s="226"/>
      <c r="GX139" s="322"/>
      <c r="GY139" s="322"/>
      <c r="GZ139" s="465"/>
      <c r="HA139" s="322">
        <v>21</v>
      </c>
      <c r="HB139" s="322">
        <v>8</v>
      </c>
      <c r="HC139" s="322"/>
      <c r="HD139" s="322"/>
      <c r="HE139" s="322"/>
      <c r="HF139" s="226"/>
      <c r="HG139" s="343">
        <v>12</v>
      </c>
      <c r="HH139" s="343" t="s">
        <v>656</v>
      </c>
      <c r="HI139" s="343" t="s">
        <v>656</v>
      </c>
      <c r="HJ139" s="225" t="s">
        <v>656</v>
      </c>
      <c r="HK139" s="343" t="s">
        <v>656</v>
      </c>
      <c r="HL139" s="226"/>
      <c r="HM139" s="322">
        <v>5</v>
      </c>
      <c r="HN139" s="226"/>
      <c r="HO139" s="322">
        <v>32</v>
      </c>
      <c r="HP139" s="322"/>
      <c r="HQ139" s="322"/>
      <c r="HR139" s="322"/>
      <c r="HS139" s="322">
        <v>8</v>
      </c>
      <c r="HT139" s="322">
        <v>9</v>
      </c>
      <c r="HU139" s="322"/>
      <c r="HV139" s="322"/>
      <c r="HW139" s="322">
        <v>24</v>
      </c>
      <c r="HX139" s="322">
        <v>11</v>
      </c>
      <c r="HY139" s="322"/>
      <c r="HZ139" s="322" t="s">
        <v>656</v>
      </c>
      <c r="IA139" s="322"/>
      <c r="IB139" s="322"/>
      <c r="IC139" s="322"/>
      <c r="ID139" s="322"/>
      <c r="IE139" s="322"/>
      <c r="IF139" s="322"/>
      <c r="IG139" s="322"/>
      <c r="IH139" s="344"/>
      <c r="II139" s="322"/>
      <c r="IJ139" s="322"/>
      <c r="IK139" s="322"/>
      <c r="IL139" s="322"/>
      <c r="IM139" s="322"/>
      <c r="IN139" s="322"/>
      <c r="IO139" s="322"/>
      <c r="IP139" s="322"/>
      <c r="IQ139" s="322"/>
      <c r="IR139" s="322"/>
      <c r="IS139" s="322"/>
      <c r="IT139" s="322"/>
      <c r="IU139" s="322"/>
      <c r="IV139" s="322"/>
      <c r="IW139" s="322"/>
      <c r="IX139" s="322"/>
      <c r="IY139" s="322" t="s">
        <v>656</v>
      </c>
      <c r="IZ139" s="322"/>
      <c r="JA139" s="322"/>
      <c r="JB139" s="322"/>
      <c r="JC139" s="322" t="s">
        <v>656</v>
      </c>
      <c r="JD139" s="322">
        <v>7</v>
      </c>
      <c r="JE139" s="226"/>
      <c r="JF139" s="226"/>
      <c r="JG139" s="226"/>
      <c r="JH139" s="322"/>
      <c r="JI139" s="322"/>
      <c r="JJ139" s="322">
        <v>96</v>
      </c>
      <c r="JK139" s="345"/>
      <c r="JL139" s="322" t="s">
        <v>656</v>
      </c>
      <c r="JM139" s="322"/>
      <c r="JN139" s="226"/>
      <c r="JO139" s="226"/>
      <c r="JP139" s="226"/>
      <c r="JQ139" s="322"/>
      <c r="JR139" s="322"/>
      <c r="JS139" s="322"/>
      <c r="JT139" s="322"/>
      <c r="JU139" s="322">
        <v>38</v>
      </c>
      <c r="JV139" s="322"/>
      <c r="JW139" s="322" t="s">
        <v>656</v>
      </c>
      <c r="JX139" s="322" t="s">
        <v>656</v>
      </c>
      <c r="JY139" s="322">
        <v>17</v>
      </c>
      <c r="JZ139" s="322" t="s">
        <v>470</v>
      </c>
      <c r="KA139" s="322"/>
      <c r="KB139" s="322">
        <v>9</v>
      </c>
      <c r="KC139" s="322">
        <v>9</v>
      </c>
      <c r="KD139" s="322"/>
      <c r="KE139" s="232"/>
      <c r="KF139" s="322"/>
      <c r="KG139" s="225" t="s">
        <v>470</v>
      </c>
      <c r="KH139" s="322"/>
      <c r="KI139" s="322"/>
      <c r="KJ139" s="322"/>
      <c r="KK139" s="322"/>
      <c r="KL139" s="322" t="s">
        <v>656</v>
      </c>
      <c r="KM139" s="322"/>
      <c r="KN139" s="322"/>
      <c r="KO139" s="322"/>
      <c r="KP139" s="322"/>
      <c r="KQ139" s="226"/>
      <c r="KR139" s="226"/>
      <c r="KS139" s="226"/>
      <c r="KT139" s="226"/>
      <c r="KU139" s="226"/>
      <c r="KV139" s="322" t="s">
        <v>656</v>
      </c>
      <c r="KW139" s="322"/>
      <c r="KX139" s="383"/>
      <c r="KY139" s="386"/>
      <c r="KZ139" s="322"/>
      <c r="LA139" s="322"/>
      <c r="LB139" s="322"/>
      <c r="LC139" s="322"/>
      <c r="LD139" s="322"/>
      <c r="LE139" s="322"/>
      <c r="LF139" s="322"/>
      <c r="LG139" s="322"/>
      <c r="LH139" s="322"/>
      <c r="LI139" s="322"/>
      <c r="LJ139" s="322"/>
      <c r="LK139" s="322">
        <v>4</v>
      </c>
      <c r="LL139" s="322"/>
      <c r="LM139" s="226"/>
      <c r="LN139" s="322">
        <v>0</v>
      </c>
      <c r="LO139" s="322">
        <v>0</v>
      </c>
      <c r="LP139" s="322">
        <v>0</v>
      </c>
      <c r="LQ139" s="322">
        <v>0</v>
      </c>
      <c r="LR139" s="322">
        <v>0</v>
      </c>
      <c r="LS139" s="322">
        <v>0</v>
      </c>
      <c r="LT139" s="346">
        <v>0</v>
      </c>
      <c r="LU139" s="322" t="e">
        <v>#REF!</v>
      </c>
      <c r="LV139" s="322"/>
      <c r="LW139" s="322"/>
      <c r="LX139" s="322">
        <v>6</v>
      </c>
      <c r="LY139" s="322"/>
      <c r="LZ139" s="380"/>
      <c r="MA139" s="322"/>
      <c r="MB139" s="322"/>
      <c r="MC139" s="322">
        <v>0</v>
      </c>
      <c r="MD139" s="322">
        <v>0</v>
      </c>
      <c r="ME139" s="322">
        <v>4</v>
      </c>
      <c r="MF139" s="322"/>
      <c r="MG139" s="226"/>
      <c r="MH139" s="226"/>
      <c r="MI139" s="226"/>
      <c r="MJ139" s="325">
        <v>15</v>
      </c>
      <c r="MK139" s="325"/>
      <c r="ML139" s="347" t="s">
        <v>656</v>
      </c>
      <c r="MM139" s="347"/>
      <c r="MN139" s="348"/>
      <c r="MO139" s="348"/>
      <c r="MP139" s="348"/>
      <c r="MQ139" s="236" t="s">
        <v>5323</v>
      </c>
      <c r="MR139" s="348" t="s">
        <v>1482</v>
      </c>
      <c r="MS139" s="348"/>
      <c r="MT139" s="347"/>
      <c r="MU139" s="348"/>
      <c r="MV139" s="347"/>
      <c r="MW139" s="347"/>
      <c r="MX139" s="226"/>
      <c r="MY139" s="226"/>
      <c r="MZ139" s="226"/>
      <c r="NA139" s="226"/>
    </row>
    <row r="140" spans="1:365" ht="170" x14ac:dyDescent="0.2">
      <c r="A140" s="1216"/>
      <c r="B140" s="1217" t="s">
        <v>237</v>
      </c>
      <c r="C140" s="1218" t="s">
        <v>238</v>
      </c>
      <c r="D140" s="215" t="s">
        <v>204</v>
      </c>
      <c r="E140" s="226" t="s">
        <v>470</v>
      </c>
      <c r="F140" s="226" t="s">
        <v>470</v>
      </c>
      <c r="G140" s="322" t="s">
        <v>540</v>
      </c>
      <c r="H140" s="322" t="s">
        <v>540</v>
      </c>
      <c r="I140" s="322" t="s">
        <v>539</v>
      </c>
      <c r="J140" s="322" t="s">
        <v>540</v>
      </c>
      <c r="K140" s="225" t="s">
        <v>470</v>
      </c>
      <c r="L140" s="225" t="s">
        <v>470</v>
      </c>
      <c r="M140" s="225" t="s">
        <v>470</v>
      </c>
      <c r="N140" s="225" t="s">
        <v>470</v>
      </c>
      <c r="O140" s="322" t="s">
        <v>479</v>
      </c>
      <c r="P140" s="400" t="s">
        <v>470</v>
      </c>
      <c r="Q140" s="322" t="s">
        <v>470</v>
      </c>
      <c r="R140" s="322" t="s">
        <v>470</v>
      </c>
      <c r="S140" s="322" t="s">
        <v>470</v>
      </c>
      <c r="T140" s="322"/>
      <c r="U140" s="322" t="s">
        <v>539</v>
      </c>
      <c r="V140" s="322" t="s">
        <v>470</v>
      </c>
      <c r="W140" s="226"/>
      <c r="X140" s="226"/>
      <c r="Y140" s="226"/>
      <c r="Z140" s="226"/>
      <c r="AA140" s="226"/>
      <c r="AB140" s="226"/>
      <c r="AC140" s="226"/>
      <c r="AD140" s="226"/>
      <c r="AE140" s="226"/>
      <c r="AF140" s="322" t="s">
        <v>470</v>
      </c>
      <c r="AG140" s="225" t="s">
        <v>479</v>
      </c>
      <c r="AH140" s="226"/>
      <c r="AI140" s="322" t="s">
        <v>470</v>
      </c>
      <c r="AJ140" s="322" t="s">
        <v>470</v>
      </c>
      <c r="AK140" s="229" t="s">
        <v>470</v>
      </c>
      <c r="AL140" s="322" t="s">
        <v>470</v>
      </c>
      <c r="AM140" s="226"/>
      <c r="AN140" s="226"/>
      <c r="AO140" s="226"/>
      <c r="AP140" s="226"/>
      <c r="AQ140" s="322" t="s">
        <v>479</v>
      </c>
      <c r="AR140" s="322" t="s">
        <v>470</v>
      </c>
      <c r="AS140" s="322" t="s">
        <v>470</v>
      </c>
      <c r="AT140" s="322" t="s">
        <v>479</v>
      </c>
      <c r="AU140" s="322" t="s">
        <v>656</v>
      </c>
      <c r="AV140" s="225" t="s">
        <v>470</v>
      </c>
      <c r="AW140" s="322" t="s">
        <v>479</v>
      </c>
      <c r="AX140" s="322" t="s">
        <v>479</v>
      </c>
      <c r="AY140" s="229" t="s">
        <v>2234</v>
      </c>
      <c r="AZ140" s="322" t="s">
        <v>479</v>
      </c>
      <c r="BA140" s="322"/>
      <c r="BB140" s="322" t="s">
        <v>479</v>
      </c>
      <c r="BC140" s="322" t="s">
        <v>479</v>
      </c>
      <c r="BD140" s="322" t="s">
        <v>470</v>
      </c>
      <c r="BE140" s="344" t="s">
        <v>479</v>
      </c>
      <c r="BF140" s="322" t="s">
        <v>470</v>
      </c>
      <c r="BG140" s="322" t="s">
        <v>470</v>
      </c>
      <c r="BH140" s="322" t="s">
        <v>540</v>
      </c>
      <c r="BI140" s="322" t="s">
        <v>470</v>
      </c>
      <c r="BJ140" s="322" t="s">
        <v>479</v>
      </c>
      <c r="BK140" s="322" t="s">
        <v>470</v>
      </c>
      <c r="BL140" s="322" t="s">
        <v>479</v>
      </c>
      <c r="BM140" s="322" t="s">
        <v>479</v>
      </c>
      <c r="BN140" s="226"/>
      <c r="BO140" s="322" t="s">
        <v>470</v>
      </c>
      <c r="BP140" s="322"/>
      <c r="BQ140" s="322" t="s">
        <v>479</v>
      </c>
      <c r="BR140" s="233" t="s">
        <v>470</v>
      </c>
      <c r="BS140" s="322" t="s">
        <v>689</v>
      </c>
      <c r="BT140" s="322"/>
      <c r="BU140" s="322"/>
      <c r="BV140" s="322" t="s">
        <v>470</v>
      </c>
      <c r="BW140" s="322"/>
      <c r="BX140" s="322" t="s">
        <v>470</v>
      </c>
      <c r="BY140" s="322" t="s">
        <v>470</v>
      </c>
      <c r="BZ140" s="322" t="s">
        <v>470</v>
      </c>
      <c r="CA140" s="322" t="s">
        <v>470</v>
      </c>
      <c r="CB140" s="322" t="s">
        <v>470</v>
      </c>
      <c r="CC140" s="322" t="s">
        <v>479</v>
      </c>
      <c r="CD140" s="344" t="s">
        <v>479</v>
      </c>
      <c r="CE140" s="344" t="s">
        <v>479</v>
      </c>
      <c r="CF140" s="344"/>
      <c r="CG140" s="344" t="s">
        <v>470</v>
      </c>
      <c r="CH140" s="344"/>
      <c r="CI140" s="344"/>
      <c r="CJ140" s="344" t="s">
        <v>470</v>
      </c>
      <c r="CK140" s="344"/>
      <c r="CL140" s="344" t="s">
        <v>470</v>
      </c>
      <c r="CM140" s="344" t="s">
        <v>470</v>
      </c>
      <c r="CN140" s="322"/>
      <c r="CO140" s="322" t="s">
        <v>470</v>
      </c>
      <c r="CP140" s="322"/>
      <c r="CQ140" s="464" t="s">
        <v>479</v>
      </c>
      <c r="CR140" s="465"/>
      <c r="CS140" s="322"/>
      <c r="CT140" s="322" t="s">
        <v>479</v>
      </c>
      <c r="CU140" s="322" t="s">
        <v>479</v>
      </c>
      <c r="CV140" s="322" t="s">
        <v>689</v>
      </c>
      <c r="CW140" s="322" t="s">
        <v>479</v>
      </c>
      <c r="CX140" s="322" t="s">
        <v>479</v>
      </c>
      <c r="CY140" s="322" t="s">
        <v>479</v>
      </c>
      <c r="CZ140" s="322"/>
      <c r="DA140" s="322"/>
      <c r="DB140" s="322" t="s">
        <v>479</v>
      </c>
      <c r="DC140" s="225" t="s">
        <v>479</v>
      </c>
      <c r="DD140" s="322" t="s">
        <v>479</v>
      </c>
      <c r="DE140" s="322" t="s">
        <v>470</v>
      </c>
      <c r="DF140" s="322" t="s">
        <v>470</v>
      </c>
      <c r="DG140" s="322" t="s">
        <v>479</v>
      </c>
      <c r="DH140" s="225" t="s">
        <v>479</v>
      </c>
      <c r="DI140" s="322" t="s">
        <v>479</v>
      </c>
      <c r="DJ140" s="225" t="s">
        <v>479</v>
      </c>
      <c r="DK140" s="322" t="s">
        <v>689</v>
      </c>
      <c r="DL140" s="322" t="s">
        <v>479</v>
      </c>
      <c r="DM140" s="322"/>
      <c r="DN140" s="322" t="s">
        <v>470</v>
      </c>
      <c r="DO140" s="322"/>
      <c r="DP140" s="225" t="s">
        <v>470</v>
      </c>
      <c r="DQ140" s="225" t="s">
        <v>470</v>
      </c>
      <c r="DR140" s="225" t="s">
        <v>470</v>
      </c>
      <c r="DS140" s="225" t="s">
        <v>470</v>
      </c>
      <c r="DT140" s="225" t="s">
        <v>470</v>
      </c>
      <c r="DU140" s="322" t="s">
        <v>470</v>
      </c>
      <c r="DV140" s="322" t="s">
        <v>470</v>
      </c>
      <c r="DW140" s="246" t="s">
        <v>470</v>
      </c>
      <c r="DX140" s="322" t="s">
        <v>470</v>
      </c>
      <c r="DY140" s="322" t="s">
        <v>540</v>
      </c>
      <c r="DZ140" s="322" t="s">
        <v>5322</v>
      </c>
      <c r="EA140" s="322" t="s">
        <v>470</v>
      </c>
      <c r="EB140" s="322" t="s">
        <v>470</v>
      </c>
      <c r="EC140" s="226"/>
      <c r="ED140" s="322" t="s">
        <v>479</v>
      </c>
      <c r="EE140" s="322" t="s">
        <v>656</v>
      </c>
      <c r="EF140" s="322" t="s">
        <v>479</v>
      </c>
      <c r="EG140" s="226"/>
      <c r="EH140" s="322" t="s">
        <v>470</v>
      </c>
      <c r="EI140" s="322" t="s">
        <v>470</v>
      </c>
      <c r="EJ140" s="226"/>
      <c r="EK140" s="226"/>
      <c r="EL140" s="226"/>
      <c r="EM140" s="226"/>
      <c r="EN140" s="226"/>
      <c r="EO140" s="226"/>
      <c r="EP140" s="226"/>
      <c r="EQ140" s="226"/>
      <c r="ER140" s="322" t="s">
        <v>470</v>
      </c>
      <c r="ES140" s="322" t="s">
        <v>479</v>
      </c>
      <c r="ET140" s="322" t="s">
        <v>470</v>
      </c>
      <c r="EU140" s="322" t="s">
        <v>470</v>
      </c>
      <c r="EV140" s="322" t="s">
        <v>470</v>
      </c>
      <c r="EW140" s="322" t="s">
        <v>470</v>
      </c>
      <c r="EX140" s="322" t="s">
        <v>470</v>
      </c>
      <c r="EY140" s="322" t="s">
        <v>470</v>
      </c>
      <c r="EZ140" s="344" t="s">
        <v>479</v>
      </c>
      <c r="FA140" s="322" t="s">
        <v>479</v>
      </c>
      <c r="FB140" s="322" t="s">
        <v>470</v>
      </c>
      <c r="FC140" s="322" t="s">
        <v>470</v>
      </c>
      <c r="FD140" s="226"/>
      <c r="FE140" s="466" t="s">
        <v>540</v>
      </c>
      <c r="FF140" s="322" t="s">
        <v>479</v>
      </c>
      <c r="FG140" s="322" t="s">
        <v>479</v>
      </c>
      <c r="FH140" s="322" t="s">
        <v>479</v>
      </c>
      <c r="FI140" s="465" t="s">
        <v>470</v>
      </c>
      <c r="FJ140" s="465" t="s">
        <v>470</v>
      </c>
      <c r="FK140" s="465"/>
      <c r="FL140" s="465" t="s">
        <v>479</v>
      </c>
      <c r="FM140" s="322" t="s">
        <v>470</v>
      </c>
      <c r="FN140" s="322"/>
      <c r="FO140" s="465" t="s">
        <v>470</v>
      </c>
      <c r="FP140" s="465"/>
      <c r="FQ140" s="465" t="s">
        <v>470</v>
      </c>
      <c r="FR140" s="465"/>
      <c r="FS140" s="465"/>
      <c r="FT140" s="465"/>
      <c r="FU140" s="226"/>
      <c r="FV140" s="465"/>
      <c r="FW140" s="465"/>
      <c r="FX140" s="465"/>
      <c r="FY140" s="226"/>
      <c r="FZ140" s="465"/>
      <c r="GA140" s="465"/>
      <c r="GB140" s="465"/>
      <c r="GC140" s="465"/>
      <c r="GD140" s="465" t="s">
        <v>470</v>
      </c>
      <c r="GE140" s="465"/>
      <c r="GF140" s="465"/>
      <c r="GG140" s="394" t="s">
        <v>470</v>
      </c>
      <c r="GH140" s="394" t="s">
        <v>470</v>
      </c>
      <c r="GI140" s="226"/>
      <c r="GJ140" s="465" t="s">
        <v>470</v>
      </c>
      <c r="GK140" s="465"/>
      <c r="GL140" s="465" t="s">
        <v>470</v>
      </c>
      <c r="GM140" s="465"/>
      <c r="GN140" s="465"/>
      <c r="GO140" s="226"/>
      <c r="GP140" s="465"/>
      <c r="GQ140" s="226"/>
      <c r="GR140" s="465"/>
      <c r="GS140" s="465"/>
      <c r="GT140" s="465"/>
      <c r="GU140" s="465" t="s">
        <v>470</v>
      </c>
      <c r="GV140" s="465" t="s">
        <v>470</v>
      </c>
      <c r="GW140" s="226"/>
      <c r="GX140" s="322" t="s">
        <v>470</v>
      </c>
      <c r="GY140" s="322"/>
      <c r="GZ140" s="465" t="s">
        <v>470</v>
      </c>
      <c r="HA140" s="225" t="s">
        <v>470</v>
      </c>
      <c r="HB140" s="322" t="s">
        <v>470</v>
      </c>
      <c r="HC140" s="322" t="s">
        <v>479</v>
      </c>
      <c r="HD140" s="322" t="s">
        <v>540</v>
      </c>
      <c r="HE140" s="322" t="s">
        <v>479</v>
      </c>
      <c r="HF140" s="226"/>
      <c r="HG140" s="343" t="s">
        <v>470</v>
      </c>
      <c r="HH140" s="343" t="s">
        <v>470</v>
      </c>
      <c r="HI140" s="343" t="s">
        <v>470</v>
      </c>
      <c r="HJ140" s="322" t="s">
        <v>479</v>
      </c>
      <c r="HK140" s="343" t="s">
        <v>689</v>
      </c>
      <c r="HL140" s="226"/>
      <c r="HM140" s="322" t="s">
        <v>470</v>
      </c>
      <c r="HN140" s="226"/>
      <c r="HO140" s="322" t="s">
        <v>470</v>
      </c>
      <c r="HP140" s="225" t="s">
        <v>479</v>
      </c>
      <c r="HQ140" s="322" t="s">
        <v>873</v>
      </c>
      <c r="HR140" s="322" t="s">
        <v>873</v>
      </c>
      <c r="HS140" s="225" t="s">
        <v>470</v>
      </c>
      <c r="HT140" s="294" t="s">
        <v>470</v>
      </c>
      <c r="HU140" s="322" t="s">
        <v>470</v>
      </c>
      <c r="HV140" s="225" t="s">
        <v>470</v>
      </c>
      <c r="HW140" s="322" t="s">
        <v>470</v>
      </c>
      <c r="HX140" s="322" t="s">
        <v>470</v>
      </c>
      <c r="HY140" s="322" t="s">
        <v>479</v>
      </c>
      <c r="HZ140" s="225" t="s">
        <v>470</v>
      </c>
      <c r="IA140" s="322"/>
      <c r="IB140" s="322"/>
      <c r="IC140" s="322"/>
      <c r="ID140" s="322" t="s">
        <v>470</v>
      </c>
      <c r="IE140" s="225" t="s">
        <v>470</v>
      </c>
      <c r="IF140" s="322" t="s">
        <v>470</v>
      </c>
      <c r="IG140" s="322" t="s">
        <v>470</v>
      </c>
      <c r="IH140" s="344" t="s">
        <v>470</v>
      </c>
      <c r="II140" s="322" t="s">
        <v>470</v>
      </c>
      <c r="IJ140" s="322" t="s">
        <v>470</v>
      </c>
      <c r="IK140" s="322" t="s">
        <v>470</v>
      </c>
      <c r="IL140" s="225" t="s">
        <v>539</v>
      </c>
      <c r="IM140" s="225" t="s">
        <v>539</v>
      </c>
      <c r="IN140" s="322" t="s">
        <v>470</v>
      </c>
      <c r="IO140" s="322" t="s">
        <v>470</v>
      </c>
      <c r="IP140" s="322" t="s">
        <v>470</v>
      </c>
      <c r="IQ140" s="322" t="s">
        <v>470</v>
      </c>
      <c r="IR140" s="322" t="s">
        <v>470</v>
      </c>
      <c r="IS140" s="322" t="s">
        <v>470</v>
      </c>
      <c r="IT140" s="225" t="s">
        <v>470</v>
      </c>
      <c r="IU140" s="225" t="s">
        <v>470</v>
      </c>
      <c r="IV140" s="225" t="s">
        <v>470</v>
      </c>
      <c r="IW140" s="225" t="s">
        <v>470</v>
      </c>
      <c r="IX140" s="322" t="s">
        <v>479</v>
      </c>
      <c r="IY140" s="322" t="s">
        <v>470</v>
      </c>
      <c r="IZ140" s="322"/>
      <c r="JA140" s="322"/>
      <c r="JB140" s="322"/>
      <c r="JC140" s="322" t="s">
        <v>470</v>
      </c>
      <c r="JD140" s="322" t="s">
        <v>470</v>
      </c>
      <c r="JE140" s="226"/>
      <c r="JF140" s="226"/>
      <c r="JG140" s="226"/>
      <c r="JH140" s="322" t="s">
        <v>479</v>
      </c>
      <c r="JI140" s="322" t="s">
        <v>470</v>
      </c>
      <c r="JJ140" s="322" t="s">
        <v>470</v>
      </c>
      <c r="JK140" s="345" t="s">
        <v>479</v>
      </c>
      <c r="JL140" s="322" t="s">
        <v>479</v>
      </c>
      <c r="JM140" s="322" t="s">
        <v>5321</v>
      </c>
      <c r="JN140" s="226"/>
      <c r="JO140" s="226"/>
      <c r="JP140" s="226"/>
      <c r="JQ140" s="322" t="s">
        <v>479</v>
      </c>
      <c r="JR140" s="225" t="s">
        <v>479</v>
      </c>
      <c r="JS140" s="322" t="s">
        <v>479</v>
      </c>
      <c r="JT140" s="322" t="s">
        <v>479</v>
      </c>
      <c r="JU140" s="322" t="s">
        <v>470</v>
      </c>
      <c r="JV140" s="322" t="s">
        <v>479</v>
      </c>
      <c r="JW140" s="322" t="s">
        <v>479</v>
      </c>
      <c r="JX140" s="322" t="s">
        <v>479</v>
      </c>
      <c r="JY140" s="322" t="s">
        <v>479</v>
      </c>
      <c r="JZ140" s="322" t="s">
        <v>479</v>
      </c>
      <c r="KA140" s="322" t="s">
        <v>470</v>
      </c>
      <c r="KB140" s="322"/>
      <c r="KC140" s="322" t="s">
        <v>470</v>
      </c>
      <c r="KD140" s="322" t="s">
        <v>479</v>
      </c>
      <c r="KE140" s="232" t="s">
        <v>479</v>
      </c>
      <c r="KF140" s="322" t="s">
        <v>479</v>
      </c>
      <c r="KG140" s="225" t="s">
        <v>479</v>
      </c>
      <c r="KH140" s="322" t="s">
        <v>479</v>
      </c>
      <c r="KI140" s="322" t="s">
        <v>470</v>
      </c>
      <c r="KJ140" s="322" t="s">
        <v>479</v>
      </c>
      <c r="KK140" s="322" t="s">
        <v>479</v>
      </c>
      <c r="KL140" s="322" t="s">
        <v>479</v>
      </c>
      <c r="KM140" s="322" t="s">
        <v>470</v>
      </c>
      <c r="KN140" s="322" t="s">
        <v>470</v>
      </c>
      <c r="KO140" s="322" t="s">
        <v>479</v>
      </c>
      <c r="KP140" s="322" t="s">
        <v>470</v>
      </c>
      <c r="KQ140" s="226"/>
      <c r="KR140" s="226"/>
      <c r="KS140" s="226"/>
      <c r="KT140" s="226"/>
      <c r="KU140" s="226"/>
      <c r="KV140" s="322" t="s">
        <v>479</v>
      </c>
      <c r="KW140" s="322" t="s">
        <v>470</v>
      </c>
      <c r="KX140" s="383" t="s">
        <v>470</v>
      </c>
      <c r="KY140" s="386"/>
      <c r="KZ140" s="322" t="s">
        <v>470</v>
      </c>
      <c r="LA140" s="322" t="s">
        <v>470</v>
      </c>
      <c r="LB140" s="322"/>
      <c r="LC140" s="322" t="s">
        <v>470</v>
      </c>
      <c r="LD140" s="322" t="s">
        <v>470</v>
      </c>
      <c r="LE140" s="322" t="s">
        <v>873</v>
      </c>
      <c r="LF140" s="322" t="s">
        <v>470</v>
      </c>
      <c r="LG140" s="322" t="s">
        <v>470</v>
      </c>
      <c r="LH140" s="322" t="s">
        <v>470</v>
      </c>
      <c r="LI140" s="322" t="s">
        <v>470</v>
      </c>
      <c r="LJ140" s="322" t="s">
        <v>470</v>
      </c>
      <c r="LK140" s="322"/>
      <c r="LL140" s="322" t="s">
        <v>479</v>
      </c>
      <c r="LM140" s="226"/>
      <c r="LN140" s="322" t="s">
        <v>479</v>
      </c>
      <c r="LO140" s="322" t="s">
        <v>470</v>
      </c>
      <c r="LP140" s="322" t="s">
        <v>479</v>
      </c>
      <c r="LQ140" s="322" t="s">
        <v>479</v>
      </c>
      <c r="LR140" s="322" t="s">
        <v>479</v>
      </c>
      <c r="LS140" s="322" t="s">
        <v>479</v>
      </c>
      <c r="LT140" s="346" t="s">
        <v>479</v>
      </c>
      <c r="LU140" s="322"/>
      <c r="LV140" s="322" t="s">
        <v>479</v>
      </c>
      <c r="LW140" s="322" t="s">
        <v>479</v>
      </c>
      <c r="LX140" s="322" t="s">
        <v>470</v>
      </c>
      <c r="LY140" s="322" t="s">
        <v>470</v>
      </c>
      <c r="LZ140" s="322" t="s">
        <v>470</v>
      </c>
      <c r="MA140" s="225" t="s">
        <v>479</v>
      </c>
      <c r="MB140" s="322" t="s">
        <v>470</v>
      </c>
      <c r="MC140" s="322" t="s">
        <v>479</v>
      </c>
      <c r="MD140" s="322" t="s">
        <v>479</v>
      </c>
      <c r="ME140" s="322" t="s">
        <v>470</v>
      </c>
      <c r="MF140" s="322" t="s">
        <v>479</v>
      </c>
      <c r="MG140" s="226"/>
      <c r="MH140" s="226"/>
      <c r="MI140" s="226"/>
      <c r="MJ140" s="235" t="s">
        <v>479</v>
      </c>
      <c r="MK140" s="235"/>
      <c r="ML140" s="347" t="s">
        <v>540</v>
      </c>
      <c r="MM140" s="347" t="s">
        <v>479</v>
      </c>
      <c r="MN140" s="348" t="s">
        <v>479</v>
      </c>
      <c r="MO140" s="348" t="s">
        <v>479</v>
      </c>
      <c r="MP140" s="348" t="s">
        <v>479</v>
      </c>
      <c r="MQ140" s="348" t="s">
        <v>470</v>
      </c>
      <c r="MR140" s="348" t="s">
        <v>470</v>
      </c>
      <c r="MS140" s="348" t="s">
        <v>479</v>
      </c>
      <c r="MT140" s="347" t="s">
        <v>479</v>
      </c>
      <c r="MU140" s="348" t="s">
        <v>479</v>
      </c>
      <c r="MV140" s="347" t="s">
        <v>479</v>
      </c>
      <c r="MW140" s="347" t="s">
        <v>479</v>
      </c>
      <c r="MX140" s="226"/>
      <c r="MY140" s="226"/>
      <c r="MZ140" s="226"/>
      <c r="NA140" s="226"/>
    </row>
    <row r="141" spans="1:365" ht="409.6" x14ac:dyDescent="0.2">
      <c r="A141" s="1216"/>
      <c r="B141" s="1216"/>
      <c r="C141" s="1218"/>
      <c r="D141" s="215" t="s">
        <v>205</v>
      </c>
      <c r="E141" s="226"/>
      <c r="F141" s="226"/>
      <c r="G141" s="322" t="s">
        <v>749</v>
      </c>
      <c r="H141" s="322" t="s">
        <v>749</v>
      </c>
      <c r="I141" s="322" t="s">
        <v>656</v>
      </c>
      <c r="J141" s="322" t="s">
        <v>749</v>
      </c>
      <c r="K141" s="225" t="s">
        <v>1924</v>
      </c>
      <c r="L141" s="225" t="s">
        <v>1924</v>
      </c>
      <c r="M141" s="225" t="s">
        <v>1924</v>
      </c>
      <c r="N141" s="225" t="s">
        <v>1924</v>
      </c>
      <c r="O141" s="322" t="s">
        <v>640</v>
      </c>
      <c r="P141" s="400" t="s">
        <v>1924</v>
      </c>
      <c r="Q141" s="225" t="s">
        <v>1924</v>
      </c>
      <c r="R141" s="322"/>
      <c r="S141" s="322"/>
      <c r="T141" s="322"/>
      <c r="U141" s="322"/>
      <c r="V141" s="322"/>
      <c r="W141" s="226"/>
      <c r="X141" s="226"/>
      <c r="Y141" s="226"/>
      <c r="Z141" s="226"/>
      <c r="AA141" s="226"/>
      <c r="AB141" s="226"/>
      <c r="AC141" s="226"/>
      <c r="AD141" s="226"/>
      <c r="AE141" s="226"/>
      <c r="AF141" s="322" t="s">
        <v>1447</v>
      </c>
      <c r="AG141" s="225" t="s">
        <v>5320</v>
      </c>
      <c r="AH141" s="226"/>
      <c r="AI141" s="322"/>
      <c r="AJ141" s="322"/>
      <c r="AK141" s="229"/>
      <c r="AL141" s="322"/>
      <c r="AM141" s="226"/>
      <c r="AN141" s="226"/>
      <c r="AO141" s="226"/>
      <c r="AP141" s="226"/>
      <c r="AQ141" s="487" t="s">
        <v>5319</v>
      </c>
      <c r="AR141" s="322"/>
      <c r="AS141" s="322"/>
      <c r="AT141" s="322" t="s">
        <v>5318</v>
      </c>
      <c r="AU141" s="322" t="s">
        <v>656</v>
      </c>
      <c r="AV141" s="322"/>
      <c r="AW141" s="322" t="s">
        <v>5317</v>
      </c>
      <c r="AX141" s="322" t="s">
        <v>5316</v>
      </c>
      <c r="AY141" s="229" t="s">
        <v>2234</v>
      </c>
      <c r="AZ141" s="225" t="s">
        <v>5315</v>
      </c>
      <c r="BA141" s="322"/>
      <c r="BB141" s="322" t="s">
        <v>640</v>
      </c>
      <c r="BC141" s="322" t="s">
        <v>5314</v>
      </c>
      <c r="BD141" s="322"/>
      <c r="BE141" s="344"/>
      <c r="BF141" s="322"/>
      <c r="BG141" s="322"/>
      <c r="BH141" s="322" t="s">
        <v>5313</v>
      </c>
      <c r="BI141" s="322" t="s">
        <v>656</v>
      </c>
      <c r="BJ141" s="322" t="s">
        <v>640</v>
      </c>
      <c r="BK141" s="322"/>
      <c r="BL141" s="322"/>
      <c r="BM141" s="322"/>
      <c r="BN141" s="226"/>
      <c r="BO141" s="322"/>
      <c r="BP141" s="322"/>
      <c r="BQ141" s="322" t="s">
        <v>5312</v>
      </c>
      <c r="BR141" s="233" t="s">
        <v>205</v>
      </c>
      <c r="BS141" s="322" t="s">
        <v>5268</v>
      </c>
      <c r="BT141" s="322"/>
      <c r="BU141" s="322"/>
      <c r="BV141" s="322"/>
      <c r="BW141" s="322"/>
      <c r="BX141" s="322"/>
      <c r="BY141" s="322"/>
      <c r="BZ141" s="322"/>
      <c r="CA141" s="322"/>
      <c r="CB141" s="322"/>
      <c r="CC141" s="322"/>
      <c r="CD141" s="344" t="s">
        <v>640</v>
      </c>
      <c r="CE141" s="344" t="s">
        <v>920</v>
      </c>
      <c r="CF141" s="344"/>
      <c r="CG141" s="344"/>
      <c r="CH141" s="344"/>
      <c r="CI141" s="344"/>
      <c r="CJ141" s="344"/>
      <c r="CK141" s="344"/>
      <c r="CL141" s="344"/>
      <c r="CM141" s="344"/>
      <c r="CN141" s="322"/>
      <c r="CO141" s="322"/>
      <c r="CP141" s="322"/>
      <c r="CQ141" s="464" t="s">
        <v>5311</v>
      </c>
      <c r="CR141" s="465"/>
      <c r="CS141" s="322"/>
      <c r="CT141" s="322" t="s">
        <v>640</v>
      </c>
      <c r="CU141" s="322" t="s">
        <v>5310</v>
      </c>
      <c r="CV141" s="322" t="s">
        <v>5285</v>
      </c>
      <c r="CW141" s="322" t="s">
        <v>5285</v>
      </c>
      <c r="CX141" s="322" t="s">
        <v>5309</v>
      </c>
      <c r="CY141" s="322" t="s">
        <v>5285</v>
      </c>
      <c r="CZ141" s="322"/>
      <c r="DA141" s="322"/>
      <c r="DB141" s="322" t="s">
        <v>5308</v>
      </c>
      <c r="DC141" s="225" t="s">
        <v>15</v>
      </c>
      <c r="DD141" s="322" t="s">
        <v>5307</v>
      </c>
      <c r="DE141" s="322"/>
      <c r="DF141" s="322"/>
      <c r="DG141" s="322" t="s">
        <v>5306</v>
      </c>
      <c r="DH141" s="225" t="s">
        <v>5305</v>
      </c>
      <c r="DI141" s="322" t="s">
        <v>5304</v>
      </c>
      <c r="DJ141" s="225" t="s">
        <v>5303</v>
      </c>
      <c r="DK141" s="322" t="s">
        <v>5303</v>
      </c>
      <c r="DL141" s="380" t="s">
        <v>5302</v>
      </c>
      <c r="DM141" s="322"/>
      <c r="DN141" s="322" t="s">
        <v>656</v>
      </c>
      <c r="DO141" s="322"/>
      <c r="DP141" s="225" t="s">
        <v>470</v>
      </c>
      <c r="DQ141" s="225" t="s">
        <v>470</v>
      </c>
      <c r="DR141" s="225" t="s">
        <v>470</v>
      </c>
      <c r="DS141" s="225" t="s">
        <v>470</v>
      </c>
      <c r="DT141" s="225" t="s">
        <v>470</v>
      </c>
      <c r="DU141" s="322" t="s">
        <v>470</v>
      </c>
      <c r="DV141" s="322"/>
      <c r="DW141" s="246" t="s">
        <v>2234</v>
      </c>
      <c r="DX141" s="322"/>
      <c r="DY141" s="322" t="s">
        <v>1097</v>
      </c>
      <c r="DZ141" s="322" t="s">
        <v>2535</v>
      </c>
      <c r="EA141" s="322"/>
      <c r="EB141" s="322"/>
      <c r="EC141" s="226"/>
      <c r="ED141" s="485" t="s">
        <v>5301</v>
      </c>
      <c r="EE141" s="322" t="s">
        <v>656</v>
      </c>
      <c r="EF141" s="485" t="s">
        <v>5300</v>
      </c>
      <c r="EG141" s="226"/>
      <c r="EH141" s="322"/>
      <c r="EI141" s="322" t="s">
        <v>656</v>
      </c>
      <c r="EJ141" s="226"/>
      <c r="EK141" s="226"/>
      <c r="EL141" s="226"/>
      <c r="EM141" s="226"/>
      <c r="EN141" s="226"/>
      <c r="EO141" s="226"/>
      <c r="EP141" s="226"/>
      <c r="EQ141" s="226"/>
      <c r="ER141" s="322"/>
      <c r="ES141" s="322" t="s">
        <v>5299</v>
      </c>
      <c r="ET141" s="225"/>
      <c r="EU141" s="225"/>
      <c r="EV141" s="225"/>
      <c r="EW141" s="322"/>
      <c r="EX141" s="322"/>
      <c r="EY141" s="322"/>
      <c r="EZ141" s="344" t="s">
        <v>5298</v>
      </c>
      <c r="FA141" s="487" t="s">
        <v>4714</v>
      </c>
      <c r="FB141" s="322"/>
      <c r="FC141" s="322" t="s">
        <v>470</v>
      </c>
      <c r="FD141" s="226"/>
      <c r="FE141" s="466" t="s">
        <v>1597</v>
      </c>
      <c r="FF141" s="322" t="s">
        <v>5297</v>
      </c>
      <c r="FG141" s="322" t="s">
        <v>1597</v>
      </c>
      <c r="FH141" s="322" t="s">
        <v>5296</v>
      </c>
      <c r="FI141" s="465"/>
      <c r="FJ141" s="465" t="s">
        <v>656</v>
      </c>
      <c r="FK141" s="465"/>
      <c r="FL141" s="465" t="s">
        <v>5295</v>
      </c>
      <c r="FM141" s="322"/>
      <c r="FN141" s="322"/>
      <c r="FO141" s="465"/>
      <c r="FP141" s="465"/>
      <c r="FQ141" s="465" t="s">
        <v>656</v>
      </c>
      <c r="FR141" s="465"/>
      <c r="FS141" s="465"/>
      <c r="FT141" s="465"/>
      <c r="FU141" s="226"/>
      <c r="FV141" s="465"/>
      <c r="FW141" s="465"/>
      <c r="FX141" s="465"/>
      <c r="FY141" s="226"/>
      <c r="FZ141" s="465"/>
      <c r="GA141" s="465"/>
      <c r="GB141" s="465"/>
      <c r="GC141" s="465"/>
      <c r="GD141" s="465"/>
      <c r="GE141" s="465"/>
      <c r="GF141" s="465"/>
      <c r="GG141" s="394" t="s">
        <v>4906</v>
      </c>
      <c r="GH141" s="394" t="s">
        <v>4906</v>
      </c>
      <c r="GI141" s="226"/>
      <c r="GJ141" s="465"/>
      <c r="GK141" s="465"/>
      <c r="GL141" s="465"/>
      <c r="GM141" s="465"/>
      <c r="GN141" s="465"/>
      <c r="GO141" s="226"/>
      <c r="GP141" s="465"/>
      <c r="GQ141" s="226"/>
      <c r="GR141" s="465"/>
      <c r="GS141" s="465"/>
      <c r="GT141" s="465"/>
      <c r="GU141" s="465"/>
      <c r="GV141" s="465"/>
      <c r="GW141" s="226"/>
      <c r="GX141" s="322"/>
      <c r="GY141" s="322"/>
      <c r="GZ141" s="465"/>
      <c r="HA141" s="322"/>
      <c r="HB141" s="322"/>
      <c r="HC141" s="322" t="s">
        <v>5294</v>
      </c>
      <c r="HD141" s="322" t="s">
        <v>5293</v>
      </c>
      <c r="HE141" s="322" t="s">
        <v>5292</v>
      </c>
      <c r="HF141" s="226"/>
      <c r="HG141" s="343" t="s">
        <v>656</v>
      </c>
      <c r="HH141" s="343" t="s">
        <v>656</v>
      </c>
      <c r="HI141" s="343" t="s">
        <v>656</v>
      </c>
      <c r="HJ141" s="322" t="s">
        <v>2533</v>
      </c>
      <c r="HK141" s="343" t="s">
        <v>5291</v>
      </c>
      <c r="HL141" s="226"/>
      <c r="HM141" s="322"/>
      <c r="HN141" s="226"/>
      <c r="HO141" s="322"/>
      <c r="HP141" s="225" t="s">
        <v>5290</v>
      </c>
      <c r="HQ141" s="322"/>
      <c r="HR141" s="322"/>
      <c r="HS141" s="322"/>
      <c r="HT141" s="322"/>
      <c r="HU141" s="322"/>
      <c r="HV141" s="322"/>
      <c r="HW141" s="322"/>
      <c r="HX141" s="322"/>
      <c r="HY141" s="266" t="s">
        <v>5289</v>
      </c>
      <c r="HZ141" s="225" t="s">
        <v>656</v>
      </c>
      <c r="IA141" s="322"/>
      <c r="IB141" s="322"/>
      <c r="IC141" s="322"/>
      <c r="ID141" s="322"/>
      <c r="IE141" s="322"/>
      <c r="IF141" s="322"/>
      <c r="IG141" s="322"/>
      <c r="IH141" s="344"/>
      <c r="II141" s="322"/>
      <c r="IJ141" s="322"/>
      <c r="IK141" s="322"/>
      <c r="IL141" s="225"/>
      <c r="IM141" s="225"/>
      <c r="IN141" s="322"/>
      <c r="IO141" s="322"/>
      <c r="IP141" s="322"/>
      <c r="IQ141" s="322"/>
      <c r="IR141" s="322"/>
      <c r="IS141" s="322"/>
      <c r="IT141" s="322"/>
      <c r="IU141" s="322"/>
      <c r="IV141" s="322"/>
      <c r="IW141" s="322"/>
      <c r="IX141" s="322"/>
      <c r="IY141" s="322" t="s">
        <v>656</v>
      </c>
      <c r="IZ141" s="322"/>
      <c r="JA141" s="322"/>
      <c r="JB141" s="322"/>
      <c r="JC141" s="322" t="s">
        <v>656</v>
      </c>
      <c r="JD141" s="322" t="s">
        <v>656</v>
      </c>
      <c r="JE141" s="226"/>
      <c r="JF141" s="226"/>
      <c r="JG141" s="226"/>
      <c r="JH141" s="322" t="s">
        <v>5288</v>
      </c>
      <c r="JI141" s="322"/>
      <c r="JJ141" s="322" t="s">
        <v>656</v>
      </c>
      <c r="JK141" s="345" t="s">
        <v>5287</v>
      </c>
      <c r="JL141" s="322" t="s">
        <v>5286</v>
      </c>
      <c r="JM141" s="322"/>
      <c r="JN141" s="226"/>
      <c r="JO141" s="226"/>
      <c r="JP141" s="226"/>
      <c r="JQ141" s="322" t="s">
        <v>920</v>
      </c>
      <c r="JR141" s="225" t="s">
        <v>5285</v>
      </c>
      <c r="JS141" s="322" t="s">
        <v>3012</v>
      </c>
      <c r="JT141" s="322" t="s">
        <v>5284</v>
      </c>
      <c r="JU141" s="322"/>
      <c r="JV141" s="322" t="s">
        <v>5283</v>
      </c>
      <c r="JW141" s="322" t="s">
        <v>5282</v>
      </c>
      <c r="JX141" s="322" t="s">
        <v>5281</v>
      </c>
      <c r="JY141" s="322" t="s">
        <v>640</v>
      </c>
      <c r="JZ141" s="322" t="s">
        <v>5280</v>
      </c>
      <c r="KA141" s="322"/>
      <c r="KB141" s="322"/>
      <c r="KC141" s="322" t="s">
        <v>470</v>
      </c>
      <c r="KD141" s="322" t="s">
        <v>640</v>
      </c>
      <c r="KE141" s="232" t="s">
        <v>5279</v>
      </c>
      <c r="KF141" s="322" t="s">
        <v>3012</v>
      </c>
      <c r="KG141" s="225" t="s">
        <v>5278</v>
      </c>
      <c r="KH141" s="322" t="s">
        <v>640</v>
      </c>
      <c r="KI141" s="322"/>
      <c r="KJ141" s="322"/>
      <c r="KK141" s="322" t="s">
        <v>5277</v>
      </c>
      <c r="KL141" s="322" t="s">
        <v>5276</v>
      </c>
      <c r="KM141" s="322"/>
      <c r="KN141" s="322"/>
      <c r="KO141" s="322" t="s">
        <v>5275</v>
      </c>
      <c r="KP141" s="322"/>
      <c r="KQ141" s="226"/>
      <c r="KR141" s="226"/>
      <c r="KS141" s="226"/>
      <c r="KT141" s="226"/>
      <c r="KU141" s="226"/>
      <c r="KV141" s="322" t="s">
        <v>640</v>
      </c>
      <c r="KW141" s="322"/>
      <c r="KX141" s="383"/>
      <c r="KY141" s="386"/>
      <c r="KZ141" s="322"/>
      <c r="LA141" s="322"/>
      <c r="LB141" s="322"/>
      <c r="LC141" s="322"/>
      <c r="LD141" s="322"/>
      <c r="LE141" s="322"/>
      <c r="LF141" s="322"/>
      <c r="LG141" s="322"/>
      <c r="LH141" s="322"/>
      <c r="LI141" s="322"/>
      <c r="LJ141" s="322"/>
      <c r="LK141" s="322"/>
      <c r="LL141" s="322" t="s">
        <v>5274</v>
      </c>
      <c r="LM141" s="226"/>
      <c r="LN141" s="322"/>
      <c r="LO141" s="322"/>
      <c r="LP141" s="322" t="s">
        <v>5273</v>
      </c>
      <c r="LQ141" s="322" t="s">
        <v>5272</v>
      </c>
      <c r="LR141" s="322" t="s">
        <v>5271</v>
      </c>
      <c r="LS141" s="322" t="s">
        <v>5270</v>
      </c>
      <c r="LT141" s="384" t="s">
        <v>4887</v>
      </c>
      <c r="LU141" s="322"/>
      <c r="LV141" s="322" t="s">
        <v>5269</v>
      </c>
      <c r="LW141" s="322" t="s">
        <v>5268</v>
      </c>
      <c r="LX141" s="322"/>
      <c r="LY141" s="322"/>
      <c r="LZ141" s="322"/>
      <c r="MA141" s="264"/>
      <c r="MB141" s="322"/>
      <c r="MC141" s="322" t="s">
        <v>5267</v>
      </c>
      <c r="MD141" s="322" t="s">
        <v>5266</v>
      </c>
      <c r="ME141" s="322"/>
      <c r="MF141" s="322" t="s">
        <v>5265</v>
      </c>
      <c r="MG141" s="226"/>
      <c r="MH141" s="226"/>
      <c r="MI141" s="226"/>
      <c r="MJ141" s="235" t="s">
        <v>5264</v>
      </c>
      <c r="MK141" s="235"/>
      <c r="ML141" s="379" t="s">
        <v>5263</v>
      </c>
      <c r="MM141" s="235" t="s">
        <v>5262</v>
      </c>
      <c r="MN141" s="236" t="s">
        <v>1097</v>
      </c>
      <c r="MO141" s="348" t="s">
        <v>5261</v>
      </c>
      <c r="MP141" s="348" t="s">
        <v>5260</v>
      </c>
      <c r="MQ141" s="348"/>
      <c r="MR141" s="348" t="s">
        <v>1482</v>
      </c>
      <c r="MS141" s="274" t="s">
        <v>5259</v>
      </c>
      <c r="MT141" s="385" t="s">
        <v>5258</v>
      </c>
      <c r="MU141" s="348" t="s">
        <v>5257</v>
      </c>
      <c r="MV141" s="347" t="s">
        <v>5256</v>
      </c>
      <c r="MW141" s="347" t="s">
        <v>5255</v>
      </c>
      <c r="MX141" s="226"/>
      <c r="MY141" s="226"/>
      <c r="MZ141" s="226"/>
      <c r="NA141" s="226"/>
    </row>
    <row r="142" spans="1:365" ht="68" x14ac:dyDescent="0.2">
      <c r="A142" s="1216"/>
      <c r="B142" s="1216"/>
      <c r="C142" s="1218"/>
      <c r="D142" s="215" t="s">
        <v>209</v>
      </c>
      <c r="E142" s="226"/>
      <c r="F142" s="226"/>
      <c r="G142" s="322" t="s">
        <v>656</v>
      </c>
      <c r="H142" s="322" t="s">
        <v>656</v>
      </c>
      <c r="I142" s="225" t="s">
        <v>656</v>
      </c>
      <c r="J142" s="225" t="s">
        <v>656</v>
      </c>
      <c r="K142" s="322">
        <v>0</v>
      </c>
      <c r="L142" s="225">
        <v>0</v>
      </c>
      <c r="M142" s="322">
        <v>0</v>
      </c>
      <c r="N142" s="322">
        <v>0</v>
      </c>
      <c r="O142" s="322">
        <v>9</v>
      </c>
      <c r="P142" s="463">
        <v>0</v>
      </c>
      <c r="Q142" s="322">
        <v>0</v>
      </c>
      <c r="R142" s="322"/>
      <c r="S142" s="322"/>
      <c r="T142" s="322"/>
      <c r="U142" s="322"/>
      <c r="V142" s="322"/>
      <c r="W142" s="226"/>
      <c r="X142" s="226"/>
      <c r="Y142" s="226"/>
      <c r="Z142" s="226"/>
      <c r="AA142" s="226"/>
      <c r="AB142" s="226"/>
      <c r="AC142" s="226"/>
      <c r="AD142" s="226"/>
      <c r="AE142" s="226"/>
      <c r="AF142" s="322" t="s">
        <v>1447</v>
      </c>
      <c r="AG142" s="225">
        <v>6</v>
      </c>
      <c r="AH142" s="226"/>
      <c r="AI142" s="322"/>
      <c r="AJ142" s="322"/>
      <c r="AK142" s="229"/>
      <c r="AL142" s="322"/>
      <c r="AM142" s="226"/>
      <c r="AN142" s="226"/>
      <c r="AO142" s="226"/>
      <c r="AP142" s="226"/>
      <c r="AQ142" s="322">
        <v>8</v>
      </c>
      <c r="AR142" s="322"/>
      <c r="AS142" s="322"/>
      <c r="AT142" s="322">
        <v>6</v>
      </c>
      <c r="AU142" s="322" t="s">
        <v>656</v>
      </c>
      <c r="AV142" s="225"/>
      <c r="AW142" s="322">
        <v>7</v>
      </c>
      <c r="AX142" s="322">
        <v>7</v>
      </c>
      <c r="AY142" s="344" t="s">
        <v>2234</v>
      </c>
      <c r="AZ142" s="322">
        <v>11</v>
      </c>
      <c r="BA142" s="322"/>
      <c r="BB142" s="322">
        <v>8</v>
      </c>
      <c r="BC142" s="322">
        <v>6</v>
      </c>
      <c r="BD142" s="322"/>
      <c r="BE142" s="344"/>
      <c r="BF142" s="322"/>
      <c r="BG142" s="322"/>
      <c r="BH142" s="322">
        <v>8</v>
      </c>
      <c r="BI142" s="322" t="s">
        <v>656</v>
      </c>
      <c r="BJ142" s="322">
        <v>10</v>
      </c>
      <c r="BK142" s="322"/>
      <c r="BL142" s="322">
        <v>3</v>
      </c>
      <c r="BM142" s="322"/>
      <c r="BN142" s="226"/>
      <c r="BO142" s="322"/>
      <c r="BP142" s="322"/>
      <c r="BQ142" s="322">
        <v>10</v>
      </c>
      <c r="BR142" s="233" t="s">
        <v>209</v>
      </c>
      <c r="BS142" s="322">
        <v>10</v>
      </c>
      <c r="BT142" s="322"/>
      <c r="BU142" s="322"/>
      <c r="BV142" s="322"/>
      <c r="BW142" s="322"/>
      <c r="BX142" s="322"/>
      <c r="BY142" s="322"/>
      <c r="BZ142" s="322"/>
      <c r="CA142" s="322"/>
      <c r="CB142" s="322"/>
      <c r="CC142" s="322"/>
      <c r="CD142" s="344">
        <v>8</v>
      </c>
      <c r="CE142" s="344">
        <v>11</v>
      </c>
      <c r="CF142" s="344"/>
      <c r="CG142" s="344">
        <v>0</v>
      </c>
      <c r="CH142" s="344"/>
      <c r="CI142" s="344"/>
      <c r="CJ142" s="344">
        <v>0</v>
      </c>
      <c r="CK142" s="344"/>
      <c r="CL142" s="344"/>
      <c r="CM142" s="344"/>
      <c r="CN142" s="322"/>
      <c r="CO142" s="322"/>
      <c r="CP142" s="322"/>
      <c r="CQ142" s="464">
        <v>6</v>
      </c>
      <c r="CR142" s="465"/>
      <c r="CS142" s="322"/>
      <c r="CT142" s="322"/>
      <c r="CU142" s="322">
        <v>0</v>
      </c>
      <c r="CV142" s="322"/>
      <c r="CW142" s="322">
        <v>6</v>
      </c>
      <c r="CX142" s="322"/>
      <c r="CY142" s="322"/>
      <c r="CZ142" s="322"/>
      <c r="DA142" s="322"/>
      <c r="DB142" s="322">
        <v>8</v>
      </c>
      <c r="DC142" s="322">
        <v>8</v>
      </c>
      <c r="DD142" s="322">
        <v>8</v>
      </c>
      <c r="DE142" s="322"/>
      <c r="DF142" s="322"/>
      <c r="DG142" s="322">
        <v>6</v>
      </c>
      <c r="DH142" s="322">
        <v>6</v>
      </c>
      <c r="DI142" s="322">
        <v>9</v>
      </c>
      <c r="DJ142" s="322">
        <v>8</v>
      </c>
      <c r="DK142" s="322">
        <v>6</v>
      </c>
      <c r="DL142" s="322">
        <v>10</v>
      </c>
      <c r="DM142" s="322"/>
      <c r="DN142" s="322" t="s">
        <v>656</v>
      </c>
      <c r="DO142" s="322"/>
      <c r="DP142" s="225">
        <v>0</v>
      </c>
      <c r="DQ142" s="225">
        <v>0</v>
      </c>
      <c r="DR142" s="225">
        <v>0</v>
      </c>
      <c r="DS142" s="225">
        <v>0</v>
      </c>
      <c r="DT142" s="225">
        <v>0</v>
      </c>
      <c r="DU142" s="322">
        <v>0</v>
      </c>
      <c r="DV142" s="322"/>
      <c r="DW142" s="246" t="s">
        <v>2234</v>
      </c>
      <c r="DX142" s="322"/>
      <c r="DY142" s="322">
        <v>7</v>
      </c>
      <c r="DZ142" s="322">
        <v>8</v>
      </c>
      <c r="EA142" s="322"/>
      <c r="EB142" s="322"/>
      <c r="EC142" s="226"/>
      <c r="ED142" s="322">
        <v>17</v>
      </c>
      <c r="EE142" s="322" t="s">
        <v>656</v>
      </c>
      <c r="EF142" s="322">
        <v>15</v>
      </c>
      <c r="EG142" s="226"/>
      <c r="EH142" s="322"/>
      <c r="EI142" s="322" t="s">
        <v>656</v>
      </c>
      <c r="EJ142" s="226"/>
      <c r="EK142" s="226"/>
      <c r="EL142" s="226"/>
      <c r="EM142" s="226"/>
      <c r="EN142" s="226"/>
      <c r="EO142" s="226"/>
      <c r="EP142" s="226"/>
      <c r="EQ142" s="226"/>
      <c r="ER142" s="322"/>
      <c r="ES142" s="322">
        <v>6</v>
      </c>
      <c r="ET142" s="225"/>
      <c r="EU142" s="225"/>
      <c r="EV142" s="225"/>
      <c r="EW142" s="322"/>
      <c r="EX142" s="322"/>
      <c r="EY142" s="322"/>
      <c r="EZ142" s="344">
        <v>9</v>
      </c>
      <c r="FA142" s="322">
        <v>5</v>
      </c>
      <c r="FB142" s="322"/>
      <c r="FC142" s="322"/>
      <c r="FD142" s="226"/>
      <c r="FE142" s="466">
        <v>9</v>
      </c>
      <c r="FF142" s="322">
        <v>6</v>
      </c>
      <c r="FG142" s="322">
        <v>6</v>
      </c>
      <c r="FH142" s="322">
        <v>14</v>
      </c>
      <c r="FI142" s="465"/>
      <c r="FJ142" s="465" t="s">
        <v>656</v>
      </c>
      <c r="FK142" s="465"/>
      <c r="FL142" s="465">
        <v>16</v>
      </c>
      <c r="FM142" s="322"/>
      <c r="FN142" s="322"/>
      <c r="FO142" s="465"/>
      <c r="FP142" s="465"/>
      <c r="FQ142" s="465" t="s">
        <v>656</v>
      </c>
      <c r="FR142" s="465"/>
      <c r="FS142" s="465"/>
      <c r="FT142" s="465"/>
      <c r="FU142" s="226"/>
      <c r="FV142" s="465"/>
      <c r="FW142" s="465"/>
      <c r="FX142" s="465"/>
      <c r="FY142" s="226"/>
      <c r="FZ142" s="465"/>
      <c r="GA142" s="465"/>
      <c r="GB142" s="465"/>
      <c r="GC142" s="465"/>
      <c r="GD142" s="465"/>
      <c r="GE142" s="465"/>
      <c r="GF142" s="465"/>
      <c r="GG142" s="394" t="s">
        <v>4906</v>
      </c>
      <c r="GH142" s="394" t="s">
        <v>4906</v>
      </c>
      <c r="GI142" s="226"/>
      <c r="GJ142" s="465"/>
      <c r="GK142" s="465"/>
      <c r="GL142" s="465"/>
      <c r="GM142" s="465"/>
      <c r="GN142" s="465"/>
      <c r="GO142" s="226"/>
      <c r="GP142" s="465"/>
      <c r="GQ142" s="226"/>
      <c r="GR142" s="465"/>
      <c r="GS142" s="465"/>
      <c r="GT142" s="465"/>
      <c r="GU142" s="465"/>
      <c r="GV142" s="465"/>
      <c r="GW142" s="226"/>
      <c r="GX142" s="322"/>
      <c r="GY142" s="322"/>
      <c r="GZ142" s="465"/>
      <c r="HA142" s="322"/>
      <c r="HB142" s="322"/>
      <c r="HC142" s="322">
        <v>7</v>
      </c>
      <c r="HD142" s="322">
        <v>16</v>
      </c>
      <c r="HE142" s="322">
        <v>8</v>
      </c>
      <c r="HF142" s="226"/>
      <c r="HG142" s="343" t="s">
        <v>656</v>
      </c>
      <c r="HH142" s="343" t="s">
        <v>656</v>
      </c>
      <c r="HI142" s="343" t="s">
        <v>656</v>
      </c>
      <c r="HJ142" s="322">
        <v>44</v>
      </c>
      <c r="HK142" s="343">
        <v>9</v>
      </c>
      <c r="HL142" s="226"/>
      <c r="HM142" s="322"/>
      <c r="HN142" s="226"/>
      <c r="HO142" s="322"/>
      <c r="HP142" s="322">
        <v>9</v>
      </c>
      <c r="HQ142" s="322"/>
      <c r="HR142" s="322"/>
      <c r="HS142" s="322"/>
      <c r="HT142" s="322"/>
      <c r="HU142" s="322"/>
      <c r="HV142" s="322"/>
      <c r="HW142" s="322"/>
      <c r="HX142" s="322"/>
      <c r="HY142" s="322">
        <v>1</v>
      </c>
      <c r="HZ142" s="322" t="s">
        <v>656</v>
      </c>
      <c r="IA142" s="322"/>
      <c r="IB142" s="322"/>
      <c r="IC142" s="322"/>
      <c r="ID142" s="322"/>
      <c r="IE142" s="322"/>
      <c r="IF142" s="322"/>
      <c r="IG142" s="322"/>
      <c r="IH142" s="344"/>
      <c r="II142" s="322"/>
      <c r="IJ142" s="322"/>
      <c r="IK142" s="322"/>
      <c r="IL142" s="322"/>
      <c r="IM142" s="322"/>
      <c r="IN142" s="322"/>
      <c r="IO142" s="322"/>
      <c r="IP142" s="322"/>
      <c r="IQ142" s="322"/>
      <c r="IR142" s="322"/>
      <c r="IS142" s="322"/>
      <c r="IT142" s="322"/>
      <c r="IU142" s="322"/>
      <c r="IV142" s="322"/>
      <c r="IW142" s="322"/>
      <c r="IX142" s="322">
        <v>7</v>
      </c>
      <c r="IY142" s="322" t="s">
        <v>656</v>
      </c>
      <c r="IZ142" s="322"/>
      <c r="JA142" s="322"/>
      <c r="JB142" s="322"/>
      <c r="JC142" s="322" t="s">
        <v>656</v>
      </c>
      <c r="JD142" s="322" t="s">
        <v>656</v>
      </c>
      <c r="JE142" s="226"/>
      <c r="JF142" s="226"/>
      <c r="JG142" s="226"/>
      <c r="JH142" s="322">
        <v>8</v>
      </c>
      <c r="JI142" s="322"/>
      <c r="JJ142" s="322" t="s">
        <v>656</v>
      </c>
      <c r="JK142" s="345">
        <v>7</v>
      </c>
      <c r="JL142" s="322">
        <v>10</v>
      </c>
      <c r="JM142" s="322"/>
      <c r="JN142" s="226"/>
      <c r="JO142" s="226"/>
      <c r="JP142" s="226"/>
      <c r="JQ142" s="322">
        <v>9</v>
      </c>
      <c r="JR142" s="322">
        <v>6</v>
      </c>
      <c r="JS142" s="322">
        <v>7</v>
      </c>
      <c r="JT142" s="322">
        <v>8</v>
      </c>
      <c r="JU142" s="322"/>
      <c r="JV142" s="322">
        <v>6</v>
      </c>
      <c r="JW142" s="322">
        <v>9</v>
      </c>
      <c r="JX142" s="322" t="s">
        <v>656</v>
      </c>
      <c r="JY142" s="322">
        <v>9</v>
      </c>
      <c r="JZ142" s="322">
        <v>20</v>
      </c>
      <c r="KA142" s="322"/>
      <c r="KB142" s="322"/>
      <c r="KC142" s="322" t="s">
        <v>470</v>
      </c>
      <c r="KD142" s="322">
        <v>5</v>
      </c>
      <c r="KE142" s="232">
        <v>10</v>
      </c>
      <c r="KF142" s="322">
        <v>10</v>
      </c>
      <c r="KG142" s="225">
        <v>7</v>
      </c>
      <c r="KH142" s="322">
        <v>9</v>
      </c>
      <c r="KI142" s="322"/>
      <c r="KJ142" s="322">
        <v>12</v>
      </c>
      <c r="KK142" s="322">
        <v>10</v>
      </c>
      <c r="KL142" s="322">
        <v>6</v>
      </c>
      <c r="KM142" s="322"/>
      <c r="KN142" s="322"/>
      <c r="KO142" s="322">
        <v>5</v>
      </c>
      <c r="KP142" s="322"/>
      <c r="KQ142" s="226"/>
      <c r="KR142" s="226"/>
      <c r="KS142" s="226"/>
      <c r="KT142" s="226"/>
      <c r="KU142" s="226"/>
      <c r="KV142" s="322" t="s">
        <v>5254</v>
      </c>
      <c r="KW142" s="322"/>
      <c r="KX142" s="383"/>
      <c r="KY142" s="386"/>
      <c r="KZ142" s="322"/>
      <c r="LA142" s="322"/>
      <c r="LB142" s="322"/>
      <c r="LC142" s="322"/>
      <c r="LD142" s="322"/>
      <c r="LE142" s="322"/>
      <c r="LF142" s="322"/>
      <c r="LG142" s="322"/>
      <c r="LH142" s="322"/>
      <c r="LI142" s="322"/>
      <c r="LJ142" s="322"/>
      <c r="LK142" s="322"/>
      <c r="LL142" s="322">
        <v>9</v>
      </c>
      <c r="LM142" s="226"/>
      <c r="LN142" s="322">
        <v>0</v>
      </c>
      <c r="LO142" s="322">
        <v>0</v>
      </c>
      <c r="LP142" s="322">
        <v>10</v>
      </c>
      <c r="LQ142" s="322">
        <v>31</v>
      </c>
      <c r="LR142" s="322">
        <v>0</v>
      </c>
      <c r="LS142" s="322">
        <v>25</v>
      </c>
      <c r="LT142" s="346">
        <v>10</v>
      </c>
      <c r="LU142" s="322">
        <v>13</v>
      </c>
      <c r="LV142" s="322">
        <v>10</v>
      </c>
      <c r="LW142" s="322"/>
      <c r="LX142" s="322"/>
      <c r="LY142" s="322"/>
      <c r="LZ142" s="322"/>
      <c r="MA142" s="322">
        <v>10</v>
      </c>
      <c r="MB142" s="322"/>
      <c r="MC142" s="322">
        <v>10</v>
      </c>
      <c r="MD142" s="322">
        <v>5</v>
      </c>
      <c r="ME142" s="322">
        <v>0</v>
      </c>
      <c r="MF142" s="322">
        <v>7</v>
      </c>
      <c r="MG142" s="226"/>
      <c r="MH142" s="226"/>
      <c r="MI142" s="226"/>
      <c r="MJ142" s="325">
        <v>19</v>
      </c>
      <c r="MK142" s="325"/>
      <c r="ML142" s="347">
        <v>13</v>
      </c>
      <c r="MM142" s="347">
        <v>13</v>
      </c>
      <c r="MN142" s="348">
        <v>11</v>
      </c>
      <c r="MO142" s="348">
        <v>20</v>
      </c>
      <c r="MP142" s="348">
        <v>12</v>
      </c>
      <c r="MQ142" s="348"/>
      <c r="MR142" s="348" t="s">
        <v>1482</v>
      </c>
      <c r="MS142" s="348">
        <v>9</v>
      </c>
      <c r="MT142" s="347">
        <v>6</v>
      </c>
      <c r="MU142" s="348">
        <v>10</v>
      </c>
      <c r="MV142" s="347">
        <v>14</v>
      </c>
      <c r="MW142" s="347">
        <f>7+7</f>
        <v>14</v>
      </c>
      <c r="MX142" s="226"/>
      <c r="MY142" s="226"/>
      <c r="MZ142" s="226"/>
      <c r="NA142" s="226"/>
    </row>
    <row r="143" spans="1:365" ht="409.6" x14ac:dyDescent="0.2">
      <c r="A143" s="1216"/>
      <c r="B143" s="1217" t="s">
        <v>239</v>
      </c>
      <c r="C143" s="1218" t="s">
        <v>221</v>
      </c>
      <c r="D143" s="215" t="s">
        <v>222</v>
      </c>
      <c r="E143" s="322" t="s">
        <v>5253</v>
      </c>
      <c r="F143" s="322" t="s">
        <v>470</v>
      </c>
      <c r="G143" s="225" t="s">
        <v>539</v>
      </c>
      <c r="H143" s="225" t="s">
        <v>539</v>
      </c>
      <c r="I143" s="225" t="s">
        <v>656</v>
      </c>
      <c r="J143" s="225" t="s">
        <v>539</v>
      </c>
      <c r="K143" s="225" t="s">
        <v>470</v>
      </c>
      <c r="L143" s="225" t="s">
        <v>470</v>
      </c>
      <c r="M143" s="225" t="s">
        <v>470</v>
      </c>
      <c r="N143" s="225" t="s">
        <v>470</v>
      </c>
      <c r="O143" s="225" t="s">
        <v>470</v>
      </c>
      <c r="P143" s="400" t="s">
        <v>470</v>
      </c>
      <c r="Q143" s="322" t="s">
        <v>470</v>
      </c>
      <c r="R143" s="322" t="s">
        <v>470</v>
      </c>
      <c r="S143" s="225"/>
      <c r="T143" s="225"/>
      <c r="U143" s="225" t="s">
        <v>470</v>
      </c>
      <c r="V143" s="225" t="s">
        <v>479</v>
      </c>
      <c r="W143" s="226"/>
      <c r="X143" s="226"/>
      <c r="Y143" s="226"/>
      <c r="Z143" s="226"/>
      <c r="AA143" s="226"/>
      <c r="AB143" s="226"/>
      <c r="AC143" s="226"/>
      <c r="AD143" s="226"/>
      <c r="AE143" s="226"/>
      <c r="AF143" s="225" t="s">
        <v>470</v>
      </c>
      <c r="AG143" s="225"/>
      <c r="AH143" s="226"/>
      <c r="AI143" s="225" t="s">
        <v>470</v>
      </c>
      <c r="AJ143" s="225"/>
      <c r="AK143" s="344" t="s">
        <v>479</v>
      </c>
      <c r="AL143" s="225"/>
      <c r="AM143" s="226"/>
      <c r="AN143" s="226"/>
      <c r="AO143" s="226"/>
      <c r="AP143" s="226"/>
      <c r="AQ143" s="225"/>
      <c r="AR143" s="225"/>
      <c r="AS143" s="225"/>
      <c r="AT143" s="225" t="s">
        <v>470</v>
      </c>
      <c r="AU143" s="225" t="s">
        <v>656</v>
      </c>
      <c r="AV143" s="225"/>
      <c r="AW143" s="225"/>
      <c r="AX143" s="225"/>
      <c r="AY143" s="229" t="s">
        <v>2234</v>
      </c>
      <c r="AZ143" s="225"/>
      <c r="BA143" s="225" t="s">
        <v>5252</v>
      </c>
      <c r="BB143" s="225"/>
      <c r="BC143" s="225" t="s">
        <v>470</v>
      </c>
      <c r="BD143" s="225" t="s">
        <v>5251</v>
      </c>
      <c r="BE143" s="229" t="s">
        <v>470</v>
      </c>
      <c r="BF143" s="225" t="s">
        <v>5250</v>
      </c>
      <c r="BG143" s="225"/>
      <c r="BH143" s="225" t="s">
        <v>470</v>
      </c>
      <c r="BI143" s="225" t="s">
        <v>470</v>
      </c>
      <c r="BJ143" s="225"/>
      <c r="BK143" s="225" t="s">
        <v>470</v>
      </c>
      <c r="BL143" s="225"/>
      <c r="BM143" s="225"/>
      <c r="BN143" s="226"/>
      <c r="BO143" s="225"/>
      <c r="BP143" s="225"/>
      <c r="BQ143" s="225" t="s">
        <v>470</v>
      </c>
      <c r="BR143" s="233" t="s">
        <v>222</v>
      </c>
      <c r="BS143" s="225" t="s">
        <v>656</v>
      </c>
      <c r="BT143" s="225"/>
      <c r="BU143" s="225"/>
      <c r="BV143" s="225"/>
      <c r="BW143" s="225"/>
      <c r="BX143" s="225"/>
      <c r="BY143" s="225"/>
      <c r="BZ143" s="225"/>
      <c r="CA143" s="225"/>
      <c r="CB143" s="225"/>
      <c r="CC143" s="225" t="s">
        <v>470</v>
      </c>
      <c r="CD143" s="229"/>
      <c r="CE143" s="229"/>
      <c r="CF143" s="229"/>
      <c r="CG143" s="229"/>
      <c r="CH143" s="229"/>
      <c r="CI143" s="229"/>
      <c r="CJ143" s="229" t="s">
        <v>470</v>
      </c>
      <c r="CK143" s="229"/>
      <c r="CL143" s="229"/>
      <c r="CM143" s="229"/>
      <c r="CN143" s="225"/>
      <c r="CO143" s="225" t="s">
        <v>470</v>
      </c>
      <c r="CP143" s="225"/>
      <c r="CQ143" s="406"/>
      <c r="CR143" s="394"/>
      <c r="CS143" s="225"/>
      <c r="CT143" s="225"/>
      <c r="CU143" s="322" t="s">
        <v>470</v>
      </c>
      <c r="CV143" s="225"/>
      <c r="CW143" s="225" t="s">
        <v>656</v>
      </c>
      <c r="CX143" s="225" t="s">
        <v>470</v>
      </c>
      <c r="CY143" s="225" t="s">
        <v>470</v>
      </c>
      <c r="CZ143" s="225"/>
      <c r="DA143" s="225"/>
      <c r="DB143" s="225" t="s">
        <v>470</v>
      </c>
      <c r="DC143" s="225"/>
      <c r="DD143" s="225"/>
      <c r="DE143" s="225" t="s">
        <v>470</v>
      </c>
      <c r="DF143" s="225" t="s">
        <v>470</v>
      </c>
      <c r="DG143" s="225" t="s">
        <v>470</v>
      </c>
      <c r="DH143" s="225"/>
      <c r="DI143" s="225"/>
      <c r="DJ143" s="225" t="s">
        <v>656</v>
      </c>
      <c r="DK143" s="225"/>
      <c r="DL143" s="225" t="s">
        <v>470</v>
      </c>
      <c r="DM143" s="225"/>
      <c r="DN143" s="225" t="s">
        <v>656</v>
      </c>
      <c r="DO143" s="225"/>
      <c r="DP143" s="225" t="s">
        <v>470</v>
      </c>
      <c r="DQ143" s="225" t="s">
        <v>470</v>
      </c>
      <c r="DR143" s="225" t="s">
        <v>470</v>
      </c>
      <c r="DS143" s="225" t="s">
        <v>470</v>
      </c>
      <c r="DT143" s="225" t="s">
        <v>470</v>
      </c>
      <c r="DU143" s="225" t="s">
        <v>470</v>
      </c>
      <c r="DV143" s="225"/>
      <c r="DW143" s="246" t="s">
        <v>2234</v>
      </c>
      <c r="DX143" s="225" t="s">
        <v>470</v>
      </c>
      <c r="DY143" s="225"/>
      <c r="DZ143" s="225" t="s">
        <v>470</v>
      </c>
      <c r="EA143" s="225" t="s">
        <v>5249</v>
      </c>
      <c r="EB143" s="225"/>
      <c r="EC143" s="226"/>
      <c r="ED143" s="225"/>
      <c r="EE143" s="225" t="s">
        <v>470</v>
      </c>
      <c r="EF143" s="225"/>
      <c r="EG143" s="226"/>
      <c r="EH143" s="225" t="s">
        <v>5248</v>
      </c>
      <c r="EI143" s="225" t="s">
        <v>470</v>
      </c>
      <c r="EJ143" s="226"/>
      <c r="EK143" s="226"/>
      <c r="EL143" s="226"/>
      <c r="EM143" s="226"/>
      <c r="EN143" s="226"/>
      <c r="EO143" s="226"/>
      <c r="EP143" s="226"/>
      <c r="EQ143" s="226"/>
      <c r="ER143" s="225" t="s">
        <v>470</v>
      </c>
      <c r="ES143" s="225"/>
      <c r="ET143" s="322"/>
      <c r="EU143" s="322" t="s">
        <v>470</v>
      </c>
      <c r="EV143" s="322" t="s">
        <v>470</v>
      </c>
      <c r="EW143" s="225" t="s">
        <v>5247</v>
      </c>
      <c r="EX143" s="225"/>
      <c r="EY143" s="225"/>
      <c r="EZ143" s="229"/>
      <c r="FA143" s="225"/>
      <c r="FB143" s="225" t="s">
        <v>470</v>
      </c>
      <c r="FC143" s="225" t="s">
        <v>470</v>
      </c>
      <c r="FD143" s="226"/>
      <c r="FE143" s="404"/>
      <c r="FF143" s="225" t="s">
        <v>470</v>
      </c>
      <c r="FG143" s="225" t="s">
        <v>470</v>
      </c>
      <c r="FH143" s="225" t="s">
        <v>470</v>
      </c>
      <c r="FI143" s="465" t="s">
        <v>470</v>
      </c>
      <c r="FJ143" s="465" t="s">
        <v>470</v>
      </c>
      <c r="FK143" s="465"/>
      <c r="FL143" s="465" t="s">
        <v>470</v>
      </c>
      <c r="FM143" s="225" t="s">
        <v>470</v>
      </c>
      <c r="FN143" s="225"/>
      <c r="FO143" s="394"/>
      <c r="FP143" s="394"/>
      <c r="FQ143" s="465" t="s">
        <v>470</v>
      </c>
      <c r="FR143" s="394"/>
      <c r="FS143" s="394"/>
      <c r="FT143" s="394" t="s">
        <v>5246</v>
      </c>
      <c r="FU143" s="226"/>
      <c r="FV143" s="394" t="s">
        <v>5245</v>
      </c>
      <c r="FW143" s="394"/>
      <c r="FX143" s="394"/>
      <c r="FY143" s="226"/>
      <c r="FZ143" s="394"/>
      <c r="GA143" s="394"/>
      <c r="GB143" s="394"/>
      <c r="GC143" s="394"/>
      <c r="GD143" s="394"/>
      <c r="GE143" s="394"/>
      <c r="GF143" s="394"/>
      <c r="GG143" s="394" t="s">
        <v>470</v>
      </c>
      <c r="GH143" s="394" t="s">
        <v>470</v>
      </c>
      <c r="GI143" s="226"/>
      <c r="GJ143" s="394"/>
      <c r="GK143" s="394"/>
      <c r="GL143" s="394"/>
      <c r="GM143" s="394"/>
      <c r="GN143" s="394"/>
      <c r="GO143" s="226"/>
      <c r="GP143" s="394"/>
      <c r="GQ143" s="226"/>
      <c r="GR143" s="394"/>
      <c r="GS143" s="394"/>
      <c r="GT143" s="394"/>
      <c r="GU143" s="394" t="s">
        <v>5244</v>
      </c>
      <c r="GV143" s="394"/>
      <c r="GW143" s="226"/>
      <c r="GX143" s="225" t="s">
        <v>5243</v>
      </c>
      <c r="GY143" s="225" t="s">
        <v>5243</v>
      </c>
      <c r="GZ143" s="394" t="s">
        <v>470</v>
      </c>
      <c r="HA143" s="225"/>
      <c r="HB143" s="225" t="s">
        <v>470</v>
      </c>
      <c r="HC143" s="225"/>
      <c r="HD143" s="225" t="s">
        <v>470</v>
      </c>
      <c r="HE143" s="225"/>
      <c r="HF143" s="226"/>
      <c r="HG143" s="227" t="s">
        <v>656</v>
      </c>
      <c r="HH143" s="227" t="s">
        <v>656</v>
      </c>
      <c r="HI143" s="227" t="s">
        <v>656</v>
      </c>
      <c r="HJ143" s="225" t="s">
        <v>656</v>
      </c>
      <c r="HK143" s="227" t="s">
        <v>656</v>
      </c>
      <c r="HL143" s="226"/>
      <c r="HM143" s="225" t="s">
        <v>470</v>
      </c>
      <c r="HN143" s="226"/>
      <c r="HO143" s="225"/>
      <c r="HP143" s="225" t="s">
        <v>470</v>
      </c>
      <c r="HQ143" s="225" t="s">
        <v>873</v>
      </c>
      <c r="HR143" s="225"/>
      <c r="HS143" s="225" t="s">
        <v>470</v>
      </c>
      <c r="HT143" s="294" t="s">
        <v>470</v>
      </c>
      <c r="HU143" s="225" t="s">
        <v>470</v>
      </c>
      <c r="HV143" s="225"/>
      <c r="HW143" s="225" t="s">
        <v>470</v>
      </c>
      <c r="HX143" s="225" t="s">
        <v>470</v>
      </c>
      <c r="HY143" s="225"/>
      <c r="HZ143" s="225" t="s">
        <v>470</v>
      </c>
      <c r="IA143" s="225"/>
      <c r="IB143" s="225"/>
      <c r="IC143" s="225"/>
      <c r="ID143" s="322"/>
      <c r="IE143" s="225"/>
      <c r="IF143" s="225"/>
      <c r="IG143" s="225"/>
      <c r="IH143" s="229"/>
      <c r="II143" s="225"/>
      <c r="IJ143" s="225"/>
      <c r="IK143" s="225"/>
      <c r="IL143" s="225"/>
      <c r="IM143" s="225"/>
      <c r="IN143" s="225"/>
      <c r="IO143" s="225"/>
      <c r="IP143" s="225"/>
      <c r="IQ143" s="225"/>
      <c r="IR143" s="225" t="s">
        <v>470</v>
      </c>
      <c r="IS143" s="225"/>
      <c r="IT143" s="225"/>
      <c r="IU143" s="225"/>
      <c r="IV143" s="225"/>
      <c r="IW143" s="225"/>
      <c r="IX143" s="225"/>
      <c r="IY143" s="225"/>
      <c r="IZ143" s="225"/>
      <c r="JA143" s="225"/>
      <c r="JB143" s="225"/>
      <c r="JC143" s="225" t="s">
        <v>470</v>
      </c>
      <c r="JD143" s="225" t="s">
        <v>470</v>
      </c>
      <c r="JE143" s="226"/>
      <c r="JF143" s="226"/>
      <c r="JG143" s="226"/>
      <c r="JH143" s="225" t="s">
        <v>470</v>
      </c>
      <c r="JI143" s="225"/>
      <c r="JJ143" s="225" t="s">
        <v>470</v>
      </c>
      <c r="JK143" s="237" t="s">
        <v>470</v>
      </c>
      <c r="JL143" s="225" t="s">
        <v>656</v>
      </c>
      <c r="JM143" s="225" t="s">
        <v>5242</v>
      </c>
      <c r="JN143" s="226"/>
      <c r="JO143" s="226"/>
      <c r="JP143" s="226"/>
      <c r="JQ143" s="225"/>
      <c r="JR143" s="225" t="s">
        <v>470</v>
      </c>
      <c r="JS143" s="225" t="s">
        <v>470</v>
      </c>
      <c r="JT143" s="225" t="s">
        <v>470</v>
      </c>
      <c r="JU143" s="225"/>
      <c r="JV143" s="225"/>
      <c r="JW143" s="225" t="s">
        <v>656</v>
      </c>
      <c r="JX143" s="225" t="s">
        <v>656</v>
      </c>
      <c r="JY143" s="225" t="s">
        <v>470</v>
      </c>
      <c r="JZ143" s="225" t="s">
        <v>470</v>
      </c>
      <c r="KA143" s="225" t="s">
        <v>5241</v>
      </c>
      <c r="KB143" s="225"/>
      <c r="KC143" s="322" t="s">
        <v>470</v>
      </c>
      <c r="KD143" s="225"/>
      <c r="KE143" s="232"/>
      <c r="KF143" s="225"/>
      <c r="KG143" s="225" t="s">
        <v>470</v>
      </c>
      <c r="KH143" s="225"/>
      <c r="KI143" s="225" t="s">
        <v>479</v>
      </c>
      <c r="KJ143" s="322" t="s">
        <v>470</v>
      </c>
      <c r="KK143" s="225"/>
      <c r="KL143" s="225" t="s">
        <v>470</v>
      </c>
      <c r="KM143" s="225" t="s">
        <v>5240</v>
      </c>
      <c r="KN143" s="225"/>
      <c r="KO143" s="225" t="s">
        <v>470</v>
      </c>
      <c r="KP143" s="225" t="s">
        <v>470</v>
      </c>
      <c r="KQ143" s="226"/>
      <c r="KR143" s="226"/>
      <c r="KS143" s="226"/>
      <c r="KT143" s="226"/>
      <c r="KU143" s="226"/>
      <c r="KV143" s="225" t="s">
        <v>470</v>
      </c>
      <c r="KW143" s="225"/>
      <c r="KX143" s="228"/>
      <c r="KY143" s="793"/>
      <c r="KZ143" s="225"/>
      <c r="LA143" s="225" t="s">
        <v>470</v>
      </c>
      <c r="LB143" s="225"/>
      <c r="LC143" s="225"/>
      <c r="LD143" s="225"/>
      <c r="LE143" s="225"/>
      <c r="LF143" s="225"/>
      <c r="LG143" s="225"/>
      <c r="LH143" s="225"/>
      <c r="LI143" s="225"/>
      <c r="LJ143" s="225" t="s">
        <v>470</v>
      </c>
      <c r="LK143" s="225"/>
      <c r="LL143" s="225"/>
      <c r="LM143" s="226"/>
      <c r="LN143" s="225" t="s">
        <v>470</v>
      </c>
      <c r="LO143" s="225"/>
      <c r="LP143" s="225" t="s">
        <v>470</v>
      </c>
      <c r="LQ143" s="225"/>
      <c r="LR143" s="225"/>
      <c r="LS143" s="225" t="s">
        <v>470</v>
      </c>
      <c r="LT143" s="234" t="s">
        <v>470</v>
      </c>
      <c r="LU143" s="225"/>
      <c r="LV143" s="225" t="s">
        <v>470</v>
      </c>
      <c r="LW143" s="225"/>
      <c r="LX143" s="225" t="s">
        <v>470</v>
      </c>
      <c r="LY143" s="225"/>
      <c r="LZ143" s="225"/>
      <c r="MA143" s="225"/>
      <c r="MB143" s="225"/>
      <c r="MC143" s="225"/>
      <c r="MD143" s="225" t="s">
        <v>470</v>
      </c>
      <c r="ME143" s="225"/>
      <c r="MF143" s="225"/>
      <c r="MG143" s="226"/>
      <c r="MH143" s="226"/>
      <c r="MI143" s="226"/>
      <c r="MJ143" s="235" t="s">
        <v>470</v>
      </c>
      <c r="MK143" s="235"/>
      <c r="ML143" s="235" t="s">
        <v>656</v>
      </c>
      <c r="MM143" s="235" t="s">
        <v>470</v>
      </c>
      <c r="MN143" s="236" t="s">
        <v>5239</v>
      </c>
      <c r="MO143" s="236" t="s">
        <v>5238</v>
      </c>
      <c r="MP143" s="236"/>
      <c r="MQ143" s="236" t="s">
        <v>5237</v>
      </c>
      <c r="MR143" s="236" t="s">
        <v>470</v>
      </c>
      <c r="MS143" s="236"/>
      <c r="MT143" s="235"/>
      <c r="MU143" s="236" t="s">
        <v>5236</v>
      </c>
      <c r="MV143" s="235"/>
      <c r="MW143" s="235"/>
      <c r="MX143" s="226"/>
      <c r="MY143" s="226"/>
      <c r="MZ143" s="226"/>
      <c r="NA143" s="226"/>
    </row>
    <row r="144" spans="1:365" ht="404" x14ac:dyDescent="0.2">
      <c r="A144" s="1216"/>
      <c r="B144" s="1217"/>
      <c r="C144" s="1218"/>
      <c r="D144" s="215" t="s">
        <v>205</v>
      </c>
      <c r="E144" s="322" t="s">
        <v>5235</v>
      </c>
      <c r="F144" s="322"/>
      <c r="G144" s="225" t="s">
        <v>656</v>
      </c>
      <c r="H144" s="225" t="s">
        <v>656</v>
      </c>
      <c r="I144" s="322" t="s">
        <v>656</v>
      </c>
      <c r="J144" s="225" t="s">
        <v>656</v>
      </c>
      <c r="K144" s="225" t="s">
        <v>1924</v>
      </c>
      <c r="L144" s="225" t="s">
        <v>1924</v>
      </c>
      <c r="M144" s="225" t="s">
        <v>1924</v>
      </c>
      <c r="N144" s="225" t="s">
        <v>1924</v>
      </c>
      <c r="O144" s="225" t="s">
        <v>1924</v>
      </c>
      <c r="P144" s="400" t="s">
        <v>1924</v>
      </c>
      <c r="Q144" s="225" t="s">
        <v>1924</v>
      </c>
      <c r="R144" s="322"/>
      <c r="S144" s="225"/>
      <c r="T144" s="225"/>
      <c r="U144" s="225"/>
      <c r="V144" s="225" t="s">
        <v>5234</v>
      </c>
      <c r="W144" s="226"/>
      <c r="X144" s="226"/>
      <c r="Y144" s="226"/>
      <c r="Z144" s="226"/>
      <c r="AA144" s="226"/>
      <c r="AB144" s="226"/>
      <c r="AC144" s="226"/>
      <c r="AD144" s="226"/>
      <c r="AE144" s="226"/>
      <c r="AF144" s="225" t="s">
        <v>1447</v>
      </c>
      <c r="AG144" s="225"/>
      <c r="AH144" s="226"/>
      <c r="AI144" s="225"/>
      <c r="AJ144" s="225"/>
      <c r="AK144" s="344" t="s">
        <v>1597</v>
      </c>
      <c r="AL144" s="225"/>
      <c r="AM144" s="226"/>
      <c r="AN144" s="226"/>
      <c r="AO144" s="226"/>
      <c r="AP144" s="226"/>
      <c r="AQ144" s="225"/>
      <c r="AR144" s="225"/>
      <c r="AS144" s="225"/>
      <c r="AT144" s="225" t="s">
        <v>470</v>
      </c>
      <c r="AU144" s="225" t="s">
        <v>656</v>
      </c>
      <c r="AV144" s="225"/>
      <c r="AW144" s="225"/>
      <c r="AX144" s="225"/>
      <c r="AY144" s="229" t="s">
        <v>2234</v>
      </c>
      <c r="AZ144" s="225"/>
      <c r="BA144" s="225"/>
      <c r="BB144" s="225"/>
      <c r="BC144" s="225"/>
      <c r="BD144" s="225" t="s">
        <v>5233</v>
      </c>
      <c r="BE144" s="229"/>
      <c r="BF144" s="225" t="s">
        <v>5232</v>
      </c>
      <c r="BG144" s="225"/>
      <c r="BH144" s="225" t="s">
        <v>470</v>
      </c>
      <c r="BI144" s="225" t="s">
        <v>656</v>
      </c>
      <c r="BJ144" s="225"/>
      <c r="BK144" s="225"/>
      <c r="BL144" s="225"/>
      <c r="BM144" s="225"/>
      <c r="BN144" s="226"/>
      <c r="BO144" s="225"/>
      <c r="BP144" s="225"/>
      <c r="BQ144" s="225"/>
      <c r="BR144" s="233" t="s">
        <v>205</v>
      </c>
      <c r="BS144" s="225" t="s">
        <v>656</v>
      </c>
      <c r="BT144" s="225"/>
      <c r="BU144" s="225"/>
      <c r="BV144" s="225"/>
      <c r="BW144" s="225"/>
      <c r="BX144" s="225"/>
      <c r="BY144" s="225"/>
      <c r="BZ144" s="225"/>
      <c r="CA144" s="225"/>
      <c r="CB144" s="225"/>
      <c r="CC144" s="225"/>
      <c r="CD144" s="229"/>
      <c r="CE144" s="229"/>
      <c r="CF144" s="229"/>
      <c r="CG144" s="229"/>
      <c r="CH144" s="229"/>
      <c r="CI144" s="229"/>
      <c r="CJ144" s="229"/>
      <c r="CK144" s="229"/>
      <c r="CL144" s="229"/>
      <c r="CM144" s="229"/>
      <c r="CN144" s="225"/>
      <c r="CO144" s="225"/>
      <c r="CP144" s="225"/>
      <c r="CQ144" s="406"/>
      <c r="CR144" s="394"/>
      <c r="CS144" s="225"/>
      <c r="CT144" s="225"/>
      <c r="CU144" s="322">
        <v>0</v>
      </c>
      <c r="CV144" s="225"/>
      <c r="CW144" s="225" t="s">
        <v>656</v>
      </c>
      <c r="CX144" s="225"/>
      <c r="CY144" s="225"/>
      <c r="CZ144" s="225"/>
      <c r="DA144" s="225"/>
      <c r="DB144" s="225"/>
      <c r="DC144" s="225"/>
      <c r="DD144" s="225"/>
      <c r="DE144" s="225"/>
      <c r="DF144" s="225"/>
      <c r="DG144" s="225"/>
      <c r="DH144" s="225"/>
      <c r="DI144" s="225"/>
      <c r="DJ144" s="225" t="s">
        <v>656</v>
      </c>
      <c r="DK144" s="225"/>
      <c r="DL144" s="225"/>
      <c r="DM144" s="225"/>
      <c r="DN144" s="225" t="s">
        <v>656</v>
      </c>
      <c r="DO144" s="225"/>
      <c r="DP144" s="225" t="s">
        <v>470</v>
      </c>
      <c r="DQ144" s="225" t="s">
        <v>470</v>
      </c>
      <c r="DR144" s="225" t="s">
        <v>470</v>
      </c>
      <c r="DS144" s="225" t="s">
        <v>470</v>
      </c>
      <c r="DT144" s="225" t="s">
        <v>470</v>
      </c>
      <c r="DU144" s="225" t="s">
        <v>470</v>
      </c>
      <c r="DV144" s="225"/>
      <c r="DW144" s="246" t="s">
        <v>2234</v>
      </c>
      <c r="DX144" s="225"/>
      <c r="DY144" s="225"/>
      <c r="DZ144" s="225"/>
      <c r="EA144" s="225"/>
      <c r="EB144" s="225"/>
      <c r="EC144" s="226"/>
      <c r="ED144" s="225"/>
      <c r="EE144" s="225" t="s">
        <v>656</v>
      </c>
      <c r="EF144" s="225"/>
      <c r="EG144" s="226"/>
      <c r="EH144" s="225" t="s">
        <v>5231</v>
      </c>
      <c r="EI144" s="225" t="s">
        <v>656</v>
      </c>
      <c r="EJ144" s="226"/>
      <c r="EK144" s="226"/>
      <c r="EL144" s="226"/>
      <c r="EM144" s="226"/>
      <c r="EN144" s="226"/>
      <c r="EO144" s="226"/>
      <c r="EP144" s="226"/>
      <c r="EQ144" s="226"/>
      <c r="ER144" s="225"/>
      <c r="ES144" s="225"/>
      <c r="ET144" s="322"/>
      <c r="EU144" s="322"/>
      <c r="EV144" s="322"/>
      <c r="EW144" s="225" t="s">
        <v>5230</v>
      </c>
      <c r="EX144" s="225"/>
      <c r="EY144" s="225"/>
      <c r="EZ144" s="229"/>
      <c r="FA144" s="225"/>
      <c r="FB144" s="225"/>
      <c r="FC144" s="225" t="s">
        <v>470</v>
      </c>
      <c r="FD144" s="226"/>
      <c r="FE144" s="404"/>
      <c r="FF144" s="225" t="s">
        <v>470</v>
      </c>
      <c r="FG144" s="225" t="s">
        <v>470</v>
      </c>
      <c r="FH144" s="225" t="s">
        <v>470</v>
      </c>
      <c r="FI144" s="465" t="s">
        <v>656</v>
      </c>
      <c r="FJ144" s="465" t="s">
        <v>656</v>
      </c>
      <c r="FK144" s="465"/>
      <c r="FL144" s="465" t="s">
        <v>656</v>
      </c>
      <c r="FM144" s="225"/>
      <c r="FN144" s="225"/>
      <c r="FO144" s="394"/>
      <c r="FP144" s="394"/>
      <c r="FQ144" s="465" t="s">
        <v>656</v>
      </c>
      <c r="FR144" s="394"/>
      <c r="FS144" s="394"/>
      <c r="FT144" s="388" t="s">
        <v>5229</v>
      </c>
      <c r="FU144" s="226"/>
      <c r="FV144" s="394" t="s">
        <v>5228</v>
      </c>
      <c r="FW144" s="394"/>
      <c r="FX144" s="394"/>
      <c r="FY144" s="226"/>
      <c r="FZ144" s="394"/>
      <c r="GA144" s="394"/>
      <c r="GB144" s="394"/>
      <c r="GC144" s="394"/>
      <c r="GD144" s="394"/>
      <c r="GE144" s="394"/>
      <c r="GF144" s="394"/>
      <c r="GG144" s="394" t="s">
        <v>4906</v>
      </c>
      <c r="GH144" s="394" t="s">
        <v>4906</v>
      </c>
      <c r="GI144" s="226"/>
      <c r="GJ144" s="394"/>
      <c r="GK144" s="394"/>
      <c r="GL144" s="394"/>
      <c r="GM144" s="394"/>
      <c r="GN144" s="394"/>
      <c r="GO144" s="226"/>
      <c r="GP144" s="394"/>
      <c r="GQ144" s="226"/>
      <c r="GR144" s="394"/>
      <c r="GS144" s="394"/>
      <c r="GT144" s="394"/>
      <c r="GU144" s="394" t="s">
        <v>1876</v>
      </c>
      <c r="GV144" s="394"/>
      <c r="GW144" s="226"/>
      <c r="GX144" s="225"/>
      <c r="GY144" s="225"/>
      <c r="GZ144" s="394"/>
      <c r="HA144" s="225"/>
      <c r="HB144" s="225"/>
      <c r="HC144" s="225"/>
      <c r="HD144" s="225"/>
      <c r="HE144" s="225"/>
      <c r="HF144" s="226"/>
      <c r="HG144" s="227" t="s">
        <v>656</v>
      </c>
      <c r="HH144" s="227" t="s">
        <v>656</v>
      </c>
      <c r="HI144" s="227" t="s">
        <v>656</v>
      </c>
      <c r="HJ144" s="225" t="s">
        <v>656</v>
      </c>
      <c r="HK144" s="227" t="s">
        <v>656</v>
      </c>
      <c r="HL144" s="226"/>
      <c r="HM144" s="225"/>
      <c r="HN144" s="226"/>
      <c r="HO144" s="225"/>
      <c r="HP144" s="225"/>
      <c r="HQ144" s="225"/>
      <c r="HR144" s="225"/>
      <c r="HS144" s="225"/>
      <c r="HT144" s="225"/>
      <c r="HU144" s="225"/>
      <c r="HV144" s="225"/>
      <c r="HW144" s="225"/>
      <c r="HX144" s="225"/>
      <c r="HY144" s="225"/>
      <c r="HZ144" s="225" t="s">
        <v>656</v>
      </c>
      <c r="IA144" s="225"/>
      <c r="IB144" s="225"/>
      <c r="IC144" s="225"/>
      <c r="ID144" s="225"/>
      <c r="IE144" s="225"/>
      <c r="IF144" s="225"/>
      <c r="IG144" s="225"/>
      <c r="IH144" s="229"/>
      <c r="II144" s="225"/>
      <c r="IJ144" s="225"/>
      <c r="IK144" s="225"/>
      <c r="IL144" s="225"/>
      <c r="IM144" s="225"/>
      <c r="IN144" s="225"/>
      <c r="IO144" s="225"/>
      <c r="IP144" s="225"/>
      <c r="IQ144" s="225"/>
      <c r="IR144" s="225"/>
      <c r="IS144" s="225"/>
      <c r="IT144" s="225"/>
      <c r="IU144" s="225"/>
      <c r="IV144" s="225"/>
      <c r="IW144" s="225"/>
      <c r="IX144" s="225"/>
      <c r="IY144" s="225"/>
      <c r="IZ144" s="225"/>
      <c r="JA144" s="225"/>
      <c r="JB144" s="225"/>
      <c r="JC144" s="225" t="s">
        <v>656</v>
      </c>
      <c r="JD144" s="225" t="s">
        <v>656</v>
      </c>
      <c r="JE144" s="226"/>
      <c r="JF144" s="226"/>
      <c r="JG144" s="226"/>
      <c r="JH144" s="225"/>
      <c r="JI144" s="225"/>
      <c r="JJ144" s="225" t="s">
        <v>656</v>
      </c>
      <c r="JK144" s="237"/>
      <c r="JL144" s="225" t="s">
        <v>656</v>
      </c>
      <c r="JM144" s="225"/>
      <c r="JN144" s="226"/>
      <c r="JO144" s="226"/>
      <c r="JP144" s="226"/>
      <c r="JQ144" s="225"/>
      <c r="JR144" s="225"/>
      <c r="JS144" s="225"/>
      <c r="JT144" s="225"/>
      <c r="JU144" s="225"/>
      <c r="JV144" s="225"/>
      <c r="JW144" s="225" t="s">
        <v>656</v>
      </c>
      <c r="JX144" s="225" t="s">
        <v>656</v>
      </c>
      <c r="JY144" s="225" t="s">
        <v>470</v>
      </c>
      <c r="JZ144" s="225" t="s">
        <v>470</v>
      </c>
      <c r="KA144" s="225"/>
      <c r="KB144" s="225"/>
      <c r="KC144" s="322" t="s">
        <v>470</v>
      </c>
      <c r="KD144" s="225"/>
      <c r="KE144" s="232"/>
      <c r="KF144" s="225"/>
      <c r="KG144" s="225" t="s">
        <v>470</v>
      </c>
      <c r="KH144" s="225"/>
      <c r="KI144" s="225" t="s">
        <v>5227</v>
      </c>
      <c r="KJ144" s="225"/>
      <c r="KK144" s="225"/>
      <c r="KL144" s="225" t="s">
        <v>656</v>
      </c>
      <c r="KM144" s="225" t="s">
        <v>5226</v>
      </c>
      <c r="KN144" s="225"/>
      <c r="KO144" s="225"/>
      <c r="KP144" s="225"/>
      <c r="KQ144" s="226"/>
      <c r="KR144" s="226"/>
      <c r="KS144" s="226"/>
      <c r="KT144" s="226"/>
      <c r="KU144" s="226"/>
      <c r="KV144" s="225" t="s">
        <v>656</v>
      </c>
      <c r="KW144" s="225"/>
      <c r="KX144" s="228"/>
      <c r="KY144" s="793"/>
      <c r="KZ144" s="225"/>
      <c r="LA144" s="225"/>
      <c r="LB144" s="225"/>
      <c r="LC144" s="225"/>
      <c r="LD144" s="225"/>
      <c r="LE144" s="225"/>
      <c r="LF144" s="225"/>
      <c r="LG144" s="225"/>
      <c r="LH144" s="225"/>
      <c r="LI144" s="225"/>
      <c r="LJ144" s="225"/>
      <c r="LK144" s="225"/>
      <c r="LL144" s="225"/>
      <c r="LM144" s="226"/>
      <c r="LN144" s="225"/>
      <c r="LO144" s="225"/>
      <c r="LP144" s="225"/>
      <c r="LQ144" s="225"/>
      <c r="LR144" s="225"/>
      <c r="LS144" s="225"/>
      <c r="LT144" s="234"/>
      <c r="LU144" s="225"/>
      <c r="LV144" s="225"/>
      <c r="LW144" s="225"/>
      <c r="LX144" s="225"/>
      <c r="LY144" s="225"/>
      <c r="LZ144" s="225"/>
      <c r="MA144" s="225"/>
      <c r="MB144" s="225"/>
      <c r="MC144" s="225"/>
      <c r="MD144" s="225"/>
      <c r="ME144" s="225"/>
      <c r="MF144" s="225"/>
      <c r="MG144" s="226"/>
      <c r="MH144" s="226"/>
      <c r="MI144" s="226"/>
      <c r="MJ144" s="235"/>
      <c r="MK144" s="235"/>
      <c r="ML144" s="235" t="s">
        <v>656</v>
      </c>
      <c r="MM144" s="235"/>
      <c r="MN144" s="236" t="s">
        <v>543</v>
      </c>
      <c r="MO144" s="236" t="s">
        <v>4932</v>
      </c>
      <c r="MP144" s="236"/>
      <c r="MQ144" s="236"/>
      <c r="MR144" s="236" t="s">
        <v>1482</v>
      </c>
      <c r="MS144" s="236"/>
      <c r="MT144" s="235"/>
      <c r="MU144" s="236" t="s">
        <v>5225</v>
      </c>
      <c r="MV144" s="235"/>
      <c r="MW144" s="235"/>
      <c r="MX144" s="226"/>
      <c r="MY144" s="226"/>
      <c r="MZ144" s="226"/>
      <c r="NA144" s="226"/>
    </row>
    <row r="145" spans="1:365" ht="51" x14ac:dyDescent="0.2">
      <c r="A145" s="1216"/>
      <c r="B145" s="1217"/>
      <c r="C145" s="1218"/>
      <c r="D145" s="215" t="s">
        <v>209</v>
      </c>
      <c r="E145" s="322" t="s">
        <v>5224</v>
      </c>
      <c r="F145" s="322"/>
      <c r="G145" s="322" t="s">
        <v>656</v>
      </c>
      <c r="H145" s="322" t="s">
        <v>656</v>
      </c>
      <c r="I145" s="225" t="s">
        <v>656</v>
      </c>
      <c r="J145" s="322" t="s">
        <v>656</v>
      </c>
      <c r="K145" s="322">
        <v>0</v>
      </c>
      <c r="L145" s="225">
        <v>0</v>
      </c>
      <c r="M145" s="322">
        <v>0</v>
      </c>
      <c r="N145" s="322">
        <v>0</v>
      </c>
      <c r="O145" s="322">
        <v>0</v>
      </c>
      <c r="P145" s="463">
        <v>0</v>
      </c>
      <c r="Q145" s="322">
        <v>0</v>
      </c>
      <c r="R145" s="322"/>
      <c r="S145" s="322"/>
      <c r="T145" s="322"/>
      <c r="U145" s="322"/>
      <c r="V145" s="322" t="s">
        <v>5223</v>
      </c>
      <c r="W145" s="226"/>
      <c r="X145" s="226"/>
      <c r="Y145" s="226"/>
      <c r="Z145" s="226"/>
      <c r="AA145" s="226"/>
      <c r="AB145" s="226"/>
      <c r="AC145" s="226"/>
      <c r="AD145" s="226"/>
      <c r="AE145" s="226"/>
      <c r="AF145" s="322" t="s">
        <v>1447</v>
      </c>
      <c r="AG145" s="225"/>
      <c r="AH145" s="226"/>
      <c r="AI145" s="322"/>
      <c r="AJ145" s="322"/>
      <c r="AK145" s="344">
        <v>25</v>
      </c>
      <c r="AL145" s="322"/>
      <c r="AM145" s="226"/>
      <c r="AN145" s="226"/>
      <c r="AO145" s="226"/>
      <c r="AP145" s="226"/>
      <c r="AQ145" s="322"/>
      <c r="AR145" s="322"/>
      <c r="AS145" s="322"/>
      <c r="AT145" s="322">
        <v>0</v>
      </c>
      <c r="AU145" s="322" t="s">
        <v>656</v>
      </c>
      <c r="AV145" s="225"/>
      <c r="AW145" s="322"/>
      <c r="AX145" s="322"/>
      <c r="AY145" s="344" t="s">
        <v>2234</v>
      </c>
      <c r="AZ145" s="322"/>
      <c r="BA145" s="322"/>
      <c r="BB145" s="322"/>
      <c r="BC145" s="322"/>
      <c r="BD145" s="322">
        <v>7</v>
      </c>
      <c r="BE145" s="344"/>
      <c r="BF145" s="322">
        <v>25</v>
      </c>
      <c r="BG145" s="322"/>
      <c r="BH145" s="322" t="s">
        <v>470</v>
      </c>
      <c r="BI145" s="322" t="s">
        <v>656</v>
      </c>
      <c r="BJ145" s="322"/>
      <c r="BK145" s="322"/>
      <c r="BL145" s="322"/>
      <c r="BM145" s="322"/>
      <c r="BN145" s="226"/>
      <c r="BO145" s="322"/>
      <c r="BP145" s="322"/>
      <c r="BQ145" s="322"/>
      <c r="BR145" s="233" t="s">
        <v>209</v>
      </c>
      <c r="BS145" s="322" t="s">
        <v>656</v>
      </c>
      <c r="BT145" s="322"/>
      <c r="BU145" s="322"/>
      <c r="BV145" s="322"/>
      <c r="BW145" s="322"/>
      <c r="BX145" s="322"/>
      <c r="BY145" s="322"/>
      <c r="BZ145" s="322"/>
      <c r="CA145" s="322"/>
      <c r="CB145" s="322"/>
      <c r="CC145" s="322"/>
      <c r="CD145" s="344"/>
      <c r="CE145" s="344"/>
      <c r="CF145" s="344"/>
      <c r="CG145" s="344">
        <v>0</v>
      </c>
      <c r="CH145" s="344"/>
      <c r="CI145" s="344"/>
      <c r="CJ145" s="344">
        <v>0</v>
      </c>
      <c r="CK145" s="344"/>
      <c r="CL145" s="344"/>
      <c r="CM145" s="344"/>
      <c r="CN145" s="322"/>
      <c r="CO145" s="322"/>
      <c r="CP145" s="322"/>
      <c r="CQ145" s="464"/>
      <c r="CR145" s="465"/>
      <c r="CS145" s="322"/>
      <c r="CT145" s="322"/>
      <c r="CU145" s="322">
        <v>0</v>
      </c>
      <c r="CV145" s="322"/>
      <c r="CW145" s="322" t="s">
        <v>656</v>
      </c>
      <c r="CX145" s="322"/>
      <c r="CY145" s="322"/>
      <c r="CZ145" s="322"/>
      <c r="DA145" s="322"/>
      <c r="DB145" s="322"/>
      <c r="DC145" s="322"/>
      <c r="DD145" s="322"/>
      <c r="DE145" s="322"/>
      <c r="DF145" s="322"/>
      <c r="DG145" s="322"/>
      <c r="DH145" s="322"/>
      <c r="DI145" s="322"/>
      <c r="DJ145" s="322" t="s">
        <v>656</v>
      </c>
      <c r="DK145" s="322"/>
      <c r="DL145" s="322"/>
      <c r="DM145" s="322"/>
      <c r="DN145" s="322" t="s">
        <v>656</v>
      </c>
      <c r="DO145" s="322"/>
      <c r="DP145" s="225">
        <v>0</v>
      </c>
      <c r="DQ145" s="225">
        <v>0</v>
      </c>
      <c r="DR145" s="225">
        <v>0</v>
      </c>
      <c r="DS145" s="225">
        <v>0</v>
      </c>
      <c r="DT145" s="225">
        <v>0</v>
      </c>
      <c r="DU145" s="322">
        <v>0</v>
      </c>
      <c r="DV145" s="322"/>
      <c r="DW145" s="246" t="s">
        <v>2234</v>
      </c>
      <c r="DX145" s="322"/>
      <c r="DY145" s="322"/>
      <c r="DZ145" s="322"/>
      <c r="EA145" s="322"/>
      <c r="EB145" s="322"/>
      <c r="EC145" s="226"/>
      <c r="ED145" s="322"/>
      <c r="EE145" s="322" t="s">
        <v>656</v>
      </c>
      <c r="EF145" s="322"/>
      <c r="EG145" s="226"/>
      <c r="EH145" s="322">
        <v>35</v>
      </c>
      <c r="EI145" s="322" t="s">
        <v>656</v>
      </c>
      <c r="EJ145" s="226"/>
      <c r="EK145" s="226"/>
      <c r="EL145" s="226"/>
      <c r="EM145" s="226"/>
      <c r="EN145" s="226"/>
      <c r="EO145" s="226"/>
      <c r="EP145" s="226"/>
      <c r="EQ145" s="226"/>
      <c r="ER145" s="322"/>
      <c r="ES145" s="322"/>
      <c r="ET145" s="322"/>
      <c r="EU145" s="322"/>
      <c r="EV145" s="322"/>
      <c r="EW145" s="322">
        <v>11</v>
      </c>
      <c r="EX145" s="322"/>
      <c r="EY145" s="322"/>
      <c r="EZ145" s="344"/>
      <c r="FA145" s="322"/>
      <c r="FB145" s="322"/>
      <c r="FC145" s="322"/>
      <c r="FD145" s="226"/>
      <c r="FE145" s="404"/>
      <c r="FF145" s="225" t="s">
        <v>470</v>
      </c>
      <c r="FG145" s="225" t="s">
        <v>470</v>
      </c>
      <c r="FH145" s="225" t="s">
        <v>470</v>
      </c>
      <c r="FI145" s="465" t="s">
        <v>656</v>
      </c>
      <c r="FJ145" s="465" t="s">
        <v>656</v>
      </c>
      <c r="FK145" s="465"/>
      <c r="FL145" s="465" t="s">
        <v>656</v>
      </c>
      <c r="FM145" s="322"/>
      <c r="FN145" s="322"/>
      <c r="FO145" s="465"/>
      <c r="FP145" s="465"/>
      <c r="FQ145" s="465" t="s">
        <v>656</v>
      </c>
      <c r="FR145" s="465"/>
      <c r="FS145" s="465"/>
      <c r="FT145" s="465">
        <v>15</v>
      </c>
      <c r="FU145" s="226"/>
      <c r="FV145" s="465">
        <v>359</v>
      </c>
      <c r="FW145" s="465"/>
      <c r="FX145" s="465"/>
      <c r="FY145" s="226"/>
      <c r="FZ145" s="465"/>
      <c r="GA145" s="465"/>
      <c r="GB145" s="465"/>
      <c r="GC145" s="465"/>
      <c r="GD145" s="465"/>
      <c r="GE145" s="465"/>
      <c r="GF145" s="465"/>
      <c r="GG145" s="394" t="s">
        <v>4906</v>
      </c>
      <c r="GH145" s="394" t="s">
        <v>4906</v>
      </c>
      <c r="GI145" s="226"/>
      <c r="GJ145" s="465"/>
      <c r="GK145" s="465"/>
      <c r="GL145" s="465"/>
      <c r="GM145" s="465"/>
      <c r="GN145" s="465"/>
      <c r="GO145" s="226"/>
      <c r="GP145" s="465"/>
      <c r="GQ145" s="226"/>
      <c r="GR145" s="465"/>
      <c r="GS145" s="465"/>
      <c r="GT145" s="465"/>
      <c r="GU145" s="465">
        <v>1113</v>
      </c>
      <c r="GV145" s="465"/>
      <c r="GW145" s="226"/>
      <c r="GX145" s="322"/>
      <c r="GY145" s="322"/>
      <c r="GZ145" s="465"/>
      <c r="HA145" s="322"/>
      <c r="HB145" s="322"/>
      <c r="HC145" s="322"/>
      <c r="HD145" s="322"/>
      <c r="HE145" s="322"/>
      <c r="HF145" s="226"/>
      <c r="HG145" s="343" t="s">
        <v>656</v>
      </c>
      <c r="HH145" s="343" t="s">
        <v>656</v>
      </c>
      <c r="HI145" s="343" t="s">
        <v>656</v>
      </c>
      <c r="HJ145" s="225" t="s">
        <v>656</v>
      </c>
      <c r="HK145" s="343" t="s">
        <v>656</v>
      </c>
      <c r="HL145" s="226"/>
      <c r="HM145" s="322"/>
      <c r="HN145" s="226"/>
      <c r="HO145" s="322"/>
      <c r="HP145" s="322"/>
      <c r="HQ145" s="322"/>
      <c r="HR145" s="322"/>
      <c r="HS145" s="322"/>
      <c r="HT145" s="322"/>
      <c r="HU145" s="322"/>
      <c r="HV145" s="322"/>
      <c r="HW145" s="322"/>
      <c r="HX145" s="322"/>
      <c r="HY145" s="322"/>
      <c r="HZ145" s="322" t="s">
        <v>656</v>
      </c>
      <c r="IA145" s="322"/>
      <c r="IB145" s="322"/>
      <c r="IC145" s="322"/>
      <c r="ID145" s="322"/>
      <c r="IE145" s="322"/>
      <c r="IF145" s="322"/>
      <c r="IG145" s="322"/>
      <c r="IH145" s="344"/>
      <c r="II145" s="322"/>
      <c r="IJ145" s="322"/>
      <c r="IK145" s="322"/>
      <c r="IL145" s="322"/>
      <c r="IM145" s="322"/>
      <c r="IN145" s="322"/>
      <c r="IO145" s="322"/>
      <c r="IP145" s="322"/>
      <c r="IQ145" s="322"/>
      <c r="IR145" s="322"/>
      <c r="IS145" s="322"/>
      <c r="IT145" s="322"/>
      <c r="IU145" s="322"/>
      <c r="IV145" s="322"/>
      <c r="IW145" s="322"/>
      <c r="IX145" s="322"/>
      <c r="IY145" s="322"/>
      <c r="IZ145" s="322"/>
      <c r="JA145" s="322"/>
      <c r="JB145" s="322"/>
      <c r="JC145" s="322" t="s">
        <v>656</v>
      </c>
      <c r="JD145" s="322" t="s">
        <v>656</v>
      </c>
      <c r="JE145" s="226"/>
      <c r="JF145" s="226"/>
      <c r="JG145" s="226"/>
      <c r="JH145" s="322"/>
      <c r="JI145" s="322"/>
      <c r="JJ145" s="322" t="s">
        <v>656</v>
      </c>
      <c r="JK145" s="345"/>
      <c r="JL145" s="322" t="s">
        <v>656</v>
      </c>
      <c r="JM145" s="322"/>
      <c r="JN145" s="226"/>
      <c r="JO145" s="226"/>
      <c r="JP145" s="226"/>
      <c r="JQ145" s="322"/>
      <c r="JR145" s="322"/>
      <c r="JS145" s="322"/>
      <c r="JT145" s="322"/>
      <c r="JU145" s="322"/>
      <c r="JV145" s="322"/>
      <c r="JW145" s="322" t="s">
        <v>656</v>
      </c>
      <c r="JX145" s="322" t="s">
        <v>656</v>
      </c>
      <c r="JY145" s="322">
        <v>0</v>
      </c>
      <c r="JZ145" s="322" t="s">
        <v>470</v>
      </c>
      <c r="KA145" s="322"/>
      <c r="KB145" s="322"/>
      <c r="KC145" s="322" t="s">
        <v>470</v>
      </c>
      <c r="KD145" s="322"/>
      <c r="KE145" s="232"/>
      <c r="KF145" s="322"/>
      <c r="KG145" s="225" t="s">
        <v>470</v>
      </c>
      <c r="KH145" s="322"/>
      <c r="KI145" s="322">
        <v>81</v>
      </c>
      <c r="KJ145" s="322"/>
      <c r="KK145" s="322"/>
      <c r="KL145" s="322" t="s">
        <v>656</v>
      </c>
      <c r="KM145" s="322">
        <v>7</v>
      </c>
      <c r="KN145" s="322"/>
      <c r="KO145" s="322"/>
      <c r="KP145" s="322"/>
      <c r="KQ145" s="226"/>
      <c r="KR145" s="226"/>
      <c r="KS145" s="226"/>
      <c r="KT145" s="226"/>
      <c r="KU145" s="226"/>
      <c r="KV145" s="322" t="s">
        <v>656</v>
      </c>
      <c r="KW145" s="322"/>
      <c r="KX145" s="383"/>
      <c r="KY145" s="386"/>
      <c r="KZ145" s="322"/>
      <c r="LA145" s="322"/>
      <c r="LB145" s="322"/>
      <c r="LC145" s="322"/>
      <c r="LD145" s="322"/>
      <c r="LE145" s="322"/>
      <c r="LF145" s="322"/>
      <c r="LG145" s="322"/>
      <c r="LH145" s="322"/>
      <c r="LI145" s="322"/>
      <c r="LJ145" s="322"/>
      <c r="LK145" s="322"/>
      <c r="LL145" s="322"/>
      <c r="LM145" s="226"/>
      <c r="LN145" s="322">
        <v>0</v>
      </c>
      <c r="LO145" s="322">
        <v>0</v>
      </c>
      <c r="LP145" s="322">
        <v>0</v>
      </c>
      <c r="LQ145" s="322">
        <v>0</v>
      </c>
      <c r="LR145" s="322">
        <v>0</v>
      </c>
      <c r="LS145" s="322">
        <v>0</v>
      </c>
      <c r="LT145" s="346">
        <v>0</v>
      </c>
      <c r="LU145" s="322" t="e">
        <v>#REF!</v>
      </c>
      <c r="LV145" s="322"/>
      <c r="LW145" s="322"/>
      <c r="LX145" s="322"/>
      <c r="LY145" s="322"/>
      <c r="LZ145" s="322"/>
      <c r="MA145" s="322"/>
      <c r="MB145" s="322"/>
      <c r="MC145" s="322">
        <v>0</v>
      </c>
      <c r="MD145" s="322">
        <v>0</v>
      </c>
      <c r="ME145" s="322">
        <v>0</v>
      </c>
      <c r="MF145" s="322"/>
      <c r="MG145" s="226"/>
      <c r="MH145" s="226"/>
      <c r="MI145" s="226"/>
      <c r="MJ145" s="347"/>
      <c r="MK145" s="347"/>
      <c r="ML145" s="347" t="s">
        <v>656</v>
      </c>
      <c r="MM145" s="347"/>
      <c r="MN145" s="348">
        <v>32</v>
      </c>
      <c r="MO145" s="348">
        <v>3654</v>
      </c>
      <c r="MP145" s="348"/>
      <c r="MQ145" s="236"/>
      <c r="MR145" s="348" t="s">
        <v>1482</v>
      </c>
      <c r="MS145" s="348"/>
      <c r="MT145" s="347"/>
      <c r="MU145" s="348">
        <v>1754</v>
      </c>
      <c r="MV145" s="347"/>
      <c r="MW145" s="347"/>
      <c r="MX145" s="226"/>
      <c r="MY145" s="226"/>
      <c r="MZ145" s="226"/>
      <c r="NA145" s="226"/>
    </row>
    <row r="146" spans="1:365" s="796" customFormat="1" x14ac:dyDescent="0.2">
      <c r="A146" s="208"/>
      <c r="B146" s="205"/>
      <c r="C146" s="206"/>
      <c r="D146" s="207"/>
      <c r="E146" s="322"/>
      <c r="F146" s="322"/>
      <c r="G146" s="322"/>
      <c r="H146" s="322"/>
      <c r="I146" s="225"/>
      <c r="J146" s="322"/>
      <c r="K146" s="322"/>
      <c r="L146" s="225"/>
      <c r="M146" s="322"/>
      <c r="N146" s="322"/>
      <c r="O146" s="322"/>
      <c r="P146" s="463"/>
      <c r="Q146" s="322"/>
      <c r="R146" s="322"/>
      <c r="S146" s="322"/>
      <c r="T146" s="322"/>
      <c r="U146" s="322"/>
      <c r="V146" s="322"/>
      <c r="W146" s="226"/>
      <c r="X146" s="226"/>
      <c r="Y146" s="226"/>
      <c r="Z146" s="226"/>
      <c r="AA146" s="226"/>
      <c r="AB146" s="226"/>
      <c r="AC146" s="226"/>
      <c r="AD146" s="226"/>
      <c r="AE146" s="226"/>
      <c r="AF146" s="322"/>
      <c r="AG146" s="225"/>
      <c r="AH146" s="226"/>
      <c r="AI146" s="322"/>
      <c r="AJ146" s="322"/>
      <c r="AK146" s="344"/>
      <c r="AL146" s="322"/>
      <c r="AM146" s="226"/>
      <c r="AN146" s="226"/>
      <c r="AO146" s="226"/>
      <c r="AP146" s="226"/>
      <c r="AQ146" s="322"/>
      <c r="AR146" s="322"/>
      <c r="AS146" s="322"/>
      <c r="AT146" s="322"/>
      <c r="AU146" s="322"/>
      <c r="AV146" s="225"/>
      <c r="AW146" s="322"/>
      <c r="AX146" s="322"/>
      <c r="AY146" s="344"/>
      <c r="AZ146" s="322"/>
      <c r="BA146" s="322"/>
      <c r="BB146" s="322"/>
      <c r="BC146" s="322"/>
      <c r="BD146" s="322"/>
      <c r="BE146" s="344"/>
      <c r="BF146" s="322"/>
      <c r="BG146" s="322"/>
      <c r="BH146" s="322"/>
      <c r="BI146" s="322"/>
      <c r="BJ146" s="322"/>
      <c r="BK146" s="322"/>
      <c r="BL146" s="322"/>
      <c r="BM146" s="322"/>
      <c r="BN146" s="226"/>
      <c r="BO146" s="322"/>
      <c r="BP146" s="322"/>
      <c r="BQ146" s="322"/>
      <c r="BR146" s="233"/>
      <c r="BS146" s="322"/>
      <c r="BT146" s="322"/>
      <c r="BU146" s="322"/>
      <c r="BV146" s="322"/>
      <c r="BW146" s="322"/>
      <c r="BX146" s="322"/>
      <c r="BY146" s="322"/>
      <c r="BZ146" s="322"/>
      <c r="CA146" s="322"/>
      <c r="CB146" s="322"/>
      <c r="CC146" s="322"/>
      <c r="CD146" s="344"/>
      <c r="CE146" s="344"/>
      <c r="CF146" s="344"/>
      <c r="CG146" s="344"/>
      <c r="CH146" s="344"/>
      <c r="CI146" s="344"/>
      <c r="CJ146" s="344"/>
      <c r="CK146" s="344"/>
      <c r="CL146" s="344"/>
      <c r="CM146" s="344"/>
      <c r="CN146" s="322"/>
      <c r="CO146" s="322"/>
      <c r="CP146" s="322"/>
      <c r="CQ146" s="464"/>
      <c r="CR146" s="465"/>
      <c r="CS146" s="322"/>
      <c r="CT146" s="322"/>
      <c r="CU146" s="322"/>
      <c r="CV146" s="322"/>
      <c r="CW146" s="322"/>
      <c r="CX146" s="322"/>
      <c r="CY146" s="322"/>
      <c r="CZ146" s="322"/>
      <c r="DA146" s="322"/>
      <c r="DB146" s="322"/>
      <c r="DC146" s="322"/>
      <c r="DD146" s="322"/>
      <c r="DE146" s="322"/>
      <c r="DF146" s="322"/>
      <c r="DG146" s="322"/>
      <c r="DH146" s="322"/>
      <c r="DI146" s="322"/>
      <c r="DJ146" s="322"/>
      <c r="DK146" s="322"/>
      <c r="DL146" s="322"/>
      <c r="DM146" s="322"/>
      <c r="DN146" s="322"/>
      <c r="DO146" s="322"/>
      <c r="DP146" s="225"/>
      <c r="DQ146" s="225"/>
      <c r="DR146" s="225"/>
      <c r="DS146" s="225"/>
      <c r="DT146" s="225"/>
      <c r="DU146" s="322"/>
      <c r="DV146" s="322"/>
      <c r="DW146" s="246"/>
      <c r="DX146" s="322"/>
      <c r="DY146" s="322"/>
      <c r="DZ146" s="322"/>
      <c r="EA146" s="322"/>
      <c r="EB146" s="322"/>
      <c r="EC146" s="226"/>
      <c r="ED146" s="322"/>
      <c r="EE146" s="322"/>
      <c r="EF146" s="322"/>
      <c r="EG146" s="226"/>
      <c r="EH146" s="322"/>
      <c r="EI146" s="322"/>
      <c r="EJ146" s="226"/>
      <c r="EK146" s="226"/>
      <c r="EL146" s="226"/>
      <c r="EM146" s="226"/>
      <c r="EN146" s="226"/>
      <c r="EO146" s="226"/>
      <c r="EP146" s="226"/>
      <c r="EQ146" s="226"/>
      <c r="ER146" s="322"/>
      <c r="ES146" s="322"/>
      <c r="ET146" s="322"/>
      <c r="EU146" s="322"/>
      <c r="EV146" s="322"/>
      <c r="EW146" s="322"/>
      <c r="EX146" s="322"/>
      <c r="EY146" s="322"/>
      <c r="EZ146" s="344"/>
      <c r="FA146" s="322"/>
      <c r="FB146" s="322"/>
      <c r="FC146" s="322"/>
      <c r="FD146" s="226"/>
      <c r="FE146" s="404"/>
      <c r="FF146" s="225"/>
      <c r="FG146" s="225"/>
      <c r="FH146" s="225"/>
      <c r="FI146" s="465"/>
      <c r="FJ146" s="465"/>
      <c r="FK146" s="465"/>
      <c r="FL146" s="465"/>
      <c r="FM146" s="322"/>
      <c r="FN146" s="322"/>
      <c r="FO146" s="465"/>
      <c r="FP146" s="465"/>
      <c r="FQ146" s="465"/>
      <c r="FR146" s="465"/>
      <c r="FS146" s="465"/>
      <c r="FT146" s="465"/>
      <c r="FU146" s="226"/>
      <c r="FV146" s="465"/>
      <c r="FW146" s="465"/>
      <c r="FX146" s="465"/>
      <c r="FY146" s="226"/>
      <c r="FZ146" s="465"/>
      <c r="GA146" s="465"/>
      <c r="GB146" s="465"/>
      <c r="GC146" s="465"/>
      <c r="GD146" s="465"/>
      <c r="GE146" s="465"/>
      <c r="GF146" s="465"/>
      <c r="GG146" s="394"/>
      <c r="GH146" s="394"/>
      <c r="GI146" s="226"/>
      <c r="GJ146" s="465"/>
      <c r="GK146" s="465"/>
      <c r="GL146" s="465"/>
      <c r="GM146" s="465"/>
      <c r="GN146" s="465"/>
      <c r="GO146" s="226"/>
      <c r="GP146" s="465"/>
      <c r="GQ146" s="226"/>
      <c r="GR146" s="465"/>
      <c r="GS146" s="465"/>
      <c r="GT146" s="465"/>
      <c r="GU146" s="465"/>
      <c r="GV146" s="465"/>
      <c r="GW146" s="226"/>
      <c r="GX146" s="322"/>
      <c r="GY146" s="322"/>
      <c r="GZ146" s="465"/>
      <c r="HA146" s="322"/>
      <c r="HB146" s="322"/>
      <c r="HC146" s="322"/>
      <c r="HD146" s="322"/>
      <c r="HE146" s="322"/>
      <c r="HF146" s="226"/>
      <c r="HG146" s="343"/>
      <c r="HH146" s="343"/>
      <c r="HI146" s="343"/>
      <c r="HJ146" s="225"/>
      <c r="HK146" s="343"/>
      <c r="HL146" s="226"/>
      <c r="HM146" s="322"/>
      <c r="HN146" s="226"/>
      <c r="HO146" s="322"/>
      <c r="HP146" s="322"/>
      <c r="HQ146" s="322"/>
      <c r="HR146" s="322"/>
      <c r="HS146" s="322"/>
      <c r="HT146" s="322"/>
      <c r="HU146" s="322"/>
      <c r="HV146" s="322"/>
      <c r="HW146" s="322"/>
      <c r="HX146" s="322"/>
      <c r="HY146" s="322"/>
      <c r="HZ146" s="322"/>
      <c r="IA146" s="322"/>
      <c r="IB146" s="322"/>
      <c r="IC146" s="322"/>
      <c r="ID146" s="322"/>
      <c r="IE146" s="322"/>
      <c r="IF146" s="322"/>
      <c r="IG146" s="322"/>
      <c r="IH146" s="344"/>
      <c r="II146" s="322"/>
      <c r="IJ146" s="322"/>
      <c r="IK146" s="322"/>
      <c r="IL146" s="322"/>
      <c r="IM146" s="322"/>
      <c r="IN146" s="322"/>
      <c r="IO146" s="322"/>
      <c r="IP146" s="322"/>
      <c r="IQ146" s="322"/>
      <c r="IR146" s="322"/>
      <c r="IS146" s="322"/>
      <c r="IT146" s="322"/>
      <c r="IU146" s="322"/>
      <c r="IV146" s="322"/>
      <c r="IW146" s="322"/>
      <c r="IX146" s="322"/>
      <c r="IY146" s="322"/>
      <c r="IZ146" s="322"/>
      <c r="JA146" s="322"/>
      <c r="JB146" s="322"/>
      <c r="JC146" s="322"/>
      <c r="JD146" s="322"/>
      <c r="JE146" s="226"/>
      <c r="JF146" s="226"/>
      <c r="JG146" s="226"/>
      <c r="JH146" s="322"/>
      <c r="JI146" s="322"/>
      <c r="JJ146" s="322"/>
      <c r="JK146" s="345"/>
      <c r="JL146" s="322"/>
      <c r="JM146" s="322"/>
      <c r="JN146" s="226"/>
      <c r="JO146" s="226"/>
      <c r="JP146" s="226"/>
      <c r="JQ146" s="322"/>
      <c r="JR146" s="322"/>
      <c r="JS146" s="322"/>
      <c r="JT146" s="322"/>
      <c r="JU146" s="322"/>
      <c r="JV146" s="322"/>
      <c r="JW146" s="322"/>
      <c r="JX146" s="322"/>
      <c r="JY146" s="322"/>
      <c r="JZ146" s="322"/>
      <c r="KA146" s="322"/>
      <c r="KB146" s="322"/>
      <c r="KC146" s="322"/>
      <c r="KD146" s="322"/>
      <c r="KE146" s="232"/>
      <c r="KF146" s="322"/>
      <c r="KG146" s="225"/>
      <c r="KH146" s="322"/>
      <c r="KI146" s="322"/>
      <c r="KJ146" s="322"/>
      <c r="KK146" s="322"/>
      <c r="KL146" s="322"/>
      <c r="KM146" s="322"/>
      <c r="KN146" s="322"/>
      <c r="KO146" s="322"/>
      <c r="KP146" s="322"/>
      <c r="KQ146" s="226"/>
      <c r="KR146" s="226"/>
      <c r="KS146" s="226"/>
      <c r="KT146" s="226"/>
      <c r="KU146" s="226"/>
      <c r="KV146" s="322"/>
      <c r="KW146" s="322"/>
      <c r="KX146" s="383"/>
      <c r="KY146" s="386"/>
      <c r="KZ146" s="322"/>
      <c r="LA146" s="322"/>
      <c r="LB146" s="322"/>
      <c r="LC146" s="322"/>
      <c r="LD146" s="322"/>
      <c r="LE146" s="322"/>
      <c r="LF146" s="322"/>
      <c r="LG146" s="322"/>
      <c r="LH146" s="322"/>
      <c r="LI146" s="322"/>
      <c r="LJ146" s="322"/>
      <c r="LK146" s="322"/>
      <c r="LL146" s="322"/>
      <c r="LM146" s="226"/>
      <c r="LN146" s="322"/>
      <c r="LO146" s="322"/>
      <c r="LP146" s="322"/>
      <c r="LQ146" s="322"/>
      <c r="LR146" s="322"/>
      <c r="LS146" s="322"/>
      <c r="LT146" s="346"/>
      <c r="LU146" s="322"/>
      <c r="LV146" s="322"/>
      <c r="LW146" s="322"/>
      <c r="LX146" s="322"/>
      <c r="LY146" s="322"/>
      <c r="LZ146" s="322"/>
      <c r="MA146" s="322"/>
      <c r="MB146" s="322"/>
      <c r="MC146" s="322"/>
      <c r="MD146" s="322"/>
      <c r="ME146" s="322"/>
      <c r="MF146" s="322"/>
      <c r="MG146" s="226"/>
      <c r="MH146" s="226"/>
      <c r="MI146" s="226"/>
      <c r="MJ146" s="347"/>
      <c r="MK146" s="347"/>
      <c r="ML146" s="347"/>
      <c r="MM146" s="347"/>
      <c r="MN146" s="348"/>
      <c r="MO146" s="348"/>
      <c r="MP146" s="348"/>
      <c r="MQ146" s="236"/>
      <c r="MR146" s="348"/>
      <c r="MS146" s="348"/>
      <c r="MT146" s="347"/>
      <c r="MU146" s="348"/>
      <c r="MV146" s="347"/>
      <c r="MW146" s="347"/>
      <c r="MX146" s="226"/>
      <c r="MY146" s="226"/>
      <c r="MZ146" s="226"/>
      <c r="NA146" s="226"/>
    </row>
    <row r="147" spans="1:365" s="796" customFormat="1" x14ac:dyDescent="0.2">
      <c r="A147" s="208"/>
      <c r="B147" s="205"/>
      <c r="C147" s="206"/>
      <c r="D147" s="207"/>
      <c r="E147" s="322"/>
      <c r="F147" s="322"/>
      <c r="G147" s="322"/>
      <c r="H147" s="322"/>
      <c r="I147" s="225"/>
      <c r="J147" s="322"/>
      <c r="K147" s="322"/>
      <c r="L147" s="225"/>
      <c r="M147" s="322"/>
      <c r="N147" s="322"/>
      <c r="O147" s="322"/>
      <c r="P147" s="463"/>
      <c r="Q147" s="322"/>
      <c r="R147" s="322"/>
      <c r="S147" s="322"/>
      <c r="T147" s="322"/>
      <c r="U147" s="322"/>
      <c r="V147" s="322"/>
      <c r="W147" s="226"/>
      <c r="X147" s="226"/>
      <c r="Y147" s="226"/>
      <c r="Z147" s="226"/>
      <c r="AA147" s="226"/>
      <c r="AB147" s="226"/>
      <c r="AC147" s="226"/>
      <c r="AD147" s="226"/>
      <c r="AE147" s="226"/>
      <c r="AF147" s="322"/>
      <c r="AG147" s="225"/>
      <c r="AH147" s="226"/>
      <c r="AI147" s="322"/>
      <c r="AJ147" s="322"/>
      <c r="AK147" s="344"/>
      <c r="AL147" s="322"/>
      <c r="AM147" s="226"/>
      <c r="AN147" s="226"/>
      <c r="AO147" s="226"/>
      <c r="AP147" s="226"/>
      <c r="AQ147" s="322"/>
      <c r="AR147" s="322"/>
      <c r="AS147" s="322"/>
      <c r="AT147" s="322"/>
      <c r="AU147" s="322"/>
      <c r="AV147" s="225"/>
      <c r="AW147" s="322"/>
      <c r="AX147" s="322"/>
      <c r="AY147" s="344"/>
      <c r="AZ147" s="322"/>
      <c r="BA147" s="322"/>
      <c r="BB147" s="322"/>
      <c r="BC147" s="322"/>
      <c r="BD147" s="322"/>
      <c r="BE147" s="344"/>
      <c r="BF147" s="322"/>
      <c r="BG147" s="322"/>
      <c r="BH147" s="322"/>
      <c r="BI147" s="322"/>
      <c r="BJ147" s="322"/>
      <c r="BK147" s="322"/>
      <c r="BL147" s="322"/>
      <c r="BM147" s="322"/>
      <c r="BN147" s="226"/>
      <c r="BO147" s="322"/>
      <c r="BP147" s="322"/>
      <c r="BQ147" s="322"/>
      <c r="BR147" s="233"/>
      <c r="BS147" s="322"/>
      <c r="BT147" s="322"/>
      <c r="BU147" s="322"/>
      <c r="BV147" s="322"/>
      <c r="BW147" s="322"/>
      <c r="BX147" s="322"/>
      <c r="BY147" s="322"/>
      <c r="BZ147" s="322"/>
      <c r="CA147" s="322"/>
      <c r="CB147" s="322"/>
      <c r="CC147" s="322"/>
      <c r="CD147" s="344"/>
      <c r="CE147" s="344"/>
      <c r="CF147" s="344"/>
      <c r="CG147" s="344"/>
      <c r="CH147" s="344"/>
      <c r="CI147" s="344"/>
      <c r="CJ147" s="344"/>
      <c r="CK147" s="344"/>
      <c r="CL147" s="344"/>
      <c r="CM147" s="344"/>
      <c r="CN147" s="322"/>
      <c r="CO147" s="322"/>
      <c r="CP147" s="322"/>
      <c r="CQ147" s="464"/>
      <c r="CR147" s="465"/>
      <c r="CS147" s="322"/>
      <c r="CT147" s="322"/>
      <c r="CU147" s="322"/>
      <c r="CV147" s="322"/>
      <c r="CW147" s="322"/>
      <c r="CX147" s="322"/>
      <c r="CY147" s="322"/>
      <c r="CZ147" s="322"/>
      <c r="DA147" s="322"/>
      <c r="DB147" s="322"/>
      <c r="DC147" s="322"/>
      <c r="DD147" s="322"/>
      <c r="DE147" s="322"/>
      <c r="DF147" s="322"/>
      <c r="DG147" s="322"/>
      <c r="DH147" s="322"/>
      <c r="DI147" s="322"/>
      <c r="DJ147" s="322"/>
      <c r="DK147" s="322"/>
      <c r="DL147" s="322"/>
      <c r="DM147" s="322"/>
      <c r="DN147" s="322"/>
      <c r="DO147" s="322"/>
      <c r="DP147" s="225"/>
      <c r="DQ147" s="225"/>
      <c r="DR147" s="225"/>
      <c r="DS147" s="225"/>
      <c r="DT147" s="225"/>
      <c r="DU147" s="322"/>
      <c r="DV147" s="322"/>
      <c r="DW147" s="246"/>
      <c r="DX147" s="322"/>
      <c r="DY147" s="322"/>
      <c r="DZ147" s="322"/>
      <c r="EA147" s="322"/>
      <c r="EB147" s="322"/>
      <c r="EC147" s="226"/>
      <c r="ED147" s="322"/>
      <c r="EE147" s="322"/>
      <c r="EF147" s="322"/>
      <c r="EG147" s="226"/>
      <c r="EH147" s="322"/>
      <c r="EI147" s="322"/>
      <c r="EJ147" s="226"/>
      <c r="EK147" s="226"/>
      <c r="EL147" s="226"/>
      <c r="EM147" s="226"/>
      <c r="EN147" s="226"/>
      <c r="EO147" s="226"/>
      <c r="EP147" s="226"/>
      <c r="EQ147" s="226"/>
      <c r="ER147" s="322"/>
      <c r="ES147" s="322"/>
      <c r="ET147" s="322"/>
      <c r="EU147" s="322"/>
      <c r="EV147" s="322"/>
      <c r="EW147" s="322"/>
      <c r="EX147" s="322"/>
      <c r="EY147" s="322"/>
      <c r="EZ147" s="344"/>
      <c r="FA147" s="322"/>
      <c r="FB147" s="322"/>
      <c r="FC147" s="322"/>
      <c r="FD147" s="226"/>
      <c r="FE147" s="404"/>
      <c r="FF147" s="225"/>
      <c r="FG147" s="225"/>
      <c r="FH147" s="225"/>
      <c r="FI147" s="465"/>
      <c r="FJ147" s="465"/>
      <c r="FK147" s="465"/>
      <c r="FL147" s="465"/>
      <c r="FM147" s="322"/>
      <c r="FN147" s="322"/>
      <c r="FO147" s="465"/>
      <c r="FP147" s="465"/>
      <c r="FQ147" s="465"/>
      <c r="FR147" s="465"/>
      <c r="FS147" s="465"/>
      <c r="FT147" s="465"/>
      <c r="FU147" s="226"/>
      <c r="FV147" s="465"/>
      <c r="FW147" s="465"/>
      <c r="FX147" s="465"/>
      <c r="FY147" s="226"/>
      <c r="FZ147" s="465"/>
      <c r="GA147" s="465"/>
      <c r="GB147" s="465"/>
      <c r="GC147" s="465"/>
      <c r="GD147" s="465"/>
      <c r="GE147" s="465"/>
      <c r="GF147" s="465"/>
      <c r="GG147" s="394"/>
      <c r="GH147" s="394"/>
      <c r="GI147" s="226"/>
      <c r="GJ147" s="465"/>
      <c r="GK147" s="465"/>
      <c r="GL147" s="465"/>
      <c r="GM147" s="465"/>
      <c r="GN147" s="465"/>
      <c r="GO147" s="226"/>
      <c r="GP147" s="465"/>
      <c r="GQ147" s="226"/>
      <c r="GR147" s="465"/>
      <c r="GS147" s="465"/>
      <c r="GT147" s="465"/>
      <c r="GU147" s="465"/>
      <c r="GV147" s="465"/>
      <c r="GW147" s="226"/>
      <c r="GX147" s="322"/>
      <c r="GY147" s="322"/>
      <c r="GZ147" s="465"/>
      <c r="HA147" s="322"/>
      <c r="HB147" s="322"/>
      <c r="HC147" s="322"/>
      <c r="HD147" s="322"/>
      <c r="HE147" s="322"/>
      <c r="HF147" s="226"/>
      <c r="HG147" s="343"/>
      <c r="HH147" s="343"/>
      <c r="HI147" s="343"/>
      <c r="HJ147" s="225"/>
      <c r="HK147" s="343"/>
      <c r="HL147" s="226"/>
      <c r="HM147" s="322"/>
      <c r="HN147" s="226"/>
      <c r="HO147" s="322"/>
      <c r="HP147" s="322"/>
      <c r="HQ147" s="322"/>
      <c r="HR147" s="322"/>
      <c r="HS147" s="322"/>
      <c r="HT147" s="322"/>
      <c r="HU147" s="322"/>
      <c r="HV147" s="322"/>
      <c r="HW147" s="322"/>
      <c r="HX147" s="322"/>
      <c r="HY147" s="322"/>
      <c r="HZ147" s="322"/>
      <c r="IA147" s="322"/>
      <c r="IB147" s="322"/>
      <c r="IC147" s="322"/>
      <c r="ID147" s="322"/>
      <c r="IE147" s="322"/>
      <c r="IF147" s="322"/>
      <c r="IG147" s="322"/>
      <c r="IH147" s="344"/>
      <c r="II147" s="322"/>
      <c r="IJ147" s="322"/>
      <c r="IK147" s="322"/>
      <c r="IL147" s="322"/>
      <c r="IM147" s="322"/>
      <c r="IN147" s="322"/>
      <c r="IO147" s="322"/>
      <c r="IP147" s="322"/>
      <c r="IQ147" s="322"/>
      <c r="IR147" s="322"/>
      <c r="IS147" s="322"/>
      <c r="IT147" s="322"/>
      <c r="IU147" s="322"/>
      <c r="IV147" s="322"/>
      <c r="IW147" s="322"/>
      <c r="IX147" s="322"/>
      <c r="IY147" s="322"/>
      <c r="IZ147" s="322"/>
      <c r="JA147" s="322"/>
      <c r="JB147" s="322"/>
      <c r="JC147" s="322"/>
      <c r="JD147" s="322"/>
      <c r="JE147" s="226"/>
      <c r="JF147" s="226"/>
      <c r="JG147" s="226"/>
      <c r="JH147" s="322"/>
      <c r="JI147" s="322"/>
      <c r="JJ147" s="322"/>
      <c r="JK147" s="345"/>
      <c r="JL147" s="322"/>
      <c r="JM147" s="322"/>
      <c r="JN147" s="226"/>
      <c r="JO147" s="226"/>
      <c r="JP147" s="226"/>
      <c r="JQ147" s="322"/>
      <c r="JR147" s="322"/>
      <c r="JS147" s="322"/>
      <c r="JT147" s="322"/>
      <c r="JU147" s="322"/>
      <c r="JV147" s="322"/>
      <c r="JW147" s="322"/>
      <c r="JX147" s="322"/>
      <c r="JY147" s="322"/>
      <c r="JZ147" s="322"/>
      <c r="KA147" s="322"/>
      <c r="KB147" s="322"/>
      <c r="KC147" s="322"/>
      <c r="KD147" s="322"/>
      <c r="KE147" s="232"/>
      <c r="KF147" s="322"/>
      <c r="KG147" s="225"/>
      <c r="KH147" s="322"/>
      <c r="KI147" s="322"/>
      <c r="KJ147" s="322"/>
      <c r="KK147" s="322"/>
      <c r="KL147" s="322"/>
      <c r="KM147" s="322"/>
      <c r="KN147" s="322"/>
      <c r="KO147" s="322"/>
      <c r="KP147" s="322"/>
      <c r="KQ147" s="226"/>
      <c r="KR147" s="226"/>
      <c r="KS147" s="226"/>
      <c r="KT147" s="226"/>
      <c r="KU147" s="226"/>
      <c r="KV147" s="322"/>
      <c r="KW147" s="322"/>
      <c r="KX147" s="383"/>
      <c r="KY147" s="386"/>
      <c r="KZ147" s="322"/>
      <c r="LA147" s="322"/>
      <c r="LB147" s="322"/>
      <c r="LC147" s="322"/>
      <c r="LD147" s="322"/>
      <c r="LE147" s="322"/>
      <c r="LF147" s="322"/>
      <c r="LG147" s="322"/>
      <c r="LH147" s="322"/>
      <c r="LI147" s="322"/>
      <c r="LJ147" s="322"/>
      <c r="LK147" s="322"/>
      <c r="LL147" s="322"/>
      <c r="LM147" s="226"/>
      <c r="LN147" s="322"/>
      <c r="LO147" s="322"/>
      <c r="LP147" s="322"/>
      <c r="LQ147" s="322"/>
      <c r="LR147" s="322"/>
      <c r="LS147" s="322"/>
      <c r="LT147" s="346"/>
      <c r="LU147" s="322"/>
      <c r="LV147" s="322"/>
      <c r="LW147" s="322"/>
      <c r="LX147" s="322"/>
      <c r="LY147" s="322"/>
      <c r="LZ147" s="322"/>
      <c r="MA147" s="322"/>
      <c r="MB147" s="322"/>
      <c r="MC147" s="322"/>
      <c r="MD147" s="322"/>
      <c r="ME147" s="322"/>
      <c r="MF147" s="322"/>
      <c r="MG147" s="226"/>
      <c r="MH147" s="226"/>
      <c r="MI147" s="226"/>
      <c r="MJ147" s="347"/>
      <c r="MK147" s="347"/>
      <c r="ML147" s="347"/>
      <c r="MM147" s="347"/>
      <c r="MN147" s="348"/>
      <c r="MO147" s="348"/>
      <c r="MP147" s="348"/>
      <c r="MQ147" s="236"/>
      <c r="MR147" s="348"/>
      <c r="MS147" s="348"/>
      <c r="MT147" s="347"/>
      <c r="MU147" s="348"/>
      <c r="MV147" s="347"/>
      <c r="MW147" s="347"/>
      <c r="MX147" s="226"/>
      <c r="MY147" s="226"/>
      <c r="MZ147" s="226"/>
      <c r="NA147" s="226"/>
    </row>
    <row r="148" spans="1:365" s="796" customFormat="1" x14ac:dyDescent="0.2">
      <c r="A148" s="208"/>
      <c r="B148" s="205"/>
      <c r="C148" s="206"/>
      <c r="D148" s="207"/>
      <c r="E148" s="322"/>
      <c r="F148" s="322"/>
      <c r="G148" s="322"/>
      <c r="H148" s="322"/>
      <c r="I148" s="225"/>
      <c r="J148" s="322"/>
      <c r="K148" s="322"/>
      <c r="L148" s="225"/>
      <c r="M148" s="322"/>
      <c r="N148" s="322"/>
      <c r="O148" s="322"/>
      <c r="P148" s="463"/>
      <c r="Q148" s="322"/>
      <c r="R148" s="322"/>
      <c r="S148" s="322"/>
      <c r="T148" s="322"/>
      <c r="U148" s="322"/>
      <c r="V148" s="322"/>
      <c r="W148" s="226"/>
      <c r="X148" s="226"/>
      <c r="Y148" s="226"/>
      <c r="Z148" s="226"/>
      <c r="AA148" s="226"/>
      <c r="AB148" s="226"/>
      <c r="AC148" s="226"/>
      <c r="AD148" s="226"/>
      <c r="AE148" s="226"/>
      <c r="AF148" s="322"/>
      <c r="AG148" s="225"/>
      <c r="AH148" s="226"/>
      <c r="AI148" s="322"/>
      <c r="AJ148" s="322"/>
      <c r="AK148" s="344"/>
      <c r="AL148" s="322"/>
      <c r="AM148" s="226"/>
      <c r="AN148" s="226"/>
      <c r="AO148" s="226"/>
      <c r="AP148" s="226"/>
      <c r="AQ148" s="322"/>
      <c r="AR148" s="322"/>
      <c r="AS148" s="322"/>
      <c r="AT148" s="322"/>
      <c r="AU148" s="322"/>
      <c r="AV148" s="225"/>
      <c r="AW148" s="322"/>
      <c r="AX148" s="322"/>
      <c r="AY148" s="344"/>
      <c r="AZ148" s="322"/>
      <c r="BA148" s="322"/>
      <c r="BB148" s="322"/>
      <c r="BC148" s="322"/>
      <c r="BD148" s="322"/>
      <c r="BE148" s="344"/>
      <c r="BF148" s="322"/>
      <c r="BG148" s="322"/>
      <c r="BH148" s="322"/>
      <c r="BI148" s="322"/>
      <c r="BJ148" s="322"/>
      <c r="BK148" s="322"/>
      <c r="BL148" s="322"/>
      <c r="BM148" s="322"/>
      <c r="BN148" s="226"/>
      <c r="BO148" s="322"/>
      <c r="BP148" s="322"/>
      <c r="BQ148" s="322"/>
      <c r="BR148" s="233"/>
      <c r="BS148" s="322"/>
      <c r="BT148" s="322"/>
      <c r="BU148" s="322"/>
      <c r="BV148" s="322"/>
      <c r="BW148" s="322"/>
      <c r="BX148" s="322"/>
      <c r="BY148" s="322"/>
      <c r="BZ148" s="322"/>
      <c r="CA148" s="322"/>
      <c r="CB148" s="322"/>
      <c r="CC148" s="322"/>
      <c r="CD148" s="344"/>
      <c r="CE148" s="344"/>
      <c r="CF148" s="344"/>
      <c r="CG148" s="344"/>
      <c r="CH148" s="344"/>
      <c r="CI148" s="344"/>
      <c r="CJ148" s="344"/>
      <c r="CK148" s="344"/>
      <c r="CL148" s="344"/>
      <c r="CM148" s="344"/>
      <c r="CN148" s="322"/>
      <c r="CO148" s="322"/>
      <c r="CP148" s="322"/>
      <c r="CQ148" s="464"/>
      <c r="CR148" s="465"/>
      <c r="CS148" s="322"/>
      <c r="CT148" s="322"/>
      <c r="CU148" s="322"/>
      <c r="CV148" s="322"/>
      <c r="CW148" s="322"/>
      <c r="CX148" s="322"/>
      <c r="CY148" s="322"/>
      <c r="CZ148" s="322"/>
      <c r="DA148" s="322"/>
      <c r="DB148" s="322"/>
      <c r="DC148" s="322"/>
      <c r="DD148" s="322"/>
      <c r="DE148" s="322"/>
      <c r="DF148" s="322"/>
      <c r="DG148" s="322"/>
      <c r="DH148" s="322"/>
      <c r="DI148" s="322"/>
      <c r="DJ148" s="322"/>
      <c r="DK148" s="322"/>
      <c r="DL148" s="322"/>
      <c r="DM148" s="322"/>
      <c r="DN148" s="322"/>
      <c r="DO148" s="322"/>
      <c r="DP148" s="225"/>
      <c r="DQ148" s="225"/>
      <c r="DR148" s="225"/>
      <c r="DS148" s="225"/>
      <c r="DT148" s="225"/>
      <c r="DU148" s="322"/>
      <c r="DV148" s="322"/>
      <c r="DW148" s="246"/>
      <c r="DX148" s="322"/>
      <c r="DY148" s="322"/>
      <c r="DZ148" s="322"/>
      <c r="EA148" s="322"/>
      <c r="EB148" s="322"/>
      <c r="EC148" s="226"/>
      <c r="ED148" s="322"/>
      <c r="EE148" s="322"/>
      <c r="EF148" s="322"/>
      <c r="EG148" s="226"/>
      <c r="EH148" s="322"/>
      <c r="EI148" s="322"/>
      <c r="EJ148" s="226"/>
      <c r="EK148" s="226"/>
      <c r="EL148" s="226"/>
      <c r="EM148" s="226"/>
      <c r="EN148" s="226"/>
      <c r="EO148" s="226"/>
      <c r="EP148" s="226"/>
      <c r="EQ148" s="226"/>
      <c r="ER148" s="322"/>
      <c r="ES148" s="322"/>
      <c r="ET148" s="322"/>
      <c r="EU148" s="322"/>
      <c r="EV148" s="322"/>
      <c r="EW148" s="322"/>
      <c r="EX148" s="322"/>
      <c r="EY148" s="322"/>
      <c r="EZ148" s="344"/>
      <c r="FA148" s="322"/>
      <c r="FB148" s="322"/>
      <c r="FC148" s="322"/>
      <c r="FD148" s="226"/>
      <c r="FE148" s="404"/>
      <c r="FF148" s="225"/>
      <c r="FG148" s="225"/>
      <c r="FH148" s="225"/>
      <c r="FI148" s="465"/>
      <c r="FJ148" s="465"/>
      <c r="FK148" s="465"/>
      <c r="FL148" s="465"/>
      <c r="FM148" s="322"/>
      <c r="FN148" s="322"/>
      <c r="FO148" s="465"/>
      <c r="FP148" s="465"/>
      <c r="FQ148" s="465"/>
      <c r="FR148" s="465"/>
      <c r="FS148" s="465"/>
      <c r="FT148" s="465"/>
      <c r="FU148" s="226"/>
      <c r="FV148" s="465"/>
      <c r="FW148" s="465"/>
      <c r="FX148" s="465"/>
      <c r="FY148" s="226"/>
      <c r="FZ148" s="465"/>
      <c r="GA148" s="465"/>
      <c r="GB148" s="465"/>
      <c r="GC148" s="465"/>
      <c r="GD148" s="465"/>
      <c r="GE148" s="465"/>
      <c r="GF148" s="465"/>
      <c r="GG148" s="394"/>
      <c r="GH148" s="394"/>
      <c r="GI148" s="226"/>
      <c r="GJ148" s="465"/>
      <c r="GK148" s="465"/>
      <c r="GL148" s="465"/>
      <c r="GM148" s="465"/>
      <c r="GN148" s="465"/>
      <c r="GO148" s="226"/>
      <c r="GP148" s="465"/>
      <c r="GQ148" s="226"/>
      <c r="GR148" s="465"/>
      <c r="GS148" s="465"/>
      <c r="GT148" s="465"/>
      <c r="GU148" s="465"/>
      <c r="GV148" s="465"/>
      <c r="GW148" s="226"/>
      <c r="GX148" s="322"/>
      <c r="GY148" s="322"/>
      <c r="GZ148" s="465"/>
      <c r="HA148" s="322"/>
      <c r="HB148" s="322"/>
      <c r="HC148" s="322"/>
      <c r="HD148" s="322"/>
      <c r="HE148" s="322"/>
      <c r="HF148" s="226"/>
      <c r="HG148" s="343"/>
      <c r="HH148" s="343"/>
      <c r="HI148" s="343"/>
      <c r="HJ148" s="225"/>
      <c r="HK148" s="343"/>
      <c r="HL148" s="226"/>
      <c r="HM148" s="322"/>
      <c r="HN148" s="226"/>
      <c r="HO148" s="322"/>
      <c r="HP148" s="322"/>
      <c r="HQ148" s="322"/>
      <c r="HR148" s="322"/>
      <c r="HS148" s="322"/>
      <c r="HT148" s="322"/>
      <c r="HU148" s="322"/>
      <c r="HV148" s="322"/>
      <c r="HW148" s="322"/>
      <c r="HX148" s="322"/>
      <c r="HY148" s="322"/>
      <c r="HZ148" s="322"/>
      <c r="IA148" s="322"/>
      <c r="IB148" s="322"/>
      <c r="IC148" s="322"/>
      <c r="ID148" s="322"/>
      <c r="IE148" s="322"/>
      <c r="IF148" s="322"/>
      <c r="IG148" s="322"/>
      <c r="IH148" s="344"/>
      <c r="II148" s="322"/>
      <c r="IJ148" s="322"/>
      <c r="IK148" s="322"/>
      <c r="IL148" s="322"/>
      <c r="IM148" s="322"/>
      <c r="IN148" s="322"/>
      <c r="IO148" s="322"/>
      <c r="IP148" s="322"/>
      <c r="IQ148" s="322"/>
      <c r="IR148" s="322"/>
      <c r="IS148" s="322"/>
      <c r="IT148" s="322"/>
      <c r="IU148" s="322"/>
      <c r="IV148" s="322"/>
      <c r="IW148" s="322"/>
      <c r="IX148" s="322"/>
      <c r="IY148" s="322"/>
      <c r="IZ148" s="322"/>
      <c r="JA148" s="322"/>
      <c r="JB148" s="322"/>
      <c r="JC148" s="322"/>
      <c r="JD148" s="322"/>
      <c r="JE148" s="226"/>
      <c r="JF148" s="226"/>
      <c r="JG148" s="226"/>
      <c r="JH148" s="322"/>
      <c r="JI148" s="322"/>
      <c r="JJ148" s="322"/>
      <c r="JK148" s="345"/>
      <c r="JL148" s="322"/>
      <c r="JM148" s="322"/>
      <c r="JN148" s="226"/>
      <c r="JO148" s="226"/>
      <c r="JP148" s="226"/>
      <c r="JQ148" s="322"/>
      <c r="JR148" s="322"/>
      <c r="JS148" s="322"/>
      <c r="JT148" s="322"/>
      <c r="JU148" s="322"/>
      <c r="JV148" s="322"/>
      <c r="JW148" s="322"/>
      <c r="JX148" s="322"/>
      <c r="JY148" s="322"/>
      <c r="JZ148" s="322"/>
      <c r="KA148" s="322"/>
      <c r="KB148" s="322"/>
      <c r="KC148" s="322"/>
      <c r="KD148" s="322"/>
      <c r="KE148" s="232"/>
      <c r="KF148" s="322"/>
      <c r="KG148" s="225"/>
      <c r="KH148" s="322"/>
      <c r="KI148" s="322"/>
      <c r="KJ148" s="322"/>
      <c r="KK148" s="322"/>
      <c r="KL148" s="322"/>
      <c r="KM148" s="322"/>
      <c r="KN148" s="322"/>
      <c r="KO148" s="322"/>
      <c r="KP148" s="322"/>
      <c r="KQ148" s="226"/>
      <c r="KR148" s="226"/>
      <c r="KS148" s="226"/>
      <c r="KT148" s="226"/>
      <c r="KU148" s="226"/>
      <c r="KV148" s="322"/>
      <c r="KW148" s="322"/>
      <c r="KX148" s="383"/>
      <c r="KY148" s="386"/>
      <c r="KZ148" s="322"/>
      <c r="LA148" s="322"/>
      <c r="LB148" s="322"/>
      <c r="LC148" s="322"/>
      <c r="LD148" s="322"/>
      <c r="LE148" s="322"/>
      <c r="LF148" s="322"/>
      <c r="LG148" s="322"/>
      <c r="LH148" s="322"/>
      <c r="LI148" s="322"/>
      <c r="LJ148" s="322"/>
      <c r="LK148" s="322"/>
      <c r="LL148" s="322"/>
      <c r="LM148" s="226"/>
      <c r="LN148" s="322"/>
      <c r="LO148" s="322"/>
      <c r="LP148" s="322"/>
      <c r="LQ148" s="322"/>
      <c r="LR148" s="322"/>
      <c r="LS148" s="322"/>
      <c r="LT148" s="346"/>
      <c r="LU148" s="322"/>
      <c r="LV148" s="322"/>
      <c r="LW148" s="322"/>
      <c r="LX148" s="322"/>
      <c r="LY148" s="322"/>
      <c r="LZ148" s="322"/>
      <c r="MA148" s="322"/>
      <c r="MB148" s="322"/>
      <c r="MC148" s="322"/>
      <c r="MD148" s="322"/>
      <c r="ME148" s="322"/>
      <c r="MF148" s="322"/>
      <c r="MG148" s="226"/>
      <c r="MH148" s="226"/>
      <c r="MI148" s="226"/>
      <c r="MJ148" s="347"/>
      <c r="MK148" s="347"/>
      <c r="ML148" s="347"/>
      <c r="MM148" s="347"/>
      <c r="MN148" s="348"/>
      <c r="MO148" s="348"/>
      <c r="MP148" s="348"/>
      <c r="MQ148" s="236"/>
      <c r="MR148" s="348"/>
      <c r="MS148" s="348"/>
      <c r="MT148" s="347"/>
      <c r="MU148" s="348"/>
      <c r="MV148" s="347"/>
      <c r="MW148" s="347"/>
      <c r="MX148" s="226"/>
      <c r="MY148" s="226"/>
      <c r="MZ148" s="226"/>
      <c r="NA148" s="226"/>
    </row>
    <row r="149" spans="1:365" ht="152" customHeight="1" x14ac:dyDescent="0.2">
      <c r="A149" s="1216" t="s">
        <v>5222</v>
      </c>
      <c r="B149" s="201" t="s">
        <v>254</v>
      </c>
      <c r="C149" s="202" t="s">
        <v>255</v>
      </c>
      <c r="D149" s="215" t="s">
        <v>102</v>
      </c>
      <c r="E149" s="225" t="s">
        <v>5221</v>
      </c>
      <c r="F149" s="225" t="s">
        <v>540</v>
      </c>
      <c r="G149" s="225" t="s">
        <v>539</v>
      </c>
      <c r="H149" s="225" t="s">
        <v>539</v>
      </c>
      <c r="I149" s="225" t="s">
        <v>539</v>
      </c>
      <c r="J149" s="225" t="s">
        <v>539</v>
      </c>
      <c r="K149" s="225" t="s">
        <v>470</v>
      </c>
      <c r="L149" s="225" t="s">
        <v>470</v>
      </c>
      <c r="M149" s="225" t="s">
        <v>470</v>
      </c>
      <c r="N149" s="225" t="s">
        <v>470</v>
      </c>
      <c r="O149" s="225" t="s">
        <v>470</v>
      </c>
      <c r="P149" s="400" t="s">
        <v>470</v>
      </c>
      <c r="Q149" s="225" t="s">
        <v>479</v>
      </c>
      <c r="R149" s="322" t="s">
        <v>470</v>
      </c>
      <c r="S149" s="225" t="s">
        <v>470</v>
      </c>
      <c r="T149" s="225" t="s">
        <v>470</v>
      </c>
      <c r="U149" s="225" t="s">
        <v>539</v>
      </c>
      <c r="V149" s="225" t="s">
        <v>479</v>
      </c>
      <c r="W149" s="226"/>
      <c r="X149" s="226"/>
      <c r="Y149" s="226"/>
      <c r="Z149" s="226"/>
      <c r="AA149" s="226"/>
      <c r="AB149" s="226"/>
      <c r="AC149" s="226"/>
      <c r="AD149" s="226"/>
      <c r="AE149" s="226"/>
      <c r="AF149" s="225" t="s">
        <v>470</v>
      </c>
      <c r="AG149" s="225"/>
      <c r="AH149" s="226"/>
      <c r="AI149" s="225" t="s">
        <v>470</v>
      </c>
      <c r="AJ149" s="225" t="s">
        <v>470</v>
      </c>
      <c r="AK149" s="229" t="s">
        <v>470</v>
      </c>
      <c r="AL149" s="225" t="s">
        <v>470</v>
      </c>
      <c r="AM149" s="226"/>
      <c r="AN149" s="226"/>
      <c r="AO149" s="226"/>
      <c r="AP149" s="226"/>
      <c r="AQ149" s="488" t="s">
        <v>9498</v>
      </c>
      <c r="AR149" s="225" t="s">
        <v>470</v>
      </c>
      <c r="AS149" s="225" t="s">
        <v>470</v>
      </c>
      <c r="AT149" s="225" t="s">
        <v>470</v>
      </c>
      <c r="AU149" s="225" t="s">
        <v>656</v>
      </c>
      <c r="AV149" s="225" t="s">
        <v>470</v>
      </c>
      <c r="AW149" s="225" t="s">
        <v>470</v>
      </c>
      <c r="AX149" s="225"/>
      <c r="AY149" s="229" t="s">
        <v>2234</v>
      </c>
      <c r="AZ149" s="225" t="s">
        <v>470</v>
      </c>
      <c r="BA149" s="225" t="s">
        <v>539</v>
      </c>
      <c r="BB149" s="225" t="s">
        <v>470</v>
      </c>
      <c r="BC149" s="225" t="s">
        <v>470</v>
      </c>
      <c r="BD149" s="225" t="s">
        <v>470</v>
      </c>
      <c r="BE149" s="278" t="s">
        <v>5220</v>
      </c>
      <c r="BF149" s="225" t="s">
        <v>470</v>
      </c>
      <c r="BG149" s="225"/>
      <c r="BH149" s="225" t="s">
        <v>470</v>
      </c>
      <c r="BI149" s="225" t="s">
        <v>470</v>
      </c>
      <c r="BJ149" s="225"/>
      <c r="BK149" s="225" t="s">
        <v>470</v>
      </c>
      <c r="BL149" s="225"/>
      <c r="BM149" s="225" t="s">
        <v>470</v>
      </c>
      <c r="BN149" s="226"/>
      <c r="BO149" s="225" t="s">
        <v>470</v>
      </c>
      <c r="BP149" s="225" t="s">
        <v>470</v>
      </c>
      <c r="BQ149" s="225" t="s">
        <v>470</v>
      </c>
      <c r="BR149" s="233" t="s">
        <v>470</v>
      </c>
      <c r="BS149" s="225" t="s">
        <v>873</v>
      </c>
      <c r="BT149" s="225"/>
      <c r="BU149" s="225" t="s">
        <v>470</v>
      </c>
      <c r="BV149" s="225" t="s">
        <v>470</v>
      </c>
      <c r="BW149" s="225" t="s">
        <v>470</v>
      </c>
      <c r="BX149" s="225" t="s">
        <v>470</v>
      </c>
      <c r="BY149" s="225" t="s">
        <v>470</v>
      </c>
      <c r="BZ149" s="225" t="s">
        <v>470</v>
      </c>
      <c r="CA149" s="225" t="s">
        <v>470</v>
      </c>
      <c r="CB149" s="225" t="s">
        <v>470</v>
      </c>
      <c r="CC149" s="225" t="s">
        <v>470</v>
      </c>
      <c r="CD149" s="229" t="s">
        <v>470</v>
      </c>
      <c r="CE149" s="229" t="s">
        <v>470</v>
      </c>
      <c r="CF149" s="229"/>
      <c r="CG149" s="229" t="s">
        <v>470</v>
      </c>
      <c r="CH149" s="229"/>
      <c r="CI149" s="229" t="s">
        <v>470</v>
      </c>
      <c r="CJ149" s="229" t="s">
        <v>470</v>
      </c>
      <c r="CK149" s="229" t="s">
        <v>470</v>
      </c>
      <c r="CL149" s="229" t="s">
        <v>470</v>
      </c>
      <c r="CM149" s="229" t="s">
        <v>470</v>
      </c>
      <c r="CN149" s="225" t="s">
        <v>470</v>
      </c>
      <c r="CO149" s="225" t="s">
        <v>470</v>
      </c>
      <c r="CP149" s="225" t="s">
        <v>470</v>
      </c>
      <c r="CQ149" s="406" t="s">
        <v>5219</v>
      </c>
      <c r="CR149" s="394" t="s">
        <v>470</v>
      </c>
      <c r="CS149" s="225"/>
      <c r="CT149" s="225" t="s">
        <v>470</v>
      </c>
      <c r="CU149" s="402" t="s">
        <v>470</v>
      </c>
      <c r="CV149" s="225" t="s">
        <v>470</v>
      </c>
      <c r="CW149" s="225" t="s">
        <v>470</v>
      </c>
      <c r="CX149" s="225" t="s">
        <v>470</v>
      </c>
      <c r="CY149" s="225" t="s">
        <v>470</v>
      </c>
      <c r="CZ149" s="225" t="s">
        <v>470</v>
      </c>
      <c r="DA149" s="225" t="s">
        <v>873</v>
      </c>
      <c r="DB149" s="225" t="s">
        <v>470</v>
      </c>
      <c r="DC149" s="225" t="s">
        <v>470</v>
      </c>
      <c r="DD149" s="225" t="s">
        <v>470</v>
      </c>
      <c r="DE149" s="225" t="s">
        <v>470</v>
      </c>
      <c r="DF149" s="225" t="s">
        <v>470</v>
      </c>
      <c r="DG149" s="225" t="s">
        <v>470</v>
      </c>
      <c r="DH149" s="225" t="s">
        <v>470</v>
      </c>
      <c r="DI149" s="225" t="s">
        <v>470</v>
      </c>
      <c r="DJ149" s="225" t="s">
        <v>470</v>
      </c>
      <c r="DK149" s="225" t="s">
        <v>470</v>
      </c>
      <c r="DL149" s="225" t="s">
        <v>470</v>
      </c>
      <c r="DM149" s="225" t="s">
        <v>470</v>
      </c>
      <c r="DN149" s="225" t="s">
        <v>470</v>
      </c>
      <c r="DO149" s="225" t="s">
        <v>470</v>
      </c>
      <c r="DP149" s="225" t="s">
        <v>470</v>
      </c>
      <c r="DQ149" s="225" t="s">
        <v>470</v>
      </c>
      <c r="DR149" s="225" t="s">
        <v>470</v>
      </c>
      <c r="DS149" s="225" t="s">
        <v>470</v>
      </c>
      <c r="DT149" s="225" t="s">
        <v>470</v>
      </c>
      <c r="DU149" s="225" t="s">
        <v>470</v>
      </c>
      <c r="DV149" s="225" t="s">
        <v>470</v>
      </c>
      <c r="DW149" s="246" t="s">
        <v>470</v>
      </c>
      <c r="DX149" s="225" t="s">
        <v>470</v>
      </c>
      <c r="DY149" s="225" t="s">
        <v>539</v>
      </c>
      <c r="DZ149" s="225" t="s">
        <v>470</v>
      </c>
      <c r="EA149" s="225" t="s">
        <v>470</v>
      </c>
      <c r="EB149" s="225" t="s">
        <v>470</v>
      </c>
      <c r="EC149" s="226"/>
      <c r="ED149" s="225" t="s">
        <v>470</v>
      </c>
      <c r="EE149" s="225" t="s">
        <v>470</v>
      </c>
      <c r="EF149" s="225" t="s">
        <v>470</v>
      </c>
      <c r="EG149" s="226"/>
      <c r="EH149" s="225" t="s">
        <v>470</v>
      </c>
      <c r="EI149" s="225" t="s">
        <v>470</v>
      </c>
      <c r="EJ149" s="226"/>
      <c r="EK149" s="226"/>
      <c r="EL149" s="226"/>
      <c r="EM149" s="226"/>
      <c r="EN149" s="226"/>
      <c r="EO149" s="226"/>
      <c r="EP149" s="226"/>
      <c r="EQ149" s="226"/>
      <c r="ER149" s="225" t="s">
        <v>470</v>
      </c>
      <c r="ES149" s="225" t="s">
        <v>470</v>
      </c>
      <c r="ET149" s="322" t="s">
        <v>470</v>
      </c>
      <c r="EU149" s="322" t="s">
        <v>470</v>
      </c>
      <c r="EV149" s="322" t="s">
        <v>470</v>
      </c>
      <c r="EW149" s="225" t="s">
        <v>470</v>
      </c>
      <c r="EX149" s="225" t="s">
        <v>470</v>
      </c>
      <c r="EY149" s="225" t="s">
        <v>470</v>
      </c>
      <c r="EZ149" s="229" t="s">
        <v>470</v>
      </c>
      <c r="FA149" s="225" t="s">
        <v>873</v>
      </c>
      <c r="FB149" s="225" t="s">
        <v>470</v>
      </c>
      <c r="FC149" s="225" t="s">
        <v>470</v>
      </c>
      <c r="FD149" s="226"/>
      <c r="FE149" s="404" t="s">
        <v>539</v>
      </c>
      <c r="FF149" s="225" t="s">
        <v>470</v>
      </c>
      <c r="FG149" s="225" t="s">
        <v>873</v>
      </c>
      <c r="FH149" s="225" t="s">
        <v>470</v>
      </c>
      <c r="FI149" s="465" t="s">
        <v>479</v>
      </c>
      <c r="FJ149" s="465" t="s">
        <v>470</v>
      </c>
      <c r="FK149" s="465"/>
      <c r="FL149" s="465" t="s">
        <v>470</v>
      </c>
      <c r="FM149" s="225" t="s">
        <v>479</v>
      </c>
      <c r="FN149" s="225"/>
      <c r="FO149" s="394" t="s">
        <v>470</v>
      </c>
      <c r="FP149" s="394"/>
      <c r="FQ149" s="394" t="s">
        <v>470</v>
      </c>
      <c r="FR149" s="394" t="s">
        <v>470</v>
      </c>
      <c r="FS149" s="394"/>
      <c r="FT149" s="394" t="s">
        <v>470</v>
      </c>
      <c r="FU149" s="226"/>
      <c r="FV149" s="394" t="s">
        <v>470</v>
      </c>
      <c r="FW149" s="394" t="s">
        <v>470</v>
      </c>
      <c r="FX149" s="394" t="s">
        <v>470</v>
      </c>
      <c r="FY149" s="226"/>
      <c r="FZ149" s="394" t="s">
        <v>470</v>
      </c>
      <c r="GA149" s="394" t="s">
        <v>470</v>
      </c>
      <c r="GB149" s="394" t="s">
        <v>470</v>
      </c>
      <c r="GC149" s="394"/>
      <c r="GD149" s="394" t="s">
        <v>470</v>
      </c>
      <c r="GE149" s="394" t="s">
        <v>470</v>
      </c>
      <c r="GF149" s="394" t="s">
        <v>470</v>
      </c>
      <c r="GG149" s="394" t="s">
        <v>470</v>
      </c>
      <c r="GH149" s="394" t="s">
        <v>470</v>
      </c>
      <c r="GI149" s="226"/>
      <c r="GJ149" s="394" t="s">
        <v>470</v>
      </c>
      <c r="GK149" s="394" t="s">
        <v>470</v>
      </c>
      <c r="GL149" s="394" t="s">
        <v>470</v>
      </c>
      <c r="GM149" s="394" t="s">
        <v>470</v>
      </c>
      <c r="GN149" s="394" t="s">
        <v>470</v>
      </c>
      <c r="GO149" s="226"/>
      <c r="GP149" s="394" t="s">
        <v>470</v>
      </c>
      <c r="GQ149" s="226"/>
      <c r="GR149" s="394" t="s">
        <v>470</v>
      </c>
      <c r="GS149" s="394" t="s">
        <v>470</v>
      </c>
      <c r="GT149" s="394"/>
      <c r="GU149" s="394" t="s">
        <v>470</v>
      </c>
      <c r="GV149" s="394" t="s">
        <v>470</v>
      </c>
      <c r="GW149" s="226"/>
      <c r="GX149" s="225" t="s">
        <v>470</v>
      </c>
      <c r="GY149" s="225" t="s">
        <v>470</v>
      </c>
      <c r="GZ149" s="394" t="s">
        <v>470</v>
      </c>
      <c r="HA149" s="225" t="s">
        <v>470</v>
      </c>
      <c r="HB149" s="225" t="s">
        <v>470</v>
      </c>
      <c r="HC149" s="225" t="s">
        <v>470</v>
      </c>
      <c r="HD149" s="225" t="s">
        <v>470</v>
      </c>
      <c r="HE149" s="225" t="s">
        <v>470</v>
      </c>
      <c r="HF149" s="226"/>
      <c r="HG149" s="227" t="s">
        <v>470</v>
      </c>
      <c r="HH149" s="227" t="s">
        <v>479</v>
      </c>
      <c r="HI149" s="227" t="s">
        <v>470</v>
      </c>
      <c r="HJ149" s="225" t="s">
        <v>470</v>
      </c>
      <c r="HK149" s="227" t="s">
        <v>689</v>
      </c>
      <c r="HL149" s="226"/>
      <c r="HM149" s="225" t="s">
        <v>470</v>
      </c>
      <c r="HN149" s="226"/>
      <c r="HO149" s="225" t="s">
        <v>470</v>
      </c>
      <c r="HP149" s="225" t="s">
        <v>470</v>
      </c>
      <c r="HQ149" s="225" t="s">
        <v>873</v>
      </c>
      <c r="HR149" s="225" t="s">
        <v>873</v>
      </c>
      <c r="HS149" s="225" t="s">
        <v>470</v>
      </c>
      <c r="HT149" s="225" t="s">
        <v>470</v>
      </c>
      <c r="HU149" s="225" t="s">
        <v>470</v>
      </c>
      <c r="HV149" s="225" t="s">
        <v>470</v>
      </c>
      <c r="HW149" s="225" t="s">
        <v>470</v>
      </c>
      <c r="HX149" s="225" t="s">
        <v>470</v>
      </c>
      <c r="HY149" s="225" t="s">
        <v>470</v>
      </c>
      <c r="HZ149" s="225" t="s">
        <v>470</v>
      </c>
      <c r="IA149" s="225" t="s">
        <v>470</v>
      </c>
      <c r="IB149" s="225" t="s">
        <v>470</v>
      </c>
      <c r="IC149" s="225" t="s">
        <v>470</v>
      </c>
      <c r="ID149" s="225" t="s">
        <v>470</v>
      </c>
      <c r="IE149" s="225" t="s">
        <v>470</v>
      </c>
      <c r="IF149" s="225" t="s">
        <v>470</v>
      </c>
      <c r="IG149" s="225" t="s">
        <v>470</v>
      </c>
      <c r="IH149" s="229" t="s">
        <v>470</v>
      </c>
      <c r="II149" s="225" t="s">
        <v>470</v>
      </c>
      <c r="IJ149" s="225" t="s">
        <v>470</v>
      </c>
      <c r="IK149" s="225" t="s">
        <v>470</v>
      </c>
      <c r="IL149" s="225" t="s">
        <v>539</v>
      </c>
      <c r="IM149" s="225" t="s">
        <v>539</v>
      </c>
      <c r="IN149" s="225" t="s">
        <v>470</v>
      </c>
      <c r="IO149" s="225" t="s">
        <v>470</v>
      </c>
      <c r="IP149" s="225" t="s">
        <v>470</v>
      </c>
      <c r="IQ149" s="225" t="s">
        <v>470</v>
      </c>
      <c r="IR149" s="225" t="s">
        <v>470</v>
      </c>
      <c r="IS149" s="225" t="s">
        <v>470</v>
      </c>
      <c r="IT149" s="225" t="s">
        <v>470</v>
      </c>
      <c r="IU149" s="225" t="s">
        <v>470</v>
      </c>
      <c r="IV149" s="225"/>
      <c r="IW149" s="225" t="s">
        <v>470</v>
      </c>
      <c r="IX149" s="225" t="s">
        <v>470</v>
      </c>
      <c r="IY149" s="225" t="s">
        <v>470</v>
      </c>
      <c r="IZ149" s="225" t="s">
        <v>470</v>
      </c>
      <c r="JA149" s="225" t="s">
        <v>470</v>
      </c>
      <c r="JB149" s="225" t="s">
        <v>470</v>
      </c>
      <c r="JC149" s="225" t="s">
        <v>470</v>
      </c>
      <c r="JD149" s="225" t="s">
        <v>5218</v>
      </c>
      <c r="JE149" s="226"/>
      <c r="JF149" s="226"/>
      <c r="JG149" s="226"/>
      <c r="JH149" s="225" t="s">
        <v>470</v>
      </c>
      <c r="JI149" s="225" t="s">
        <v>470</v>
      </c>
      <c r="JJ149" s="225" t="s">
        <v>470</v>
      </c>
      <c r="JK149" s="280" t="s">
        <v>5217</v>
      </c>
      <c r="JL149" s="225" t="s">
        <v>470</v>
      </c>
      <c r="JM149" s="225" t="s">
        <v>470</v>
      </c>
      <c r="JN149" s="226"/>
      <c r="JO149" s="226"/>
      <c r="JP149" s="226"/>
      <c r="JQ149" s="225" t="s">
        <v>470</v>
      </c>
      <c r="JR149" s="225" t="s">
        <v>470</v>
      </c>
      <c r="JS149" s="225" t="s">
        <v>470</v>
      </c>
      <c r="JT149" s="225" t="s">
        <v>470</v>
      </c>
      <c r="JU149" s="225" t="s">
        <v>470</v>
      </c>
      <c r="JV149" s="225" t="s">
        <v>470</v>
      </c>
      <c r="JW149" s="225" t="s">
        <v>470</v>
      </c>
      <c r="JX149" s="225" t="s">
        <v>470</v>
      </c>
      <c r="JY149" s="225" t="s">
        <v>470</v>
      </c>
      <c r="JZ149" s="225" t="s">
        <v>470</v>
      </c>
      <c r="KA149" s="225" t="s">
        <v>539</v>
      </c>
      <c r="KB149" s="225" t="s">
        <v>470</v>
      </c>
      <c r="KC149" s="322" t="s">
        <v>470</v>
      </c>
      <c r="KD149" s="225" t="s">
        <v>470</v>
      </c>
      <c r="KE149" s="232" t="s">
        <v>470</v>
      </c>
      <c r="KF149" s="225" t="s">
        <v>470</v>
      </c>
      <c r="KG149" s="225" t="s">
        <v>470</v>
      </c>
      <c r="KH149" s="225" t="s">
        <v>470</v>
      </c>
      <c r="KI149" s="225" t="s">
        <v>470</v>
      </c>
      <c r="KJ149" s="225" t="s">
        <v>470</v>
      </c>
      <c r="KK149" s="322" t="s">
        <v>470</v>
      </c>
      <c r="KL149" s="225" t="s">
        <v>470</v>
      </c>
      <c r="KM149" s="225" t="s">
        <v>470</v>
      </c>
      <c r="KN149" s="225" t="s">
        <v>470</v>
      </c>
      <c r="KO149" s="225" t="s">
        <v>470</v>
      </c>
      <c r="KP149" s="225" t="s">
        <v>470</v>
      </c>
      <c r="KQ149" s="226"/>
      <c r="KR149" s="226"/>
      <c r="KS149" s="226"/>
      <c r="KT149" s="226"/>
      <c r="KU149" s="226"/>
      <c r="KV149" s="225" t="s">
        <v>470</v>
      </c>
      <c r="KW149" s="225"/>
      <c r="KX149" s="228" t="s">
        <v>470</v>
      </c>
      <c r="KY149" s="793" t="s">
        <v>470</v>
      </c>
      <c r="KZ149" s="225" t="s">
        <v>470</v>
      </c>
      <c r="LA149" s="225" t="s">
        <v>470</v>
      </c>
      <c r="LB149" s="225" t="s">
        <v>470</v>
      </c>
      <c r="LC149" s="225" t="s">
        <v>470</v>
      </c>
      <c r="LD149" s="225" t="s">
        <v>470</v>
      </c>
      <c r="LE149" s="225" t="s">
        <v>873</v>
      </c>
      <c r="LF149" s="225" t="s">
        <v>470</v>
      </c>
      <c r="LG149" s="225" t="s">
        <v>470</v>
      </c>
      <c r="LH149" s="225" t="s">
        <v>470</v>
      </c>
      <c r="LI149" s="225" t="s">
        <v>470</v>
      </c>
      <c r="LJ149" s="225" t="s">
        <v>470</v>
      </c>
      <c r="LK149" s="225" t="s">
        <v>479</v>
      </c>
      <c r="LL149" s="225" t="s">
        <v>470</v>
      </c>
      <c r="LM149" s="226"/>
      <c r="LN149" s="225" t="s">
        <v>479</v>
      </c>
      <c r="LO149" s="225" t="s">
        <v>479</v>
      </c>
      <c r="LP149" s="225" t="s">
        <v>479</v>
      </c>
      <c r="LQ149" s="225" t="s">
        <v>479</v>
      </c>
      <c r="LR149" s="225" t="s">
        <v>479</v>
      </c>
      <c r="LS149" s="225" t="s">
        <v>479</v>
      </c>
      <c r="LT149" s="234" t="s">
        <v>540</v>
      </c>
      <c r="LU149" s="225" t="s">
        <v>479</v>
      </c>
      <c r="LV149" s="225" t="s">
        <v>479</v>
      </c>
      <c r="LW149" s="225" t="s">
        <v>479</v>
      </c>
      <c r="LX149" s="225" t="s">
        <v>479</v>
      </c>
      <c r="LY149" s="225" t="s">
        <v>479</v>
      </c>
      <c r="LZ149" s="225" t="s">
        <v>479</v>
      </c>
      <c r="MA149" s="225" t="s">
        <v>479</v>
      </c>
      <c r="MB149" s="225" t="s">
        <v>479</v>
      </c>
      <c r="MC149" s="225" t="s">
        <v>540</v>
      </c>
      <c r="MD149" s="225" t="s">
        <v>479</v>
      </c>
      <c r="ME149" s="225" t="s">
        <v>479</v>
      </c>
      <c r="MF149" s="225" t="s">
        <v>479</v>
      </c>
      <c r="MG149" s="226"/>
      <c r="MH149" s="226"/>
      <c r="MI149" s="226"/>
      <c r="MJ149" s="235" t="s">
        <v>479</v>
      </c>
      <c r="MK149" s="235"/>
      <c r="ML149" s="235" t="s">
        <v>470</v>
      </c>
      <c r="MM149" s="235" t="s">
        <v>479</v>
      </c>
      <c r="MN149" s="236"/>
      <c r="MO149" s="236" t="s">
        <v>479</v>
      </c>
      <c r="MP149" s="236" t="s">
        <v>470</v>
      </c>
      <c r="MQ149" s="236" t="s">
        <v>479</v>
      </c>
      <c r="MR149" s="236" t="s">
        <v>479</v>
      </c>
      <c r="MS149" s="236" t="s">
        <v>540</v>
      </c>
      <c r="MT149" s="235" t="s">
        <v>470</v>
      </c>
      <c r="MU149" s="236" t="s">
        <v>479</v>
      </c>
      <c r="MV149" s="235" t="s">
        <v>470</v>
      </c>
      <c r="MW149" s="235" t="s">
        <v>479</v>
      </c>
      <c r="MX149" s="226"/>
      <c r="MY149" s="226"/>
      <c r="MZ149" s="226"/>
      <c r="NA149" s="226"/>
    </row>
    <row r="150" spans="1:365" ht="106" customHeight="1" x14ac:dyDescent="0.2">
      <c r="A150" s="1216"/>
      <c r="B150" s="201" t="s">
        <v>257</v>
      </c>
      <c r="C150" s="202" t="s">
        <v>258</v>
      </c>
      <c r="D150" s="215" t="s">
        <v>15</v>
      </c>
      <c r="E150" s="225" t="s">
        <v>5216</v>
      </c>
      <c r="F150" s="225" t="s">
        <v>5215</v>
      </c>
      <c r="G150" s="225" t="s">
        <v>656</v>
      </c>
      <c r="H150" s="225" t="s">
        <v>656</v>
      </c>
      <c r="I150" s="225" t="s">
        <v>656</v>
      </c>
      <c r="J150" s="225" t="s">
        <v>656</v>
      </c>
      <c r="K150" s="225" t="s">
        <v>1924</v>
      </c>
      <c r="L150" s="225" t="s">
        <v>1924</v>
      </c>
      <c r="M150" s="225" t="s">
        <v>1924</v>
      </c>
      <c r="N150" s="225" t="s">
        <v>1924</v>
      </c>
      <c r="O150" s="225" t="s">
        <v>1924</v>
      </c>
      <c r="P150" s="400" t="s">
        <v>1924</v>
      </c>
      <c r="Q150" s="225" t="s">
        <v>5214</v>
      </c>
      <c r="R150" s="322"/>
      <c r="S150" s="225"/>
      <c r="T150" s="225"/>
      <c r="U150" s="225" t="s">
        <v>5213</v>
      </c>
      <c r="V150" s="225" t="s">
        <v>5212</v>
      </c>
      <c r="W150" s="226"/>
      <c r="X150" s="226"/>
      <c r="Y150" s="226"/>
      <c r="Z150" s="226"/>
      <c r="AA150" s="226"/>
      <c r="AB150" s="226"/>
      <c r="AC150" s="226"/>
      <c r="AD150" s="226"/>
      <c r="AE150" s="226"/>
      <c r="AF150" s="225" t="s">
        <v>470</v>
      </c>
      <c r="AG150" s="225"/>
      <c r="AH150" s="226"/>
      <c r="AI150" s="225" t="s">
        <v>470</v>
      </c>
      <c r="AJ150" s="225"/>
      <c r="AK150" s="229"/>
      <c r="AL150" s="225"/>
      <c r="AM150" s="226"/>
      <c r="AN150" s="226"/>
      <c r="AO150" s="226"/>
      <c r="AP150" s="226"/>
      <c r="AQ150" s="225" t="s">
        <v>5211</v>
      </c>
      <c r="AR150" s="225"/>
      <c r="AS150" s="225"/>
      <c r="AT150" s="225" t="s">
        <v>470</v>
      </c>
      <c r="AU150" s="225" t="s">
        <v>656</v>
      </c>
      <c r="AV150" s="225"/>
      <c r="AW150" s="225"/>
      <c r="AX150" s="225"/>
      <c r="AY150" s="229" t="s">
        <v>2234</v>
      </c>
      <c r="AZ150" s="225"/>
      <c r="BA150" s="225"/>
      <c r="BB150" s="225"/>
      <c r="BC150" s="225"/>
      <c r="BD150" s="225"/>
      <c r="BE150" s="229"/>
      <c r="BF150" s="225"/>
      <c r="BG150" s="225"/>
      <c r="BH150" s="225" t="s">
        <v>470</v>
      </c>
      <c r="BI150" s="225" t="s">
        <v>656</v>
      </c>
      <c r="BJ150" s="225"/>
      <c r="BK150" s="225"/>
      <c r="BL150" s="225"/>
      <c r="BM150" s="225"/>
      <c r="BN150" s="226"/>
      <c r="BO150" s="225"/>
      <c r="BP150" s="225"/>
      <c r="BQ150" s="225"/>
      <c r="BR150" s="233" t="s">
        <v>15</v>
      </c>
      <c r="BS150" s="225" t="s">
        <v>656</v>
      </c>
      <c r="BT150" s="225"/>
      <c r="BU150" s="225"/>
      <c r="BV150" s="225"/>
      <c r="BW150" s="225"/>
      <c r="BX150" s="225"/>
      <c r="BY150" s="225"/>
      <c r="BZ150" s="225"/>
      <c r="CA150" s="225"/>
      <c r="CB150" s="225"/>
      <c r="CC150" s="225"/>
      <c r="CD150" s="229"/>
      <c r="CE150" s="229"/>
      <c r="CF150" s="229"/>
      <c r="CG150" s="229"/>
      <c r="CH150" s="229"/>
      <c r="CI150" s="229"/>
      <c r="CJ150" s="229"/>
      <c r="CK150" s="229"/>
      <c r="CL150" s="229"/>
      <c r="CM150" s="229"/>
      <c r="CN150" s="225"/>
      <c r="CO150" s="225"/>
      <c r="CP150" s="225"/>
      <c r="CQ150" s="406" t="s">
        <v>5210</v>
      </c>
      <c r="CR150" s="394"/>
      <c r="CS150" s="225"/>
      <c r="CT150" s="225"/>
      <c r="CU150" s="402">
        <v>0</v>
      </c>
      <c r="CV150" s="225"/>
      <c r="CW150" s="225" t="s">
        <v>656</v>
      </c>
      <c r="CX150" s="225" t="s">
        <v>470</v>
      </c>
      <c r="CY150" s="225"/>
      <c r="CZ150" s="225"/>
      <c r="DA150" s="225"/>
      <c r="DB150" s="225"/>
      <c r="DC150" s="225"/>
      <c r="DD150" s="225"/>
      <c r="DE150" s="225"/>
      <c r="DF150" s="225"/>
      <c r="DG150" s="225" t="s">
        <v>470</v>
      </c>
      <c r="DH150" s="225"/>
      <c r="DI150" s="225"/>
      <c r="DJ150" s="225"/>
      <c r="DK150" s="225"/>
      <c r="DL150" s="225" t="s">
        <v>470</v>
      </c>
      <c r="DM150" s="225"/>
      <c r="DN150" s="225" t="s">
        <v>656</v>
      </c>
      <c r="DO150" s="225"/>
      <c r="DP150" s="225" t="s">
        <v>470</v>
      </c>
      <c r="DQ150" s="225" t="s">
        <v>470</v>
      </c>
      <c r="DR150" s="225" t="s">
        <v>470</v>
      </c>
      <c r="DS150" s="225" t="s">
        <v>470</v>
      </c>
      <c r="DT150" s="225" t="s">
        <v>470</v>
      </c>
      <c r="DU150" s="225" t="s">
        <v>470</v>
      </c>
      <c r="DV150" s="225"/>
      <c r="DW150" s="246" t="s">
        <v>2234</v>
      </c>
      <c r="DX150" s="225"/>
      <c r="DY150" s="225"/>
      <c r="DZ150" s="225" t="s">
        <v>470</v>
      </c>
      <c r="EA150" s="225"/>
      <c r="EB150" s="225"/>
      <c r="EC150" s="226"/>
      <c r="ED150" s="225"/>
      <c r="EE150" s="225" t="s">
        <v>656</v>
      </c>
      <c r="EF150" s="225"/>
      <c r="EG150" s="226"/>
      <c r="EH150" s="225"/>
      <c r="EI150" s="225" t="s">
        <v>656</v>
      </c>
      <c r="EJ150" s="226"/>
      <c r="EK150" s="226"/>
      <c r="EL150" s="226"/>
      <c r="EM150" s="226"/>
      <c r="EN150" s="226"/>
      <c r="EO150" s="226"/>
      <c r="EP150" s="226"/>
      <c r="EQ150" s="226"/>
      <c r="ER150" s="225"/>
      <c r="ES150" s="225"/>
      <c r="ET150" s="225"/>
      <c r="EU150" s="225"/>
      <c r="EV150" s="225"/>
      <c r="EW150" s="225"/>
      <c r="EX150" s="225"/>
      <c r="EY150" s="225"/>
      <c r="EZ150" s="229"/>
      <c r="FA150" s="225"/>
      <c r="FB150" s="225"/>
      <c r="FC150" s="225" t="s">
        <v>470</v>
      </c>
      <c r="FD150" s="226"/>
      <c r="FE150" s="404"/>
      <c r="FF150" s="225" t="s">
        <v>470</v>
      </c>
      <c r="FG150" s="225" t="s">
        <v>5209</v>
      </c>
      <c r="FH150" s="225" t="s">
        <v>470</v>
      </c>
      <c r="FI150" s="394" t="s">
        <v>5208</v>
      </c>
      <c r="FJ150" s="465" t="s">
        <v>656</v>
      </c>
      <c r="FK150" s="465"/>
      <c r="FL150" s="465" t="s">
        <v>656</v>
      </c>
      <c r="FM150" s="428" t="s">
        <v>5207</v>
      </c>
      <c r="FN150" s="428"/>
      <c r="FO150" s="394"/>
      <c r="FP150" s="394"/>
      <c r="FQ150" s="394" t="s">
        <v>470</v>
      </c>
      <c r="FR150" s="394"/>
      <c r="FS150" s="394"/>
      <c r="FT150" s="394"/>
      <c r="FU150" s="226"/>
      <c r="FV150" s="394"/>
      <c r="FW150" s="394"/>
      <c r="FX150" s="394"/>
      <c r="FY150" s="226"/>
      <c r="FZ150" s="394"/>
      <c r="GA150" s="394"/>
      <c r="GB150" s="394"/>
      <c r="GC150" s="394"/>
      <c r="GD150" s="394" t="s">
        <v>470</v>
      </c>
      <c r="GE150" s="394"/>
      <c r="GF150" s="394"/>
      <c r="GG150" s="394" t="s">
        <v>4906</v>
      </c>
      <c r="GH150" s="394"/>
      <c r="GI150" s="226"/>
      <c r="GJ150" s="394"/>
      <c r="GK150" s="394"/>
      <c r="GL150" s="394"/>
      <c r="GM150" s="394"/>
      <c r="GN150" s="394"/>
      <c r="GO150" s="226"/>
      <c r="GP150" s="394"/>
      <c r="GQ150" s="226"/>
      <c r="GR150" s="394"/>
      <c r="GS150" s="394"/>
      <c r="GT150" s="394"/>
      <c r="GU150" s="394" t="s">
        <v>5206</v>
      </c>
      <c r="GV150" s="394"/>
      <c r="GW150" s="226"/>
      <c r="GX150" s="225"/>
      <c r="GY150" s="225"/>
      <c r="GZ150" s="394"/>
      <c r="HA150" s="225"/>
      <c r="HB150" s="225"/>
      <c r="HC150" s="225"/>
      <c r="HD150" s="225"/>
      <c r="HE150" s="225"/>
      <c r="HF150" s="226"/>
      <c r="HG150" s="227" t="s">
        <v>656</v>
      </c>
      <c r="HH150" s="227" t="s">
        <v>5205</v>
      </c>
      <c r="HI150" s="227" t="s">
        <v>656</v>
      </c>
      <c r="HJ150" s="225" t="s">
        <v>656</v>
      </c>
      <c r="HK150" s="227" t="s">
        <v>5204</v>
      </c>
      <c r="HL150" s="226"/>
      <c r="HM150" s="225"/>
      <c r="HN150" s="226"/>
      <c r="HO150" s="225"/>
      <c r="HP150" s="225"/>
      <c r="HQ150" s="225"/>
      <c r="HR150" s="225"/>
      <c r="HS150" s="225" t="s">
        <v>470</v>
      </c>
      <c r="HT150" s="225" t="s">
        <v>470</v>
      </c>
      <c r="HU150" s="225"/>
      <c r="HV150" s="225"/>
      <c r="HW150" s="225" t="s">
        <v>470</v>
      </c>
      <c r="HX150" s="225" t="s">
        <v>5203</v>
      </c>
      <c r="HY150" s="225"/>
      <c r="HZ150" s="225" t="s">
        <v>656</v>
      </c>
      <c r="IA150" s="225"/>
      <c r="IB150" s="225"/>
      <c r="IC150" s="225"/>
      <c r="ID150" s="225"/>
      <c r="IE150" s="225"/>
      <c r="IF150" s="225"/>
      <c r="IG150" s="225"/>
      <c r="IH150" s="229"/>
      <c r="II150" s="225"/>
      <c r="IJ150" s="225"/>
      <c r="IK150" s="225"/>
      <c r="IL150" s="225"/>
      <c r="IM150" s="225"/>
      <c r="IN150" s="225"/>
      <c r="IO150" s="225"/>
      <c r="IP150" s="225"/>
      <c r="IQ150" s="225"/>
      <c r="IR150" s="225"/>
      <c r="IS150" s="225"/>
      <c r="IT150" s="225"/>
      <c r="IU150" s="225"/>
      <c r="IV150" s="225"/>
      <c r="IW150" s="225"/>
      <c r="IX150" s="225" t="s">
        <v>470</v>
      </c>
      <c r="IY150" s="225"/>
      <c r="IZ150" s="225"/>
      <c r="JA150" s="225"/>
      <c r="JB150" s="225"/>
      <c r="JC150" s="225" t="s">
        <v>656</v>
      </c>
      <c r="JD150" s="225" t="s">
        <v>5202</v>
      </c>
      <c r="JE150" s="226"/>
      <c r="JF150" s="226"/>
      <c r="JG150" s="226"/>
      <c r="JH150" s="225"/>
      <c r="JI150" s="225"/>
      <c r="JJ150" s="225" t="s">
        <v>656</v>
      </c>
      <c r="JK150" s="237" t="s">
        <v>5201</v>
      </c>
      <c r="JL150" s="225" t="s">
        <v>656</v>
      </c>
      <c r="JM150" s="225" t="s">
        <v>470</v>
      </c>
      <c r="JN150" s="226"/>
      <c r="JO150" s="226"/>
      <c r="JP150" s="226"/>
      <c r="JQ150" s="225" t="s">
        <v>656</v>
      </c>
      <c r="JR150" s="225"/>
      <c r="JS150" s="225"/>
      <c r="JT150" s="225"/>
      <c r="JU150" s="225"/>
      <c r="JV150" s="225"/>
      <c r="JW150" s="225" t="s">
        <v>656</v>
      </c>
      <c r="JX150" s="225" t="s">
        <v>656</v>
      </c>
      <c r="JY150" s="225" t="s">
        <v>470</v>
      </c>
      <c r="JZ150" s="225" t="s">
        <v>470</v>
      </c>
      <c r="KA150" s="225"/>
      <c r="KB150" s="225"/>
      <c r="KC150" s="322" t="s">
        <v>470</v>
      </c>
      <c r="KD150" s="225" t="s">
        <v>656</v>
      </c>
      <c r="KE150" s="232"/>
      <c r="KF150" s="225"/>
      <c r="KG150" s="225" t="s">
        <v>470</v>
      </c>
      <c r="KH150" s="225" t="s">
        <v>656</v>
      </c>
      <c r="KI150" s="225" t="s">
        <v>470</v>
      </c>
      <c r="KJ150" s="225"/>
      <c r="KK150" s="225"/>
      <c r="KL150" s="225" t="s">
        <v>656</v>
      </c>
      <c r="KM150" s="225" t="s">
        <v>470</v>
      </c>
      <c r="KN150" s="225"/>
      <c r="KO150" s="225"/>
      <c r="KP150" s="225"/>
      <c r="KQ150" s="226"/>
      <c r="KR150" s="226"/>
      <c r="KS150" s="226"/>
      <c r="KT150" s="226"/>
      <c r="KU150" s="226"/>
      <c r="KV150" s="225" t="s">
        <v>5200</v>
      </c>
      <c r="KW150" s="225"/>
      <c r="KX150" s="228"/>
      <c r="KY150" s="793"/>
      <c r="KZ150" s="225"/>
      <c r="LA150" s="225"/>
      <c r="LB150" s="225"/>
      <c r="LC150" s="225"/>
      <c r="LD150" s="225"/>
      <c r="LE150" s="225"/>
      <c r="LF150" s="225"/>
      <c r="LG150" s="225"/>
      <c r="LH150" s="225"/>
      <c r="LI150" s="225"/>
      <c r="LJ150" s="225"/>
      <c r="LK150" s="233" t="s">
        <v>5199</v>
      </c>
      <c r="LL150" s="225"/>
      <c r="LM150" s="226"/>
      <c r="LN150" s="225" t="s">
        <v>3381</v>
      </c>
      <c r="LO150" s="225" t="s">
        <v>3381</v>
      </c>
      <c r="LP150" s="225" t="s">
        <v>3381</v>
      </c>
      <c r="LQ150" s="225" t="s">
        <v>3381</v>
      </c>
      <c r="LR150" s="225" t="s">
        <v>3381</v>
      </c>
      <c r="LS150" s="225" t="s">
        <v>3381</v>
      </c>
      <c r="LT150" s="234" t="s">
        <v>9533</v>
      </c>
      <c r="LU150" s="225" t="s">
        <v>3381</v>
      </c>
      <c r="LV150" s="225" t="s">
        <v>3381</v>
      </c>
      <c r="LW150" s="225" t="s">
        <v>3381</v>
      </c>
      <c r="LX150" s="225" t="s">
        <v>3381</v>
      </c>
      <c r="LY150" s="225" t="s">
        <v>3381</v>
      </c>
      <c r="LZ150" s="225" t="s">
        <v>3381</v>
      </c>
      <c r="MA150" s="225" t="s">
        <v>3381</v>
      </c>
      <c r="MB150" s="225" t="s">
        <v>3381</v>
      </c>
      <c r="MC150" s="225" t="s">
        <v>5198</v>
      </c>
      <c r="MD150" s="225" t="s">
        <v>3381</v>
      </c>
      <c r="ME150" s="225" t="s">
        <v>3381</v>
      </c>
      <c r="MF150" s="225" t="s">
        <v>3381</v>
      </c>
      <c r="MG150" s="226"/>
      <c r="MH150" s="226"/>
      <c r="MI150" s="226"/>
      <c r="MJ150" s="235" t="s">
        <v>5197</v>
      </c>
      <c r="MK150" s="235"/>
      <c r="ML150" s="235" t="s">
        <v>5196</v>
      </c>
      <c r="MM150" s="235" t="s">
        <v>5195</v>
      </c>
      <c r="MN150" s="236"/>
      <c r="MO150" s="236" t="s">
        <v>5194</v>
      </c>
      <c r="MP150" s="236"/>
      <c r="MQ150" s="236" t="s">
        <v>5193</v>
      </c>
      <c r="MR150" s="236" t="s">
        <v>5192</v>
      </c>
      <c r="MS150" s="236" t="s">
        <v>5191</v>
      </c>
      <c r="MT150" s="235"/>
      <c r="MU150" s="236" t="s">
        <v>5190</v>
      </c>
      <c r="MV150" s="235"/>
      <c r="MW150" s="235" t="s">
        <v>5189</v>
      </c>
      <c r="MX150" s="226"/>
      <c r="MY150" s="226"/>
      <c r="MZ150" s="226"/>
      <c r="NA150" s="226"/>
    </row>
    <row r="151" spans="1:365" ht="356" x14ac:dyDescent="0.2">
      <c r="A151" s="1216" t="s">
        <v>260</v>
      </c>
      <c r="B151" s="201" t="s">
        <v>274</v>
      </c>
      <c r="C151" s="202" t="s">
        <v>262</v>
      </c>
      <c r="D151" s="215" t="s">
        <v>34</v>
      </c>
      <c r="E151" s="260" t="s">
        <v>4926</v>
      </c>
      <c r="F151" s="260" t="s">
        <v>5188</v>
      </c>
      <c r="G151" s="225" t="s">
        <v>656</v>
      </c>
      <c r="H151" s="489" t="s">
        <v>656</v>
      </c>
      <c r="I151" s="263" t="s">
        <v>656</v>
      </c>
      <c r="J151" s="225" t="s">
        <v>656</v>
      </c>
      <c r="K151" s="392" t="s">
        <v>5187</v>
      </c>
      <c r="L151" s="392" t="s">
        <v>5186</v>
      </c>
      <c r="M151" s="263" t="s">
        <v>5186</v>
      </c>
      <c r="N151" s="263" t="s">
        <v>5186</v>
      </c>
      <c r="O151" s="225" t="s">
        <v>470</v>
      </c>
      <c r="P151" s="400" t="s">
        <v>1924</v>
      </c>
      <c r="Q151" s="264" t="s">
        <v>5185</v>
      </c>
      <c r="R151" s="322"/>
      <c r="S151" s="225"/>
      <c r="T151" s="225"/>
      <c r="U151" s="263" t="s">
        <v>5184</v>
      </c>
      <c r="V151" s="225" t="s">
        <v>5183</v>
      </c>
      <c r="W151" s="226"/>
      <c r="X151" s="226"/>
      <c r="Y151" s="226"/>
      <c r="Z151" s="226"/>
      <c r="AA151" s="226"/>
      <c r="AB151" s="226"/>
      <c r="AC151" s="226"/>
      <c r="AD151" s="226"/>
      <c r="AE151" s="226"/>
      <c r="AF151" s="225" t="s">
        <v>5182</v>
      </c>
      <c r="AG151" s="225"/>
      <c r="AH151" s="226"/>
      <c r="AI151" s="225"/>
      <c r="AJ151" s="225" t="s">
        <v>470</v>
      </c>
      <c r="AK151" s="424" t="s">
        <v>5181</v>
      </c>
      <c r="AL151" s="225" t="s">
        <v>470</v>
      </c>
      <c r="AM151" s="226"/>
      <c r="AN151" s="226"/>
      <c r="AO151" s="226"/>
      <c r="AP151" s="226"/>
      <c r="AQ151" s="264" t="s">
        <v>5180</v>
      </c>
      <c r="AR151" s="263" t="s">
        <v>5179</v>
      </c>
      <c r="AS151" s="263" t="s">
        <v>5179</v>
      </c>
      <c r="AT151" s="225" t="s">
        <v>470</v>
      </c>
      <c r="AU151" s="225" t="s">
        <v>656</v>
      </c>
      <c r="AV151" s="225"/>
      <c r="AW151" s="225" t="s">
        <v>470</v>
      </c>
      <c r="AX151" s="225"/>
      <c r="AY151" s="456" t="s">
        <v>5178</v>
      </c>
      <c r="AZ151" s="260" t="s">
        <v>5177</v>
      </c>
      <c r="BA151" s="225"/>
      <c r="BB151" s="225" t="s">
        <v>470</v>
      </c>
      <c r="BC151" s="225"/>
      <c r="BD151" s="260" t="s">
        <v>5176</v>
      </c>
      <c r="BE151" s="278" t="s">
        <v>5175</v>
      </c>
      <c r="BF151" s="264" t="s">
        <v>5174</v>
      </c>
      <c r="BG151" s="225"/>
      <c r="BH151" s="225" t="s">
        <v>470</v>
      </c>
      <c r="BI151" s="225" t="s">
        <v>656</v>
      </c>
      <c r="BJ151" s="225" t="s">
        <v>5173</v>
      </c>
      <c r="BK151" s="225" t="s">
        <v>5172</v>
      </c>
      <c r="BL151" s="225"/>
      <c r="BM151" s="233" t="s">
        <v>5171</v>
      </c>
      <c r="BN151" s="226"/>
      <c r="BO151" s="264" t="s">
        <v>5170</v>
      </c>
      <c r="BP151" s="225"/>
      <c r="BQ151" s="225" t="s">
        <v>5169</v>
      </c>
      <c r="BR151" s="264" t="s">
        <v>4854</v>
      </c>
      <c r="BS151" s="225"/>
      <c r="BT151" s="264" t="s">
        <v>5168</v>
      </c>
      <c r="BU151" s="225" t="s">
        <v>5167</v>
      </c>
      <c r="BV151" s="225" t="s">
        <v>5166</v>
      </c>
      <c r="BW151" s="264" t="s">
        <v>5165</v>
      </c>
      <c r="BX151" s="225"/>
      <c r="BY151" s="225" t="s">
        <v>5164</v>
      </c>
      <c r="BZ151" s="225" t="s">
        <v>5163</v>
      </c>
      <c r="CA151" s="264" t="s">
        <v>4921</v>
      </c>
      <c r="CB151" s="264" t="s">
        <v>4921</v>
      </c>
      <c r="CC151" s="225"/>
      <c r="CD151" s="229"/>
      <c r="CE151" s="229"/>
      <c r="CF151" s="229"/>
      <c r="CG151" s="229" t="s">
        <v>4724</v>
      </c>
      <c r="CH151" s="229" t="s">
        <v>4723</v>
      </c>
      <c r="CI151" s="229" t="s">
        <v>5162</v>
      </c>
      <c r="CJ151" s="425" t="s">
        <v>5161</v>
      </c>
      <c r="CK151" s="229" t="s">
        <v>5160</v>
      </c>
      <c r="CL151" s="229" t="s">
        <v>5159</v>
      </c>
      <c r="CM151" s="229"/>
      <c r="CN151" s="225" t="s">
        <v>5158</v>
      </c>
      <c r="CO151" s="263" t="s">
        <v>5157</v>
      </c>
      <c r="CP151" s="225" t="s">
        <v>5156</v>
      </c>
      <c r="CQ151" s="490" t="s">
        <v>5155</v>
      </c>
      <c r="CR151" s="388" t="s">
        <v>5154</v>
      </c>
      <c r="CS151" s="225"/>
      <c r="CT151" s="225"/>
      <c r="CU151" s="491"/>
      <c r="CV151" s="225" t="s">
        <v>5153</v>
      </c>
      <c r="CW151" s="279" t="s">
        <v>5152</v>
      </c>
      <c r="CX151" s="225" t="s">
        <v>470</v>
      </c>
      <c r="CY151" s="225"/>
      <c r="CZ151" s="260" t="s">
        <v>5151</v>
      </c>
      <c r="DA151" s="260" t="s">
        <v>5150</v>
      </c>
      <c r="DB151" s="260" t="s">
        <v>5149</v>
      </c>
      <c r="DC151" s="225"/>
      <c r="DD151" s="225" t="s">
        <v>5148</v>
      </c>
      <c r="DE151" s="225" t="s">
        <v>470</v>
      </c>
      <c r="DF151" s="260" t="s">
        <v>5147</v>
      </c>
      <c r="DG151" s="260" t="s">
        <v>5146</v>
      </c>
      <c r="DH151" s="225" t="s">
        <v>5145</v>
      </c>
      <c r="DI151" s="279" t="s">
        <v>5001</v>
      </c>
      <c r="DJ151" s="264" t="s">
        <v>5144</v>
      </c>
      <c r="DK151" s="225" t="s">
        <v>5143</v>
      </c>
      <c r="DL151" s="260" t="s">
        <v>5142</v>
      </c>
      <c r="DM151" s="225"/>
      <c r="DN151" s="225" t="s">
        <v>656</v>
      </c>
      <c r="DO151" s="225"/>
      <c r="DP151" s="225" t="s">
        <v>470</v>
      </c>
      <c r="DQ151" s="225" t="s">
        <v>470</v>
      </c>
      <c r="DR151" s="225" t="s">
        <v>470</v>
      </c>
      <c r="DS151" s="225" t="s">
        <v>470</v>
      </c>
      <c r="DT151" s="225" t="s">
        <v>470</v>
      </c>
      <c r="DU151" s="260" t="s">
        <v>5141</v>
      </c>
      <c r="DV151" s="225"/>
      <c r="DW151" s="246" t="s">
        <v>470</v>
      </c>
      <c r="DX151" s="264" t="s">
        <v>5140</v>
      </c>
      <c r="DY151" s="263" t="s">
        <v>5139</v>
      </c>
      <c r="DZ151" s="263" t="s">
        <v>5138</v>
      </c>
      <c r="EA151" s="225"/>
      <c r="EB151" s="225"/>
      <c r="EC151" s="226"/>
      <c r="ED151" s="263" t="s">
        <v>5137</v>
      </c>
      <c r="EE151" s="263" t="s">
        <v>5136</v>
      </c>
      <c r="EF151" s="263" t="s">
        <v>5135</v>
      </c>
      <c r="EG151" s="226"/>
      <c r="EH151" s="225" t="s">
        <v>5134</v>
      </c>
      <c r="EI151" s="260" t="s">
        <v>5133</v>
      </c>
      <c r="EJ151" s="226"/>
      <c r="EK151" s="226"/>
      <c r="EL151" s="226"/>
      <c r="EM151" s="226"/>
      <c r="EN151" s="226"/>
      <c r="EO151" s="226"/>
      <c r="EP151" s="226"/>
      <c r="EQ151" s="226"/>
      <c r="ER151" s="225" t="s">
        <v>4715</v>
      </c>
      <c r="ES151" s="263" t="s">
        <v>5132</v>
      </c>
      <c r="ET151" s="225"/>
      <c r="EU151" s="225"/>
      <c r="EV151" s="225"/>
      <c r="EW151" s="225"/>
      <c r="EX151" s="263" t="s">
        <v>5131</v>
      </c>
      <c r="EY151" s="225"/>
      <c r="EZ151" s="229" t="s">
        <v>4914</v>
      </c>
      <c r="FA151" s="225"/>
      <c r="FB151" s="225" t="s">
        <v>5130</v>
      </c>
      <c r="FC151" s="225"/>
      <c r="FD151" s="226"/>
      <c r="FE151" s="404" t="s">
        <v>5129</v>
      </c>
      <c r="FF151" s="264" t="s">
        <v>4984</v>
      </c>
      <c r="FG151" s="225" t="s">
        <v>873</v>
      </c>
      <c r="FH151" s="225" t="s">
        <v>5128</v>
      </c>
      <c r="FI151" s="486" t="s">
        <v>4911</v>
      </c>
      <c r="FJ151" s="486"/>
      <c r="FK151" s="486"/>
      <c r="FL151" s="486" t="s">
        <v>4910</v>
      </c>
      <c r="FM151" s="225" t="s">
        <v>5127</v>
      </c>
      <c r="FN151" s="225"/>
      <c r="FO151" s="388" t="s">
        <v>5126</v>
      </c>
      <c r="FP151" s="388"/>
      <c r="FQ151" s="394" t="s">
        <v>470</v>
      </c>
      <c r="FR151" s="388" t="s">
        <v>4908</v>
      </c>
      <c r="FS151" s="388"/>
      <c r="FT151" s="394"/>
      <c r="FU151" s="226"/>
      <c r="FV151" s="388" t="s">
        <v>4979</v>
      </c>
      <c r="FW151" s="260" t="s">
        <v>5125</v>
      </c>
      <c r="FX151" s="260" t="s">
        <v>5124</v>
      </c>
      <c r="FY151" s="226"/>
      <c r="FZ151" s="388" t="s">
        <v>5123</v>
      </c>
      <c r="GA151" s="394" t="s">
        <v>5122</v>
      </c>
      <c r="GB151" s="388" t="s">
        <v>4976</v>
      </c>
      <c r="GC151" s="388"/>
      <c r="GD151" s="394" t="s">
        <v>470</v>
      </c>
      <c r="GE151" s="388" t="s">
        <v>5121</v>
      </c>
      <c r="GF151" s="388" t="s">
        <v>5120</v>
      </c>
      <c r="GG151" s="394" t="s">
        <v>4906</v>
      </c>
      <c r="GH151" s="394" t="s">
        <v>4906</v>
      </c>
      <c r="GI151" s="226"/>
      <c r="GJ151" s="388" t="s">
        <v>5119</v>
      </c>
      <c r="GK151" s="388" t="s">
        <v>5118</v>
      </c>
      <c r="GL151" s="388" t="s">
        <v>4905</v>
      </c>
      <c r="GM151" s="388" t="s">
        <v>4904</v>
      </c>
      <c r="GN151" s="388" t="s">
        <v>5117</v>
      </c>
      <c r="GO151" s="226"/>
      <c r="GP151" s="388" t="s">
        <v>5116</v>
      </c>
      <c r="GQ151" s="226"/>
      <c r="GR151" s="394" t="s">
        <v>470</v>
      </c>
      <c r="GS151" s="388" t="s">
        <v>5115</v>
      </c>
      <c r="GT151" s="388"/>
      <c r="GU151" s="388" t="s">
        <v>5114</v>
      </c>
      <c r="GV151" s="388" t="s">
        <v>5113</v>
      </c>
      <c r="GW151" s="226"/>
      <c r="GX151" s="260" t="s">
        <v>5112</v>
      </c>
      <c r="GY151" s="260" t="s">
        <v>5111</v>
      </c>
      <c r="GZ151" s="394"/>
      <c r="HA151" s="264" t="s">
        <v>5110</v>
      </c>
      <c r="HB151" s="225" t="s">
        <v>5109</v>
      </c>
      <c r="HC151" s="260" t="s">
        <v>5108</v>
      </c>
      <c r="HD151" s="260" t="s">
        <v>5107</v>
      </c>
      <c r="HE151" s="225" t="s">
        <v>5106</v>
      </c>
      <c r="HF151" s="226"/>
      <c r="HG151" s="261" t="s">
        <v>5105</v>
      </c>
      <c r="HH151" s="261" t="s">
        <v>5104</v>
      </c>
      <c r="HI151" s="262" t="s">
        <v>5103</v>
      </c>
      <c r="HJ151" s="225" t="s">
        <v>656</v>
      </c>
      <c r="HK151" s="261" t="s">
        <v>4701</v>
      </c>
      <c r="HL151" s="226"/>
      <c r="HM151" s="225"/>
      <c r="HN151" s="226"/>
      <c r="HO151" s="225" t="s">
        <v>470</v>
      </c>
      <c r="HP151" s="264" t="s">
        <v>4900</v>
      </c>
      <c r="HQ151" s="225" t="s">
        <v>873</v>
      </c>
      <c r="HR151" s="225" t="s">
        <v>873</v>
      </c>
      <c r="HS151" s="225"/>
      <c r="HT151" s="294" t="s">
        <v>470</v>
      </c>
      <c r="HU151" s="260" t="s">
        <v>5102</v>
      </c>
      <c r="HV151" s="225"/>
      <c r="HW151" s="225" t="s">
        <v>470</v>
      </c>
      <c r="HX151" s="260" t="s">
        <v>5101</v>
      </c>
      <c r="HY151" s="225" t="s">
        <v>5100</v>
      </c>
      <c r="HZ151" s="225" t="s">
        <v>656</v>
      </c>
      <c r="IA151" s="225"/>
      <c r="IB151" s="260" t="s">
        <v>5099</v>
      </c>
      <c r="IC151" s="225" t="s">
        <v>5098</v>
      </c>
      <c r="ID151" s="260" t="s">
        <v>5093</v>
      </c>
      <c r="IE151" s="264" t="s">
        <v>5093</v>
      </c>
      <c r="IF151" s="260" t="s">
        <v>5093</v>
      </c>
      <c r="IG151" s="225" t="s">
        <v>5097</v>
      </c>
      <c r="IH151" s="278" t="s">
        <v>5096</v>
      </c>
      <c r="II151" s="260" t="s">
        <v>5095</v>
      </c>
      <c r="IJ151" s="225" t="s">
        <v>5094</v>
      </c>
      <c r="IK151" s="225" t="s">
        <v>5094</v>
      </c>
      <c r="IL151" s="260" t="s">
        <v>5093</v>
      </c>
      <c r="IM151" s="260" t="s">
        <v>5093</v>
      </c>
      <c r="IN151" s="260" t="s">
        <v>5092</v>
      </c>
      <c r="IO151" s="260" t="s">
        <v>5091</v>
      </c>
      <c r="IP151" s="260" t="s">
        <v>5091</v>
      </c>
      <c r="IQ151" s="260" t="s">
        <v>5091</v>
      </c>
      <c r="IR151" s="226" t="s">
        <v>5090</v>
      </c>
      <c r="IS151" s="260" t="s">
        <v>5089</v>
      </c>
      <c r="IT151" s="260" t="s">
        <v>5088</v>
      </c>
      <c r="IU151" s="260" t="s">
        <v>5087</v>
      </c>
      <c r="IV151" s="260" t="s">
        <v>5086</v>
      </c>
      <c r="IW151" s="260" t="s">
        <v>5085</v>
      </c>
      <c r="IX151" s="225" t="s">
        <v>5084</v>
      </c>
      <c r="IY151" s="225" t="s">
        <v>656</v>
      </c>
      <c r="IZ151" s="225"/>
      <c r="JA151" s="225"/>
      <c r="JB151" s="225"/>
      <c r="JC151" s="225" t="s">
        <v>656</v>
      </c>
      <c r="JD151" s="264" t="s">
        <v>5083</v>
      </c>
      <c r="JE151" s="226"/>
      <c r="JF151" s="226"/>
      <c r="JG151" s="226"/>
      <c r="JH151" s="225" t="s">
        <v>4897</v>
      </c>
      <c r="JI151" s="279" t="s">
        <v>5082</v>
      </c>
      <c r="JJ151" s="263" t="s">
        <v>5081</v>
      </c>
      <c r="JK151" s="280" t="s">
        <v>5080</v>
      </c>
      <c r="JL151" s="263" t="s">
        <v>5079</v>
      </c>
      <c r="JM151" s="263" t="s">
        <v>5078</v>
      </c>
      <c r="JN151" s="226"/>
      <c r="JO151" s="226"/>
      <c r="JP151" s="226"/>
      <c r="JQ151" s="260" t="s">
        <v>5077</v>
      </c>
      <c r="JR151" s="225" t="s">
        <v>5076</v>
      </c>
      <c r="JS151" s="260" t="s">
        <v>5075</v>
      </c>
      <c r="JT151" s="260" t="s">
        <v>5074</v>
      </c>
      <c r="JU151" s="225"/>
      <c r="JV151" s="260" t="s">
        <v>5073</v>
      </c>
      <c r="JW151" s="260" t="s">
        <v>5072</v>
      </c>
      <c r="JX151" s="225" t="s">
        <v>5071</v>
      </c>
      <c r="JY151" s="264" t="s">
        <v>5070</v>
      </c>
      <c r="JZ151" s="225" t="s">
        <v>4894</v>
      </c>
      <c r="KA151" s="225" t="s">
        <v>470</v>
      </c>
      <c r="KB151" s="260" t="s">
        <v>5069</v>
      </c>
      <c r="KC151" s="387" t="s">
        <v>5068</v>
      </c>
      <c r="KD151" s="225" t="s">
        <v>656</v>
      </c>
      <c r="KE151" s="232"/>
      <c r="KF151" s="225"/>
      <c r="KG151" s="225" t="s">
        <v>479</v>
      </c>
      <c r="KH151" s="260" t="s">
        <v>5067</v>
      </c>
      <c r="KI151" s="225" t="s">
        <v>470</v>
      </c>
      <c r="KJ151" s="260" t="s">
        <v>4892</v>
      </c>
      <c r="KK151" s="322" t="s">
        <v>5066</v>
      </c>
      <c r="KL151" s="388" t="s">
        <v>5065</v>
      </c>
      <c r="KM151" s="282" t="s">
        <v>5064</v>
      </c>
      <c r="KN151" s="225" t="s">
        <v>5063</v>
      </c>
      <c r="KO151" s="225"/>
      <c r="KP151" s="225"/>
      <c r="KQ151" s="226"/>
      <c r="KR151" s="226"/>
      <c r="KS151" s="226"/>
      <c r="KT151" s="226"/>
      <c r="KU151" s="226"/>
      <c r="KV151" s="225" t="s">
        <v>4950</v>
      </c>
      <c r="KW151" s="225" t="s">
        <v>4890</v>
      </c>
      <c r="KX151" s="798" t="s">
        <v>9170</v>
      </c>
      <c r="KY151" s="801" t="s">
        <v>9288</v>
      </c>
      <c r="KZ151" s="264" t="s">
        <v>9170</v>
      </c>
      <c r="LA151" s="264" t="s">
        <v>9260</v>
      </c>
      <c r="LB151" s="264" t="s">
        <v>9242</v>
      </c>
      <c r="LC151" s="264" t="s">
        <v>9227</v>
      </c>
      <c r="LD151" s="264" t="s">
        <v>9170</v>
      </c>
      <c r="LE151" s="263" t="s">
        <v>9204</v>
      </c>
      <c r="LF151" s="264" t="s">
        <v>9170</v>
      </c>
      <c r="LG151" s="264" t="s">
        <v>9170</v>
      </c>
      <c r="LH151" s="264" t="s">
        <v>9170</v>
      </c>
      <c r="LI151" s="264" t="s">
        <v>9153</v>
      </c>
      <c r="LJ151" s="263" t="s">
        <v>9136</v>
      </c>
      <c r="LK151" s="225" t="s">
        <v>5062</v>
      </c>
      <c r="LL151" s="263" t="s">
        <v>5061</v>
      </c>
      <c r="LM151" s="226"/>
      <c r="LN151" s="264" t="s">
        <v>5060</v>
      </c>
      <c r="LO151" s="260" t="s">
        <v>5059</v>
      </c>
      <c r="LP151" s="225" t="s">
        <v>5058</v>
      </c>
      <c r="LQ151" s="225" t="s">
        <v>5057</v>
      </c>
      <c r="LR151" s="225" t="s">
        <v>5056</v>
      </c>
      <c r="LS151" s="260" t="s">
        <v>5055</v>
      </c>
      <c r="LT151" s="389" t="s">
        <v>5054</v>
      </c>
      <c r="LU151" s="225" t="s">
        <v>5053</v>
      </c>
      <c r="LV151" s="225" t="s">
        <v>5052</v>
      </c>
      <c r="LW151" s="260" t="s">
        <v>5051</v>
      </c>
      <c r="LX151" s="264" t="s">
        <v>5050</v>
      </c>
      <c r="LY151" s="260" t="s">
        <v>5049</v>
      </c>
      <c r="LZ151" s="225" t="s">
        <v>5048</v>
      </c>
      <c r="MA151" s="264" t="s">
        <v>5047</v>
      </c>
      <c r="MB151" s="225"/>
      <c r="MC151" s="225" t="s">
        <v>5046</v>
      </c>
      <c r="MD151" s="225" t="s">
        <v>5045</v>
      </c>
      <c r="ME151" s="260" t="s">
        <v>5044</v>
      </c>
      <c r="MF151" s="225" t="s">
        <v>5043</v>
      </c>
      <c r="MG151" s="226"/>
      <c r="MH151" s="226"/>
      <c r="MI151" s="226"/>
      <c r="MJ151" s="275" t="s">
        <v>5038</v>
      </c>
      <c r="MK151" s="275"/>
      <c r="ML151" s="290" t="s">
        <v>5042</v>
      </c>
      <c r="MM151" s="235" t="s">
        <v>5041</v>
      </c>
      <c r="MN151" s="286" t="s">
        <v>5040</v>
      </c>
      <c r="MO151" s="272" t="s">
        <v>5039</v>
      </c>
      <c r="MP151" s="236" t="s">
        <v>5038</v>
      </c>
      <c r="MQ151" s="286" t="s">
        <v>5037</v>
      </c>
      <c r="MR151" s="271" t="s">
        <v>5036</v>
      </c>
      <c r="MS151" s="274" t="s">
        <v>5035</v>
      </c>
      <c r="MT151" s="275" t="s">
        <v>5034</v>
      </c>
      <c r="MU151" s="236" t="s">
        <v>4878</v>
      </c>
      <c r="MV151" s="235" t="s">
        <v>5033</v>
      </c>
      <c r="MW151" s="276" t="s">
        <v>5032</v>
      </c>
      <c r="MX151" s="226"/>
      <c r="MY151" s="226"/>
      <c r="MZ151" s="226"/>
      <c r="NA151" s="226"/>
    </row>
    <row r="152" spans="1:365" ht="409.6" x14ac:dyDescent="0.2">
      <c r="A152" s="1216"/>
      <c r="B152" s="201" t="s">
        <v>276</v>
      </c>
      <c r="C152" s="202" t="s">
        <v>5031</v>
      </c>
      <c r="D152" s="215" t="s">
        <v>34</v>
      </c>
      <c r="E152" s="260" t="s">
        <v>5030</v>
      </c>
      <c r="F152" s="260" t="s">
        <v>5030</v>
      </c>
      <c r="G152" s="263" t="s">
        <v>4924</v>
      </c>
      <c r="H152" s="263" t="s">
        <v>5029</v>
      </c>
      <c r="I152" s="263" t="s">
        <v>5028</v>
      </c>
      <c r="J152" s="263" t="s">
        <v>5027</v>
      </c>
      <c r="K152" s="392" t="s">
        <v>5026</v>
      </c>
      <c r="L152" s="225" t="s">
        <v>5025</v>
      </c>
      <c r="M152" s="263" t="s">
        <v>5024</v>
      </c>
      <c r="N152" s="263" t="s">
        <v>5023</v>
      </c>
      <c r="O152" s="263" t="s">
        <v>5022</v>
      </c>
      <c r="P152" s="400" t="s">
        <v>1924</v>
      </c>
      <c r="Q152" s="264" t="s">
        <v>4865</v>
      </c>
      <c r="R152" s="322"/>
      <c r="S152" s="225"/>
      <c r="T152" s="225"/>
      <c r="U152" s="263" t="s">
        <v>5021</v>
      </c>
      <c r="V152" s="225" t="s">
        <v>5020</v>
      </c>
      <c r="W152" s="226"/>
      <c r="X152" s="226"/>
      <c r="Y152" s="226"/>
      <c r="Z152" s="226"/>
      <c r="AA152" s="226"/>
      <c r="AB152" s="226"/>
      <c r="AC152" s="226"/>
      <c r="AD152" s="226"/>
      <c r="AE152" s="226"/>
      <c r="AF152" s="225" t="s">
        <v>470</v>
      </c>
      <c r="AG152" s="225"/>
      <c r="AH152" s="226"/>
      <c r="AI152" s="225"/>
      <c r="AJ152" s="264" t="s">
        <v>5019</v>
      </c>
      <c r="AK152" s="424" t="s">
        <v>9488</v>
      </c>
      <c r="AL152" s="225"/>
      <c r="AM152" s="226"/>
      <c r="AN152" s="226"/>
      <c r="AO152" s="226"/>
      <c r="AP152" s="226"/>
      <c r="AQ152" s="492" t="s">
        <v>5018</v>
      </c>
      <c r="AR152" s="225"/>
      <c r="AS152" s="225"/>
      <c r="AT152" s="225" t="s">
        <v>470</v>
      </c>
      <c r="AU152" s="260" t="s">
        <v>5017</v>
      </c>
      <c r="AV152" s="225"/>
      <c r="AW152" s="225"/>
      <c r="AX152" s="225"/>
      <c r="AY152" s="424" t="s">
        <v>5016</v>
      </c>
      <c r="AZ152" s="260" t="s">
        <v>5015</v>
      </c>
      <c r="BA152" s="225"/>
      <c r="BB152" s="225"/>
      <c r="BC152" s="225"/>
      <c r="BD152" s="225" t="s">
        <v>5014</v>
      </c>
      <c r="BE152" s="229"/>
      <c r="BF152" s="225"/>
      <c r="BG152" s="260" t="s">
        <v>5013</v>
      </c>
      <c r="BH152" s="225" t="s">
        <v>470</v>
      </c>
      <c r="BI152" s="225" t="s">
        <v>656</v>
      </c>
      <c r="BJ152" s="225" t="s">
        <v>5012</v>
      </c>
      <c r="BK152" s="225"/>
      <c r="BL152" s="225"/>
      <c r="BM152" s="233" t="s">
        <v>5011</v>
      </c>
      <c r="BN152" s="226"/>
      <c r="BO152" s="225"/>
      <c r="BP152" s="225"/>
      <c r="BQ152" s="225"/>
      <c r="BR152" s="233" t="s">
        <v>34</v>
      </c>
      <c r="BS152" s="225"/>
      <c r="BT152" s="225"/>
      <c r="BU152" s="225"/>
      <c r="BV152" s="225"/>
      <c r="BW152" s="264" t="s">
        <v>5010</v>
      </c>
      <c r="BX152" s="225"/>
      <c r="BY152" s="225"/>
      <c r="BZ152" s="260" t="s">
        <v>5009</v>
      </c>
      <c r="CA152" s="225"/>
      <c r="CB152" s="225"/>
      <c r="CC152" s="225"/>
      <c r="CD152" s="229" t="s">
        <v>5008</v>
      </c>
      <c r="CE152" s="229"/>
      <c r="CF152" s="229"/>
      <c r="CG152" s="225" t="s">
        <v>5007</v>
      </c>
      <c r="CH152" s="229" t="s">
        <v>4723</v>
      </c>
      <c r="CI152" s="229"/>
      <c r="CJ152" s="229"/>
      <c r="CK152" s="229"/>
      <c r="CL152" s="229"/>
      <c r="CM152" s="229"/>
      <c r="CN152" s="225"/>
      <c r="CO152" s="225"/>
      <c r="CP152" s="225"/>
      <c r="CQ152" s="226" t="s">
        <v>5006</v>
      </c>
      <c r="CR152" s="394"/>
      <c r="CS152" s="225"/>
      <c r="CT152" s="225"/>
      <c r="CU152" s="225" t="s">
        <v>5005</v>
      </c>
      <c r="CV152" s="225"/>
      <c r="CW152" s="225" t="s">
        <v>656</v>
      </c>
      <c r="CX152" s="225" t="s">
        <v>5004</v>
      </c>
      <c r="CY152" s="260" t="s">
        <v>4918</v>
      </c>
      <c r="CZ152" s="225"/>
      <c r="DA152" s="260" t="s">
        <v>5003</v>
      </c>
      <c r="DB152" s="225"/>
      <c r="DC152" s="225"/>
      <c r="DD152" s="225"/>
      <c r="DE152" s="225"/>
      <c r="DF152" s="225" t="s">
        <v>5002</v>
      </c>
      <c r="DG152" s="225"/>
      <c r="DH152" s="225"/>
      <c r="DI152" s="279" t="s">
        <v>5001</v>
      </c>
      <c r="DJ152" s="225" t="s">
        <v>656</v>
      </c>
      <c r="DK152" s="225" t="s">
        <v>5000</v>
      </c>
      <c r="DL152" s="225" t="s">
        <v>470</v>
      </c>
      <c r="DM152" s="225"/>
      <c r="DN152" s="225" t="s">
        <v>656</v>
      </c>
      <c r="DO152" s="260" t="s">
        <v>4999</v>
      </c>
      <c r="DP152" s="264" t="s">
        <v>4998</v>
      </c>
      <c r="DQ152" s="264" t="s">
        <v>4997</v>
      </c>
      <c r="DR152" s="264" t="s">
        <v>4996</v>
      </c>
      <c r="DS152" s="264" t="s">
        <v>4995</v>
      </c>
      <c r="DT152" s="264" t="s">
        <v>4994</v>
      </c>
      <c r="DU152" s="260"/>
      <c r="DV152" s="260" t="s">
        <v>4993</v>
      </c>
      <c r="DW152" s="246" t="s">
        <v>470</v>
      </c>
      <c r="DX152" s="225" t="s">
        <v>4992</v>
      </c>
      <c r="DY152" s="225"/>
      <c r="DZ152" s="263" t="s">
        <v>4991</v>
      </c>
      <c r="EA152" s="263" t="s">
        <v>4990</v>
      </c>
      <c r="EB152" s="225"/>
      <c r="EC152" s="226"/>
      <c r="ED152" s="225"/>
      <c r="EE152" s="225" t="s">
        <v>656</v>
      </c>
      <c r="EF152" s="225"/>
      <c r="EG152" s="226"/>
      <c r="EH152" s="225" t="s">
        <v>470</v>
      </c>
      <c r="EI152" s="225" t="s">
        <v>656</v>
      </c>
      <c r="EJ152" s="226"/>
      <c r="EK152" s="226"/>
      <c r="EL152" s="226"/>
      <c r="EM152" s="226"/>
      <c r="EN152" s="226"/>
      <c r="EO152" s="226"/>
      <c r="EP152" s="226"/>
      <c r="EQ152" s="226"/>
      <c r="ER152" s="225"/>
      <c r="ES152" s="225"/>
      <c r="ET152" s="322"/>
      <c r="EU152" s="322"/>
      <c r="EV152" s="322"/>
      <c r="EW152" s="225"/>
      <c r="EX152" s="263" t="s">
        <v>4989</v>
      </c>
      <c r="EY152" s="260" t="s">
        <v>4988</v>
      </c>
      <c r="EZ152" s="229" t="s">
        <v>4987</v>
      </c>
      <c r="FA152" s="225"/>
      <c r="FB152" s="260" t="s">
        <v>4986</v>
      </c>
      <c r="FC152" s="264" t="s">
        <v>4985</v>
      </c>
      <c r="FD152" s="226"/>
      <c r="FE152" s="404"/>
      <c r="FF152" s="426" t="s">
        <v>4984</v>
      </c>
      <c r="FG152" s="225" t="s">
        <v>873</v>
      </c>
      <c r="FH152" s="392" t="s">
        <v>4983</v>
      </c>
      <c r="FI152" s="388" t="s">
        <v>4982</v>
      </c>
      <c r="FJ152" s="394" t="s">
        <v>656</v>
      </c>
      <c r="FK152" s="394"/>
      <c r="FL152" s="394" t="s">
        <v>656</v>
      </c>
      <c r="FM152" s="428" t="s">
        <v>4981</v>
      </c>
      <c r="FN152" s="428"/>
      <c r="FO152" s="388" t="s">
        <v>4980</v>
      </c>
      <c r="FP152" s="388"/>
      <c r="FQ152" s="394" t="s">
        <v>470</v>
      </c>
      <c r="FR152" s="388"/>
      <c r="FS152" s="388"/>
      <c r="FT152" s="394"/>
      <c r="FU152" s="226"/>
      <c r="FV152" s="388" t="s">
        <v>4979</v>
      </c>
      <c r="FW152" s="260" t="s">
        <v>4978</v>
      </c>
      <c r="FX152" s="260" t="s">
        <v>4977</v>
      </c>
      <c r="FY152" s="226"/>
      <c r="FZ152" s="394"/>
      <c r="GA152" s="394"/>
      <c r="GB152" s="388" t="s">
        <v>4976</v>
      </c>
      <c r="GC152" s="394"/>
      <c r="GD152" s="394" t="s">
        <v>470</v>
      </c>
      <c r="GE152" s="394"/>
      <c r="GF152" s="388" t="s">
        <v>4975</v>
      </c>
      <c r="GG152" s="388" t="s">
        <v>4974</v>
      </c>
      <c r="GH152" s="388" t="s">
        <v>4973</v>
      </c>
      <c r="GI152" s="226"/>
      <c r="GJ152" s="394"/>
      <c r="GK152" s="394"/>
      <c r="GL152" s="388" t="s">
        <v>4972</v>
      </c>
      <c r="GM152" s="394" t="s">
        <v>4971</v>
      </c>
      <c r="GN152" s="388"/>
      <c r="GO152" s="226"/>
      <c r="GP152" s="388" t="s">
        <v>4970</v>
      </c>
      <c r="GQ152" s="226"/>
      <c r="GR152" s="394" t="s">
        <v>470</v>
      </c>
      <c r="GS152" s="394" t="s">
        <v>470</v>
      </c>
      <c r="GT152" s="394"/>
      <c r="GU152" s="388" t="s">
        <v>4969</v>
      </c>
      <c r="GV152" s="388" t="s">
        <v>4968</v>
      </c>
      <c r="GW152" s="226"/>
      <c r="GX152" s="260" t="s">
        <v>4967</v>
      </c>
      <c r="GY152" s="225" t="s">
        <v>470</v>
      </c>
      <c r="GZ152" s="394"/>
      <c r="HA152" s="264" t="s">
        <v>4966</v>
      </c>
      <c r="HB152" s="260" t="s">
        <v>4965</v>
      </c>
      <c r="HC152" s="260" t="s">
        <v>9518</v>
      </c>
      <c r="HD152" s="225"/>
      <c r="HE152" s="225"/>
      <c r="HF152" s="226"/>
      <c r="HG152" s="227" t="s">
        <v>4964</v>
      </c>
      <c r="HH152" s="261" t="s">
        <v>4963</v>
      </c>
      <c r="HI152" s="227" t="s">
        <v>656</v>
      </c>
      <c r="HJ152" s="225" t="s">
        <v>656</v>
      </c>
      <c r="HK152" s="261" t="s">
        <v>4962</v>
      </c>
      <c r="HL152" s="226"/>
      <c r="HM152" s="225"/>
      <c r="HN152" s="226"/>
      <c r="HO152" s="225"/>
      <c r="HP152" s="264" t="s">
        <v>4961</v>
      </c>
      <c r="HQ152" s="225"/>
      <c r="HR152" s="225"/>
      <c r="HS152" s="225"/>
      <c r="HT152" s="294" t="s">
        <v>470</v>
      </c>
      <c r="HU152" s="225" t="s">
        <v>470</v>
      </c>
      <c r="HV152" s="265" t="s">
        <v>4960</v>
      </c>
      <c r="HW152" s="225" t="s">
        <v>470</v>
      </c>
      <c r="HX152" s="225" t="s">
        <v>2234</v>
      </c>
      <c r="HY152" s="225"/>
      <c r="HZ152" s="260" t="s">
        <v>4959</v>
      </c>
      <c r="IA152" s="225"/>
      <c r="IB152" s="225" t="s">
        <v>470</v>
      </c>
      <c r="IC152" s="225" t="s">
        <v>470</v>
      </c>
      <c r="ID152" s="225"/>
      <c r="IE152" s="225"/>
      <c r="IF152" s="225"/>
      <c r="IG152" s="225"/>
      <c r="IH152" s="229"/>
      <c r="II152" s="225"/>
      <c r="IJ152" s="225"/>
      <c r="IK152" s="225"/>
      <c r="IL152" s="225"/>
      <c r="IM152" s="225"/>
      <c r="IN152" s="225"/>
      <c r="IO152" s="225"/>
      <c r="IP152" s="225"/>
      <c r="IQ152" s="225"/>
      <c r="IR152" s="225"/>
      <c r="IS152" s="225"/>
      <c r="IT152" s="225"/>
      <c r="IU152" s="225"/>
      <c r="IV152" s="225"/>
      <c r="IW152" s="225"/>
      <c r="IX152" s="225"/>
      <c r="IY152" s="225" t="s">
        <v>656</v>
      </c>
      <c r="IZ152" s="225"/>
      <c r="JA152" s="225"/>
      <c r="JB152" s="225"/>
      <c r="JC152" s="225" t="s">
        <v>656</v>
      </c>
      <c r="JD152" s="225" t="s">
        <v>4958</v>
      </c>
      <c r="JE152" s="226"/>
      <c r="JF152" s="226"/>
      <c r="JG152" s="226"/>
      <c r="JH152" s="225"/>
      <c r="JI152" s="225" t="s">
        <v>4957</v>
      </c>
      <c r="JJ152" s="225" t="s">
        <v>656</v>
      </c>
      <c r="JK152" s="280" t="s">
        <v>9524</v>
      </c>
      <c r="JL152" s="225" t="s">
        <v>656</v>
      </c>
      <c r="JM152" s="225" t="s">
        <v>470</v>
      </c>
      <c r="JN152" s="226"/>
      <c r="JO152" s="226"/>
      <c r="JP152" s="226"/>
      <c r="JQ152" s="225" t="s">
        <v>656</v>
      </c>
      <c r="JR152" s="225" t="s">
        <v>4956</v>
      </c>
      <c r="JS152" s="225"/>
      <c r="JT152" s="225" t="s">
        <v>4955</v>
      </c>
      <c r="JU152" s="225"/>
      <c r="JV152" s="225"/>
      <c r="JW152" s="225" t="s">
        <v>656</v>
      </c>
      <c r="JX152" s="225" t="s">
        <v>656</v>
      </c>
      <c r="JY152" s="225" t="s">
        <v>470</v>
      </c>
      <c r="JZ152" s="225" t="s">
        <v>470</v>
      </c>
      <c r="KA152" s="225"/>
      <c r="KB152" s="225"/>
      <c r="KC152" s="225" t="s">
        <v>470</v>
      </c>
      <c r="KD152" s="225" t="s">
        <v>656</v>
      </c>
      <c r="KE152" s="232"/>
      <c r="KF152" s="225" t="s">
        <v>4954</v>
      </c>
      <c r="KG152" s="260" t="s">
        <v>4953</v>
      </c>
      <c r="KH152" s="225" t="s">
        <v>656</v>
      </c>
      <c r="KI152" s="225" t="s">
        <v>470</v>
      </c>
      <c r="KJ152" s="225"/>
      <c r="KK152" s="322" t="s">
        <v>656</v>
      </c>
      <c r="KL152" s="388" t="s">
        <v>4952</v>
      </c>
      <c r="KM152" s="225" t="s">
        <v>470</v>
      </c>
      <c r="KN152" s="225"/>
      <c r="KO152" s="225"/>
      <c r="KP152" s="264" t="s">
        <v>4951</v>
      </c>
      <c r="KQ152" s="226"/>
      <c r="KR152" s="226"/>
      <c r="KS152" s="226"/>
      <c r="KT152" s="226"/>
      <c r="KU152" s="226"/>
      <c r="KV152" s="263" t="s">
        <v>4950</v>
      </c>
      <c r="KW152" s="225" t="s">
        <v>4890</v>
      </c>
      <c r="KX152" s="228"/>
      <c r="KY152" s="793"/>
      <c r="KZ152" s="225"/>
      <c r="LA152" s="225"/>
      <c r="LB152" s="225" t="s">
        <v>9243</v>
      </c>
      <c r="LC152" s="264" t="s">
        <v>9228</v>
      </c>
      <c r="LD152" s="225"/>
      <c r="LE152" s="263"/>
      <c r="LF152" s="225"/>
      <c r="LG152" s="225"/>
      <c r="LH152" s="225"/>
      <c r="LI152" s="225"/>
      <c r="LJ152" s="225"/>
      <c r="LK152" s="225" t="s">
        <v>4949</v>
      </c>
      <c r="LL152" s="225"/>
      <c r="LM152" s="226"/>
      <c r="LN152" s="225" t="s">
        <v>4948</v>
      </c>
      <c r="LO152" s="225" t="s">
        <v>4947</v>
      </c>
      <c r="LP152" s="225" t="s">
        <v>4946</v>
      </c>
      <c r="LQ152" s="225"/>
      <c r="LR152" s="225" t="s">
        <v>4945</v>
      </c>
      <c r="LS152" s="260" t="s">
        <v>4944</v>
      </c>
      <c r="LT152" s="389" t="s">
        <v>4943</v>
      </c>
      <c r="LU152" s="225"/>
      <c r="LV152" s="225" t="s">
        <v>4942</v>
      </c>
      <c r="LW152" s="260" t="s">
        <v>4941</v>
      </c>
      <c r="LX152" s="225" t="s">
        <v>4940</v>
      </c>
      <c r="LY152" s="260" t="s">
        <v>4939</v>
      </c>
      <c r="LZ152" s="225" t="s">
        <v>4747</v>
      </c>
      <c r="MA152" s="264" t="s">
        <v>4938</v>
      </c>
      <c r="MB152" s="225"/>
      <c r="MC152" s="225"/>
      <c r="MD152" s="225" t="s">
        <v>4937</v>
      </c>
      <c r="ME152" s="225"/>
      <c r="MF152" s="225" t="s">
        <v>4936</v>
      </c>
      <c r="MG152" s="226"/>
      <c r="MH152" s="226"/>
      <c r="MI152" s="226"/>
      <c r="MJ152" s="275" t="s">
        <v>4935</v>
      </c>
      <c r="MK152" s="275"/>
      <c r="ML152" s="290" t="s">
        <v>4934</v>
      </c>
      <c r="MM152" s="235" t="s">
        <v>4933</v>
      </c>
      <c r="MN152" s="271" t="s">
        <v>9537</v>
      </c>
      <c r="MO152" s="272" t="s">
        <v>4932</v>
      </c>
      <c r="MP152" s="286" t="s">
        <v>4931</v>
      </c>
      <c r="MQ152" s="236" t="s">
        <v>4930</v>
      </c>
      <c r="MR152" s="271" t="s">
        <v>4929</v>
      </c>
      <c r="MS152" s="271" t="s">
        <v>9539</v>
      </c>
      <c r="MT152" s="235"/>
      <c r="MU152" s="236" t="s">
        <v>4928</v>
      </c>
      <c r="MV152" s="269" t="s">
        <v>4927</v>
      </c>
      <c r="MW152" s="235"/>
      <c r="MX152" s="226"/>
      <c r="MY152" s="226"/>
      <c r="MZ152" s="226"/>
      <c r="NA152" s="226"/>
    </row>
    <row r="153" spans="1:365" ht="409.6" x14ac:dyDescent="0.2">
      <c r="A153" s="1216"/>
      <c r="B153" s="201" t="s">
        <v>278</v>
      </c>
      <c r="C153" s="202" t="s">
        <v>266</v>
      </c>
      <c r="D153" s="215" t="s">
        <v>267</v>
      </c>
      <c r="E153" s="260" t="s">
        <v>4926</v>
      </c>
      <c r="F153" s="260" t="s">
        <v>4925</v>
      </c>
      <c r="G153" s="263" t="s">
        <v>4924</v>
      </c>
      <c r="H153" s="489" t="s">
        <v>656</v>
      </c>
      <c r="I153" s="225" t="s">
        <v>656</v>
      </c>
      <c r="J153" s="225" t="s">
        <v>656</v>
      </c>
      <c r="K153" s="225" t="s">
        <v>470</v>
      </c>
      <c r="L153" s="225" t="s">
        <v>1924</v>
      </c>
      <c r="M153" s="225" t="s">
        <v>1924</v>
      </c>
      <c r="N153" s="225" t="s">
        <v>1924</v>
      </c>
      <c r="O153" s="225" t="s">
        <v>470</v>
      </c>
      <c r="P153" s="400" t="s">
        <v>1924</v>
      </c>
      <c r="Q153" s="225" t="s">
        <v>470</v>
      </c>
      <c r="R153" s="322"/>
      <c r="S153" s="225"/>
      <c r="T153" s="225"/>
      <c r="U153" s="225"/>
      <c r="V153" s="225" t="s">
        <v>4923</v>
      </c>
      <c r="W153" s="226"/>
      <c r="X153" s="226"/>
      <c r="Y153" s="226"/>
      <c r="Z153" s="226"/>
      <c r="AA153" s="226"/>
      <c r="AB153" s="226"/>
      <c r="AC153" s="226"/>
      <c r="AD153" s="226"/>
      <c r="AE153" s="226"/>
      <c r="AF153" s="225" t="s">
        <v>470</v>
      </c>
      <c r="AG153" s="225"/>
      <c r="AH153" s="226"/>
      <c r="AI153" s="225"/>
      <c r="AJ153" s="225"/>
      <c r="AK153" s="229" t="s">
        <v>470</v>
      </c>
      <c r="AL153" s="225"/>
      <c r="AM153" s="226"/>
      <c r="AN153" s="226"/>
      <c r="AO153" s="226"/>
      <c r="AP153" s="226"/>
      <c r="AQ153" s="225"/>
      <c r="AR153" s="225"/>
      <c r="AS153" s="225"/>
      <c r="AT153" s="225" t="s">
        <v>470</v>
      </c>
      <c r="AU153" s="225" t="s">
        <v>656</v>
      </c>
      <c r="AV153" s="225"/>
      <c r="AW153" s="225"/>
      <c r="AX153" s="225"/>
      <c r="AY153" s="229" t="s">
        <v>2234</v>
      </c>
      <c r="AZ153" s="225"/>
      <c r="BA153" s="225"/>
      <c r="BB153" s="225"/>
      <c r="BC153" s="225"/>
      <c r="BD153" s="225"/>
      <c r="BE153" s="229"/>
      <c r="BF153" s="225"/>
      <c r="BG153" s="225"/>
      <c r="BH153" s="225" t="s">
        <v>470</v>
      </c>
      <c r="BI153" s="225" t="s">
        <v>656</v>
      </c>
      <c r="BJ153" s="225"/>
      <c r="BK153" s="225"/>
      <c r="BL153" s="225"/>
      <c r="BM153" s="225"/>
      <c r="BN153" s="226"/>
      <c r="BO153" s="225"/>
      <c r="BP153" s="225"/>
      <c r="BQ153" s="225"/>
      <c r="BR153" s="233" t="s">
        <v>267</v>
      </c>
      <c r="BS153" s="225"/>
      <c r="BT153" s="225"/>
      <c r="BU153" s="225"/>
      <c r="BV153" s="225"/>
      <c r="BW153" s="225" t="s">
        <v>470</v>
      </c>
      <c r="BX153" s="264" t="s">
        <v>4922</v>
      </c>
      <c r="BY153" s="225"/>
      <c r="BZ153" s="225"/>
      <c r="CA153" s="264" t="s">
        <v>4921</v>
      </c>
      <c r="CB153" s="264" t="s">
        <v>4921</v>
      </c>
      <c r="CC153" s="225"/>
      <c r="CD153" s="229"/>
      <c r="CE153" s="229"/>
      <c r="CF153" s="229"/>
      <c r="CG153" s="229"/>
      <c r="CH153" s="229" t="s">
        <v>4723</v>
      </c>
      <c r="CI153" s="229"/>
      <c r="CJ153" s="229"/>
      <c r="CK153" s="229"/>
      <c r="CL153" s="229"/>
      <c r="CM153" s="229"/>
      <c r="CN153" s="225"/>
      <c r="CO153" s="263" t="s">
        <v>4920</v>
      </c>
      <c r="CP153" s="225"/>
      <c r="CQ153" s="226" t="s">
        <v>4919</v>
      </c>
      <c r="CR153" s="394"/>
      <c r="CS153" s="225"/>
      <c r="CT153" s="225"/>
      <c r="CU153" s="225"/>
      <c r="CV153" s="225"/>
      <c r="CW153" s="225" t="s">
        <v>656</v>
      </c>
      <c r="CX153" s="225" t="s">
        <v>470</v>
      </c>
      <c r="CY153" s="260" t="s">
        <v>4918</v>
      </c>
      <c r="CZ153" s="225"/>
      <c r="DA153" s="260" t="s">
        <v>4917</v>
      </c>
      <c r="DB153" s="225"/>
      <c r="DC153" s="225"/>
      <c r="DD153" s="225"/>
      <c r="DE153" s="225"/>
      <c r="DF153" s="225" t="s">
        <v>4719</v>
      </c>
      <c r="DG153" s="225" t="s">
        <v>470</v>
      </c>
      <c r="DH153" s="225"/>
      <c r="DI153" s="225"/>
      <c r="DJ153" s="225" t="s">
        <v>656</v>
      </c>
      <c r="DK153" s="225"/>
      <c r="DL153" s="225" t="s">
        <v>470</v>
      </c>
      <c r="DM153" s="225"/>
      <c r="DN153" s="225" t="s">
        <v>656</v>
      </c>
      <c r="DO153" s="225"/>
      <c r="DP153" s="225" t="s">
        <v>470</v>
      </c>
      <c r="DQ153" s="225" t="s">
        <v>470</v>
      </c>
      <c r="DR153" s="225" t="s">
        <v>470</v>
      </c>
      <c r="DS153" s="225" t="s">
        <v>470</v>
      </c>
      <c r="DT153" s="225" t="s">
        <v>470</v>
      </c>
      <c r="DU153" s="260"/>
      <c r="DV153" s="260" t="s">
        <v>4916</v>
      </c>
      <c r="DW153" s="246" t="s">
        <v>470</v>
      </c>
      <c r="DX153" s="225"/>
      <c r="DY153" s="225" t="s">
        <v>4824</v>
      </c>
      <c r="DZ153" s="225" t="s">
        <v>470</v>
      </c>
      <c r="EA153" s="225"/>
      <c r="EB153" s="225"/>
      <c r="EC153" s="226"/>
      <c r="ED153" s="263" t="s">
        <v>4915</v>
      </c>
      <c r="EE153" s="225" t="s">
        <v>656</v>
      </c>
      <c r="EF153" s="263" t="s">
        <v>4915</v>
      </c>
      <c r="EG153" s="226"/>
      <c r="EH153" s="225" t="s">
        <v>470</v>
      </c>
      <c r="EI153" s="225" t="s">
        <v>656</v>
      </c>
      <c r="EJ153" s="226"/>
      <c r="EK153" s="226"/>
      <c r="EL153" s="226"/>
      <c r="EM153" s="226"/>
      <c r="EN153" s="226"/>
      <c r="EO153" s="226"/>
      <c r="EP153" s="226"/>
      <c r="EQ153" s="226"/>
      <c r="ER153" s="225"/>
      <c r="ES153" s="225"/>
      <c r="ET153" s="225"/>
      <c r="EU153" s="225"/>
      <c r="EV153" s="225"/>
      <c r="EW153" s="225"/>
      <c r="EX153" s="263"/>
      <c r="EY153" s="225"/>
      <c r="EZ153" s="229" t="s">
        <v>4914</v>
      </c>
      <c r="FA153" s="225"/>
      <c r="FB153" s="260" t="s">
        <v>4913</v>
      </c>
      <c r="FC153" s="225"/>
      <c r="FD153" s="226"/>
      <c r="FE153" s="404"/>
      <c r="FF153" s="225" t="s">
        <v>470</v>
      </c>
      <c r="FG153" s="225" t="s">
        <v>873</v>
      </c>
      <c r="FH153" s="392" t="s">
        <v>4912</v>
      </c>
      <c r="FI153" s="388" t="s">
        <v>4911</v>
      </c>
      <c r="FJ153" s="388"/>
      <c r="FK153" s="388"/>
      <c r="FL153" s="388" t="s">
        <v>4910</v>
      </c>
      <c r="FM153" s="428" t="s">
        <v>4909</v>
      </c>
      <c r="FN153" s="428"/>
      <c r="FO153" s="394"/>
      <c r="FP153" s="394"/>
      <c r="FQ153" s="394" t="s">
        <v>470</v>
      </c>
      <c r="FR153" s="388" t="s">
        <v>4908</v>
      </c>
      <c r="FS153" s="388"/>
      <c r="FT153" s="394"/>
      <c r="FU153" s="226"/>
      <c r="FV153" s="394" t="s">
        <v>470</v>
      </c>
      <c r="FW153" s="260" t="s">
        <v>4907</v>
      </c>
      <c r="FX153" s="225" t="s">
        <v>470</v>
      </c>
      <c r="FY153" s="226"/>
      <c r="FZ153" s="394"/>
      <c r="GA153" s="394"/>
      <c r="GB153" s="394" t="s">
        <v>470</v>
      </c>
      <c r="GC153" s="394"/>
      <c r="GD153" s="388" t="s">
        <v>4710</v>
      </c>
      <c r="GE153" s="394"/>
      <c r="GF153" s="394"/>
      <c r="GG153" s="394" t="s">
        <v>4906</v>
      </c>
      <c r="GH153" s="394" t="s">
        <v>4906</v>
      </c>
      <c r="GI153" s="226"/>
      <c r="GJ153" s="394"/>
      <c r="GK153" s="394"/>
      <c r="GL153" s="388" t="s">
        <v>4905</v>
      </c>
      <c r="GM153" s="388" t="s">
        <v>4904</v>
      </c>
      <c r="GN153" s="388"/>
      <c r="GO153" s="226"/>
      <c r="GP153" s="394"/>
      <c r="GQ153" s="226"/>
      <c r="GR153" s="394" t="s">
        <v>470</v>
      </c>
      <c r="GS153" s="388" t="s">
        <v>4903</v>
      </c>
      <c r="GT153" s="388"/>
      <c r="GU153" s="388" t="s">
        <v>4902</v>
      </c>
      <c r="GV153" s="394"/>
      <c r="GW153" s="226"/>
      <c r="GX153" s="225" t="s">
        <v>470</v>
      </c>
      <c r="GY153" s="225" t="s">
        <v>470</v>
      </c>
      <c r="GZ153" s="394"/>
      <c r="HA153" s="225" t="s">
        <v>470</v>
      </c>
      <c r="HB153" s="225" t="s">
        <v>470</v>
      </c>
      <c r="HC153" s="225"/>
      <c r="HD153" s="225"/>
      <c r="HE153" s="225"/>
      <c r="HF153" s="226"/>
      <c r="HG153" s="227" t="s">
        <v>470</v>
      </c>
      <c r="HH153" s="390" t="s">
        <v>4901</v>
      </c>
      <c r="HI153" s="227" t="s">
        <v>656</v>
      </c>
      <c r="HJ153" s="225" t="s">
        <v>656</v>
      </c>
      <c r="HK153" s="261"/>
      <c r="HL153" s="226"/>
      <c r="HM153" s="225"/>
      <c r="HN153" s="226"/>
      <c r="HO153" s="225" t="s">
        <v>470</v>
      </c>
      <c r="HP153" s="264" t="s">
        <v>4900</v>
      </c>
      <c r="HQ153" s="225"/>
      <c r="HR153" s="225"/>
      <c r="HS153" s="225"/>
      <c r="HT153" s="260" t="s">
        <v>4899</v>
      </c>
      <c r="HU153" s="225" t="s">
        <v>470</v>
      </c>
      <c r="HV153" s="225"/>
      <c r="HW153" s="225" t="s">
        <v>470</v>
      </c>
      <c r="HX153" s="225" t="s">
        <v>2234</v>
      </c>
      <c r="HY153" s="225"/>
      <c r="HZ153" s="225" t="s">
        <v>656</v>
      </c>
      <c r="IA153" s="225"/>
      <c r="IB153" s="225" t="s">
        <v>470</v>
      </c>
      <c r="IC153" s="225" t="s">
        <v>470</v>
      </c>
      <c r="ID153" s="225"/>
      <c r="IE153" s="225"/>
      <c r="IF153" s="225"/>
      <c r="IG153" s="225"/>
      <c r="IH153" s="229"/>
      <c r="II153" s="225"/>
      <c r="IJ153" s="225"/>
      <c r="IK153" s="225"/>
      <c r="IL153" s="225"/>
      <c r="IM153" s="225"/>
      <c r="IN153" s="225"/>
      <c r="IO153" s="225"/>
      <c r="IP153" s="225"/>
      <c r="IQ153" s="225"/>
      <c r="IR153" s="225"/>
      <c r="IS153" s="225"/>
      <c r="IT153" s="225"/>
      <c r="IU153" s="225"/>
      <c r="IV153" s="225"/>
      <c r="IW153" s="225"/>
      <c r="IX153" s="225"/>
      <c r="IY153" s="225" t="s">
        <v>656</v>
      </c>
      <c r="IZ153" s="225"/>
      <c r="JA153" s="225"/>
      <c r="JB153" s="225"/>
      <c r="JC153" s="225" t="s">
        <v>656</v>
      </c>
      <c r="JD153" s="264" t="s">
        <v>4898</v>
      </c>
      <c r="JE153" s="226"/>
      <c r="JF153" s="226"/>
      <c r="JG153" s="226"/>
      <c r="JH153" s="225" t="s">
        <v>4897</v>
      </c>
      <c r="JI153" s="225"/>
      <c r="JJ153" s="225" t="s">
        <v>656</v>
      </c>
      <c r="JK153" s="237"/>
      <c r="JL153" s="225" t="s">
        <v>656</v>
      </c>
      <c r="JM153" s="225" t="s">
        <v>470</v>
      </c>
      <c r="JN153" s="226"/>
      <c r="JO153" s="226"/>
      <c r="JP153" s="226"/>
      <c r="JQ153" s="225" t="s">
        <v>656</v>
      </c>
      <c r="JR153" s="225"/>
      <c r="JS153" s="225"/>
      <c r="JT153" s="225" t="s">
        <v>470</v>
      </c>
      <c r="JU153" s="225"/>
      <c r="JV153" s="260" t="s">
        <v>4896</v>
      </c>
      <c r="JW153" s="225" t="s">
        <v>656</v>
      </c>
      <c r="JX153" s="225" t="s">
        <v>656</v>
      </c>
      <c r="JY153" s="264" t="s">
        <v>4895</v>
      </c>
      <c r="JZ153" s="225" t="s">
        <v>4894</v>
      </c>
      <c r="KA153" s="225"/>
      <c r="KB153" s="260" t="s">
        <v>4893</v>
      </c>
      <c r="KC153" s="225" t="s">
        <v>470</v>
      </c>
      <c r="KD153" s="225" t="s">
        <v>656</v>
      </c>
      <c r="KE153" s="232"/>
      <c r="KF153" s="225"/>
      <c r="KG153" s="225" t="s">
        <v>470</v>
      </c>
      <c r="KH153" s="225" t="s">
        <v>656</v>
      </c>
      <c r="KI153" s="225" t="s">
        <v>470</v>
      </c>
      <c r="KJ153" s="225" t="s">
        <v>4892</v>
      </c>
      <c r="KK153" s="322" t="s">
        <v>656</v>
      </c>
      <c r="KL153" s="225" t="s">
        <v>656</v>
      </c>
      <c r="KM153" s="225" t="s">
        <v>470</v>
      </c>
      <c r="KN153" s="225"/>
      <c r="KO153" s="225"/>
      <c r="KP153" s="225"/>
      <c r="KQ153" s="226"/>
      <c r="KR153" s="226"/>
      <c r="KS153" s="226"/>
      <c r="KT153" s="226"/>
      <c r="KU153" s="226"/>
      <c r="KV153" s="263" t="s">
        <v>4891</v>
      </c>
      <c r="KW153" s="225" t="s">
        <v>4890</v>
      </c>
      <c r="KX153" s="228"/>
      <c r="KY153" s="793"/>
      <c r="KZ153" s="225"/>
      <c r="LA153" s="225"/>
      <c r="LB153" s="225"/>
      <c r="LC153" s="225"/>
      <c r="LD153" s="225"/>
      <c r="LE153" s="225"/>
      <c r="LF153" s="225"/>
      <c r="LG153" s="225"/>
      <c r="LH153" s="225"/>
      <c r="LI153" s="225"/>
      <c r="LJ153" s="225"/>
      <c r="LK153" s="225"/>
      <c r="LL153" s="225"/>
      <c r="LM153" s="226"/>
      <c r="LN153" s="225"/>
      <c r="LO153" s="225"/>
      <c r="LP153" s="225"/>
      <c r="LQ153" s="225" t="s">
        <v>4889</v>
      </c>
      <c r="LR153" s="225" t="s">
        <v>4691</v>
      </c>
      <c r="LS153" s="260" t="s">
        <v>4888</v>
      </c>
      <c r="LT153" s="268" t="s">
        <v>4887</v>
      </c>
      <c r="LU153" s="225"/>
      <c r="LV153" s="225" t="s">
        <v>470</v>
      </c>
      <c r="LW153" s="225"/>
      <c r="LX153" s="225"/>
      <c r="LY153" s="266" t="s">
        <v>470</v>
      </c>
      <c r="LZ153" s="225"/>
      <c r="MA153" s="225"/>
      <c r="MB153" s="225"/>
      <c r="MC153" s="225"/>
      <c r="MD153" s="225" t="s">
        <v>4886</v>
      </c>
      <c r="ME153" s="260" t="s">
        <v>4885</v>
      </c>
      <c r="MF153" s="225"/>
      <c r="MG153" s="226"/>
      <c r="MH153" s="226"/>
      <c r="MI153" s="226"/>
      <c r="MJ153" s="269" t="s">
        <v>4884</v>
      </c>
      <c r="MK153" s="269"/>
      <c r="ML153" s="290" t="s">
        <v>4883</v>
      </c>
      <c r="MM153" s="275" t="s">
        <v>4882</v>
      </c>
      <c r="MN153" s="286" t="s">
        <v>4881</v>
      </c>
      <c r="MO153" s="236"/>
      <c r="MP153" s="286" t="s">
        <v>4880</v>
      </c>
      <c r="MQ153" s="236" t="s">
        <v>656</v>
      </c>
      <c r="MR153" s="271" t="s">
        <v>4879</v>
      </c>
      <c r="MS153" s="274" t="s">
        <v>4879</v>
      </c>
      <c r="MT153" s="235"/>
      <c r="MU153" s="236" t="s">
        <v>4878</v>
      </c>
      <c r="MV153" s="269"/>
      <c r="MW153" s="276" t="s">
        <v>4877</v>
      </c>
      <c r="MX153" s="226"/>
      <c r="MY153" s="226"/>
      <c r="MZ153" s="226"/>
      <c r="NA153" s="226"/>
    </row>
    <row r="154" spans="1:365" ht="409.6" x14ac:dyDescent="0.2">
      <c r="A154" s="1216"/>
      <c r="B154" s="201" t="s">
        <v>4876</v>
      </c>
      <c r="C154" s="202" t="s">
        <v>4875</v>
      </c>
      <c r="D154" s="215" t="s">
        <v>15</v>
      </c>
      <c r="E154" s="224" t="s">
        <v>4874</v>
      </c>
      <c r="F154" s="224" t="s">
        <v>4873</v>
      </c>
      <c r="G154" s="225" t="s">
        <v>4872</v>
      </c>
      <c r="H154" s="225" t="s">
        <v>4871</v>
      </c>
      <c r="I154" s="225" t="s">
        <v>656</v>
      </c>
      <c r="J154" s="225" t="s">
        <v>4870</v>
      </c>
      <c r="K154" s="225" t="s">
        <v>4869</v>
      </c>
      <c r="L154" s="225" t="s">
        <v>4868</v>
      </c>
      <c r="M154" s="225" t="s">
        <v>4868</v>
      </c>
      <c r="N154" s="225" t="s">
        <v>4868</v>
      </c>
      <c r="O154" s="225" t="s">
        <v>4867</v>
      </c>
      <c r="P154" s="400" t="s">
        <v>4866</v>
      </c>
      <c r="Q154" s="264" t="s">
        <v>4865</v>
      </c>
      <c r="R154" s="322" t="s">
        <v>4864</v>
      </c>
      <c r="S154" s="225"/>
      <c r="T154" s="225"/>
      <c r="U154" s="263" t="s">
        <v>4863</v>
      </c>
      <c r="V154" s="225" t="s">
        <v>4862</v>
      </c>
      <c r="W154" s="226"/>
      <c r="X154" s="226"/>
      <c r="Y154" s="226"/>
      <c r="Z154" s="226"/>
      <c r="AA154" s="226"/>
      <c r="AB154" s="226"/>
      <c r="AC154" s="226"/>
      <c r="AD154" s="226"/>
      <c r="AE154" s="226"/>
      <c r="AF154" s="225" t="s">
        <v>4861</v>
      </c>
      <c r="AG154" s="225"/>
      <c r="AH154" s="226"/>
      <c r="AI154" s="225"/>
      <c r="AJ154" s="225" t="s">
        <v>4860</v>
      </c>
      <c r="AK154" s="475" t="s">
        <v>9489</v>
      </c>
      <c r="AL154" s="225"/>
      <c r="AM154" s="226"/>
      <c r="AN154" s="226"/>
      <c r="AO154" s="226"/>
      <c r="AP154" s="226"/>
      <c r="AQ154" s="225"/>
      <c r="AR154" s="225"/>
      <c r="AS154" s="225"/>
      <c r="AT154" s="225" t="s">
        <v>470</v>
      </c>
      <c r="AU154" s="225" t="s">
        <v>4859</v>
      </c>
      <c r="AV154" s="225"/>
      <c r="AW154" s="225"/>
      <c r="AX154" s="225"/>
      <c r="AY154" s="229" t="s">
        <v>9500</v>
      </c>
      <c r="AZ154" s="225" t="s">
        <v>4858</v>
      </c>
      <c r="BA154" s="225"/>
      <c r="BB154" s="225"/>
      <c r="BC154" s="225"/>
      <c r="BD154" s="225" t="s">
        <v>4857</v>
      </c>
      <c r="BE154" s="229"/>
      <c r="BF154" s="225"/>
      <c r="BG154" s="225"/>
      <c r="BH154" s="225" t="s">
        <v>470</v>
      </c>
      <c r="BI154" s="225" t="s">
        <v>656</v>
      </c>
      <c r="BJ154" s="225" t="s">
        <v>4856</v>
      </c>
      <c r="BK154" s="225"/>
      <c r="BL154" s="225"/>
      <c r="BM154" s="233" t="s">
        <v>4855</v>
      </c>
      <c r="BN154" s="226"/>
      <c r="BO154" s="225"/>
      <c r="BP154" s="225"/>
      <c r="BQ154" s="225" t="s">
        <v>4706</v>
      </c>
      <c r="BR154" s="264" t="s">
        <v>4854</v>
      </c>
      <c r="BS154" s="225"/>
      <c r="BT154" s="225" t="s">
        <v>4853</v>
      </c>
      <c r="BU154" s="225"/>
      <c r="BV154" s="225" t="s">
        <v>4852</v>
      </c>
      <c r="BW154" s="225" t="s">
        <v>4851</v>
      </c>
      <c r="BX154" s="225"/>
      <c r="BY154" s="225" t="s">
        <v>4850</v>
      </c>
      <c r="BZ154" s="225"/>
      <c r="CA154" s="225" t="s">
        <v>4849</v>
      </c>
      <c r="CB154" s="225" t="s">
        <v>4849</v>
      </c>
      <c r="CC154" s="225" t="s">
        <v>4848</v>
      </c>
      <c r="CD154" s="229"/>
      <c r="CE154" s="229"/>
      <c r="CF154" s="229"/>
      <c r="CG154" s="430" t="s">
        <v>4847</v>
      </c>
      <c r="CH154" s="229" t="s">
        <v>4846</v>
      </c>
      <c r="CI154" s="229"/>
      <c r="CJ154" s="229"/>
      <c r="CK154" s="229"/>
      <c r="CL154" s="229"/>
      <c r="CM154" s="229" t="s">
        <v>4706</v>
      </c>
      <c r="CN154" s="225"/>
      <c r="CO154" s="225" t="s">
        <v>4845</v>
      </c>
      <c r="CP154" s="225"/>
      <c r="CQ154" s="406" t="s">
        <v>4844</v>
      </c>
      <c r="CR154" s="394" t="s">
        <v>4843</v>
      </c>
      <c r="CS154" s="225"/>
      <c r="CT154" s="225"/>
      <c r="CU154" s="402" t="s">
        <v>4842</v>
      </c>
      <c r="CV154" s="225" t="s">
        <v>4841</v>
      </c>
      <c r="CW154" s="225" t="s">
        <v>4840</v>
      </c>
      <c r="CX154" s="225" t="s">
        <v>4839</v>
      </c>
      <c r="CY154" s="225" t="s">
        <v>4838</v>
      </c>
      <c r="CZ154" s="225"/>
      <c r="DA154" s="225" t="s">
        <v>4837</v>
      </c>
      <c r="DB154" s="225" t="s">
        <v>4836</v>
      </c>
      <c r="DC154" s="225"/>
      <c r="DD154" s="225"/>
      <c r="DE154" s="225"/>
      <c r="DF154" s="225" t="s">
        <v>4835</v>
      </c>
      <c r="DG154" s="225" t="s">
        <v>470</v>
      </c>
      <c r="DH154" s="225"/>
      <c r="DI154" s="225"/>
      <c r="DJ154" s="225" t="s">
        <v>656</v>
      </c>
      <c r="DK154" s="225" t="s">
        <v>4834</v>
      </c>
      <c r="DL154" s="225" t="s">
        <v>470</v>
      </c>
      <c r="DM154" s="225" t="s">
        <v>4833</v>
      </c>
      <c r="DN154" s="225" t="s">
        <v>4832</v>
      </c>
      <c r="DO154" s="225" t="s">
        <v>4831</v>
      </c>
      <c r="DP154" s="225" t="s">
        <v>4830</v>
      </c>
      <c r="DQ154" s="225" t="s">
        <v>4829</v>
      </c>
      <c r="DR154" s="225" t="s">
        <v>4828</v>
      </c>
      <c r="DS154" s="225" t="s">
        <v>4827</v>
      </c>
      <c r="DT154" s="225" t="s">
        <v>4826</v>
      </c>
      <c r="DU154" s="260"/>
      <c r="DV154" s="225"/>
      <c r="DW154" s="246" t="s">
        <v>470</v>
      </c>
      <c r="DX154" s="225" t="s">
        <v>4825</v>
      </c>
      <c r="DY154" s="225" t="s">
        <v>4824</v>
      </c>
      <c r="DZ154" s="225" t="s">
        <v>4823</v>
      </c>
      <c r="EA154" s="225"/>
      <c r="EB154" s="225"/>
      <c r="EC154" s="226"/>
      <c r="ED154" s="225" t="s">
        <v>4822</v>
      </c>
      <c r="EE154" s="225" t="s">
        <v>4821</v>
      </c>
      <c r="EF154" s="225" t="s">
        <v>4820</v>
      </c>
      <c r="EG154" s="226"/>
      <c r="EH154" s="225" t="s">
        <v>470</v>
      </c>
      <c r="EI154" s="225" t="s">
        <v>4819</v>
      </c>
      <c r="EJ154" s="226"/>
      <c r="EK154" s="226"/>
      <c r="EL154" s="226"/>
      <c r="EM154" s="226"/>
      <c r="EN154" s="226"/>
      <c r="EO154" s="226"/>
      <c r="EP154" s="226"/>
      <c r="EQ154" s="226"/>
      <c r="ER154" s="225"/>
      <c r="ES154" s="225"/>
      <c r="ET154" s="225"/>
      <c r="EU154" s="225" t="s">
        <v>470</v>
      </c>
      <c r="EV154" s="225" t="s">
        <v>470</v>
      </c>
      <c r="EW154" s="225"/>
      <c r="EX154" s="225"/>
      <c r="EY154" s="225"/>
      <c r="EZ154" s="229" t="s">
        <v>4818</v>
      </c>
      <c r="FA154" s="225" t="s">
        <v>4817</v>
      </c>
      <c r="FB154" s="225" t="s">
        <v>4816</v>
      </c>
      <c r="FC154" s="225"/>
      <c r="FD154" s="226"/>
      <c r="FE154" s="404" t="s">
        <v>4815</v>
      </c>
      <c r="FF154" s="225" t="s">
        <v>4706</v>
      </c>
      <c r="FG154" s="225" t="s">
        <v>4814</v>
      </c>
      <c r="FH154" s="225" t="s">
        <v>4813</v>
      </c>
      <c r="FI154" s="394" t="s">
        <v>4812</v>
      </c>
      <c r="FJ154" s="394" t="s">
        <v>4811</v>
      </c>
      <c r="FK154" s="394"/>
      <c r="FL154" s="394" t="s">
        <v>4810</v>
      </c>
      <c r="FM154" s="428" t="s">
        <v>4809</v>
      </c>
      <c r="FN154" s="428"/>
      <c r="FO154" s="394" t="s">
        <v>4808</v>
      </c>
      <c r="FP154" s="394"/>
      <c r="FQ154" s="394" t="s">
        <v>470</v>
      </c>
      <c r="FR154" s="394" t="s">
        <v>4807</v>
      </c>
      <c r="FS154" s="394"/>
      <c r="FT154" s="394" t="s">
        <v>4706</v>
      </c>
      <c r="FU154" s="226"/>
      <c r="FV154" s="394"/>
      <c r="FW154" s="266" t="s">
        <v>4806</v>
      </c>
      <c r="FX154" s="225" t="s">
        <v>4805</v>
      </c>
      <c r="FY154" s="226"/>
      <c r="FZ154" s="394"/>
      <c r="GA154" s="394"/>
      <c r="GB154" s="394" t="s">
        <v>470</v>
      </c>
      <c r="GC154" s="394"/>
      <c r="GD154" s="394" t="s">
        <v>4706</v>
      </c>
      <c r="GE154" s="394" t="s">
        <v>4804</v>
      </c>
      <c r="GF154" s="394" t="s">
        <v>4803</v>
      </c>
      <c r="GG154" s="394" t="s">
        <v>4802</v>
      </c>
      <c r="GH154" s="394" t="s">
        <v>4801</v>
      </c>
      <c r="GI154" s="226"/>
      <c r="GJ154" s="394" t="s">
        <v>4800</v>
      </c>
      <c r="GK154" s="394"/>
      <c r="GL154" s="394" t="s">
        <v>4799</v>
      </c>
      <c r="GM154" s="388" t="s">
        <v>4798</v>
      </c>
      <c r="GN154" s="388" t="s">
        <v>4797</v>
      </c>
      <c r="GO154" s="226"/>
      <c r="GP154" s="394"/>
      <c r="GQ154" s="226"/>
      <c r="GR154" s="394" t="s">
        <v>4796</v>
      </c>
      <c r="GS154" s="394" t="s">
        <v>4795</v>
      </c>
      <c r="GT154" s="394"/>
      <c r="GU154" s="394" t="s">
        <v>4706</v>
      </c>
      <c r="GV154" s="394"/>
      <c r="GW154" s="226"/>
      <c r="GX154" s="225" t="s">
        <v>4794</v>
      </c>
      <c r="GY154" s="225" t="s">
        <v>4793</v>
      </c>
      <c r="GZ154" s="394" t="s">
        <v>4792</v>
      </c>
      <c r="HA154" s="225" t="s">
        <v>4791</v>
      </c>
      <c r="HB154" s="225" t="s">
        <v>4790</v>
      </c>
      <c r="HC154" s="225" t="s">
        <v>4789</v>
      </c>
      <c r="HD154" s="225" t="s">
        <v>4788</v>
      </c>
      <c r="HE154" s="225" t="s">
        <v>4787</v>
      </c>
      <c r="HF154" s="226"/>
      <c r="HG154" s="227" t="s">
        <v>4786</v>
      </c>
      <c r="HH154" s="227" t="s">
        <v>4785</v>
      </c>
      <c r="HI154" s="227" t="s">
        <v>656</v>
      </c>
      <c r="HJ154" s="225" t="s">
        <v>4784</v>
      </c>
      <c r="HK154" s="227" t="s">
        <v>4783</v>
      </c>
      <c r="HL154" s="226"/>
      <c r="HM154" s="225"/>
      <c r="HN154" s="226"/>
      <c r="HO154" s="225" t="s">
        <v>4782</v>
      </c>
      <c r="HP154" s="225" t="s">
        <v>4781</v>
      </c>
      <c r="HQ154" s="225"/>
      <c r="HR154" s="225"/>
      <c r="HS154" s="224" t="s">
        <v>4780</v>
      </c>
      <c r="HT154" s="224" t="s">
        <v>4779</v>
      </c>
      <c r="HU154" s="225" t="s">
        <v>470</v>
      </c>
      <c r="HV154" s="225" t="s">
        <v>489</v>
      </c>
      <c r="HW154" s="225" t="s">
        <v>470</v>
      </c>
      <c r="HX154" s="225" t="s">
        <v>2234</v>
      </c>
      <c r="HY154" s="225"/>
      <c r="HZ154" s="228" t="s">
        <v>4778</v>
      </c>
      <c r="IA154" s="225"/>
      <c r="IB154" s="225"/>
      <c r="IC154" s="225" t="s">
        <v>470</v>
      </c>
      <c r="ID154" s="225"/>
      <c r="IE154" s="225"/>
      <c r="IF154" s="225"/>
      <c r="IG154" s="391"/>
      <c r="IH154" s="229"/>
      <c r="II154" s="225"/>
      <c r="IJ154" s="225"/>
      <c r="IK154" s="225"/>
      <c r="IL154" s="225"/>
      <c r="IM154" s="225"/>
      <c r="IN154" s="225"/>
      <c r="IO154" s="225"/>
      <c r="IP154" s="225"/>
      <c r="IQ154" s="225"/>
      <c r="IR154" s="225"/>
      <c r="IS154" s="225"/>
      <c r="IT154" s="225"/>
      <c r="IU154" s="225"/>
      <c r="IV154" s="225"/>
      <c r="IW154" s="225"/>
      <c r="IX154" s="225"/>
      <c r="IY154" s="225" t="s">
        <v>656</v>
      </c>
      <c r="IZ154" s="225"/>
      <c r="JA154" s="225"/>
      <c r="JB154" s="225"/>
      <c r="JC154" s="225" t="s">
        <v>656</v>
      </c>
      <c r="JD154" s="225" t="s">
        <v>4777</v>
      </c>
      <c r="JE154" s="226"/>
      <c r="JF154" s="226"/>
      <c r="JG154" s="226"/>
      <c r="JH154" s="225" t="s">
        <v>4776</v>
      </c>
      <c r="JI154" s="225" t="s">
        <v>4775</v>
      </c>
      <c r="JJ154" s="225" t="s">
        <v>4774</v>
      </c>
      <c r="JK154" s="237" t="s">
        <v>4773</v>
      </c>
      <c r="JL154" s="225" t="s">
        <v>656</v>
      </c>
      <c r="JM154" s="225" t="s">
        <v>4772</v>
      </c>
      <c r="JN154" s="226"/>
      <c r="JO154" s="226"/>
      <c r="JP154" s="226"/>
      <c r="JQ154" s="225" t="s">
        <v>656</v>
      </c>
      <c r="JR154" s="225" t="s">
        <v>4771</v>
      </c>
      <c r="JS154" s="225"/>
      <c r="JT154" s="225" t="s">
        <v>4770</v>
      </c>
      <c r="JU154" s="225"/>
      <c r="JV154" s="225" t="s">
        <v>4769</v>
      </c>
      <c r="JW154" s="225" t="s">
        <v>4768</v>
      </c>
      <c r="JX154" s="225" t="s">
        <v>656</v>
      </c>
      <c r="JY154" s="225" t="s">
        <v>4767</v>
      </c>
      <c r="JZ154" s="225" t="s">
        <v>4766</v>
      </c>
      <c r="KA154" s="225"/>
      <c r="KB154" s="225" t="s">
        <v>4765</v>
      </c>
      <c r="KC154" s="225" t="s">
        <v>4764</v>
      </c>
      <c r="KD154" s="225" t="s">
        <v>656</v>
      </c>
      <c r="KE154" s="232"/>
      <c r="KF154" s="225"/>
      <c r="KG154" s="225" t="s">
        <v>470</v>
      </c>
      <c r="KH154" s="225" t="s">
        <v>656</v>
      </c>
      <c r="KI154" s="225" t="s">
        <v>470</v>
      </c>
      <c r="KJ154" s="225" t="s">
        <v>4763</v>
      </c>
      <c r="KK154" s="322" t="s">
        <v>656</v>
      </c>
      <c r="KL154" s="225" t="s">
        <v>4762</v>
      </c>
      <c r="KM154" s="225" t="s">
        <v>470</v>
      </c>
      <c r="KN154" s="225"/>
      <c r="KO154" s="225"/>
      <c r="KP154" s="225" t="s">
        <v>4761</v>
      </c>
      <c r="KQ154" s="226"/>
      <c r="KR154" s="226"/>
      <c r="KS154" s="226"/>
      <c r="KT154" s="226"/>
      <c r="KU154" s="226"/>
      <c r="KV154" s="225" t="s">
        <v>4760</v>
      </c>
      <c r="KW154" s="225" t="s">
        <v>4759</v>
      </c>
      <c r="KX154" s="228" t="s">
        <v>9171</v>
      </c>
      <c r="KY154" s="793" t="s">
        <v>9289</v>
      </c>
      <c r="KZ154" s="225" t="s">
        <v>9171</v>
      </c>
      <c r="LA154" s="225" t="s">
        <v>9261</v>
      </c>
      <c r="LB154" s="225"/>
      <c r="LC154" s="225" t="s">
        <v>9229</v>
      </c>
      <c r="LD154" s="225" t="s">
        <v>9171</v>
      </c>
      <c r="LE154" s="225"/>
      <c r="LF154" s="225" t="s">
        <v>9171</v>
      </c>
      <c r="LG154" s="225" t="s">
        <v>9184</v>
      </c>
      <c r="LH154" s="225" t="s">
        <v>9171</v>
      </c>
      <c r="LI154" s="225"/>
      <c r="LJ154" s="225" t="s">
        <v>9137</v>
      </c>
      <c r="LK154" s="225" t="s">
        <v>4758</v>
      </c>
      <c r="LL154" s="225"/>
      <c r="LM154" s="226"/>
      <c r="LN154" s="225" t="s">
        <v>4757</v>
      </c>
      <c r="LO154" s="225" t="s">
        <v>4756</v>
      </c>
      <c r="LP154" s="225" t="s">
        <v>4755</v>
      </c>
      <c r="LQ154" s="225" t="s">
        <v>4754</v>
      </c>
      <c r="LR154" s="225" t="s">
        <v>4753</v>
      </c>
      <c r="LS154" s="225" t="s">
        <v>4752</v>
      </c>
      <c r="LT154" s="234" t="s">
        <v>4751</v>
      </c>
      <c r="LU154" s="225"/>
      <c r="LV154" s="225" t="s">
        <v>4750</v>
      </c>
      <c r="LW154" s="225"/>
      <c r="LX154" s="225" t="s">
        <v>4749</v>
      </c>
      <c r="LY154" s="225" t="s">
        <v>4748</v>
      </c>
      <c r="LZ154" s="225" t="s">
        <v>4747</v>
      </c>
      <c r="MA154" s="225" t="s">
        <v>4746</v>
      </c>
      <c r="MB154" s="225"/>
      <c r="MC154" s="225" t="s">
        <v>4745</v>
      </c>
      <c r="MD154" s="225" t="s">
        <v>4744</v>
      </c>
      <c r="ME154" s="225"/>
      <c r="MF154" s="225" t="s">
        <v>4743</v>
      </c>
      <c r="MG154" s="226"/>
      <c r="MH154" s="226"/>
      <c r="MI154" s="226"/>
      <c r="MJ154" s="235" t="s">
        <v>9535</v>
      </c>
      <c r="MK154" s="235"/>
      <c r="ML154" s="235" t="s">
        <v>4742</v>
      </c>
      <c r="MM154" s="235" t="s">
        <v>4741</v>
      </c>
      <c r="MN154" s="271" t="s">
        <v>9538</v>
      </c>
      <c r="MO154" s="236" t="s">
        <v>4740</v>
      </c>
      <c r="MP154" s="236" t="s">
        <v>4739</v>
      </c>
      <c r="MQ154" s="236" t="s">
        <v>4738</v>
      </c>
      <c r="MR154" s="271" t="s">
        <v>4737</v>
      </c>
      <c r="MS154" s="236" t="s">
        <v>4736</v>
      </c>
      <c r="MT154" s="235" t="s">
        <v>4735</v>
      </c>
      <c r="MU154" s="236" t="s">
        <v>4734</v>
      </c>
      <c r="MV154" s="235" t="s">
        <v>4733</v>
      </c>
      <c r="MW154" s="235" t="s">
        <v>4732</v>
      </c>
      <c r="MX154" s="226"/>
      <c r="MY154" s="226"/>
      <c r="MZ154" s="226"/>
      <c r="NA154" s="226"/>
    </row>
    <row r="155" spans="1:365" ht="409.6" x14ac:dyDescent="0.2">
      <c r="A155" s="1216"/>
      <c r="B155" s="201" t="s">
        <v>4731</v>
      </c>
      <c r="C155" s="202" t="s">
        <v>271</v>
      </c>
      <c r="D155" s="215" t="s">
        <v>15</v>
      </c>
      <c r="E155" s="224" t="s">
        <v>4730</v>
      </c>
      <c r="F155" s="224" t="s">
        <v>4729</v>
      </c>
      <c r="G155" s="225" t="s">
        <v>4728</v>
      </c>
      <c r="H155" s="225" t="s">
        <v>656</v>
      </c>
      <c r="I155" s="225" t="s">
        <v>656</v>
      </c>
      <c r="J155" s="225" t="s">
        <v>4728</v>
      </c>
      <c r="K155" s="225" t="s">
        <v>1924</v>
      </c>
      <c r="L155" s="225" t="s">
        <v>1924</v>
      </c>
      <c r="M155" s="225" t="s">
        <v>1924</v>
      </c>
      <c r="N155" s="225" t="s">
        <v>1924</v>
      </c>
      <c r="O155" s="225" t="s">
        <v>1924</v>
      </c>
      <c r="P155" s="400" t="s">
        <v>1924</v>
      </c>
      <c r="Q155" s="225" t="s">
        <v>470</v>
      </c>
      <c r="R155" s="322"/>
      <c r="S155" s="225"/>
      <c r="T155" s="225"/>
      <c r="U155" s="225"/>
      <c r="V155" s="225" t="s">
        <v>4727</v>
      </c>
      <c r="W155" s="226"/>
      <c r="X155" s="226"/>
      <c r="Y155" s="226"/>
      <c r="Z155" s="226"/>
      <c r="AA155" s="226"/>
      <c r="AB155" s="226"/>
      <c r="AC155" s="226"/>
      <c r="AD155" s="226"/>
      <c r="AE155" s="226"/>
      <c r="AF155" s="225" t="s">
        <v>568</v>
      </c>
      <c r="AG155" s="225"/>
      <c r="AH155" s="226"/>
      <c r="AI155" s="225"/>
      <c r="AJ155" s="225" t="s">
        <v>4726</v>
      </c>
      <c r="AK155" s="424" t="s">
        <v>9488</v>
      </c>
      <c r="AL155" s="225"/>
      <c r="AM155" s="226"/>
      <c r="AN155" s="226"/>
      <c r="AO155" s="226"/>
      <c r="AP155" s="226"/>
      <c r="AQ155" s="225"/>
      <c r="AR155" s="225"/>
      <c r="AS155" s="225"/>
      <c r="AT155" s="225" t="s">
        <v>470</v>
      </c>
      <c r="AU155" s="225" t="s">
        <v>656</v>
      </c>
      <c r="AV155" s="225"/>
      <c r="AW155" s="225"/>
      <c r="AX155" s="225"/>
      <c r="AY155" s="229" t="s">
        <v>2234</v>
      </c>
      <c r="AZ155" s="225"/>
      <c r="BA155" s="225"/>
      <c r="BB155" s="225"/>
      <c r="BC155" s="225"/>
      <c r="BD155" s="225"/>
      <c r="BE155" s="229"/>
      <c r="BF155" s="225"/>
      <c r="BG155" s="225"/>
      <c r="BH155" s="225" t="s">
        <v>470</v>
      </c>
      <c r="BI155" s="225" t="s">
        <v>656</v>
      </c>
      <c r="BJ155" s="225"/>
      <c r="BK155" s="225"/>
      <c r="BL155" s="225"/>
      <c r="BM155" s="225"/>
      <c r="BN155" s="226"/>
      <c r="BO155" s="225"/>
      <c r="BP155" s="225"/>
      <c r="BQ155" s="225"/>
      <c r="BR155" s="233" t="s">
        <v>15</v>
      </c>
      <c r="BS155" s="225" t="s">
        <v>656</v>
      </c>
      <c r="BT155" s="225"/>
      <c r="BU155" s="225"/>
      <c r="BV155" s="225"/>
      <c r="BW155" s="225" t="s">
        <v>4725</v>
      </c>
      <c r="BX155" s="225"/>
      <c r="BY155" s="225"/>
      <c r="BZ155" s="225"/>
      <c r="CA155" s="225"/>
      <c r="CB155" s="225"/>
      <c r="CC155" s="225"/>
      <c r="CD155" s="229"/>
      <c r="CE155" s="229"/>
      <c r="CF155" s="229"/>
      <c r="CG155" s="229" t="s">
        <v>4724</v>
      </c>
      <c r="CH155" s="229" t="s">
        <v>4723</v>
      </c>
      <c r="CI155" s="229"/>
      <c r="CJ155" s="229"/>
      <c r="CK155" s="229"/>
      <c r="CL155" s="229"/>
      <c r="CM155" s="229"/>
      <c r="CN155" s="225"/>
      <c r="CO155" s="225"/>
      <c r="CP155" s="225"/>
      <c r="CQ155" s="406"/>
      <c r="CR155" s="394"/>
      <c r="CS155" s="225"/>
      <c r="CT155" s="225"/>
      <c r="CU155" s="225"/>
      <c r="CV155" s="225" t="s">
        <v>4722</v>
      </c>
      <c r="CW155" s="225" t="s">
        <v>656</v>
      </c>
      <c r="CX155" s="225" t="s">
        <v>470</v>
      </c>
      <c r="CY155" s="225"/>
      <c r="CZ155" s="225"/>
      <c r="DA155" s="260" t="s">
        <v>4721</v>
      </c>
      <c r="DB155" s="225"/>
      <c r="DC155" s="225"/>
      <c r="DD155" s="225"/>
      <c r="DE155" s="225" t="s">
        <v>4720</v>
      </c>
      <c r="DF155" s="225" t="s">
        <v>4719</v>
      </c>
      <c r="DG155" s="225" t="s">
        <v>470</v>
      </c>
      <c r="DH155" s="225"/>
      <c r="DI155" s="225"/>
      <c r="DJ155" s="225" t="s">
        <v>656</v>
      </c>
      <c r="DK155" s="225"/>
      <c r="DL155" s="225" t="s">
        <v>470</v>
      </c>
      <c r="DM155" s="225" t="s">
        <v>4718</v>
      </c>
      <c r="DN155" s="225" t="s">
        <v>4717</v>
      </c>
      <c r="DO155" s="225"/>
      <c r="DP155" s="225" t="s">
        <v>470</v>
      </c>
      <c r="DQ155" s="225" t="s">
        <v>470</v>
      </c>
      <c r="DR155" s="225" t="s">
        <v>470</v>
      </c>
      <c r="DS155" s="225" t="s">
        <v>470</v>
      </c>
      <c r="DT155" s="225" t="s">
        <v>470</v>
      </c>
      <c r="DU155" s="225" t="s">
        <v>470</v>
      </c>
      <c r="DV155" s="225"/>
      <c r="DW155" s="246" t="s">
        <v>470</v>
      </c>
      <c r="DX155" s="225"/>
      <c r="DY155" s="225"/>
      <c r="DZ155" s="225" t="s">
        <v>470</v>
      </c>
      <c r="EA155" s="225"/>
      <c r="EB155" s="225"/>
      <c r="EC155" s="226"/>
      <c r="ED155" s="263" t="s">
        <v>4716</v>
      </c>
      <c r="EE155" s="225" t="s">
        <v>656</v>
      </c>
      <c r="EF155" s="263"/>
      <c r="EG155" s="226"/>
      <c r="EH155" s="225" t="s">
        <v>470</v>
      </c>
      <c r="EI155" s="225" t="s">
        <v>656</v>
      </c>
      <c r="EJ155" s="226"/>
      <c r="EK155" s="226"/>
      <c r="EL155" s="226"/>
      <c r="EM155" s="226"/>
      <c r="EN155" s="226"/>
      <c r="EO155" s="226"/>
      <c r="EP155" s="226"/>
      <c r="EQ155" s="226"/>
      <c r="ER155" s="225" t="s">
        <v>4715</v>
      </c>
      <c r="ES155" s="225"/>
      <c r="ET155" s="225"/>
      <c r="EU155" s="225" t="s">
        <v>470</v>
      </c>
      <c r="EV155" s="225" t="s">
        <v>470</v>
      </c>
      <c r="EW155" s="225"/>
      <c r="EX155" s="225"/>
      <c r="EY155" s="225"/>
      <c r="EZ155" s="229"/>
      <c r="FA155" s="264" t="s">
        <v>4714</v>
      </c>
      <c r="FB155" s="225"/>
      <c r="FC155" s="225"/>
      <c r="FD155" s="226"/>
      <c r="FE155" s="404"/>
      <c r="FF155" s="225" t="s">
        <v>470</v>
      </c>
      <c r="FG155" s="225" t="s">
        <v>470</v>
      </c>
      <c r="FH155" s="225" t="s">
        <v>4713</v>
      </c>
      <c r="FI155" s="394" t="s">
        <v>4712</v>
      </c>
      <c r="FJ155" s="394" t="s">
        <v>656</v>
      </c>
      <c r="FK155" s="394"/>
      <c r="FL155" s="394" t="s">
        <v>656</v>
      </c>
      <c r="FM155" s="225"/>
      <c r="FN155" s="225"/>
      <c r="FO155" s="394"/>
      <c r="FP155" s="394"/>
      <c r="FQ155" s="394" t="s">
        <v>470</v>
      </c>
      <c r="FR155" s="394"/>
      <c r="FS155" s="394"/>
      <c r="FT155" s="394"/>
      <c r="FU155" s="226"/>
      <c r="FV155" s="394"/>
      <c r="FW155" s="260" t="s">
        <v>4711</v>
      </c>
      <c r="FX155" s="225" t="s">
        <v>470</v>
      </c>
      <c r="FY155" s="226"/>
      <c r="FZ155" s="394"/>
      <c r="GA155" s="394"/>
      <c r="GB155" s="394" t="s">
        <v>470</v>
      </c>
      <c r="GC155" s="394"/>
      <c r="GD155" s="388" t="s">
        <v>4710</v>
      </c>
      <c r="GE155" s="394" t="s">
        <v>470</v>
      </c>
      <c r="GF155" s="394" t="s">
        <v>470</v>
      </c>
      <c r="GG155" s="394" t="s">
        <v>4709</v>
      </c>
      <c r="GH155" s="394" t="s">
        <v>4708</v>
      </c>
      <c r="GI155" s="226"/>
      <c r="GJ155" s="388" t="s">
        <v>4707</v>
      </c>
      <c r="GK155" s="394"/>
      <c r="GL155" s="394"/>
      <c r="GM155" s="394"/>
      <c r="GN155" s="394"/>
      <c r="GO155" s="226"/>
      <c r="GP155" s="394"/>
      <c r="GQ155" s="226"/>
      <c r="GR155" s="394" t="s">
        <v>470</v>
      </c>
      <c r="GS155" s="394" t="s">
        <v>470</v>
      </c>
      <c r="GT155" s="394"/>
      <c r="GU155" s="394" t="s">
        <v>4706</v>
      </c>
      <c r="GV155" s="394"/>
      <c r="GW155" s="226"/>
      <c r="GX155" s="225" t="s">
        <v>470</v>
      </c>
      <c r="GY155" s="225" t="s">
        <v>470</v>
      </c>
      <c r="GZ155" s="394"/>
      <c r="HA155" s="225"/>
      <c r="HB155" s="225" t="s">
        <v>470</v>
      </c>
      <c r="HC155" s="225" t="s">
        <v>470</v>
      </c>
      <c r="HD155" s="225" t="s">
        <v>4705</v>
      </c>
      <c r="HE155" s="225"/>
      <c r="HF155" s="226"/>
      <c r="HG155" s="227" t="s">
        <v>4704</v>
      </c>
      <c r="HH155" s="261" t="s">
        <v>4703</v>
      </c>
      <c r="HI155" s="227" t="s">
        <v>656</v>
      </c>
      <c r="HJ155" s="225" t="s">
        <v>4702</v>
      </c>
      <c r="HK155" s="261" t="s">
        <v>4701</v>
      </c>
      <c r="HL155" s="226"/>
      <c r="HM155" s="225"/>
      <c r="HN155" s="226"/>
      <c r="HO155" s="225" t="s">
        <v>470</v>
      </c>
      <c r="HP155" s="225" t="s">
        <v>539</v>
      </c>
      <c r="HQ155" s="225"/>
      <c r="HR155" s="225"/>
      <c r="HS155" s="225"/>
      <c r="HT155" s="294" t="s">
        <v>470</v>
      </c>
      <c r="HU155" s="225" t="s">
        <v>470</v>
      </c>
      <c r="HV155" s="225"/>
      <c r="HW155" s="225" t="s">
        <v>470</v>
      </c>
      <c r="HX155" s="225" t="s">
        <v>2234</v>
      </c>
      <c r="HY155" s="225"/>
      <c r="HZ155" s="225" t="s">
        <v>656</v>
      </c>
      <c r="IA155" s="225"/>
      <c r="IB155" s="225" t="s">
        <v>470</v>
      </c>
      <c r="IC155" s="225" t="s">
        <v>470</v>
      </c>
      <c r="ID155" s="225"/>
      <c r="IE155" s="225"/>
      <c r="IF155" s="225"/>
      <c r="IG155" s="225"/>
      <c r="IH155" s="229"/>
      <c r="II155" s="225"/>
      <c r="IJ155" s="225"/>
      <c r="IK155" s="225"/>
      <c r="IL155" s="225"/>
      <c r="IM155" s="225"/>
      <c r="IN155" s="225"/>
      <c r="IO155" s="225"/>
      <c r="IP155" s="225"/>
      <c r="IQ155" s="225"/>
      <c r="IR155" s="225"/>
      <c r="IS155" s="225"/>
      <c r="IT155" s="225"/>
      <c r="IU155" s="225"/>
      <c r="IV155" s="225"/>
      <c r="IW155" s="225"/>
      <c r="IX155" s="225"/>
      <c r="IY155" s="225" t="s">
        <v>656</v>
      </c>
      <c r="IZ155" s="225"/>
      <c r="JA155" s="225"/>
      <c r="JB155" s="225"/>
      <c r="JC155" s="225" t="s">
        <v>656</v>
      </c>
      <c r="JD155" s="225" t="s">
        <v>656</v>
      </c>
      <c r="JE155" s="226"/>
      <c r="JF155" s="226"/>
      <c r="JG155" s="226"/>
      <c r="JH155" s="225"/>
      <c r="JI155" s="225"/>
      <c r="JJ155" s="225" t="s">
        <v>656</v>
      </c>
      <c r="JK155" s="237"/>
      <c r="JL155" s="225" t="s">
        <v>656</v>
      </c>
      <c r="JM155" s="225" t="s">
        <v>470</v>
      </c>
      <c r="JN155" s="226"/>
      <c r="JO155" s="226"/>
      <c r="JP155" s="226"/>
      <c r="JQ155" s="225" t="s">
        <v>656</v>
      </c>
      <c r="JR155" s="225"/>
      <c r="JS155" s="225" t="s">
        <v>470</v>
      </c>
      <c r="JT155" s="225" t="s">
        <v>470</v>
      </c>
      <c r="JU155" s="225"/>
      <c r="JV155" s="225" t="s">
        <v>4700</v>
      </c>
      <c r="JW155" s="225" t="s">
        <v>656</v>
      </c>
      <c r="JX155" s="225" t="s">
        <v>656</v>
      </c>
      <c r="JY155" s="225" t="s">
        <v>4699</v>
      </c>
      <c r="JZ155" s="225" t="s">
        <v>4698</v>
      </c>
      <c r="KA155" s="225"/>
      <c r="KB155" s="225" t="s">
        <v>4697</v>
      </c>
      <c r="KC155" s="225" t="s">
        <v>4696</v>
      </c>
      <c r="KD155" s="225" t="s">
        <v>656</v>
      </c>
      <c r="KE155" s="232"/>
      <c r="KF155" s="225"/>
      <c r="KG155" s="225" t="s">
        <v>470</v>
      </c>
      <c r="KH155" s="225" t="s">
        <v>656</v>
      </c>
      <c r="KI155" s="225" t="s">
        <v>470</v>
      </c>
      <c r="KJ155" s="260" t="s">
        <v>4695</v>
      </c>
      <c r="KK155" s="322" t="s">
        <v>656</v>
      </c>
      <c r="KL155" s="225" t="s">
        <v>4694</v>
      </c>
      <c r="KM155" s="225" t="s">
        <v>470</v>
      </c>
      <c r="KN155" s="225"/>
      <c r="KO155" s="225"/>
      <c r="KP155" s="225"/>
      <c r="KQ155" s="226"/>
      <c r="KR155" s="226"/>
      <c r="KS155" s="226"/>
      <c r="KT155" s="226"/>
      <c r="KU155" s="226"/>
      <c r="KV155" s="225" t="s">
        <v>656</v>
      </c>
      <c r="KW155" s="225"/>
      <c r="KX155" s="228"/>
      <c r="KY155" s="793"/>
      <c r="KZ155" s="225"/>
      <c r="LA155" s="225"/>
      <c r="LB155" s="225"/>
      <c r="LC155" s="225"/>
      <c r="LD155" s="225"/>
      <c r="LE155" s="225"/>
      <c r="LF155" s="225"/>
      <c r="LG155" s="225"/>
      <c r="LH155" s="225"/>
      <c r="LI155" s="225"/>
      <c r="LJ155" s="225"/>
      <c r="LK155" s="225"/>
      <c r="LL155" s="225"/>
      <c r="LM155" s="226"/>
      <c r="LN155" s="225" t="s">
        <v>4693</v>
      </c>
      <c r="LO155" s="225"/>
      <c r="LP155" s="225" t="s">
        <v>4692</v>
      </c>
      <c r="LQ155" s="225" t="s">
        <v>470</v>
      </c>
      <c r="LR155" s="225" t="s">
        <v>4691</v>
      </c>
      <c r="LS155" s="225" t="s">
        <v>4690</v>
      </c>
      <c r="LT155" s="234"/>
      <c r="LU155" s="225"/>
      <c r="LV155" s="225" t="s">
        <v>470</v>
      </c>
      <c r="LW155" s="225"/>
      <c r="LX155" s="225" t="s">
        <v>4689</v>
      </c>
      <c r="LY155" s="225" t="s">
        <v>470</v>
      </c>
      <c r="LZ155" s="225"/>
      <c r="MA155" s="225" t="s">
        <v>4688</v>
      </c>
      <c r="MB155" s="225"/>
      <c r="MC155" s="225"/>
      <c r="MD155" s="225" t="s">
        <v>4687</v>
      </c>
      <c r="ME155" s="225"/>
      <c r="MF155" s="225" t="s">
        <v>4686</v>
      </c>
      <c r="MG155" s="226"/>
      <c r="MH155" s="226"/>
      <c r="MI155" s="226"/>
      <c r="MJ155" s="235" t="s">
        <v>4685</v>
      </c>
      <c r="MK155" s="235"/>
      <c r="ML155" s="290" t="s">
        <v>4684</v>
      </c>
      <c r="MM155" s="235" t="s">
        <v>4683</v>
      </c>
      <c r="MN155" s="236"/>
      <c r="MO155" s="236" t="s">
        <v>4682</v>
      </c>
      <c r="MP155" s="236" t="s">
        <v>4681</v>
      </c>
      <c r="MQ155" s="236" t="s">
        <v>4680</v>
      </c>
      <c r="MR155" s="271" t="s">
        <v>4679</v>
      </c>
      <c r="MS155" s="236"/>
      <c r="MT155" s="269" t="s">
        <v>4678</v>
      </c>
      <c r="MU155" s="236" t="s">
        <v>4677</v>
      </c>
      <c r="MV155" s="235"/>
      <c r="MW155" s="235" t="s">
        <v>4676</v>
      </c>
      <c r="MX155" s="226"/>
      <c r="MY155" s="226"/>
      <c r="MZ155" s="226"/>
      <c r="NA155" s="226"/>
    </row>
    <row r="156" spans="1:365" ht="409.6" x14ac:dyDescent="0.2">
      <c r="A156" s="1216" t="s">
        <v>273</v>
      </c>
      <c r="B156" s="201" t="s">
        <v>274</v>
      </c>
      <c r="C156" s="202" t="s">
        <v>4675</v>
      </c>
      <c r="D156" s="215" t="s">
        <v>15</v>
      </c>
      <c r="E156" s="225" t="s">
        <v>470</v>
      </c>
      <c r="F156" s="225" t="s">
        <v>470</v>
      </c>
      <c r="G156" s="225" t="s">
        <v>4674</v>
      </c>
      <c r="H156" s="225" t="s">
        <v>656</v>
      </c>
      <c r="I156" s="225" t="s">
        <v>656</v>
      </c>
      <c r="J156" s="225" t="s">
        <v>4673</v>
      </c>
      <c r="K156" s="225" t="s">
        <v>4672</v>
      </c>
      <c r="L156" s="225" t="s">
        <v>4671</v>
      </c>
      <c r="M156" s="225" t="s">
        <v>4670</v>
      </c>
      <c r="N156" s="225" t="s">
        <v>4669</v>
      </c>
      <c r="O156" s="225" t="s">
        <v>470</v>
      </c>
      <c r="P156" s="400" t="s">
        <v>1750</v>
      </c>
      <c r="Q156" s="225" t="s">
        <v>4668</v>
      </c>
      <c r="R156" s="322" t="s">
        <v>470</v>
      </c>
      <c r="S156" s="225"/>
      <c r="T156" s="225"/>
      <c r="U156" s="225"/>
      <c r="V156" s="225" t="s">
        <v>4667</v>
      </c>
      <c r="W156" s="226"/>
      <c r="X156" s="226"/>
      <c r="Y156" s="226"/>
      <c r="Z156" s="226"/>
      <c r="AA156" s="226"/>
      <c r="AB156" s="226"/>
      <c r="AC156" s="226"/>
      <c r="AD156" s="226"/>
      <c r="AE156" s="226"/>
      <c r="AF156" s="225" t="s">
        <v>1447</v>
      </c>
      <c r="AG156" s="225"/>
      <c r="AH156" s="226"/>
      <c r="AI156" s="225" t="s">
        <v>961</v>
      </c>
      <c r="AJ156" s="225" t="s">
        <v>470</v>
      </c>
      <c r="AK156" s="229" t="s">
        <v>4666</v>
      </c>
      <c r="AL156" s="225"/>
      <c r="AM156" s="226"/>
      <c r="AN156" s="226"/>
      <c r="AO156" s="226"/>
      <c r="AP156" s="226"/>
      <c r="AQ156" s="225" t="s">
        <v>4665</v>
      </c>
      <c r="AR156" s="225" t="s">
        <v>4664</v>
      </c>
      <c r="AS156" s="225" t="s">
        <v>4663</v>
      </c>
      <c r="AT156" s="225" t="s">
        <v>470</v>
      </c>
      <c r="AU156" s="225" t="s">
        <v>656</v>
      </c>
      <c r="AV156" s="225"/>
      <c r="AW156" s="225" t="s">
        <v>470</v>
      </c>
      <c r="AX156" s="225"/>
      <c r="AY156" s="229" t="s">
        <v>2234</v>
      </c>
      <c r="AZ156" s="225" t="s">
        <v>1750</v>
      </c>
      <c r="BA156" s="225" t="s">
        <v>4662</v>
      </c>
      <c r="BB156" s="225" t="s">
        <v>470</v>
      </c>
      <c r="BC156" s="225"/>
      <c r="BD156" s="225" t="s">
        <v>470</v>
      </c>
      <c r="BE156" s="229" t="s">
        <v>470</v>
      </c>
      <c r="BF156" s="225" t="s">
        <v>873</v>
      </c>
      <c r="BG156" s="225"/>
      <c r="BH156" s="225" t="s">
        <v>470</v>
      </c>
      <c r="BI156" s="225" t="s">
        <v>656</v>
      </c>
      <c r="BJ156" s="225"/>
      <c r="BK156" s="225" t="s">
        <v>4661</v>
      </c>
      <c r="BL156" s="225"/>
      <c r="BM156" s="225"/>
      <c r="BN156" s="226"/>
      <c r="BO156" s="225"/>
      <c r="BP156" s="225"/>
      <c r="BQ156" s="225" t="s">
        <v>4660</v>
      </c>
      <c r="BR156" s="233" t="s">
        <v>4659</v>
      </c>
      <c r="BS156" s="225" t="s">
        <v>656</v>
      </c>
      <c r="BT156" s="225"/>
      <c r="BU156" s="225"/>
      <c r="BV156" s="225"/>
      <c r="BW156" s="225" t="s">
        <v>1750</v>
      </c>
      <c r="BX156" s="225"/>
      <c r="BY156" s="225"/>
      <c r="BZ156" s="225" t="s">
        <v>470</v>
      </c>
      <c r="CA156" s="225"/>
      <c r="CB156" s="225"/>
      <c r="CC156" s="225" t="s">
        <v>4658</v>
      </c>
      <c r="CD156" s="229" t="s">
        <v>4657</v>
      </c>
      <c r="CE156" s="229"/>
      <c r="CF156" s="229"/>
      <c r="CG156" s="229" t="s">
        <v>1750</v>
      </c>
      <c r="CH156" s="229"/>
      <c r="CI156" s="229"/>
      <c r="CJ156" s="229"/>
      <c r="CK156" s="229"/>
      <c r="CL156" s="229"/>
      <c r="CM156" s="229" t="s">
        <v>470</v>
      </c>
      <c r="CN156" s="225"/>
      <c r="CO156" s="225" t="s">
        <v>470</v>
      </c>
      <c r="CP156" s="225" t="s">
        <v>470</v>
      </c>
      <c r="CQ156" s="406" t="s">
        <v>4656</v>
      </c>
      <c r="CR156" s="394" t="s">
        <v>4655</v>
      </c>
      <c r="CS156" s="225"/>
      <c r="CT156" s="225"/>
      <c r="CU156" s="402" t="s">
        <v>470</v>
      </c>
      <c r="CV156" s="225"/>
      <c r="CW156" s="225" t="s">
        <v>656</v>
      </c>
      <c r="CX156" s="225" t="s">
        <v>470</v>
      </c>
      <c r="CY156" s="225" t="s">
        <v>470</v>
      </c>
      <c r="CZ156" s="225" t="s">
        <v>4654</v>
      </c>
      <c r="DA156" s="225" t="s">
        <v>4653</v>
      </c>
      <c r="DB156" s="225" t="s">
        <v>4652</v>
      </c>
      <c r="DC156" s="225" t="s">
        <v>4651</v>
      </c>
      <c r="DD156" s="225"/>
      <c r="DE156" s="225" t="s">
        <v>4650</v>
      </c>
      <c r="DF156" s="225" t="s">
        <v>470</v>
      </c>
      <c r="DG156" s="225" t="s">
        <v>4649</v>
      </c>
      <c r="DH156" s="225"/>
      <c r="DI156" s="225"/>
      <c r="DJ156" s="225" t="s">
        <v>4648</v>
      </c>
      <c r="DK156" s="225"/>
      <c r="DL156" s="225" t="s">
        <v>470</v>
      </c>
      <c r="DM156" s="225"/>
      <c r="DN156" s="225" t="s">
        <v>4647</v>
      </c>
      <c r="DO156" s="225"/>
      <c r="DP156" s="225" t="s">
        <v>470</v>
      </c>
      <c r="DQ156" s="225" t="s">
        <v>470</v>
      </c>
      <c r="DR156" s="225" t="s">
        <v>470</v>
      </c>
      <c r="DS156" s="225" t="s">
        <v>470</v>
      </c>
      <c r="DT156" s="225" t="s">
        <v>470</v>
      </c>
      <c r="DU156" s="225" t="s">
        <v>470</v>
      </c>
      <c r="DV156" s="225"/>
      <c r="DW156" s="246" t="s">
        <v>470</v>
      </c>
      <c r="DX156" s="225"/>
      <c r="DY156" s="225" t="s">
        <v>539</v>
      </c>
      <c r="DZ156" s="225" t="s">
        <v>470</v>
      </c>
      <c r="EA156" s="225"/>
      <c r="EB156" s="225"/>
      <c r="EC156" s="226"/>
      <c r="ED156" s="225" t="s">
        <v>4646</v>
      </c>
      <c r="EE156" s="225" t="s">
        <v>4645</v>
      </c>
      <c r="EF156" s="225"/>
      <c r="EG156" s="226"/>
      <c r="EH156" s="225" t="s">
        <v>4644</v>
      </c>
      <c r="EI156" s="225" t="s">
        <v>1750</v>
      </c>
      <c r="EJ156" s="226"/>
      <c r="EK156" s="226"/>
      <c r="EL156" s="226"/>
      <c r="EM156" s="226"/>
      <c r="EN156" s="226"/>
      <c r="EO156" s="226"/>
      <c r="EP156" s="226"/>
      <c r="EQ156" s="226"/>
      <c r="ER156" s="225" t="s">
        <v>4643</v>
      </c>
      <c r="ES156" s="225" t="s">
        <v>470</v>
      </c>
      <c r="ET156" s="225"/>
      <c r="EU156" s="225" t="s">
        <v>470</v>
      </c>
      <c r="EV156" s="225" t="s">
        <v>470</v>
      </c>
      <c r="EW156" s="225"/>
      <c r="EX156" s="225"/>
      <c r="EY156" s="225" t="s">
        <v>4642</v>
      </c>
      <c r="EZ156" s="229" t="s">
        <v>4641</v>
      </c>
      <c r="FA156" s="225" t="s">
        <v>4640</v>
      </c>
      <c r="FB156" s="225"/>
      <c r="FC156" s="225" t="s">
        <v>4639</v>
      </c>
      <c r="FD156" s="226"/>
      <c r="FE156" s="404"/>
      <c r="FF156" s="225" t="s">
        <v>470</v>
      </c>
      <c r="FG156" s="225" t="s">
        <v>470</v>
      </c>
      <c r="FH156" s="225" t="s">
        <v>656</v>
      </c>
      <c r="FI156" s="394" t="s">
        <v>4638</v>
      </c>
      <c r="FJ156" s="394" t="s">
        <v>4637</v>
      </c>
      <c r="FK156" s="394"/>
      <c r="FL156" s="394" t="s">
        <v>4637</v>
      </c>
      <c r="FM156" s="225" t="s">
        <v>4636</v>
      </c>
      <c r="FN156" s="225"/>
      <c r="FO156" s="394"/>
      <c r="FP156" s="394"/>
      <c r="FQ156" s="394" t="s">
        <v>470</v>
      </c>
      <c r="FR156" s="394" t="s">
        <v>4635</v>
      </c>
      <c r="FS156" s="394"/>
      <c r="FT156" s="394"/>
      <c r="FU156" s="226"/>
      <c r="FV156" s="394" t="s">
        <v>4599</v>
      </c>
      <c r="FW156" s="225" t="s">
        <v>4610</v>
      </c>
      <c r="FX156" s="225" t="s">
        <v>4610</v>
      </c>
      <c r="FY156" s="226"/>
      <c r="FZ156" s="394" t="s">
        <v>4599</v>
      </c>
      <c r="GA156" s="394"/>
      <c r="GB156" s="394" t="s">
        <v>3421</v>
      </c>
      <c r="GC156" s="394"/>
      <c r="GD156" s="394" t="s">
        <v>4634</v>
      </c>
      <c r="GE156" s="394" t="s">
        <v>470</v>
      </c>
      <c r="GF156" s="394" t="s">
        <v>470</v>
      </c>
      <c r="GG156" s="394" t="s">
        <v>4633</v>
      </c>
      <c r="GH156" s="394" t="s">
        <v>4632</v>
      </c>
      <c r="GI156" s="226"/>
      <c r="GJ156" s="394" t="s">
        <v>4631</v>
      </c>
      <c r="GK156" s="394" t="s">
        <v>4630</v>
      </c>
      <c r="GL156" s="394" t="s">
        <v>4629</v>
      </c>
      <c r="GM156" s="394" t="s">
        <v>4628</v>
      </c>
      <c r="GN156" s="394" t="s">
        <v>4628</v>
      </c>
      <c r="GO156" s="226"/>
      <c r="GP156" s="394">
        <v>0</v>
      </c>
      <c r="GQ156" s="226"/>
      <c r="GR156" s="394" t="s">
        <v>4627</v>
      </c>
      <c r="GS156" s="394" t="s">
        <v>4626</v>
      </c>
      <c r="GT156" s="394"/>
      <c r="GU156" s="394" t="s">
        <v>4625</v>
      </c>
      <c r="GV156" s="394"/>
      <c r="GW156" s="226"/>
      <c r="GX156" s="225" t="s">
        <v>4624</v>
      </c>
      <c r="GY156" s="225" t="s">
        <v>4624</v>
      </c>
      <c r="GZ156" s="394" t="s">
        <v>4623</v>
      </c>
      <c r="HA156" s="225"/>
      <c r="HB156" s="225"/>
      <c r="HC156" s="225" t="s">
        <v>4622</v>
      </c>
      <c r="HD156" s="225" t="s">
        <v>4621</v>
      </c>
      <c r="HE156" s="225"/>
      <c r="HF156" s="226"/>
      <c r="HG156" s="227" t="s">
        <v>4620</v>
      </c>
      <c r="HH156" s="227" t="s">
        <v>4619</v>
      </c>
      <c r="HI156" s="227" t="s">
        <v>656</v>
      </c>
      <c r="HJ156" s="225" t="s">
        <v>656</v>
      </c>
      <c r="HK156" s="227" t="s">
        <v>4618</v>
      </c>
      <c r="HL156" s="226"/>
      <c r="HM156" s="225"/>
      <c r="HN156" s="226"/>
      <c r="HO156" s="225" t="s">
        <v>4617</v>
      </c>
      <c r="HP156" s="225" t="s">
        <v>4616</v>
      </c>
      <c r="HQ156" s="225" t="s">
        <v>873</v>
      </c>
      <c r="HR156" s="225" t="s">
        <v>873</v>
      </c>
      <c r="HS156" s="225" t="s">
        <v>470</v>
      </c>
      <c r="HT156" s="294" t="s">
        <v>470</v>
      </c>
      <c r="HU156" s="225" t="s">
        <v>470</v>
      </c>
      <c r="HV156" s="225" t="s">
        <v>4615</v>
      </c>
      <c r="HW156" s="225" t="s">
        <v>470</v>
      </c>
      <c r="HX156" s="225" t="s">
        <v>2234</v>
      </c>
      <c r="HY156" s="225" t="s">
        <v>4614</v>
      </c>
      <c r="HZ156" s="228" t="s">
        <v>656</v>
      </c>
      <c r="IA156" s="225"/>
      <c r="IB156" s="225" t="s">
        <v>470</v>
      </c>
      <c r="IC156" s="225" t="s">
        <v>470</v>
      </c>
      <c r="ID156" s="225"/>
      <c r="IE156" s="225"/>
      <c r="IF156" s="225"/>
      <c r="IG156" s="260"/>
      <c r="IH156" s="229"/>
      <c r="II156" s="225"/>
      <c r="IJ156" s="225"/>
      <c r="IK156" s="225"/>
      <c r="IL156" s="225"/>
      <c r="IM156" s="225"/>
      <c r="IN156" s="225"/>
      <c r="IO156" s="225"/>
      <c r="IP156" s="225"/>
      <c r="IQ156" s="225"/>
      <c r="IR156" s="225"/>
      <c r="IS156" s="225"/>
      <c r="IT156" s="225"/>
      <c r="IU156" s="225"/>
      <c r="IV156" s="225"/>
      <c r="IW156" s="225"/>
      <c r="IX156" s="225"/>
      <c r="IY156" s="225" t="s">
        <v>656</v>
      </c>
      <c r="IZ156" s="225"/>
      <c r="JA156" s="225"/>
      <c r="JB156" s="225"/>
      <c r="JC156" s="225" t="s">
        <v>4613</v>
      </c>
      <c r="JD156" s="225" t="s">
        <v>4612</v>
      </c>
      <c r="JE156" s="226"/>
      <c r="JF156" s="226"/>
      <c r="JG156" s="226"/>
      <c r="JH156" s="225" t="s">
        <v>470</v>
      </c>
      <c r="JI156" s="225" t="s">
        <v>4611</v>
      </c>
      <c r="JJ156" s="225" t="s">
        <v>4610</v>
      </c>
      <c r="JK156" s="237" t="s">
        <v>470</v>
      </c>
      <c r="JL156" s="225" t="s">
        <v>656</v>
      </c>
      <c r="JM156" s="392" t="s">
        <v>4609</v>
      </c>
      <c r="JN156" s="226"/>
      <c r="JO156" s="226"/>
      <c r="JP156" s="226"/>
      <c r="JQ156" s="225" t="s">
        <v>4608</v>
      </c>
      <c r="JR156" s="225" t="s">
        <v>4607</v>
      </c>
      <c r="JS156" s="225"/>
      <c r="JT156" s="225" t="s">
        <v>4606</v>
      </c>
      <c r="JU156" s="225"/>
      <c r="JV156" s="225" t="s">
        <v>4605</v>
      </c>
      <c r="JW156" s="225" t="s">
        <v>656</v>
      </c>
      <c r="JX156" s="225" t="s">
        <v>4604</v>
      </c>
      <c r="JY156" s="225" t="s">
        <v>4603</v>
      </c>
      <c r="JZ156" s="225" t="s">
        <v>4602</v>
      </c>
      <c r="KA156" s="225" t="s">
        <v>4601</v>
      </c>
      <c r="KB156" s="225" t="s">
        <v>4600</v>
      </c>
      <c r="KC156" s="225" t="s">
        <v>4599</v>
      </c>
      <c r="KD156" s="225" t="s">
        <v>656</v>
      </c>
      <c r="KE156" s="232"/>
      <c r="KF156" s="225" t="s">
        <v>4598</v>
      </c>
      <c r="KG156" s="225" t="s">
        <v>4597</v>
      </c>
      <c r="KH156" s="225" t="s">
        <v>656</v>
      </c>
      <c r="KI156" s="225" t="s">
        <v>470</v>
      </c>
      <c r="KJ156" s="225" t="s">
        <v>4596</v>
      </c>
      <c r="KK156" s="322" t="s">
        <v>656</v>
      </c>
      <c r="KL156" s="225" t="s">
        <v>4595</v>
      </c>
      <c r="KM156" s="225" t="s">
        <v>470</v>
      </c>
      <c r="KN156" s="225" t="s">
        <v>4594</v>
      </c>
      <c r="KO156" s="225" t="s">
        <v>4593</v>
      </c>
      <c r="KP156" s="225" t="s">
        <v>470</v>
      </c>
      <c r="KQ156" s="226"/>
      <c r="KR156" s="226"/>
      <c r="KS156" s="226"/>
      <c r="KT156" s="226"/>
      <c r="KU156" s="226"/>
      <c r="KV156" s="225" t="s">
        <v>4592</v>
      </c>
      <c r="KW156" s="225" t="s">
        <v>2683</v>
      </c>
      <c r="KX156" s="228" t="s">
        <v>1750</v>
      </c>
      <c r="KY156" s="793" t="s">
        <v>9290</v>
      </c>
      <c r="KZ156" s="225" t="s">
        <v>1750</v>
      </c>
      <c r="LA156" s="225" t="s">
        <v>9262</v>
      </c>
      <c r="LB156" s="225" t="s">
        <v>9244</v>
      </c>
      <c r="LC156" s="225" t="s">
        <v>470</v>
      </c>
      <c r="LD156" s="225" t="s">
        <v>1750</v>
      </c>
      <c r="LE156" s="225" t="s">
        <v>873</v>
      </c>
      <c r="LF156" s="225" t="s">
        <v>1750</v>
      </c>
      <c r="LG156" s="225" t="s">
        <v>1750</v>
      </c>
      <c r="LH156" s="225" t="s">
        <v>1750</v>
      </c>
      <c r="LI156" s="224" t="s">
        <v>9154</v>
      </c>
      <c r="LJ156" s="225" t="s">
        <v>9138</v>
      </c>
      <c r="LK156" s="233" t="s">
        <v>4591</v>
      </c>
      <c r="LL156" s="225"/>
      <c r="LM156" s="226"/>
      <c r="LN156" s="225" t="s">
        <v>3385</v>
      </c>
      <c r="LO156" s="225" t="s">
        <v>3385</v>
      </c>
      <c r="LP156" s="225" t="s">
        <v>4590</v>
      </c>
      <c r="LQ156" s="225" t="s">
        <v>4589</v>
      </c>
      <c r="LR156" s="225" t="s">
        <v>4583</v>
      </c>
      <c r="LS156" s="225" t="s">
        <v>4588</v>
      </c>
      <c r="LT156" s="234" t="s">
        <v>4587</v>
      </c>
      <c r="LU156" s="225" t="s">
        <v>4586</v>
      </c>
      <c r="LV156" s="225" t="s">
        <v>4583</v>
      </c>
      <c r="LW156" s="225" t="s">
        <v>4583</v>
      </c>
      <c r="LX156" s="225" t="s">
        <v>4583</v>
      </c>
      <c r="LY156" s="225" t="s">
        <v>4583</v>
      </c>
      <c r="LZ156" s="225" t="s">
        <v>4583</v>
      </c>
      <c r="MA156" s="225" t="s">
        <v>4583</v>
      </c>
      <c r="MB156" s="225" t="s">
        <v>4583</v>
      </c>
      <c r="MC156" s="225" t="s">
        <v>4585</v>
      </c>
      <c r="MD156" s="225" t="s">
        <v>4584</v>
      </c>
      <c r="ME156" s="225" t="s">
        <v>4583</v>
      </c>
      <c r="MF156" s="225" t="s">
        <v>4583</v>
      </c>
      <c r="MG156" s="226"/>
      <c r="MH156" s="226"/>
      <c r="MI156" s="226"/>
      <c r="MJ156" s="235" t="s">
        <v>4582</v>
      </c>
      <c r="MK156" s="235"/>
      <c r="ML156" s="235" t="s">
        <v>4581</v>
      </c>
      <c r="MM156" s="235" t="s">
        <v>470</v>
      </c>
      <c r="MN156" s="236"/>
      <c r="MO156" s="236" t="s">
        <v>470</v>
      </c>
      <c r="MP156" s="236" t="s">
        <v>4580</v>
      </c>
      <c r="MQ156" s="236"/>
      <c r="MR156" s="236" t="s">
        <v>4579</v>
      </c>
      <c r="MS156" s="236"/>
      <c r="MT156" s="269" t="s">
        <v>4578</v>
      </c>
      <c r="MU156" s="236"/>
      <c r="MV156" s="235"/>
      <c r="MW156" s="235"/>
      <c r="MX156" s="226"/>
      <c r="MY156" s="226"/>
      <c r="MZ156" s="226"/>
      <c r="NA156" s="226"/>
    </row>
    <row r="157" spans="1:365" ht="221" x14ac:dyDescent="0.2">
      <c r="A157" s="1216"/>
      <c r="B157" s="201" t="s">
        <v>276</v>
      </c>
      <c r="C157" s="202" t="s">
        <v>277</v>
      </c>
      <c r="D157" s="215" t="s">
        <v>117</v>
      </c>
      <c r="E157" s="225"/>
      <c r="F157" s="225"/>
      <c r="G157" s="225">
        <v>1</v>
      </c>
      <c r="H157" s="225" t="s">
        <v>656</v>
      </c>
      <c r="I157" s="225" t="s">
        <v>656</v>
      </c>
      <c r="J157" s="225">
        <v>6</v>
      </c>
      <c r="K157" s="225">
        <v>3</v>
      </c>
      <c r="L157" s="225">
        <v>1</v>
      </c>
      <c r="M157" s="225">
        <v>2</v>
      </c>
      <c r="N157" s="225">
        <v>2</v>
      </c>
      <c r="O157" s="225">
        <v>0</v>
      </c>
      <c r="P157" s="400">
        <v>0</v>
      </c>
      <c r="Q157" s="225">
        <v>1</v>
      </c>
      <c r="R157" s="322"/>
      <c r="S157" s="225"/>
      <c r="T157" s="225"/>
      <c r="U157" s="225"/>
      <c r="V157" s="225" t="s">
        <v>4577</v>
      </c>
      <c r="W157" s="226"/>
      <c r="X157" s="226"/>
      <c r="Y157" s="226"/>
      <c r="Z157" s="226"/>
      <c r="AA157" s="226"/>
      <c r="AB157" s="226"/>
      <c r="AC157" s="226"/>
      <c r="AD157" s="226"/>
      <c r="AE157" s="226"/>
      <c r="AF157" s="225">
        <v>1</v>
      </c>
      <c r="AG157" s="225"/>
      <c r="AH157" s="226"/>
      <c r="AI157" s="225"/>
      <c r="AJ157" s="225" t="s">
        <v>470</v>
      </c>
      <c r="AK157" s="229">
        <v>2</v>
      </c>
      <c r="AL157" s="225"/>
      <c r="AM157" s="226"/>
      <c r="AN157" s="226"/>
      <c r="AO157" s="226"/>
      <c r="AP157" s="226"/>
      <c r="AQ157" s="225">
        <v>0</v>
      </c>
      <c r="AR157" s="225">
        <v>15</v>
      </c>
      <c r="AS157" s="225">
        <v>18</v>
      </c>
      <c r="AT157" s="225" t="s">
        <v>470</v>
      </c>
      <c r="AU157" s="225" t="s">
        <v>656</v>
      </c>
      <c r="AV157" s="225"/>
      <c r="AW157" s="225"/>
      <c r="AX157" s="225"/>
      <c r="AY157" s="229" t="s">
        <v>2234</v>
      </c>
      <c r="AZ157" s="225">
        <v>0</v>
      </c>
      <c r="BA157" s="225">
        <v>5</v>
      </c>
      <c r="BB157" s="225"/>
      <c r="BC157" s="225"/>
      <c r="BD157" s="225"/>
      <c r="BE157" s="229"/>
      <c r="BF157" s="225"/>
      <c r="BG157" s="225"/>
      <c r="BH157" s="225" t="s">
        <v>470</v>
      </c>
      <c r="BI157" s="225" t="s">
        <v>656</v>
      </c>
      <c r="BJ157" s="225"/>
      <c r="BK157" s="225">
        <v>1</v>
      </c>
      <c r="BL157" s="225"/>
      <c r="BM157" s="225"/>
      <c r="BN157" s="226"/>
      <c r="BO157" s="225"/>
      <c r="BP157" s="225"/>
      <c r="BQ157" s="225">
        <v>1</v>
      </c>
      <c r="BR157" s="233">
        <v>2</v>
      </c>
      <c r="BS157" s="225" t="s">
        <v>656</v>
      </c>
      <c r="BT157" s="225"/>
      <c r="BU157" s="225"/>
      <c r="BV157" s="225"/>
      <c r="BW157" s="225">
        <v>0</v>
      </c>
      <c r="BX157" s="225"/>
      <c r="BY157" s="225"/>
      <c r="BZ157" s="225">
        <v>0</v>
      </c>
      <c r="CA157" s="225"/>
      <c r="CB157" s="225"/>
      <c r="CC157" s="225">
        <v>3</v>
      </c>
      <c r="CD157" s="229">
        <v>2</v>
      </c>
      <c r="CE157" s="229"/>
      <c r="CF157" s="229"/>
      <c r="CG157" s="229">
        <v>0</v>
      </c>
      <c r="CH157" s="229"/>
      <c r="CI157" s="229"/>
      <c r="CJ157" s="229">
        <v>0</v>
      </c>
      <c r="CK157" s="229"/>
      <c r="CL157" s="229">
        <v>0</v>
      </c>
      <c r="CM157" s="229"/>
      <c r="CN157" s="225"/>
      <c r="CO157" s="225"/>
      <c r="CP157" s="225"/>
      <c r="CQ157" s="406">
        <v>2</v>
      </c>
      <c r="CR157" s="394">
        <v>53</v>
      </c>
      <c r="CS157" s="225"/>
      <c r="CT157" s="225"/>
      <c r="CU157" s="402">
        <v>0</v>
      </c>
      <c r="CV157" s="225"/>
      <c r="CW157" s="225" t="s">
        <v>656</v>
      </c>
      <c r="CX157" s="225">
        <v>0</v>
      </c>
      <c r="CY157" s="225">
        <v>0</v>
      </c>
      <c r="CZ157" s="225">
        <v>1</v>
      </c>
      <c r="DA157" s="225">
        <v>36</v>
      </c>
      <c r="DB157" s="225">
        <v>1</v>
      </c>
      <c r="DC157" s="225">
        <v>1</v>
      </c>
      <c r="DD157" s="225"/>
      <c r="DE157" s="225">
        <v>2</v>
      </c>
      <c r="DF157" s="225">
        <v>0</v>
      </c>
      <c r="DG157" s="225">
        <v>1</v>
      </c>
      <c r="DH157" s="225"/>
      <c r="DI157" s="225"/>
      <c r="DJ157" s="225">
        <v>1</v>
      </c>
      <c r="DK157" s="225"/>
      <c r="DL157" s="225"/>
      <c r="DM157" s="225"/>
      <c r="DN157" s="225">
        <v>5</v>
      </c>
      <c r="DO157" s="225"/>
      <c r="DP157" s="225">
        <v>0</v>
      </c>
      <c r="DQ157" s="225">
        <v>0</v>
      </c>
      <c r="DR157" s="225">
        <v>0</v>
      </c>
      <c r="DS157" s="225">
        <v>0</v>
      </c>
      <c r="DT157" s="225">
        <v>0</v>
      </c>
      <c r="DU157" s="225" t="s">
        <v>470</v>
      </c>
      <c r="DV157" s="225">
        <v>1</v>
      </c>
      <c r="DW157" s="246" t="s">
        <v>2234</v>
      </c>
      <c r="DX157" s="225"/>
      <c r="DY157" s="225"/>
      <c r="DZ157" s="225">
        <v>0</v>
      </c>
      <c r="EA157" s="225"/>
      <c r="EB157" s="225"/>
      <c r="EC157" s="226"/>
      <c r="ED157" s="225">
        <v>16</v>
      </c>
      <c r="EE157" s="225">
        <v>3</v>
      </c>
      <c r="EF157" s="417"/>
      <c r="EG157" s="226"/>
      <c r="EH157" s="225">
        <v>1</v>
      </c>
      <c r="EI157" s="225" t="s">
        <v>656</v>
      </c>
      <c r="EJ157" s="226"/>
      <c r="EK157" s="226"/>
      <c r="EL157" s="226"/>
      <c r="EM157" s="226"/>
      <c r="EN157" s="226"/>
      <c r="EO157" s="226"/>
      <c r="EP157" s="226"/>
      <c r="EQ157" s="226"/>
      <c r="ER157" s="225">
        <v>4</v>
      </c>
      <c r="ES157" s="225"/>
      <c r="ET157" s="225"/>
      <c r="EU157" s="225"/>
      <c r="EV157" s="225"/>
      <c r="EW157" s="225"/>
      <c r="EX157" s="225"/>
      <c r="EY157" s="225">
        <v>450</v>
      </c>
      <c r="EZ157" s="229">
        <v>1</v>
      </c>
      <c r="FA157" s="225">
        <v>4</v>
      </c>
      <c r="FB157" s="225">
        <v>157</v>
      </c>
      <c r="FC157" s="225">
        <v>1</v>
      </c>
      <c r="FD157" s="226"/>
      <c r="FE157" s="404"/>
      <c r="FF157" s="225" t="s">
        <v>470</v>
      </c>
      <c r="FG157" s="225" t="s">
        <v>470</v>
      </c>
      <c r="FH157" s="225" t="s">
        <v>656</v>
      </c>
      <c r="FI157" s="394">
        <v>6</v>
      </c>
      <c r="FJ157" s="394">
        <v>4</v>
      </c>
      <c r="FK157" s="394"/>
      <c r="FL157" s="394">
        <v>5</v>
      </c>
      <c r="FM157" s="225">
        <v>1</v>
      </c>
      <c r="FN157" s="225"/>
      <c r="FO157" s="394"/>
      <c r="FP157" s="394"/>
      <c r="FQ157" s="394" t="s">
        <v>470</v>
      </c>
      <c r="FR157" s="394">
        <v>1</v>
      </c>
      <c r="FS157" s="394"/>
      <c r="FT157" s="394"/>
      <c r="FU157" s="226"/>
      <c r="FV157" s="394">
        <v>2</v>
      </c>
      <c r="FW157" s="225">
        <v>0</v>
      </c>
      <c r="FX157" s="225">
        <v>0</v>
      </c>
      <c r="FY157" s="226"/>
      <c r="FZ157" s="394">
        <v>1</v>
      </c>
      <c r="GA157" s="394"/>
      <c r="GB157" s="394">
        <v>0</v>
      </c>
      <c r="GC157" s="394"/>
      <c r="GD157" s="394">
        <v>1</v>
      </c>
      <c r="GE157" s="394"/>
      <c r="GF157" s="394"/>
      <c r="GG157" s="394">
        <v>4</v>
      </c>
      <c r="GH157" s="394">
        <v>1</v>
      </c>
      <c r="GI157" s="226"/>
      <c r="GJ157" s="394">
        <v>2</v>
      </c>
      <c r="GK157" s="394">
        <v>1</v>
      </c>
      <c r="GL157" s="394"/>
      <c r="GM157" s="394">
        <v>2</v>
      </c>
      <c r="GN157" s="394">
        <v>1</v>
      </c>
      <c r="GO157" s="226"/>
      <c r="GP157" s="394">
        <v>0</v>
      </c>
      <c r="GQ157" s="226"/>
      <c r="GR157" s="394">
        <v>2</v>
      </c>
      <c r="GS157" s="394">
        <v>2</v>
      </c>
      <c r="GT157" s="394"/>
      <c r="GU157" s="394">
        <v>7</v>
      </c>
      <c r="GV157" s="394"/>
      <c r="GW157" s="226"/>
      <c r="GX157" s="225">
        <v>2</v>
      </c>
      <c r="GY157" s="225">
        <v>2</v>
      </c>
      <c r="GZ157" s="394">
        <v>3</v>
      </c>
      <c r="HA157" s="225"/>
      <c r="HB157" s="225"/>
      <c r="HC157" s="225">
        <v>2</v>
      </c>
      <c r="HD157" s="225">
        <v>5</v>
      </c>
      <c r="HE157" s="225"/>
      <c r="HF157" s="226"/>
      <c r="HG157" s="227" t="s">
        <v>656</v>
      </c>
      <c r="HH157" s="227">
        <v>8</v>
      </c>
      <c r="HI157" s="227" t="s">
        <v>656</v>
      </c>
      <c r="HJ157" s="225" t="s">
        <v>656</v>
      </c>
      <c r="HK157" s="227">
        <v>2</v>
      </c>
      <c r="HL157" s="226"/>
      <c r="HM157" s="225"/>
      <c r="HN157" s="226"/>
      <c r="HO157" s="225">
        <v>5</v>
      </c>
      <c r="HP157" s="225">
        <v>32</v>
      </c>
      <c r="HQ157" s="225"/>
      <c r="HR157" s="225"/>
      <c r="HS157" s="225"/>
      <c r="HT157" s="225"/>
      <c r="HU157" s="225"/>
      <c r="HV157" s="225">
        <v>2</v>
      </c>
      <c r="HW157" s="225" t="s">
        <v>470</v>
      </c>
      <c r="HX157" s="225" t="s">
        <v>2234</v>
      </c>
      <c r="HY157" s="225">
        <v>2</v>
      </c>
      <c r="HZ157" s="228" t="s">
        <v>656</v>
      </c>
      <c r="IA157" s="225"/>
      <c r="IB157" s="225" t="s">
        <v>470</v>
      </c>
      <c r="IC157" s="225" t="s">
        <v>470</v>
      </c>
      <c r="ID157" s="225"/>
      <c r="IE157" s="225"/>
      <c r="IF157" s="225"/>
      <c r="IG157" s="225"/>
      <c r="IH157" s="229"/>
      <c r="II157" s="225"/>
      <c r="IJ157" s="225"/>
      <c r="IK157" s="225"/>
      <c r="IL157" s="225"/>
      <c r="IM157" s="225"/>
      <c r="IN157" s="225"/>
      <c r="IO157" s="225"/>
      <c r="IP157" s="225"/>
      <c r="IQ157" s="225"/>
      <c r="IR157" s="225"/>
      <c r="IS157" s="225"/>
      <c r="IT157" s="225"/>
      <c r="IU157" s="225"/>
      <c r="IV157" s="225"/>
      <c r="IW157" s="225"/>
      <c r="IX157" s="225">
        <v>0</v>
      </c>
      <c r="IY157" s="225" t="s">
        <v>656</v>
      </c>
      <c r="IZ157" s="225"/>
      <c r="JA157" s="225"/>
      <c r="JB157" s="225"/>
      <c r="JC157" s="225">
        <v>3</v>
      </c>
      <c r="JD157" s="225">
        <v>2</v>
      </c>
      <c r="JE157" s="226"/>
      <c r="JF157" s="226"/>
      <c r="JG157" s="226"/>
      <c r="JH157" s="225"/>
      <c r="JI157" s="225">
        <v>4</v>
      </c>
      <c r="JJ157" s="225" t="s">
        <v>656</v>
      </c>
      <c r="JK157" s="237"/>
      <c r="JL157" s="225" t="s">
        <v>656</v>
      </c>
      <c r="JM157" s="225">
        <v>3</v>
      </c>
      <c r="JN157" s="226"/>
      <c r="JO157" s="226"/>
      <c r="JP157" s="226"/>
      <c r="JQ157" s="225">
        <v>4</v>
      </c>
      <c r="JR157" s="225">
        <v>2</v>
      </c>
      <c r="JS157" s="225"/>
      <c r="JT157" s="225">
        <v>15</v>
      </c>
      <c r="JU157" s="225"/>
      <c r="JV157" s="225">
        <v>8</v>
      </c>
      <c r="JW157" s="225" t="s">
        <v>656</v>
      </c>
      <c r="JX157" s="225">
        <v>17</v>
      </c>
      <c r="JY157" s="225">
        <v>4</v>
      </c>
      <c r="JZ157" s="225">
        <v>8</v>
      </c>
      <c r="KA157" s="225">
        <v>1</v>
      </c>
      <c r="KB157" s="225">
        <v>16</v>
      </c>
      <c r="KC157" s="225">
        <v>1</v>
      </c>
      <c r="KD157" s="225" t="s">
        <v>656</v>
      </c>
      <c r="KE157" s="232"/>
      <c r="KF157" s="225">
        <v>1</v>
      </c>
      <c r="KG157" s="225">
        <v>10</v>
      </c>
      <c r="KH157" s="225" t="s">
        <v>656</v>
      </c>
      <c r="KI157" s="225" t="s">
        <v>470</v>
      </c>
      <c r="KJ157" s="225" t="s">
        <v>4576</v>
      </c>
      <c r="KK157" s="322" t="s">
        <v>656</v>
      </c>
      <c r="KL157" s="225">
        <v>8</v>
      </c>
      <c r="KM157" s="225" t="s">
        <v>470</v>
      </c>
      <c r="KN157" s="225">
        <v>7</v>
      </c>
      <c r="KO157" s="225">
        <v>8</v>
      </c>
      <c r="KP157" s="225">
        <v>0</v>
      </c>
      <c r="KQ157" s="226"/>
      <c r="KR157" s="226"/>
      <c r="KS157" s="226"/>
      <c r="KT157" s="226"/>
      <c r="KU157" s="226"/>
      <c r="KV157" s="225">
        <v>2</v>
      </c>
      <c r="KW157" s="225"/>
      <c r="KX157" s="228"/>
      <c r="KY157" s="793"/>
      <c r="KZ157" s="225"/>
      <c r="LA157" s="225">
        <v>2</v>
      </c>
      <c r="LB157" s="225">
        <v>1</v>
      </c>
      <c r="LC157" s="225"/>
      <c r="LD157" s="225"/>
      <c r="LE157" s="225"/>
      <c r="LF157" s="225"/>
      <c r="LG157" s="225"/>
      <c r="LH157" s="225"/>
      <c r="LI157" s="224">
        <v>1</v>
      </c>
      <c r="LJ157" s="225">
        <v>19</v>
      </c>
      <c r="LK157" s="225">
        <v>5</v>
      </c>
      <c r="LL157" s="225"/>
      <c r="LM157" s="226"/>
      <c r="LN157" s="225">
        <v>2</v>
      </c>
      <c r="LO157" s="225">
        <v>2</v>
      </c>
      <c r="LP157" s="225">
        <v>15</v>
      </c>
      <c r="LQ157" s="225">
        <v>2</v>
      </c>
      <c r="LR157" s="225">
        <v>2</v>
      </c>
      <c r="LS157" s="225">
        <v>6</v>
      </c>
      <c r="LT157" s="389">
        <v>15</v>
      </c>
      <c r="LU157" s="322" t="e">
        <v>#REF!</v>
      </c>
      <c r="LV157" s="225">
        <v>2</v>
      </c>
      <c r="LW157" s="225">
        <v>2</v>
      </c>
      <c r="LX157" s="225">
        <v>2</v>
      </c>
      <c r="LY157" s="225">
        <v>2</v>
      </c>
      <c r="LZ157" s="225">
        <v>2</v>
      </c>
      <c r="MA157" s="225">
        <v>2</v>
      </c>
      <c r="MB157" s="225">
        <v>2</v>
      </c>
      <c r="MC157" s="225">
        <v>10</v>
      </c>
      <c r="MD157" s="225">
        <v>1</v>
      </c>
      <c r="ME157" s="225">
        <v>2</v>
      </c>
      <c r="MF157" s="225">
        <v>2</v>
      </c>
      <c r="MG157" s="226"/>
      <c r="MH157" s="226"/>
      <c r="MI157" s="226"/>
      <c r="MJ157" s="235">
        <v>1</v>
      </c>
      <c r="MK157" s="235"/>
      <c r="ML157" s="235">
        <v>28</v>
      </c>
      <c r="MM157" s="235"/>
      <c r="MN157" s="236"/>
      <c r="MO157" s="236"/>
      <c r="MP157" s="236">
        <v>4</v>
      </c>
      <c r="MQ157" s="236"/>
      <c r="MR157" s="236">
        <v>1</v>
      </c>
      <c r="MS157" s="236"/>
      <c r="MT157" s="235" t="s">
        <v>4575</v>
      </c>
      <c r="MU157" s="236"/>
      <c r="MV157" s="235"/>
      <c r="MW157" s="235"/>
      <c r="MX157" s="226"/>
      <c r="MY157" s="226"/>
      <c r="MZ157" s="226"/>
      <c r="NA157" s="226"/>
    </row>
    <row r="158" spans="1:365" ht="187" x14ac:dyDescent="0.2">
      <c r="A158" s="1216"/>
      <c r="B158" s="201" t="s">
        <v>278</v>
      </c>
      <c r="C158" s="202" t="s">
        <v>279</v>
      </c>
      <c r="D158" s="215" t="s">
        <v>117</v>
      </c>
      <c r="E158" s="225"/>
      <c r="F158" s="225"/>
      <c r="G158" s="225">
        <v>10</v>
      </c>
      <c r="H158" s="225" t="s">
        <v>656</v>
      </c>
      <c r="I158" s="225" t="s">
        <v>656</v>
      </c>
      <c r="J158" s="225">
        <v>77</v>
      </c>
      <c r="K158" s="225">
        <v>56</v>
      </c>
      <c r="L158" s="225">
        <v>94</v>
      </c>
      <c r="M158" s="225">
        <v>48</v>
      </c>
      <c r="N158" s="225">
        <v>12</v>
      </c>
      <c r="O158" s="225">
        <v>0</v>
      </c>
      <c r="P158" s="400">
        <v>0</v>
      </c>
      <c r="Q158" s="225">
        <v>150</v>
      </c>
      <c r="R158" s="322"/>
      <c r="S158" s="225"/>
      <c r="T158" s="225"/>
      <c r="U158" s="225"/>
      <c r="V158" s="225" t="s">
        <v>4574</v>
      </c>
      <c r="W158" s="226"/>
      <c r="X158" s="226"/>
      <c r="Y158" s="226"/>
      <c r="Z158" s="226"/>
      <c r="AA158" s="226"/>
      <c r="AB158" s="226"/>
      <c r="AC158" s="226"/>
      <c r="AD158" s="226"/>
      <c r="AE158" s="226"/>
      <c r="AF158" s="225">
        <v>42</v>
      </c>
      <c r="AG158" s="225"/>
      <c r="AH158" s="226"/>
      <c r="AI158" s="225"/>
      <c r="AJ158" s="225"/>
      <c r="AK158" s="229">
        <v>40</v>
      </c>
      <c r="AL158" s="225"/>
      <c r="AM158" s="226"/>
      <c r="AN158" s="226"/>
      <c r="AO158" s="226"/>
      <c r="AP158" s="226"/>
      <c r="AQ158" s="225">
        <v>0</v>
      </c>
      <c r="AR158" s="225">
        <v>105</v>
      </c>
      <c r="AS158" s="225">
        <v>66</v>
      </c>
      <c r="AT158" s="225" t="s">
        <v>470</v>
      </c>
      <c r="AU158" s="225" t="s">
        <v>656</v>
      </c>
      <c r="AV158" s="225"/>
      <c r="AW158" s="225"/>
      <c r="AX158" s="225"/>
      <c r="AY158" s="229" t="s">
        <v>2234</v>
      </c>
      <c r="AZ158" s="225">
        <v>0</v>
      </c>
      <c r="BA158" s="225">
        <v>126</v>
      </c>
      <c r="BB158" s="225"/>
      <c r="BC158" s="225"/>
      <c r="BD158" s="225"/>
      <c r="BE158" s="229"/>
      <c r="BF158" s="225"/>
      <c r="BG158" s="225"/>
      <c r="BH158" s="225" t="s">
        <v>470</v>
      </c>
      <c r="BI158" s="225" t="s">
        <v>656</v>
      </c>
      <c r="BJ158" s="225"/>
      <c r="BK158" s="225">
        <v>45</v>
      </c>
      <c r="BL158" s="225"/>
      <c r="BM158" s="225"/>
      <c r="BN158" s="226"/>
      <c r="BO158" s="225"/>
      <c r="BP158" s="225"/>
      <c r="BQ158" s="225">
        <v>23</v>
      </c>
      <c r="BR158" s="233">
        <v>12</v>
      </c>
      <c r="BS158" s="225" t="s">
        <v>656</v>
      </c>
      <c r="BT158" s="225"/>
      <c r="BU158" s="225"/>
      <c r="BV158" s="225"/>
      <c r="BW158" s="225">
        <v>0</v>
      </c>
      <c r="BX158" s="225"/>
      <c r="BY158" s="225"/>
      <c r="BZ158" s="225">
        <v>0</v>
      </c>
      <c r="CA158" s="225"/>
      <c r="CB158" s="225"/>
      <c r="CC158" s="225">
        <v>5</v>
      </c>
      <c r="CD158" s="229">
        <v>20</v>
      </c>
      <c r="CE158" s="229"/>
      <c r="CF158" s="229"/>
      <c r="CG158" s="229">
        <v>0</v>
      </c>
      <c r="CH158" s="229"/>
      <c r="CI158" s="229"/>
      <c r="CJ158" s="229">
        <v>0</v>
      </c>
      <c r="CK158" s="229"/>
      <c r="CL158" s="229">
        <v>0</v>
      </c>
      <c r="CM158" s="229"/>
      <c r="CN158" s="225"/>
      <c r="CO158" s="225"/>
      <c r="CP158" s="225"/>
      <c r="CQ158" s="406">
        <v>25</v>
      </c>
      <c r="CR158" s="394">
        <v>1244</v>
      </c>
      <c r="CS158" s="225"/>
      <c r="CT158" s="225"/>
      <c r="CU158" s="402">
        <v>0</v>
      </c>
      <c r="CV158" s="225"/>
      <c r="CW158" s="225" t="s">
        <v>656</v>
      </c>
      <c r="CX158" s="225">
        <v>0</v>
      </c>
      <c r="CY158" s="225">
        <v>0</v>
      </c>
      <c r="CZ158" s="225">
        <v>7</v>
      </c>
      <c r="DA158" s="225">
        <v>8120</v>
      </c>
      <c r="DB158" s="225">
        <v>30</v>
      </c>
      <c r="DC158" s="225">
        <v>2</v>
      </c>
      <c r="DD158" s="225"/>
      <c r="DE158" s="225">
        <v>32</v>
      </c>
      <c r="DF158" s="225">
        <v>0</v>
      </c>
      <c r="DG158" s="225">
        <v>24</v>
      </c>
      <c r="DH158" s="225"/>
      <c r="DI158" s="225"/>
      <c r="DJ158" s="225">
        <v>20</v>
      </c>
      <c r="DK158" s="225"/>
      <c r="DL158" s="225"/>
      <c r="DM158" s="225"/>
      <c r="DN158" s="225">
        <v>20</v>
      </c>
      <c r="DO158" s="225"/>
      <c r="DP158" s="225">
        <v>0</v>
      </c>
      <c r="DQ158" s="225">
        <v>0</v>
      </c>
      <c r="DR158" s="225">
        <v>0</v>
      </c>
      <c r="DS158" s="225">
        <v>0</v>
      </c>
      <c r="DT158" s="225">
        <v>0</v>
      </c>
      <c r="DU158" s="225" t="s">
        <v>470</v>
      </c>
      <c r="DV158" s="225"/>
      <c r="DW158" s="246" t="s">
        <v>2234</v>
      </c>
      <c r="DX158" s="225"/>
      <c r="DY158" s="225"/>
      <c r="DZ158" s="225">
        <v>0</v>
      </c>
      <c r="EA158" s="225"/>
      <c r="EB158" s="225"/>
      <c r="EC158" s="226"/>
      <c r="ED158" s="225">
        <v>530</v>
      </c>
      <c r="EE158" s="225">
        <v>7</v>
      </c>
      <c r="EF158" s="417"/>
      <c r="EG158" s="226"/>
      <c r="EH158" s="225">
        <v>50</v>
      </c>
      <c r="EI158" s="225" t="s">
        <v>656</v>
      </c>
      <c r="EJ158" s="226"/>
      <c r="EK158" s="226"/>
      <c r="EL158" s="226"/>
      <c r="EM158" s="226"/>
      <c r="EN158" s="226"/>
      <c r="EO158" s="226"/>
      <c r="EP158" s="226"/>
      <c r="EQ158" s="226"/>
      <c r="ER158" s="225">
        <v>30</v>
      </c>
      <c r="ES158" s="225"/>
      <c r="ET158" s="225"/>
      <c r="EU158" s="225"/>
      <c r="EV158" s="225"/>
      <c r="EW158" s="225"/>
      <c r="EX158" s="225"/>
      <c r="EY158" s="225">
        <v>7109</v>
      </c>
      <c r="EZ158" s="229">
        <v>23</v>
      </c>
      <c r="FA158" s="225" t="s">
        <v>4573</v>
      </c>
      <c r="FB158" s="225">
        <v>2133</v>
      </c>
      <c r="FC158" s="225">
        <v>8</v>
      </c>
      <c r="FD158" s="226"/>
      <c r="FE158" s="404"/>
      <c r="FF158" s="225" t="s">
        <v>470</v>
      </c>
      <c r="FG158" s="225" t="s">
        <v>470</v>
      </c>
      <c r="FH158" s="225" t="s">
        <v>656</v>
      </c>
      <c r="FI158" s="394">
        <v>21</v>
      </c>
      <c r="FJ158" s="394">
        <v>50</v>
      </c>
      <c r="FK158" s="394"/>
      <c r="FL158" s="394">
        <v>151</v>
      </c>
      <c r="FM158" s="225">
        <v>25</v>
      </c>
      <c r="FN158" s="225"/>
      <c r="FO158" s="394"/>
      <c r="FP158" s="394"/>
      <c r="FQ158" s="394" t="s">
        <v>470</v>
      </c>
      <c r="FR158" s="394">
        <v>26</v>
      </c>
      <c r="FS158" s="394"/>
      <c r="FT158" s="394"/>
      <c r="FU158" s="226"/>
      <c r="FV158" s="394">
        <v>10</v>
      </c>
      <c r="FW158" s="225">
        <v>0</v>
      </c>
      <c r="FX158" s="225">
        <v>0</v>
      </c>
      <c r="FY158" s="226"/>
      <c r="FZ158" s="394">
        <v>35</v>
      </c>
      <c r="GA158" s="394"/>
      <c r="GB158" s="394">
        <v>0</v>
      </c>
      <c r="GC158" s="394"/>
      <c r="GD158" s="394">
        <v>34</v>
      </c>
      <c r="GE158" s="394"/>
      <c r="GF158" s="394"/>
      <c r="GG158" s="394">
        <v>30</v>
      </c>
      <c r="GH158" s="394" t="s">
        <v>4572</v>
      </c>
      <c r="GI158" s="226"/>
      <c r="GJ158" s="394">
        <v>52</v>
      </c>
      <c r="GK158" s="394">
        <v>15</v>
      </c>
      <c r="GL158" s="394"/>
      <c r="GM158" s="394">
        <v>127</v>
      </c>
      <c r="GN158" s="394">
        <v>135</v>
      </c>
      <c r="GO158" s="226"/>
      <c r="GP158" s="394">
        <v>0</v>
      </c>
      <c r="GQ158" s="226"/>
      <c r="GR158" s="394">
        <v>35</v>
      </c>
      <c r="GS158" s="394">
        <v>59</v>
      </c>
      <c r="GT158" s="394"/>
      <c r="GU158" s="394">
        <v>110</v>
      </c>
      <c r="GV158" s="394"/>
      <c r="GW158" s="226"/>
      <c r="GX158" s="225" t="s">
        <v>4571</v>
      </c>
      <c r="GY158" s="225" t="s">
        <v>4571</v>
      </c>
      <c r="GZ158" s="394">
        <v>90</v>
      </c>
      <c r="HA158" s="225"/>
      <c r="HB158" s="225"/>
      <c r="HC158" s="225">
        <v>200</v>
      </c>
      <c r="HD158" s="225">
        <v>15</v>
      </c>
      <c r="HE158" s="225"/>
      <c r="HF158" s="226"/>
      <c r="HG158" s="227" t="s">
        <v>656</v>
      </c>
      <c r="HH158" s="227">
        <v>180</v>
      </c>
      <c r="HI158" s="227" t="s">
        <v>656</v>
      </c>
      <c r="HJ158" s="225" t="s">
        <v>656</v>
      </c>
      <c r="HK158" s="227">
        <v>196</v>
      </c>
      <c r="HL158" s="226"/>
      <c r="HM158" s="225"/>
      <c r="HN158" s="226"/>
      <c r="HO158" s="225">
        <v>123</v>
      </c>
      <c r="HP158" s="225">
        <v>32</v>
      </c>
      <c r="HQ158" s="225"/>
      <c r="HR158" s="225"/>
      <c r="HS158" s="225"/>
      <c r="HT158" s="225"/>
      <c r="HU158" s="225"/>
      <c r="HV158" s="225">
        <v>32</v>
      </c>
      <c r="HW158" s="225" t="s">
        <v>470</v>
      </c>
      <c r="HX158" s="225" t="s">
        <v>2234</v>
      </c>
      <c r="HY158" s="225"/>
      <c r="HZ158" s="228" t="s">
        <v>656</v>
      </c>
      <c r="IA158" s="225"/>
      <c r="IB158" s="225" t="s">
        <v>470</v>
      </c>
      <c r="IC158" s="225" t="s">
        <v>470</v>
      </c>
      <c r="ID158" s="225"/>
      <c r="IE158" s="225"/>
      <c r="IF158" s="225"/>
      <c r="IG158" s="225"/>
      <c r="IH158" s="229"/>
      <c r="II158" s="225"/>
      <c r="IJ158" s="225"/>
      <c r="IK158" s="225"/>
      <c r="IL158" s="225"/>
      <c r="IM158" s="225"/>
      <c r="IN158" s="225"/>
      <c r="IO158" s="225"/>
      <c r="IP158" s="225"/>
      <c r="IQ158" s="225"/>
      <c r="IR158" s="225"/>
      <c r="IS158" s="225"/>
      <c r="IT158" s="225"/>
      <c r="IU158" s="225"/>
      <c r="IV158" s="225"/>
      <c r="IW158" s="225"/>
      <c r="IX158" s="225">
        <v>0</v>
      </c>
      <c r="IY158" s="225" t="s">
        <v>656</v>
      </c>
      <c r="IZ158" s="225"/>
      <c r="JA158" s="225"/>
      <c r="JB158" s="225"/>
      <c r="JC158" s="225">
        <v>14</v>
      </c>
      <c r="JD158" s="225">
        <v>40</v>
      </c>
      <c r="JE158" s="226"/>
      <c r="JF158" s="226"/>
      <c r="JG158" s="226"/>
      <c r="JH158" s="225"/>
      <c r="JI158" s="225">
        <v>10</v>
      </c>
      <c r="JJ158" s="225" t="s">
        <v>656</v>
      </c>
      <c r="JK158" s="237"/>
      <c r="JL158" s="225" t="s">
        <v>656</v>
      </c>
      <c r="JM158" s="225" t="s">
        <v>4570</v>
      </c>
      <c r="JN158" s="226"/>
      <c r="JO158" s="226"/>
      <c r="JP158" s="226"/>
      <c r="JQ158" s="225">
        <v>8</v>
      </c>
      <c r="JR158" s="225">
        <v>15</v>
      </c>
      <c r="JS158" s="225"/>
      <c r="JT158" s="225">
        <v>260</v>
      </c>
      <c r="JU158" s="225"/>
      <c r="JV158" s="225">
        <v>1246</v>
      </c>
      <c r="JW158" s="225" t="s">
        <v>656</v>
      </c>
      <c r="JX158" s="225">
        <v>286</v>
      </c>
      <c r="JY158" s="225">
        <v>70</v>
      </c>
      <c r="JZ158" s="225">
        <v>35</v>
      </c>
      <c r="KA158" s="225">
        <v>37</v>
      </c>
      <c r="KB158" s="225">
        <v>1150</v>
      </c>
      <c r="KC158" s="225">
        <v>16</v>
      </c>
      <c r="KD158" s="225" t="s">
        <v>656</v>
      </c>
      <c r="KE158" s="232"/>
      <c r="KF158" s="225">
        <v>20</v>
      </c>
      <c r="KG158" s="225">
        <v>250</v>
      </c>
      <c r="KH158" s="225" t="s">
        <v>656</v>
      </c>
      <c r="KI158" s="225" t="s">
        <v>470</v>
      </c>
      <c r="KJ158" s="225" t="s">
        <v>2629</v>
      </c>
      <c r="KK158" s="322" t="s">
        <v>656</v>
      </c>
      <c r="KL158" s="225">
        <v>75</v>
      </c>
      <c r="KM158" s="225" t="s">
        <v>470</v>
      </c>
      <c r="KN158" s="225">
        <v>200</v>
      </c>
      <c r="KO158" s="225">
        <v>189</v>
      </c>
      <c r="KP158" s="225">
        <v>0</v>
      </c>
      <c r="KQ158" s="226"/>
      <c r="KR158" s="226"/>
      <c r="KS158" s="226"/>
      <c r="KT158" s="226"/>
      <c r="KU158" s="226"/>
      <c r="KV158" s="225">
        <v>110</v>
      </c>
      <c r="KW158" s="225"/>
      <c r="KX158" s="228"/>
      <c r="KY158" s="793"/>
      <c r="KZ158" s="225"/>
      <c r="LA158" s="225">
        <v>50</v>
      </c>
      <c r="LB158" s="225">
        <v>9</v>
      </c>
      <c r="LC158" s="225"/>
      <c r="LD158" s="225"/>
      <c r="LE158" s="225"/>
      <c r="LF158" s="225"/>
      <c r="LG158" s="225"/>
      <c r="LH158" s="225"/>
      <c r="LI158" s="224">
        <v>13</v>
      </c>
      <c r="LJ158" s="225">
        <v>287</v>
      </c>
      <c r="LK158" s="225">
        <v>54</v>
      </c>
      <c r="LL158" s="225"/>
      <c r="LM158" s="226"/>
      <c r="LN158" s="225">
        <v>8</v>
      </c>
      <c r="LO158" s="225">
        <v>9</v>
      </c>
      <c r="LP158" s="225">
        <v>83</v>
      </c>
      <c r="LQ158" s="225">
        <v>14</v>
      </c>
      <c r="LR158" s="225">
        <v>23</v>
      </c>
      <c r="LS158" s="225">
        <v>6</v>
      </c>
      <c r="LT158" s="234">
        <v>65</v>
      </c>
      <c r="LU158" s="322" t="e">
        <v>#REF!</v>
      </c>
      <c r="LV158" s="226">
        <v>4</v>
      </c>
      <c r="LW158" s="226">
        <v>4</v>
      </c>
      <c r="LX158" s="226">
        <v>4</v>
      </c>
      <c r="LY158" s="226">
        <v>4</v>
      </c>
      <c r="LZ158" s="226">
        <v>4</v>
      </c>
      <c r="MA158" s="226">
        <v>4</v>
      </c>
      <c r="MB158" s="226">
        <v>3</v>
      </c>
      <c r="MC158" s="225">
        <v>55</v>
      </c>
      <c r="MD158" s="225">
        <v>30</v>
      </c>
      <c r="ME158" s="225">
        <v>17</v>
      </c>
      <c r="MF158" s="225">
        <v>5</v>
      </c>
      <c r="MG158" s="226"/>
      <c r="MH158" s="226"/>
      <c r="MI158" s="226"/>
      <c r="MJ158" s="235">
        <v>42</v>
      </c>
      <c r="MK158" s="235"/>
      <c r="ML158" s="235">
        <v>458</v>
      </c>
      <c r="MM158" s="235"/>
      <c r="MN158" s="236"/>
      <c r="MO158" s="236"/>
      <c r="MP158" s="236">
        <v>35</v>
      </c>
      <c r="MQ158" s="236"/>
      <c r="MR158" s="236">
        <v>9</v>
      </c>
      <c r="MS158" s="236"/>
      <c r="MT158" s="235" t="s">
        <v>4569</v>
      </c>
      <c r="MU158" s="236"/>
      <c r="MV158" s="235"/>
      <c r="MW158" s="235"/>
      <c r="MX158" s="226"/>
      <c r="MY158" s="226"/>
      <c r="MZ158" s="226"/>
      <c r="NA158" s="226"/>
    </row>
    <row r="159" spans="1:365" ht="356" x14ac:dyDescent="0.2">
      <c r="A159" s="1216" t="s">
        <v>281</v>
      </c>
      <c r="B159" s="201" t="s">
        <v>282</v>
      </c>
      <c r="C159" s="202" t="s">
        <v>293</v>
      </c>
      <c r="D159" s="215" t="s">
        <v>15</v>
      </c>
      <c r="E159" s="225" t="s">
        <v>4568</v>
      </c>
      <c r="F159" s="225" t="s">
        <v>4568</v>
      </c>
      <c r="G159" s="225" t="s">
        <v>4567</v>
      </c>
      <c r="H159" s="225" t="s">
        <v>4566</v>
      </c>
      <c r="I159" s="224" t="s">
        <v>4565</v>
      </c>
      <c r="J159" s="225" t="s">
        <v>4564</v>
      </c>
      <c r="K159" s="225" t="s">
        <v>4563</v>
      </c>
      <c r="L159" s="225" t="s">
        <v>4562</v>
      </c>
      <c r="M159" s="224" t="s">
        <v>4561</v>
      </c>
      <c r="N159" s="224" t="s">
        <v>4561</v>
      </c>
      <c r="O159" s="225" t="s">
        <v>4560</v>
      </c>
      <c r="P159" s="493" t="s">
        <v>4559</v>
      </c>
      <c r="Q159" s="226" t="s">
        <v>4558</v>
      </c>
      <c r="R159" s="322" t="s">
        <v>4557</v>
      </c>
      <c r="S159" s="226" t="s">
        <v>4556</v>
      </c>
      <c r="T159" s="225" t="s">
        <v>4555</v>
      </c>
      <c r="U159" s="225" t="s">
        <v>4554</v>
      </c>
      <c r="V159" s="225" t="s">
        <v>4553</v>
      </c>
      <c r="W159" s="226"/>
      <c r="X159" s="226"/>
      <c r="Y159" s="226"/>
      <c r="Z159" s="226"/>
      <c r="AA159" s="226"/>
      <c r="AB159" s="226"/>
      <c r="AC159" s="226"/>
      <c r="AD159" s="226"/>
      <c r="AE159" s="226"/>
      <c r="AF159" s="225" t="s">
        <v>4552</v>
      </c>
      <c r="AG159" s="225" t="s">
        <v>4551</v>
      </c>
      <c r="AH159" s="226"/>
      <c r="AI159" s="225" t="s">
        <v>3924</v>
      </c>
      <c r="AJ159" s="225" t="s">
        <v>4550</v>
      </c>
      <c r="AK159" s="229" t="s">
        <v>4549</v>
      </c>
      <c r="AL159" s="225" t="s">
        <v>4548</v>
      </c>
      <c r="AM159" s="226"/>
      <c r="AN159" s="226"/>
      <c r="AO159" s="226"/>
      <c r="AP159" s="226"/>
      <c r="AQ159" s="225" t="s">
        <v>4547</v>
      </c>
      <c r="AR159" s="225" t="s">
        <v>4546</v>
      </c>
      <c r="AS159" s="225" t="s">
        <v>4546</v>
      </c>
      <c r="AT159" s="225" t="s">
        <v>4545</v>
      </c>
      <c r="AU159" s="225" t="s">
        <v>4544</v>
      </c>
      <c r="AV159" s="225" t="s">
        <v>4543</v>
      </c>
      <c r="AW159" s="225" t="s">
        <v>4542</v>
      </c>
      <c r="AX159" s="225" t="s">
        <v>4541</v>
      </c>
      <c r="AY159" s="229" t="s">
        <v>4540</v>
      </c>
      <c r="AZ159" s="225" t="s">
        <v>4539</v>
      </c>
      <c r="BA159" s="225" t="s">
        <v>4538</v>
      </c>
      <c r="BB159" s="225" t="s">
        <v>4537</v>
      </c>
      <c r="BC159" s="225" t="s">
        <v>4536</v>
      </c>
      <c r="BD159" s="225" t="s">
        <v>4535</v>
      </c>
      <c r="BE159" s="229" t="s">
        <v>4534</v>
      </c>
      <c r="BF159" s="225" t="s">
        <v>4533</v>
      </c>
      <c r="BG159" s="225" t="s">
        <v>4532</v>
      </c>
      <c r="BH159" s="225" t="s">
        <v>4531</v>
      </c>
      <c r="BI159" s="225" t="s">
        <v>4530</v>
      </c>
      <c r="BJ159" s="225" t="s">
        <v>4529</v>
      </c>
      <c r="BK159" s="233" t="s">
        <v>4528</v>
      </c>
      <c r="BL159" s="225" t="s">
        <v>4527</v>
      </c>
      <c r="BM159" s="225" t="s">
        <v>4526</v>
      </c>
      <c r="BN159" s="226"/>
      <c r="BO159" s="225" t="s">
        <v>4525</v>
      </c>
      <c r="BP159" s="225" t="s">
        <v>4524</v>
      </c>
      <c r="BQ159" s="225" t="s">
        <v>4523</v>
      </c>
      <c r="BR159" s="233" t="s">
        <v>4522</v>
      </c>
      <c r="BS159" s="225" t="s">
        <v>4521</v>
      </c>
      <c r="BT159" s="225" t="s">
        <v>3911</v>
      </c>
      <c r="BU159" s="225" t="s">
        <v>4520</v>
      </c>
      <c r="BV159" s="225" t="s">
        <v>4519</v>
      </c>
      <c r="BW159" s="225" t="s">
        <v>4518</v>
      </c>
      <c r="BX159" s="225" t="s">
        <v>4517</v>
      </c>
      <c r="BY159" s="225" t="s">
        <v>3907</v>
      </c>
      <c r="BZ159" s="225" t="s">
        <v>4516</v>
      </c>
      <c r="CA159" s="225" t="s">
        <v>4515</v>
      </c>
      <c r="CB159" s="225" t="s">
        <v>4515</v>
      </c>
      <c r="CC159" s="225" t="s">
        <v>4514</v>
      </c>
      <c r="CD159" s="229" t="s">
        <v>4513</v>
      </c>
      <c r="CE159" s="229"/>
      <c r="CF159" s="229" t="s">
        <v>4512</v>
      </c>
      <c r="CG159" s="225" t="s">
        <v>3904</v>
      </c>
      <c r="CH159" s="229" t="s">
        <v>4511</v>
      </c>
      <c r="CI159" s="229" t="s">
        <v>4510</v>
      </c>
      <c r="CJ159" s="229" t="s">
        <v>4509</v>
      </c>
      <c r="CK159" s="229" t="s">
        <v>4508</v>
      </c>
      <c r="CL159" s="229" t="s">
        <v>4507</v>
      </c>
      <c r="CM159" s="229" t="s">
        <v>4506</v>
      </c>
      <c r="CN159" s="225" t="s">
        <v>3901</v>
      </c>
      <c r="CO159" s="225" t="s">
        <v>4505</v>
      </c>
      <c r="CP159" s="225" t="s">
        <v>4504</v>
      </c>
      <c r="CQ159" s="406" t="s">
        <v>4503</v>
      </c>
      <c r="CR159" s="394" t="s">
        <v>4502</v>
      </c>
      <c r="CS159" s="225" t="s">
        <v>4501</v>
      </c>
      <c r="CT159" s="225" t="s">
        <v>4500</v>
      </c>
      <c r="CU159" s="402" t="s">
        <v>4499</v>
      </c>
      <c r="CV159" s="225" t="s">
        <v>4498</v>
      </c>
      <c r="CW159" s="225" t="s">
        <v>4497</v>
      </c>
      <c r="CX159" s="225" t="s">
        <v>4496</v>
      </c>
      <c r="CY159" s="225" t="s">
        <v>4495</v>
      </c>
      <c r="CZ159" s="225" t="s">
        <v>4494</v>
      </c>
      <c r="DA159" s="225" t="s">
        <v>4493</v>
      </c>
      <c r="DB159" s="403" t="s">
        <v>3895</v>
      </c>
      <c r="DC159" s="225" t="s">
        <v>4492</v>
      </c>
      <c r="DD159" s="225" t="s">
        <v>4491</v>
      </c>
      <c r="DE159" s="225" t="s">
        <v>3892</v>
      </c>
      <c r="DF159" s="225" t="s">
        <v>4490</v>
      </c>
      <c r="DG159" s="225" t="s">
        <v>4489</v>
      </c>
      <c r="DH159" s="225" t="s">
        <v>3889</v>
      </c>
      <c r="DI159" s="225" t="s">
        <v>4488</v>
      </c>
      <c r="DJ159" s="225" t="s">
        <v>3887</v>
      </c>
      <c r="DK159" s="225" t="s">
        <v>4487</v>
      </c>
      <c r="DL159" s="225" t="s">
        <v>4486</v>
      </c>
      <c r="DM159" s="225" t="s">
        <v>4485</v>
      </c>
      <c r="DN159" s="225" t="s">
        <v>4485</v>
      </c>
      <c r="DO159" s="225" t="s">
        <v>4484</v>
      </c>
      <c r="DP159" s="225" t="s">
        <v>4483</v>
      </c>
      <c r="DQ159" s="225" t="s">
        <v>4482</v>
      </c>
      <c r="DR159" s="225" t="s">
        <v>4481</v>
      </c>
      <c r="DS159" s="225" t="s">
        <v>4480</v>
      </c>
      <c r="DT159" s="229" t="s">
        <v>4479</v>
      </c>
      <c r="DU159" s="225" t="s">
        <v>4478</v>
      </c>
      <c r="DV159" s="225" t="s">
        <v>4477</v>
      </c>
      <c r="DW159" s="225" t="s">
        <v>3882</v>
      </c>
      <c r="DX159" s="225" t="s">
        <v>4476</v>
      </c>
      <c r="DY159" s="225" t="s">
        <v>4475</v>
      </c>
      <c r="DZ159" s="225" t="s">
        <v>4474</v>
      </c>
      <c r="EA159" s="226" t="s">
        <v>4473</v>
      </c>
      <c r="EB159" s="225" t="s">
        <v>4472</v>
      </c>
      <c r="EC159" s="226"/>
      <c r="ED159" s="225" t="s">
        <v>4471</v>
      </c>
      <c r="EE159" s="225" t="s">
        <v>3879</v>
      </c>
      <c r="EF159" s="225" t="s">
        <v>4471</v>
      </c>
      <c r="EG159" s="226"/>
      <c r="EH159" s="225" t="s">
        <v>4470</v>
      </c>
      <c r="EI159" s="225" t="s">
        <v>4469</v>
      </c>
      <c r="EJ159" s="226"/>
      <c r="EK159" s="226"/>
      <c r="EL159" s="226"/>
      <c r="EM159" s="226"/>
      <c r="EN159" s="226"/>
      <c r="EO159" s="226"/>
      <c r="EP159" s="226"/>
      <c r="EQ159" s="226"/>
      <c r="ER159" s="225" t="s">
        <v>4468</v>
      </c>
      <c r="ES159" s="225" t="s">
        <v>4467</v>
      </c>
      <c r="ET159" s="225" t="s">
        <v>4466</v>
      </c>
      <c r="EU159" s="225" t="s">
        <v>4466</v>
      </c>
      <c r="EV159" s="225" t="s">
        <v>4466</v>
      </c>
      <c r="EW159" s="225" t="s">
        <v>4465</v>
      </c>
      <c r="EX159" s="225" t="s">
        <v>4464</v>
      </c>
      <c r="EY159" s="225" t="s">
        <v>4463</v>
      </c>
      <c r="EZ159" s="229" t="s">
        <v>4462</v>
      </c>
      <c r="FA159" s="225" t="s">
        <v>4461</v>
      </c>
      <c r="FB159" s="225" t="s">
        <v>4460</v>
      </c>
      <c r="FC159" s="225" t="s">
        <v>4459</v>
      </c>
      <c r="FD159" s="226"/>
      <c r="FE159" s="404" t="s">
        <v>4458</v>
      </c>
      <c r="FF159" s="225" t="s">
        <v>4457</v>
      </c>
      <c r="FG159" s="225" t="s">
        <v>4456</v>
      </c>
      <c r="FH159" s="225" t="s">
        <v>4455</v>
      </c>
      <c r="FI159" s="394" t="s">
        <v>4454</v>
      </c>
      <c r="FJ159" s="394" t="s">
        <v>4454</v>
      </c>
      <c r="FK159" s="394"/>
      <c r="FL159" s="394" t="s">
        <v>4454</v>
      </c>
      <c r="FM159" s="225" t="s">
        <v>4453</v>
      </c>
      <c r="FN159" s="225"/>
      <c r="FO159" s="394" t="s">
        <v>4452</v>
      </c>
      <c r="FP159" s="394"/>
      <c r="FQ159" s="394" t="s">
        <v>4451</v>
      </c>
      <c r="FR159" s="394" t="s">
        <v>4450</v>
      </c>
      <c r="FS159" s="394"/>
      <c r="FT159" s="394" t="s">
        <v>4449</v>
      </c>
      <c r="FU159" s="226"/>
      <c r="FV159" s="394" t="s">
        <v>4449</v>
      </c>
      <c r="FW159" s="394" t="s">
        <v>4448</v>
      </c>
      <c r="FX159" s="394" t="s">
        <v>4448</v>
      </c>
      <c r="FY159" s="226"/>
      <c r="FZ159" s="394" t="s">
        <v>4447</v>
      </c>
      <c r="GA159" s="394" t="s">
        <v>4446</v>
      </c>
      <c r="GB159" s="394" t="s">
        <v>4445</v>
      </c>
      <c r="GC159" s="394"/>
      <c r="GD159" s="394" t="s">
        <v>4444</v>
      </c>
      <c r="GE159" s="394" t="s">
        <v>4443</v>
      </c>
      <c r="GF159" s="394" t="s">
        <v>4443</v>
      </c>
      <c r="GG159" s="394" t="s">
        <v>4442</v>
      </c>
      <c r="GH159" s="394" t="s">
        <v>4441</v>
      </c>
      <c r="GI159" s="226"/>
      <c r="GJ159" s="394" t="s">
        <v>4440</v>
      </c>
      <c r="GK159" s="394" t="s">
        <v>4439</v>
      </c>
      <c r="GL159" s="394" t="s">
        <v>4438</v>
      </c>
      <c r="GM159" s="394" t="s">
        <v>4437</v>
      </c>
      <c r="GN159" s="394" t="s">
        <v>4437</v>
      </c>
      <c r="GO159" s="226"/>
      <c r="GP159" s="394" t="s">
        <v>4436</v>
      </c>
      <c r="GQ159" s="226"/>
      <c r="GR159" s="394" t="s">
        <v>4435</v>
      </c>
      <c r="GS159" s="394" t="s">
        <v>4434</v>
      </c>
      <c r="GT159" s="394"/>
      <c r="GU159" s="394" t="s">
        <v>4433</v>
      </c>
      <c r="GV159" s="394" t="s">
        <v>4432</v>
      </c>
      <c r="GW159" s="226"/>
      <c r="GX159" s="225" t="s">
        <v>4431</v>
      </c>
      <c r="GY159" s="225" t="s">
        <v>4431</v>
      </c>
      <c r="GZ159" s="394" t="s">
        <v>4430</v>
      </c>
      <c r="HA159" s="225"/>
      <c r="HB159" s="225" t="s">
        <v>4429</v>
      </c>
      <c r="HC159" s="225" t="s">
        <v>4428</v>
      </c>
      <c r="HD159" s="225" t="s">
        <v>4427</v>
      </c>
      <c r="HE159" s="225" t="s">
        <v>4426</v>
      </c>
      <c r="HF159" s="226"/>
      <c r="HG159" s="227" t="s">
        <v>4425</v>
      </c>
      <c r="HH159" s="227" t="s">
        <v>3871</v>
      </c>
      <c r="HI159" s="227" t="s">
        <v>4424</v>
      </c>
      <c r="HJ159" s="225" t="s">
        <v>4423</v>
      </c>
      <c r="HK159" s="227" t="s">
        <v>3869</v>
      </c>
      <c r="HL159" s="226"/>
      <c r="HM159" s="225" t="s">
        <v>4422</v>
      </c>
      <c r="HN159" s="226"/>
      <c r="HO159" s="225" t="s">
        <v>4421</v>
      </c>
      <c r="HP159" s="225" t="s">
        <v>4420</v>
      </c>
      <c r="HQ159" s="225" t="s">
        <v>4419</v>
      </c>
      <c r="HR159" s="225" t="s">
        <v>4419</v>
      </c>
      <c r="HS159" s="224" t="s">
        <v>4418</v>
      </c>
      <c r="HT159" s="224" t="s">
        <v>4418</v>
      </c>
      <c r="HU159" s="225" t="s">
        <v>4417</v>
      </c>
      <c r="HV159" s="225" t="s">
        <v>4416</v>
      </c>
      <c r="HW159" s="225" t="s">
        <v>4415</v>
      </c>
      <c r="HX159" s="225" t="s">
        <v>4414</v>
      </c>
      <c r="HY159" s="225" t="s">
        <v>4413</v>
      </c>
      <c r="HZ159" s="228" t="s">
        <v>4412</v>
      </c>
      <c r="IA159" s="225" t="s">
        <v>4411</v>
      </c>
      <c r="IB159" s="225" t="s">
        <v>4410</v>
      </c>
      <c r="IC159" s="225" t="s">
        <v>4410</v>
      </c>
      <c r="ID159" s="225" t="s">
        <v>4409</v>
      </c>
      <c r="IE159" s="225" t="s">
        <v>4408</v>
      </c>
      <c r="IF159" s="225" t="s">
        <v>4407</v>
      </c>
      <c r="IG159" s="225" t="s">
        <v>4406</v>
      </c>
      <c r="IH159" s="229" t="s">
        <v>4405</v>
      </c>
      <c r="II159" s="225" t="s">
        <v>4404</v>
      </c>
      <c r="IJ159" s="225" t="s">
        <v>4403</v>
      </c>
      <c r="IK159" s="225" t="s">
        <v>4403</v>
      </c>
      <c r="IL159" s="225" t="s">
        <v>4402</v>
      </c>
      <c r="IM159" s="225" t="s">
        <v>4401</v>
      </c>
      <c r="IN159" s="225" t="s">
        <v>4400</v>
      </c>
      <c r="IO159" s="225" t="s">
        <v>4399</v>
      </c>
      <c r="IP159" s="225" t="s">
        <v>4399</v>
      </c>
      <c r="IQ159" s="225" t="s">
        <v>4399</v>
      </c>
      <c r="IR159" s="225" t="s">
        <v>4398</v>
      </c>
      <c r="IS159" s="225" t="s">
        <v>4397</v>
      </c>
      <c r="IT159" s="225" t="s">
        <v>4396</v>
      </c>
      <c r="IU159" s="225" t="s">
        <v>4395</v>
      </c>
      <c r="IV159" s="225" t="s">
        <v>4394</v>
      </c>
      <c r="IW159" s="225" t="s">
        <v>4393</v>
      </c>
      <c r="IX159" s="225" t="s">
        <v>4392</v>
      </c>
      <c r="IY159" s="225" t="s">
        <v>4391</v>
      </c>
      <c r="IZ159" s="225" t="s">
        <v>3860</v>
      </c>
      <c r="JA159" s="225" t="s">
        <v>3860</v>
      </c>
      <c r="JB159" s="225" t="s">
        <v>3860</v>
      </c>
      <c r="JC159" s="225" t="s">
        <v>4390</v>
      </c>
      <c r="JD159" s="225" t="s">
        <v>3858</v>
      </c>
      <c r="JE159" s="226"/>
      <c r="JF159" s="226"/>
      <c r="JG159" s="226"/>
      <c r="JH159" s="225" t="s">
        <v>4389</v>
      </c>
      <c r="JI159" s="225" t="s">
        <v>4388</v>
      </c>
      <c r="JJ159" s="225" t="s">
        <v>4387</v>
      </c>
      <c r="JK159" s="237" t="s">
        <v>4386</v>
      </c>
      <c r="JL159" s="225" t="s">
        <v>4385</v>
      </c>
      <c r="JM159" s="225" t="s">
        <v>4384</v>
      </c>
      <c r="JN159" s="226"/>
      <c r="JO159" s="226"/>
      <c r="JP159" s="226"/>
      <c r="JQ159" s="225" t="s">
        <v>4383</v>
      </c>
      <c r="JR159" s="225" t="s">
        <v>4382</v>
      </c>
      <c r="JS159" s="225" t="s">
        <v>4381</v>
      </c>
      <c r="JT159" s="225" t="s">
        <v>4380</v>
      </c>
      <c r="JU159" s="225" t="s">
        <v>4379</v>
      </c>
      <c r="JV159" s="225" t="s">
        <v>4379</v>
      </c>
      <c r="JW159" s="225" t="s">
        <v>4378</v>
      </c>
      <c r="JX159" s="393" t="s">
        <v>4377</v>
      </c>
      <c r="JY159" s="225" t="s">
        <v>4376</v>
      </c>
      <c r="JZ159" s="225" t="s">
        <v>4375</v>
      </c>
      <c r="KA159" s="225" t="s">
        <v>4374</v>
      </c>
      <c r="KB159" s="225" t="s">
        <v>4373</v>
      </c>
      <c r="KC159" s="393" t="s">
        <v>4372</v>
      </c>
      <c r="KD159" s="225" t="s">
        <v>4371</v>
      </c>
      <c r="KE159" s="232" t="s">
        <v>4370</v>
      </c>
      <c r="KF159" s="225" t="s">
        <v>4369</v>
      </c>
      <c r="KG159" s="225" t="s">
        <v>4368</v>
      </c>
      <c r="KH159" s="225" t="s">
        <v>4367</v>
      </c>
      <c r="KI159" s="225" t="s">
        <v>4366</v>
      </c>
      <c r="KJ159" s="225" t="s">
        <v>4365</v>
      </c>
      <c r="KK159" s="225" t="s">
        <v>4364</v>
      </c>
      <c r="KL159" s="394" t="s">
        <v>4363</v>
      </c>
      <c r="KM159" s="225" t="s">
        <v>4362</v>
      </c>
      <c r="KN159" s="225" t="s">
        <v>4361</v>
      </c>
      <c r="KO159" s="225" t="s">
        <v>4360</v>
      </c>
      <c r="KP159" s="225" t="s">
        <v>4359</v>
      </c>
      <c r="KQ159" s="226"/>
      <c r="KR159" s="226"/>
      <c r="KS159" s="226"/>
      <c r="KT159" s="226"/>
      <c r="KU159" s="226"/>
      <c r="KV159" s="225" t="s">
        <v>4358</v>
      </c>
      <c r="KW159" s="225" t="s">
        <v>3855</v>
      </c>
      <c r="KX159" s="228" t="s">
        <v>9172</v>
      </c>
      <c r="KY159" s="793" t="s">
        <v>9291</v>
      </c>
      <c r="KZ159" s="225" t="s">
        <v>9172</v>
      </c>
      <c r="LA159" s="225" t="s">
        <v>9263</v>
      </c>
      <c r="LB159" s="225" t="s">
        <v>9245</v>
      </c>
      <c r="LC159" s="225" t="s">
        <v>9230</v>
      </c>
      <c r="LD159" s="225" t="s">
        <v>9172</v>
      </c>
      <c r="LE159" s="225" t="s">
        <v>9205</v>
      </c>
      <c r="LF159" s="225" t="s">
        <v>9172</v>
      </c>
      <c r="LG159" s="225" t="s">
        <v>9172</v>
      </c>
      <c r="LH159" s="225" t="s">
        <v>9172</v>
      </c>
      <c r="LI159" s="224" t="s">
        <v>9155</v>
      </c>
      <c r="LJ159" s="225" t="s">
        <v>9139</v>
      </c>
      <c r="LK159" s="225" t="s">
        <v>4357</v>
      </c>
      <c r="LL159" s="225" t="s">
        <v>4356</v>
      </c>
      <c r="LM159" s="226"/>
      <c r="LN159" s="225" t="s">
        <v>4355</v>
      </c>
      <c r="LO159" s="225" t="s">
        <v>4354</v>
      </c>
      <c r="LP159" s="225" t="s">
        <v>4353</v>
      </c>
      <c r="LQ159" s="225" t="s">
        <v>4352</v>
      </c>
      <c r="LR159" s="225" t="s">
        <v>4351</v>
      </c>
      <c r="LS159" s="225" t="s">
        <v>4350</v>
      </c>
      <c r="LT159" s="234" t="s">
        <v>4349</v>
      </c>
      <c r="LU159" s="225" t="s">
        <v>4348</v>
      </c>
      <c r="LV159" s="225" t="s">
        <v>4348</v>
      </c>
      <c r="LW159" s="225" t="s">
        <v>4347</v>
      </c>
      <c r="LX159" s="225" t="s">
        <v>3853</v>
      </c>
      <c r="LY159" s="225" t="s">
        <v>3852</v>
      </c>
      <c r="LZ159" s="225" t="s">
        <v>3851</v>
      </c>
      <c r="MA159" s="225" t="s">
        <v>4346</v>
      </c>
      <c r="MB159" s="225" t="s">
        <v>4345</v>
      </c>
      <c r="MC159" s="225" t="s">
        <v>4344</v>
      </c>
      <c r="MD159" s="225" t="s">
        <v>3847</v>
      </c>
      <c r="ME159" s="225" t="s">
        <v>4343</v>
      </c>
      <c r="MF159" s="225" t="s">
        <v>4342</v>
      </c>
      <c r="MG159" s="226"/>
      <c r="MH159" s="226"/>
      <c r="MI159" s="226"/>
      <c r="MJ159" s="235" t="s">
        <v>4341</v>
      </c>
      <c r="MK159" s="235"/>
      <c r="ML159" s="235" t="s">
        <v>4340</v>
      </c>
      <c r="MM159" s="235" t="s">
        <v>4339</v>
      </c>
      <c r="MN159" s="236" t="s">
        <v>4338</v>
      </c>
      <c r="MO159" s="236" t="s">
        <v>4337</v>
      </c>
      <c r="MP159" s="236" t="s">
        <v>4336</v>
      </c>
      <c r="MQ159" s="236" t="s">
        <v>4335</v>
      </c>
      <c r="MR159" s="236" t="s">
        <v>4334</v>
      </c>
      <c r="MS159" s="236" t="s">
        <v>4333</v>
      </c>
      <c r="MT159" s="235">
        <v>22</v>
      </c>
      <c r="MU159" s="236" t="s">
        <v>4332</v>
      </c>
      <c r="MV159" s="235" t="s">
        <v>4331</v>
      </c>
      <c r="MW159" s="235" t="s">
        <v>4330</v>
      </c>
      <c r="MX159" s="226"/>
      <c r="MY159" s="226"/>
      <c r="MZ159" s="226"/>
      <c r="NA159" s="226"/>
    </row>
    <row r="160" spans="1:365" ht="68" x14ac:dyDescent="0.2">
      <c r="A160" s="1216"/>
      <c r="B160" s="201" t="s">
        <v>284</v>
      </c>
      <c r="C160" s="202" t="s">
        <v>285</v>
      </c>
      <c r="D160" s="215" t="s">
        <v>286</v>
      </c>
      <c r="E160" s="225" t="s">
        <v>4329</v>
      </c>
      <c r="F160" s="225" t="s">
        <v>4329</v>
      </c>
      <c r="G160" s="225" t="s">
        <v>4328</v>
      </c>
      <c r="H160" s="225" t="s">
        <v>4327</v>
      </c>
      <c r="I160" s="224" t="s">
        <v>4326</v>
      </c>
      <c r="J160" s="225" t="s">
        <v>4325</v>
      </c>
      <c r="K160" s="225" t="s">
        <v>4324</v>
      </c>
      <c r="L160" s="225" t="s">
        <v>4323</v>
      </c>
      <c r="M160" s="225" t="s">
        <v>4322</v>
      </c>
      <c r="N160" s="224" t="s">
        <v>4322</v>
      </c>
      <c r="O160" s="225" t="s">
        <v>4321</v>
      </c>
      <c r="P160" s="493" t="s">
        <v>4320</v>
      </c>
      <c r="Q160" s="225" t="s">
        <v>4319</v>
      </c>
      <c r="R160" s="322" t="s">
        <v>4318</v>
      </c>
      <c r="S160" s="226" t="s">
        <v>4317</v>
      </c>
      <c r="T160" s="225">
        <v>84923521037</v>
      </c>
      <c r="U160" s="225" t="s">
        <v>4316</v>
      </c>
      <c r="V160" s="225" t="s">
        <v>4315</v>
      </c>
      <c r="W160" s="226"/>
      <c r="X160" s="226"/>
      <c r="Y160" s="226"/>
      <c r="Z160" s="226"/>
      <c r="AA160" s="226"/>
      <c r="AB160" s="226"/>
      <c r="AC160" s="226"/>
      <c r="AD160" s="226"/>
      <c r="AE160" s="226"/>
      <c r="AF160" s="225" t="s">
        <v>4314</v>
      </c>
      <c r="AG160" s="225">
        <v>89520542355</v>
      </c>
      <c r="AH160" s="226"/>
      <c r="AI160" s="225" t="s">
        <v>3841</v>
      </c>
      <c r="AJ160" s="225" t="s">
        <v>4313</v>
      </c>
      <c r="AK160" s="229" t="s">
        <v>4312</v>
      </c>
      <c r="AL160" s="225">
        <v>89105201388</v>
      </c>
      <c r="AM160" s="226"/>
      <c r="AN160" s="226"/>
      <c r="AO160" s="226"/>
      <c r="AP160" s="226"/>
      <c r="AQ160" s="225" t="s">
        <v>4311</v>
      </c>
      <c r="AR160" s="225" t="s">
        <v>4310</v>
      </c>
      <c r="AS160" s="225" t="s">
        <v>4310</v>
      </c>
      <c r="AT160" s="225" t="s">
        <v>4309</v>
      </c>
      <c r="AU160" s="225" t="s">
        <v>4308</v>
      </c>
      <c r="AV160" s="225" t="s">
        <v>4307</v>
      </c>
      <c r="AW160" s="225">
        <v>88213692551</v>
      </c>
      <c r="AX160" s="225" t="s">
        <v>4306</v>
      </c>
      <c r="AY160" s="229" t="s">
        <v>4305</v>
      </c>
      <c r="AZ160" s="254" t="s">
        <v>4304</v>
      </c>
      <c r="BA160" s="322">
        <v>88213323189</v>
      </c>
      <c r="BB160" s="225" t="s">
        <v>4303</v>
      </c>
      <c r="BC160" s="225" t="s">
        <v>4302</v>
      </c>
      <c r="BD160" s="225" t="s">
        <v>4301</v>
      </c>
      <c r="BE160" s="229" t="s">
        <v>4300</v>
      </c>
      <c r="BF160" s="225" t="s">
        <v>4299</v>
      </c>
      <c r="BG160" s="225" t="s">
        <v>4298</v>
      </c>
      <c r="BH160" s="225">
        <v>88213428231</v>
      </c>
      <c r="BI160" s="225">
        <v>88214191935</v>
      </c>
      <c r="BJ160" s="225" t="s">
        <v>4297</v>
      </c>
      <c r="BK160" s="233" t="s">
        <v>4296</v>
      </c>
      <c r="BL160" s="225" t="s">
        <v>4295</v>
      </c>
      <c r="BM160" s="225" t="s">
        <v>4294</v>
      </c>
      <c r="BN160" s="226"/>
      <c r="BO160" s="225">
        <v>89181921947</v>
      </c>
      <c r="BP160" s="225">
        <v>89528640447</v>
      </c>
      <c r="BQ160" s="225">
        <v>88619264226</v>
      </c>
      <c r="BR160" s="233" t="s">
        <v>4293</v>
      </c>
      <c r="BS160" s="225" t="s">
        <v>4292</v>
      </c>
      <c r="BT160" s="225" t="s">
        <v>3832</v>
      </c>
      <c r="BU160" s="225" t="s">
        <v>4291</v>
      </c>
      <c r="BV160" s="225" t="s">
        <v>4290</v>
      </c>
      <c r="BW160" s="225" t="s">
        <v>4289</v>
      </c>
      <c r="BX160" s="225">
        <v>88615567222</v>
      </c>
      <c r="BY160" s="225">
        <v>88615571360</v>
      </c>
      <c r="BZ160" s="225" t="s">
        <v>4288</v>
      </c>
      <c r="CA160" s="225">
        <v>89298507091</v>
      </c>
      <c r="CB160" s="225">
        <v>89298507091</v>
      </c>
      <c r="CC160" s="225" t="s">
        <v>4287</v>
      </c>
      <c r="CD160" s="229" t="s">
        <v>4286</v>
      </c>
      <c r="CE160" s="229"/>
      <c r="CF160" s="229">
        <v>88614227328</v>
      </c>
      <c r="CG160" s="225" t="s">
        <v>3826</v>
      </c>
      <c r="CH160" s="229" t="s">
        <v>4285</v>
      </c>
      <c r="CI160" s="229">
        <v>89189970122</v>
      </c>
      <c r="CJ160" s="229" t="s">
        <v>4284</v>
      </c>
      <c r="CK160" s="229" t="s">
        <v>4283</v>
      </c>
      <c r="CL160" s="229" t="s">
        <v>4282</v>
      </c>
      <c r="CM160" s="229" t="s">
        <v>4281</v>
      </c>
      <c r="CN160" s="225" t="s">
        <v>3823</v>
      </c>
      <c r="CO160" s="225" t="s">
        <v>4280</v>
      </c>
      <c r="CP160" s="225" t="s">
        <v>4279</v>
      </c>
      <c r="CQ160" s="406">
        <v>88616598705</v>
      </c>
      <c r="CR160" s="394">
        <v>88612390006</v>
      </c>
      <c r="CS160" s="225">
        <v>89184937803</v>
      </c>
      <c r="CT160" s="225">
        <v>88614777206</v>
      </c>
      <c r="CU160" s="402" t="s">
        <v>4278</v>
      </c>
      <c r="CV160" s="225" t="s">
        <v>4277</v>
      </c>
      <c r="CW160" s="225" t="s">
        <v>4276</v>
      </c>
      <c r="CX160" s="225" t="s">
        <v>4275</v>
      </c>
      <c r="CY160" s="225">
        <v>88614779572</v>
      </c>
      <c r="CZ160" s="225" t="s">
        <v>4274</v>
      </c>
      <c r="DA160" s="225" t="s">
        <v>4273</v>
      </c>
      <c r="DB160" s="403" t="s">
        <v>3819</v>
      </c>
      <c r="DC160" s="225">
        <v>88616633851</v>
      </c>
      <c r="DD160" s="225" t="s">
        <v>4272</v>
      </c>
      <c r="DE160" s="225" t="s">
        <v>3817</v>
      </c>
      <c r="DF160" s="225">
        <v>89182050585</v>
      </c>
      <c r="DG160" s="225" t="s">
        <v>4271</v>
      </c>
      <c r="DH160" s="225" t="s">
        <v>3815</v>
      </c>
      <c r="DI160" s="225">
        <v>89181827608</v>
      </c>
      <c r="DJ160" s="225">
        <v>89186727078</v>
      </c>
      <c r="DK160" s="225" t="s">
        <v>4270</v>
      </c>
      <c r="DL160" s="225" t="s">
        <v>4269</v>
      </c>
      <c r="DM160" s="225">
        <v>89180983388</v>
      </c>
      <c r="DN160" s="225">
        <v>89180983388</v>
      </c>
      <c r="DO160" s="225" t="s">
        <v>4268</v>
      </c>
      <c r="DP160" s="225" t="s">
        <v>4267</v>
      </c>
      <c r="DQ160" s="225" t="s">
        <v>4266</v>
      </c>
      <c r="DR160" s="225" t="s">
        <v>4265</v>
      </c>
      <c r="DS160" s="225" t="s">
        <v>4264</v>
      </c>
      <c r="DT160" s="229" t="s">
        <v>4263</v>
      </c>
      <c r="DU160" s="225" t="s">
        <v>4262</v>
      </c>
      <c r="DV160" s="225" t="s">
        <v>4261</v>
      </c>
      <c r="DW160" s="225" t="s">
        <v>3811</v>
      </c>
      <c r="DX160" s="225" t="s">
        <v>4260</v>
      </c>
      <c r="DY160" s="225" t="s">
        <v>4259</v>
      </c>
      <c r="DZ160" s="225" t="s">
        <v>4258</v>
      </c>
      <c r="EA160" s="225" t="s">
        <v>4257</v>
      </c>
      <c r="EB160" s="225">
        <v>83525237012</v>
      </c>
      <c r="EC160" s="226"/>
      <c r="ED160" s="225" t="s">
        <v>4256</v>
      </c>
      <c r="EE160" s="225">
        <v>79787529097</v>
      </c>
      <c r="EF160" s="225" t="s">
        <v>4256</v>
      </c>
      <c r="EG160" s="226"/>
      <c r="EH160" s="225" t="s">
        <v>4255</v>
      </c>
      <c r="EI160" s="225" t="s">
        <v>4254</v>
      </c>
      <c r="EJ160" s="226"/>
      <c r="EK160" s="226"/>
      <c r="EL160" s="226"/>
      <c r="EM160" s="226"/>
      <c r="EN160" s="226"/>
      <c r="EO160" s="226"/>
      <c r="EP160" s="226"/>
      <c r="EQ160" s="226"/>
      <c r="ER160" s="225" t="s">
        <v>4253</v>
      </c>
      <c r="ES160" s="322">
        <v>88317020176</v>
      </c>
      <c r="ET160" s="225" t="s">
        <v>4252</v>
      </c>
      <c r="EU160" s="225" t="s">
        <v>4252</v>
      </c>
      <c r="EV160" s="225" t="s">
        <v>4252</v>
      </c>
      <c r="EW160" s="225" t="s">
        <v>4251</v>
      </c>
      <c r="EX160" s="225" t="s">
        <v>4250</v>
      </c>
      <c r="EY160" s="225" t="s">
        <v>4249</v>
      </c>
      <c r="EZ160" s="229" t="s">
        <v>4248</v>
      </c>
      <c r="FA160" s="225" t="s">
        <v>4247</v>
      </c>
      <c r="FB160" s="225" t="s">
        <v>4246</v>
      </c>
      <c r="FC160" s="225" t="s">
        <v>4245</v>
      </c>
      <c r="FD160" s="226"/>
      <c r="FE160" s="404" t="s">
        <v>4244</v>
      </c>
      <c r="FF160" s="225" t="s">
        <v>4243</v>
      </c>
      <c r="FG160" s="225" t="s">
        <v>4242</v>
      </c>
      <c r="FH160" s="225" t="s">
        <v>4241</v>
      </c>
      <c r="FI160" s="394" t="s">
        <v>4240</v>
      </c>
      <c r="FJ160" s="394" t="s">
        <v>4240</v>
      </c>
      <c r="FK160" s="394"/>
      <c r="FL160" s="394" t="s">
        <v>4240</v>
      </c>
      <c r="FM160" s="225" t="s">
        <v>4239</v>
      </c>
      <c r="FN160" s="225"/>
      <c r="FO160" s="394" t="s">
        <v>4238</v>
      </c>
      <c r="FP160" s="394"/>
      <c r="FQ160" s="394" t="s">
        <v>4237</v>
      </c>
      <c r="FR160" s="394" t="s">
        <v>4236</v>
      </c>
      <c r="FS160" s="394"/>
      <c r="FT160" s="394" t="s">
        <v>4235</v>
      </c>
      <c r="FU160" s="226"/>
      <c r="FV160" s="394" t="s">
        <v>4235</v>
      </c>
      <c r="FW160" s="394" t="s">
        <v>4234</v>
      </c>
      <c r="FX160" s="394" t="s">
        <v>4234</v>
      </c>
      <c r="FY160" s="226"/>
      <c r="FZ160" s="394">
        <v>83533521666</v>
      </c>
      <c r="GA160" s="394" t="s">
        <v>4233</v>
      </c>
      <c r="GB160" s="394" t="s">
        <v>4233</v>
      </c>
      <c r="GC160" s="394"/>
      <c r="GD160" s="394" t="s">
        <v>4232</v>
      </c>
      <c r="GE160" s="394">
        <v>83535223668</v>
      </c>
      <c r="GF160" s="394">
        <v>83535223668</v>
      </c>
      <c r="GG160" s="394" t="s">
        <v>4231</v>
      </c>
      <c r="GH160" s="394" t="s">
        <v>4230</v>
      </c>
      <c r="GI160" s="226"/>
      <c r="GJ160" s="394" t="s">
        <v>4229</v>
      </c>
      <c r="GK160" s="394">
        <v>83534530079</v>
      </c>
      <c r="GL160" s="394" t="s">
        <v>4228</v>
      </c>
      <c r="GM160" s="394">
        <v>83532446668</v>
      </c>
      <c r="GN160" s="394">
        <v>83532446668</v>
      </c>
      <c r="GO160" s="226"/>
      <c r="GP160" s="394" t="s">
        <v>4227</v>
      </c>
      <c r="GQ160" s="226"/>
      <c r="GR160" s="394">
        <v>23533121341</v>
      </c>
      <c r="GS160" s="394" t="s">
        <v>4226</v>
      </c>
      <c r="GT160" s="394"/>
      <c r="GU160" s="394" t="s">
        <v>4225</v>
      </c>
      <c r="GV160" s="394">
        <v>83533221372</v>
      </c>
      <c r="GW160" s="226"/>
      <c r="GX160" s="225" t="s">
        <v>4224</v>
      </c>
      <c r="GY160" s="225" t="s">
        <v>4224</v>
      </c>
      <c r="GZ160" s="394" t="s">
        <v>4223</v>
      </c>
      <c r="HA160" s="225"/>
      <c r="HB160" s="225" t="s">
        <v>4222</v>
      </c>
      <c r="HC160" s="225" t="s">
        <v>4221</v>
      </c>
      <c r="HD160" s="225">
        <v>83426045569</v>
      </c>
      <c r="HE160" s="225" t="s">
        <v>4220</v>
      </c>
      <c r="HF160" s="226"/>
      <c r="HG160" s="227" t="s">
        <v>4219</v>
      </c>
      <c r="HH160" s="227" t="s">
        <v>3802</v>
      </c>
      <c r="HI160" s="227" t="s">
        <v>3801</v>
      </c>
      <c r="HJ160" s="225" t="s">
        <v>4218</v>
      </c>
      <c r="HK160" s="227" t="s">
        <v>3800</v>
      </c>
      <c r="HL160" s="226"/>
      <c r="HM160" s="225" t="s">
        <v>4217</v>
      </c>
      <c r="HN160" s="226"/>
      <c r="HO160" s="225" t="s">
        <v>4216</v>
      </c>
      <c r="HP160" s="225" t="s">
        <v>4215</v>
      </c>
      <c r="HQ160" s="225">
        <v>9331517</v>
      </c>
      <c r="HR160" s="225">
        <v>9331517</v>
      </c>
      <c r="HS160" s="224" t="s">
        <v>4214</v>
      </c>
      <c r="HT160" s="224" t="s">
        <v>4214</v>
      </c>
      <c r="HU160" s="225" t="s">
        <v>4213</v>
      </c>
      <c r="HV160" s="225" t="s">
        <v>4212</v>
      </c>
      <c r="HW160" s="225" t="s">
        <v>4211</v>
      </c>
      <c r="HX160" s="225" t="s">
        <v>4210</v>
      </c>
      <c r="HY160" s="225" t="s">
        <v>4209</v>
      </c>
      <c r="HZ160" s="228" t="s">
        <v>4208</v>
      </c>
      <c r="IA160" s="225">
        <v>89277738122</v>
      </c>
      <c r="IB160" s="225">
        <v>88465422082</v>
      </c>
      <c r="IC160" s="225">
        <v>88465422082</v>
      </c>
      <c r="ID160" s="225">
        <v>88466040281</v>
      </c>
      <c r="IE160" s="225">
        <v>88466047232</v>
      </c>
      <c r="IF160" s="225">
        <v>88466042035</v>
      </c>
      <c r="IG160" s="225" t="s">
        <v>4207</v>
      </c>
      <c r="IH160" s="229">
        <v>88466039139</v>
      </c>
      <c r="II160" s="225">
        <v>89376532777</v>
      </c>
      <c r="IJ160" s="225">
        <v>88466031543</v>
      </c>
      <c r="IK160" s="225">
        <v>88466031543</v>
      </c>
      <c r="IL160" s="225" t="s">
        <v>4206</v>
      </c>
      <c r="IM160" s="225" t="s">
        <v>4205</v>
      </c>
      <c r="IN160" s="322">
        <v>88466032516</v>
      </c>
      <c r="IO160" s="225">
        <v>88466022334</v>
      </c>
      <c r="IP160" s="225">
        <v>88466022334</v>
      </c>
      <c r="IQ160" s="225">
        <v>88466022334</v>
      </c>
      <c r="IR160" s="225">
        <v>89608250958</v>
      </c>
      <c r="IS160" s="225">
        <v>88466029517</v>
      </c>
      <c r="IT160" s="225">
        <v>88466023800</v>
      </c>
      <c r="IU160" s="225">
        <v>88466025209</v>
      </c>
      <c r="IV160" s="225">
        <v>88466024254</v>
      </c>
      <c r="IW160" s="225">
        <v>88466026643</v>
      </c>
      <c r="IX160" s="225">
        <v>88466355224</v>
      </c>
      <c r="IY160" s="225">
        <v>89379995556</v>
      </c>
      <c r="IZ160" s="225" t="s">
        <v>3792</v>
      </c>
      <c r="JA160" s="225" t="s">
        <v>3792</v>
      </c>
      <c r="JB160" s="225" t="s">
        <v>3792</v>
      </c>
      <c r="JC160" s="225" t="s">
        <v>4204</v>
      </c>
      <c r="JD160" s="225" t="s">
        <v>3790</v>
      </c>
      <c r="JE160" s="226"/>
      <c r="JF160" s="226"/>
      <c r="JG160" s="226"/>
      <c r="JH160" s="225" t="s">
        <v>4203</v>
      </c>
      <c r="JI160" s="225" t="s">
        <v>4202</v>
      </c>
      <c r="JJ160" s="225" t="s">
        <v>4201</v>
      </c>
      <c r="JK160" s="237" t="s">
        <v>4200</v>
      </c>
      <c r="JL160" s="225" t="s">
        <v>4199</v>
      </c>
      <c r="JM160" s="225" t="s">
        <v>4198</v>
      </c>
      <c r="JN160" s="226"/>
      <c r="JO160" s="226"/>
      <c r="JP160" s="226"/>
      <c r="JQ160" s="225" t="s">
        <v>4197</v>
      </c>
      <c r="JR160" s="225" t="s">
        <v>4196</v>
      </c>
      <c r="JS160" s="225" t="s">
        <v>4195</v>
      </c>
      <c r="JT160" s="225" t="s">
        <v>4194</v>
      </c>
      <c r="JU160" s="225" t="s">
        <v>4193</v>
      </c>
      <c r="JV160" s="225" t="s">
        <v>4193</v>
      </c>
      <c r="JW160" s="225" t="s">
        <v>4192</v>
      </c>
      <c r="JX160" s="393" t="s">
        <v>4191</v>
      </c>
      <c r="JY160" s="225" t="s">
        <v>4190</v>
      </c>
      <c r="JZ160" s="225" t="s">
        <v>4189</v>
      </c>
      <c r="KA160" s="225" t="s">
        <v>4188</v>
      </c>
      <c r="KB160" s="225" t="s">
        <v>4187</v>
      </c>
      <c r="KC160" s="393" t="s">
        <v>4186</v>
      </c>
      <c r="KD160" s="225" t="s">
        <v>4185</v>
      </c>
      <c r="KE160" s="232" t="s">
        <v>4184</v>
      </c>
      <c r="KF160" s="225" t="s">
        <v>4183</v>
      </c>
      <c r="KG160" s="225" t="s">
        <v>4182</v>
      </c>
      <c r="KH160" s="225" t="s">
        <v>4181</v>
      </c>
      <c r="KI160" s="225" t="s">
        <v>4180</v>
      </c>
      <c r="KJ160" s="225">
        <v>88654742125</v>
      </c>
      <c r="KK160" s="225">
        <v>8654740494</v>
      </c>
      <c r="KL160" s="394" t="s">
        <v>4179</v>
      </c>
      <c r="KM160" s="225" t="s">
        <v>4178</v>
      </c>
      <c r="KN160" s="225" t="s">
        <v>4177</v>
      </c>
      <c r="KO160" s="225">
        <v>88654631137</v>
      </c>
      <c r="KP160" s="225">
        <v>84755841755</v>
      </c>
      <c r="KQ160" s="226"/>
      <c r="KR160" s="226"/>
      <c r="KS160" s="226"/>
      <c r="KT160" s="226"/>
      <c r="KU160" s="226"/>
      <c r="KV160" s="225" t="s">
        <v>4176</v>
      </c>
      <c r="KW160" s="225" t="s">
        <v>3786</v>
      </c>
      <c r="KX160" s="228" t="s">
        <v>9173</v>
      </c>
      <c r="KY160" s="793" t="s">
        <v>9292</v>
      </c>
      <c r="KZ160" s="225" t="s">
        <v>9173</v>
      </c>
      <c r="LA160" s="225" t="s">
        <v>9264</v>
      </c>
      <c r="LB160" s="225" t="s">
        <v>9246</v>
      </c>
      <c r="LC160" s="224" t="s">
        <v>9231</v>
      </c>
      <c r="LD160" s="225" t="s">
        <v>9173</v>
      </c>
      <c r="LE160" s="225" t="s">
        <v>9206</v>
      </c>
      <c r="LF160" s="225" t="s">
        <v>9173</v>
      </c>
      <c r="LG160" s="225" t="s">
        <v>9173</v>
      </c>
      <c r="LH160" s="225" t="s">
        <v>9173</v>
      </c>
      <c r="LI160" s="224" t="s">
        <v>9156</v>
      </c>
      <c r="LJ160" s="225">
        <v>88424021683</v>
      </c>
      <c r="LK160" s="225" t="s">
        <v>4175</v>
      </c>
      <c r="LL160" s="225" t="s">
        <v>4174</v>
      </c>
      <c r="LM160" s="226"/>
      <c r="LN160" s="225" t="s">
        <v>4173</v>
      </c>
      <c r="LO160" s="225">
        <v>89825887108</v>
      </c>
      <c r="LP160" s="225" t="s">
        <v>4172</v>
      </c>
      <c r="LQ160" s="225" t="s">
        <v>4171</v>
      </c>
      <c r="LR160" s="225" t="s">
        <v>4170</v>
      </c>
      <c r="LS160" s="225" t="s">
        <v>4169</v>
      </c>
      <c r="LT160" s="234" t="s">
        <v>4168</v>
      </c>
      <c r="LU160" s="225" t="s">
        <v>4167</v>
      </c>
      <c r="LV160" s="225" t="s">
        <v>4167</v>
      </c>
      <c r="LW160" s="225" t="s">
        <v>4166</v>
      </c>
      <c r="LX160" s="225" t="s">
        <v>3784</v>
      </c>
      <c r="LY160" s="225" t="s">
        <v>3783</v>
      </c>
      <c r="LZ160" s="225" t="s">
        <v>3782</v>
      </c>
      <c r="MA160" s="225" t="s">
        <v>3781</v>
      </c>
      <c r="MB160" s="225" t="s">
        <v>4165</v>
      </c>
      <c r="MC160" s="225" t="s">
        <v>4164</v>
      </c>
      <c r="MD160" s="225" t="s">
        <v>3778</v>
      </c>
      <c r="ME160" s="225" t="s">
        <v>4163</v>
      </c>
      <c r="MF160" s="225" t="s">
        <v>4162</v>
      </c>
      <c r="MG160" s="226"/>
      <c r="MH160" s="226"/>
      <c r="MI160" s="226"/>
      <c r="MJ160" s="235" t="s">
        <v>4161</v>
      </c>
      <c r="MK160" s="235"/>
      <c r="ML160" s="235" t="s">
        <v>4160</v>
      </c>
      <c r="MM160" s="235" t="s">
        <v>4159</v>
      </c>
      <c r="MN160" s="236" t="s">
        <v>4158</v>
      </c>
      <c r="MO160" s="236" t="s">
        <v>4157</v>
      </c>
      <c r="MP160" s="236" t="s">
        <v>4156</v>
      </c>
      <c r="MQ160" s="236" t="s">
        <v>4155</v>
      </c>
      <c r="MR160" s="236" t="s">
        <v>4154</v>
      </c>
      <c r="MS160" s="236" t="s">
        <v>4153</v>
      </c>
      <c r="MT160" s="235">
        <v>1190</v>
      </c>
      <c r="MU160" s="236" t="s">
        <v>4152</v>
      </c>
      <c r="MV160" s="235" t="s">
        <v>4151</v>
      </c>
      <c r="MW160" s="235" t="s">
        <v>4150</v>
      </c>
      <c r="MX160" s="226"/>
      <c r="MY160" s="226"/>
      <c r="MZ160" s="226"/>
      <c r="NA160" s="226"/>
    </row>
    <row r="161" spans="1:365" ht="170" x14ac:dyDescent="0.2">
      <c r="A161" s="1216"/>
      <c r="B161" s="201" t="s">
        <v>287</v>
      </c>
      <c r="C161" s="202" t="s">
        <v>288</v>
      </c>
      <c r="D161" s="215" t="s">
        <v>289</v>
      </c>
      <c r="E161" s="260" t="s">
        <v>4149</v>
      </c>
      <c r="F161" s="260" t="s">
        <v>4149</v>
      </c>
      <c r="G161" s="263" t="s">
        <v>4148</v>
      </c>
      <c r="H161" s="263" t="s">
        <v>4147</v>
      </c>
      <c r="I161" s="224" t="s">
        <v>4146</v>
      </c>
      <c r="J161" s="263" t="s">
        <v>4145</v>
      </c>
      <c r="K161" s="392" t="s">
        <v>4144</v>
      </c>
      <c r="L161" s="392" t="s">
        <v>4143</v>
      </c>
      <c r="M161" s="263" t="s">
        <v>4142</v>
      </c>
      <c r="N161" s="263" t="s">
        <v>4142</v>
      </c>
      <c r="O161" s="263" t="s">
        <v>4141</v>
      </c>
      <c r="P161" s="494" t="s">
        <v>4140</v>
      </c>
      <c r="Q161" s="264" t="s">
        <v>4139</v>
      </c>
      <c r="R161" s="322"/>
      <c r="S161" s="422" t="s">
        <v>4138</v>
      </c>
      <c r="T161" s="225" t="s">
        <v>4137</v>
      </c>
      <c r="U161" s="263" t="s">
        <v>4136</v>
      </c>
      <c r="V161" s="225" t="s">
        <v>4135</v>
      </c>
      <c r="W161" s="226"/>
      <c r="X161" s="226"/>
      <c r="Y161" s="226"/>
      <c r="Z161" s="226"/>
      <c r="AA161" s="226"/>
      <c r="AB161" s="226"/>
      <c r="AC161" s="226"/>
      <c r="AD161" s="226"/>
      <c r="AE161" s="226"/>
      <c r="AF161" s="225" t="s">
        <v>4134</v>
      </c>
      <c r="AG161" s="225" t="s">
        <v>4133</v>
      </c>
      <c r="AH161" s="226"/>
      <c r="AI161" s="260" t="s">
        <v>3773</v>
      </c>
      <c r="AJ161" s="264" t="s">
        <v>4132</v>
      </c>
      <c r="AK161" s="424" t="s">
        <v>4131</v>
      </c>
      <c r="AL161" s="260" t="s">
        <v>3770</v>
      </c>
      <c r="AM161" s="226"/>
      <c r="AN161" s="226"/>
      <c r="AO161" s="226"/>
      <c r="AP161" s="226"/>
      <c r="AQ161" s="264" t="s">
        <v>4130</v>
      </c>
      <c r="AR161" s="263" t="s">
        <v>4129</v>
      </c>
      <c r="AS161" s="263" t="s">
        <v>4129</v>
      </c>
      <c r="AT161" s="260" t="s">
        <v>4128</v>
      </c>
      <c r="AU161" s="260" t="s">
        <v>4127</v>
      </c>
      <c r="AV161" s="225" t="s">
        <v>4126</v>
      </c>
      <c r="AW161" s="264" t="s">
        <v>4125</v>
      </c>
      <c r="AX161" s="260" t="s">
        <v>4124</v>
      </c>
      <c r="AY161" s="424" t="s">
        <v>9501</v>
      </c>
      <c r="AZ161" s="225" t="s">
        <v>4123</v>
      </c>
      <c r="BA161" s="260" t="s">
        <v>4122</v>
      </c>
      <c r="BB161" s="260" t="s">
        <v>4121</v>
      </c>
      <c r="BC161" s="225" t="s">
        <v>4120</v>
      </c>
      <c r="BD161" s="260" t="s">
        <v>4119</v>
      </c>
      <c r="BE161" s="424" t="s">
        <v>4118</v>
      </c>
      <c r="BF161" s="264" t="s">
        <v>4117</v>
      </c>
      <c r="BG161" s="260" t="s">
        <v>4116</v>
      </c>
      <c r="BH161" s="225" t="s">
        <v>4115</v>
      </c>
      <c r="BI161" s="260" t="s">
        <v>4114</v>
      </c>
      <c r="BJ161" s="264" t="s">
        <v>4113</v>
      </c>
      <c r="BK161" s="260" t="s">
        <v>4112</v>
      </c>
      <c r="BL161" s="225" t="s">
        <v>4111</v>
      </c>
      <c r="BM161" s="264" t="s">
        <v>4110</v>
      </c>
      <c r="BN161" s="226"/>
      <c r="BO161" s="264" t="s">
        <v>3763</v>
      </c>
      <c r="BP161" s="264" t="s">
        <v>4109</v>
      </c>
      <c r="BQ161" s="495" t="s">
        <v>3762</v>
      </c>
      <c r="BR161" s="233" t="s">
        <v>4108</v>
      </c>
      <c r="BS161" s="225"/>
      <c r="BT161" s="264" t="s">
        <v>3761</v>
      </c>
      <c r="BU161" s="264" t="s">
        <v>3760</v>
      </c>
      <c r="BV161" s="260" t="s">
        <v>3759</v>
      </c>
      <c r="BW161" s="264" t="s">
        <v>4107</v>
      </c>
      <c r="BX161" s="264" t="s">
        <v>4106</v>
      </c>
      <c r="BY161" s="260" t="s">
        <v>3757</v>
      </c>
      <c r="BZ161" s="225" t="s">
        <v>3756</v>
      </c>
      <c r="CA161" s="264" t="s">
        <v>4105</v>
      </c>
      <c r="CB161" s="264" t="s">
        <v>4105</v>
      </c>
      <c r="CC161" s="263" t="s">
        <v>4104</v>
      </c>
      <c r="CD161" s="278" t="s">
        <v>4103</v>
      </c>
      <c r="CE161" s="229"/>
      <c r="CF161" s="278" t="s">
        <v>4102</v>
      </c>
      <c r="CG161" s="225" t="s">
        <v>3754</v>
      </c>
      <c r="CH161" s="278" t="s">
        <v>4101</v>
      </c>
      <c r="CI161" s="229" t="s">
        <v>4100</v>
      </c>
      <c r="CJ161" s="278" t="s">
        <v>4099</v>
      </c>
      <c r="CK161" s="278" t="s">
        <v>4098</v>
      </c>
      <c r="CL161" s="425" t="s">
        <v>4097</v>
      </c>
      <c r="CM161" s="425" t="s">
        <v>3752</v>
      </c>
      <c r="CN161" s="260" t="s">
        <v>3751</v>
      </c>
      <c r="CO161" s="225" t="s">
        <v>3750</v>
      </c>
      <c r="CP161" s="264" t="s">
        <v>4096</v>
      </c>
      <c r="CQ161" s="406" t="s">
        <v>3748</v>
      </c>
      <c r="CR161" s="388" t="s">
        <v>4095</v>
      </c>
      <c r="CS161" s="260" t="s">
        <v>4094</v>
      </c>
      <c r="CT161" s="279" t="s">
        <v>4093</v>
      </c>
      <c r="CU161" s="402" t="s">
        <v>4092</v>
      </c>
      <c r="CV161" s="260" t="s">
        <v>4091</v>
      </c>
      <c r="CW161" s="279" t="s">
        <v>4090</v>
      </c>
      <c r="CX161" s="260" t="s">
        <v>4089</v>
      </c>
      <c r="CY161" s="260" t="s">
        <v>4088</v>
      </c>
      <c r="CZ161" s="260" t="s">
        <v>4087</v>
      </c>
      <c r="DA161" s="260" t="s">
        <v>4086</v>
      </c>
      <c r="DB161" s="403" t="s">
        <v>3745</v>
      </c>
      <c r="DC161" s="260" t="s">
        <v>4085</v>
      </c>
      <c r="DD161" s="260" t="s">
        <v>4084</v>
      </c>
      <c r="DE161" s="264" t="s">
        <v>3743</v>
      </c>
      <c r="DF161" s="260" t="s">
        <v>4083</v>
      </c>
      <c r="DG161" s="225" t="s">
        <v>4082</v>
      </c>
      <c r="DH161" s="260" t="s">
        <v>3740</v>
      </c>
      <c r="DI161" s="279" t="s">
        <v>3739</v>
      </c>
      <c r="DJ161" s="426" t="s">
        <v>3738</v>
      </c>
      <c r="DK161" s="260" t="s">
        <v>3737</v>
      </c>
      <c r="DL161" s="260" t="s">
        <v>4081</v>
      </c>
      <c r="DM161" s="260" t="s">
        <v>4080</v>
      </c>
      <c r="DN161" s="279" t="s">
        <v>4080</v>
      </c>
      <c r="DO161" s="260" t="s">
        <v>4079</v>
      </c>
      <c r="DP161" s="225" t="s">
        <v>4078</v>
      </c>
      <c r="DQ161" s="264" t="s">
        <v>4077</v>
      </c>
      <c r="DR161" s="225" t="s">
        <v>4076</v>
      </c>
      <c r="DS161" s="264" t="s">
        <v>4075</v>
      </c>
      <c r="DT161" s="424" t="s">
        <v>4074</v>
      </c>
      <c r="DU161" s="260" t="s">
        <v>4073</v>
      </c>
      <c r="DV161" s="260" t="s">
        <v>4072</v>
      </c>
      <c r="DW161" s="263" t="s">
        <v>3733</v>
      </c>
      <c r="DX161" s="264" t="s">
        <v>4071</v>
      </c>
      <c r="DY161" s="263" t="s">
        <v>4070</v>
      </c>
      <c r="DZ161" s="263" t="s">
        <v>4069</v>
      </c>
      <c r="EA161" s="263" t="s">
        <v>4068</v>
      </c>
      <c r="EB161" s="263" t="s">
        <v>4067</v>
      </c>
      <c r="EC161" s="226"/>
      <c r="ED161" s="263" t="s">
        <v>4066</v>
      </c>
      <c r="EE161" s="263" t="s">
        <v>3730</v>
      </c>
      <c r="EF161" s="263" t="s">
        <v>4066</v>
      </c>
      <c r="EG161" s="226"/>
      <c r="EH161" s="260" t="s">
        <v>4065</v>
      </c>
      <c r="EI161" s="225" t="s">
        <v>4064</v>
      </c>
      <c r="EJ161" s="226"/>
      <c r="EK161" s="226"/>
      <c r="EL161" s="226"/>
      <c r="EM161" s="226"/>
      <c r="EN161" s="226"/>
      <c r="EO161" s="226"/>
      <c r="EP161" s="226"/>
      <c r="EQ161" s="226"/>
      <c r="ER161" s="263" t="s">
        <v>4063</v>
      </c>
      <c r="ES161" s="263" t="s">
        <v>4062</v>
      </c>
      <c r="ET161" s="225" t="s">
        <v>4061</v>
      </c>
      <c r="EU161" s="225" t="s">
        <v>4061</v>
      </c>
      <c r="EV161" s="225" t="s">
        <v>4061</v>
      </c>
      <c r="EW161" s="264" t="s">
        <v>4060</v>
      </c>
      <c r="EX161" s="263" t="s">
        <v>4059</v>
      </c>
      <c r="EY161" s="260" t="s">
        <v>4058</v>
      </c>
      <c r="EZ161" s="496" t="s">
        <v>4057</v>
      </c>
      <c r="FA161" s="264" t="s">
        <v>4056</v>
      </c>
      <c r="FB161" s="260" t="s">
        <v>4055</v>
      </c>
      <c r="FC161" s="264" t="s">
        <v>4054</v>
      </c>
      <c r="FD161" s="226"/>
      <c r="FE161" s="404" t="s">
        <v>4053</v>
      </c>
      <c r="FF161" s="426" t="s">
        <v>4052</v>
      </c>
      <c r="FG161" s="263" t="s">
        <v>4051</v>
      </c>
      <c r="FH161" s="225" t="s">
        <v>4050</v>
      </c>
      <c r="FI161" s="394" t="s">
        <v>4049</v>
      </c>
      <c r="FJ161" s="394" t="s">
        <v>4049</v>
      </c>
      <c r="FK161" s="394"/>
      <c r="FL161" s="394" t="s">
        <v>4049</v>
      </c>
      <c r="FM161" s="428" t="s">
        <v>4048</v>
      </c>
      <c r="FN161" s="428"/>
      <c r="FO161" s="388" t="s">
        <v>4047</v>
      </c>
      <c r="FP161" s="388"/>
      <c r="FQ161" s="394" t="s">
        <v>4046</v>
      </c>
      <c r="FR161" s="388" t="s">
        <v>4045</v>
      </c>
      <c r="FS161" s="388"/>
      <c r="FT161" s="388" t="s">
        <v>4044</v>
      </c>
      <c r="FU161" s="226"/>
      <c r="FV161" s="388" t="s">
        <v>4044</v>
      </c>
      <c r="FW161" s="388" t="s">
        <v>4043</v>
      </c>
      <c r="FX161" s="388" t="s">
        <v>4043</v>
      </c>
      <c r="FY161" s="226"/>
      <c r="FZ161" s="394" t="s">
        <v>4042</v>
      </c>
      <c r="GA161" s="394" t="s">
        <v>4041</v>
      </c>
      <c r="GB161" s="394" t="s">
        <v>4041</v>
      </c>
      <c r="GC161" s="394"/>
      <c r="GD161" s="388" t="s">
        <v>4040</v>
      </c>
      <c r="GE161" s="388" t="s">
        <v>4039</v>
      </c>
      <c r="GF161" s="388" t="s">
        <v>4039</v>
      </c>
      <c r="GG161" s="388" t="s">
        <v>4038</v>
      </c>
      <c r="GH161" s="388" t="s">
        <v>4037</v>
      </c>
      <c r="GI161" s="226"/>
      <c r="GJ161" s="388" t="s">
        <v>4036</v>
      </c>
      <c r="GK161" s="388" t="s">
        <v>4035</v>
      </c>
      <c r="GL161" s="388" t="s">
        <v>4034</v>
      </c>
      <c r="GM161" s="388" t="s">
        <v>4033</v>
      </c>
      <c r="GN161" s="388" t="s">
        <v>4033</v>
      </c>
      <c r="GO161" s="226"/>
      <c r="GP161" s="388" t="s">
        <v>4032</v>
      </c>
      <c r="GQ161" s="226"/>
      <c r="GR161" s="388" t="s">
        <v>4031</v>
      </c>
      <c r="GS161" s="388" t="s">
        <v>4030</v>
      </c>
      <c r="GT161" s="388"/>
      <c r="GU161" s="388" t="s">
        <v>4029</v>
      </c>
      <c r="GV161" s="388" t="s">
        <v>4028</v>
      </c>
      <c r="GW161" s="226"/>
      <c r="GX161" s="260" t="s">
        <v>4027</v>
      </c>
      <c r="GY161" s="260" t="s">
        <v>4027</v>
      </c>
      <c r="GZ161" s="394" t="s">
        <v>4026</v>
      </c>
      <c r="HA161" s="225"/>
      <c r="HB161" s="260" t="s">
        <v>4025</v>
      </c>
      <c r="HC161" s="225" t="s">
        <v>4024</v>
      </c>
      <c r="HD161" s="260" t="s">
        <v>4023</v>
      </c>
      <c r="HE161" s="225" t="s">
        <v>4022</v>
      </c>
      <c r="HF161" s="226"/>
      <c r="HG161" s="261" t="s">
        <v>4021</v>
      </c>
      <c r="HH161" s="262" t="s">
        <v>3724</v>
      </c>
      <c r="HI161" s="261" t="s">
        <v>3723</v>
      </c>
      <c r="HJ161" s="263" t="s">
        <v>4020</v>
      </c>
      <c r="HK161" s="261" t="s">
        <v>3722</v>
      </c>
      <c r="HL161" s="226"/>
      <c r="HM161" s="263" t="s">
        <v>4019</v>
      </c>
      <c r="HN161" s="226"/>
      <c r="HO161" s="260" t="s">
        <v>4018</v>
      </c>
      <c r="HP161" s="225" t="s">
        <v>4017</v>
      </c>
      <c r="HQ161" s="260" t="s">
        <v>4016</v>
      </c>
      <c r="HR161" s="260" t="s">
        <v>4016</v>
      </c>
      <c r="HS161" s="260" t="s">
        <v>4015</v>
      </c>
      <c r="HT161" s="260" t="s">
        <v>4015</v>
      </c>
      <c r="HU161" s="260" t="s">
        <v>4014</v>
      </c>
      <c r="HV161" s="265" t="s">
        <v>4013</v>
      </c>
      <c r="HW161" s="225" t="s">
        <v>4012</v>
      </c>
      <c r="HX161" s="225" t="s">
        <v>4011</v>
      </c>
      <c r="HY161" s="266" t="s">
        <v>4010</v>
      </c>
      <c r="HZ161" s="395" t="s">
        <v>4009</v>
      </c>
      <c r="IA161" s="260" t="s">
        <v>4008</v>
      </c>
      <c r="IB161" s="260" t="s">
        <v>3715</v>
      </c>
      <c r="IC161" s="260" t="s">
        <v>3715</v>
      </c>
      <c r="ID161" s="260" t="s">
        <v>4007</v>
      </c>
      <c r="IE161" s="264" t="s">
        <v>4006</v>
      </c>
      <c r="IF161" s="260" t="s">
        <v>4005</v>
      </c>
      <c r="IG161" s="225" t="s">
        <v>4004</v>
      </c>
      <c r="IH161" s="260" t="s">
        <v>4003</v>
      </c>
      <c r="II161" s="260" t="s">
        <v>4002</v>
      </c>
      <c r="IJ161" s="260" t="s">
        <v>4001</v>
      </c>
      <c r="IK161" s="260" t="s">
        <v>4001</v>
      </c>
      <c r="IL161" s="260" t="s">
        <v>4000</v>
      </c>
      <c r="IM161" s="260" t="s">
        <v>3999</v>
      </c>
      <c r="IN161" s="260" t="s">
        <v>3998</v>
      </c>
      <c r="IO161" s="260" t="s">
        <v>3997</v>
      </c>
      <c r="IP161" s="260" t="s">
        <v>3997</v>
      </c>
      <c r="IQ161" s="260" t="s">
        <v>3997</v>
      </c>
      <c r="IR161" s="260" t="s">
        <v>3996</v>
      </c>
      <c r="IS161" s="260" t="s">
        <v>3995</v>
      </c>
      <c r="IT161" s="260" t="s">
        <v>3994</v>
      </c>
      <c r="IU161" s="260" t="s">
        <v>3993</v>
      </c>
      <c r="IV161" s="260" t="s">
        <v>3992</v>
      </c>
      <c r="IW161" s="260" t="s">
        <v>3991</v>
      </c>
      <c r="IX161" s="260" t="s">
        <v>3990</v>
      </c>
      <c r="IY161" s="260" t="s">
        <v>3989</v>
      </c>
      <c r="IZ161" s="226" t="s">
        <v>3713</v>
      </c>
      <c r="JA161" s="226" t="s">
        <v>3713</v>
      </c>
      <c r="JB161" s="226" t="s">
        <v>3713</v>
      </c>
      <c r="JC161" s="225" t="s">
        <v>3988</v>
      </c>
      <c r="JD161" s="264" t="s">
        <v>3711</v>
      </c>
      <c r="JE161" s="226"/>
      <c r="JF161" s="226"/>
      <c r="JG161" s="226"/>
      <c r="JH161" s="263" t="s">
        <v>3987</v>
      </c>
      <c r="JI161" s="279" t="s">
        <v>3986</v>
      </c>
      <c r="JJ161" s="263" t="s">
        <v>3985</v>
      </c>
      <c r="JK161" s="396" t="s">
        <v>3984</v>
      </c>
      <c r="JL161" s="263" t="s">
        <v>3983</v>
      </c>
      <c r="JM161" s="225" t="s">
        <v>3982</v>
      </c>
      <c r="JN161" s="226"/>
      <c r="JO161" s="226"/>
      <c r="JP161" s="226"/>
      <c r="JQ161" s="225" t="s">
        <v>3981</v>
      </c>
      <c r="JR161" s="225" t="s">
        <v>3980</v>
      </c>
      <c r="JS161" s="225" t="s">
        <v>3979</v>
      </c>
      <c r="JT161" s="260" t="s">
        <v>3978</v>
      </c>
      <c r="JU161" s="260" t="s">
        <v>3977</v>
      </c>
      <c r="JV161" s="260" t="s">
        <v>3977</v>
      </c>
      <c r="JW161" s="260" t="s">
        <v>3976</v>
      </c>
      <c r="JX161" s="225" t="s">
        <v>3975</v>
      </c>
      <c r="JY161" s="225" t="s">
        <v>3974</v>
      </c>
      <c r="JZ161" s="225" t="s">
        <v>3973</v>
      </c>
      <c r="KA161" s="260" t="s">
        <v>3972</v>
      </c>
      <c r="KB161" s="260" t="s">
        <v>3971</v>
      </c>
      <c r="KC161" s="225" t="s">
        <v>3970</v>
      </c>
      <c r="KD161" s="225" t="s">
        <v>3969</v>
      </c>
      <c r="KE161" s="232" t="s">
        <v>3968</v>
      </c>
      <c r="KF161" s="260" t="s">
        <v>3967</v>
      </c>
      <c r="KG161" s="260" t="s">
        <v>3966</v>
      </c>
      <c r="KH161" s="260" t="s">
        <v>3965</v>
      </c>
      <c r="KI161" s="264" t="s">
        <v>3964</v>
      </c>
      <c r="KJ161" s="260" t="s">
        <v>3963</v>
      </c>
      <c r="KK161" s="264" t="s">
        <v>3962</v>
      </c>
      <c r="KL161" s="388" t="s">
        <v>3961</v>
      </c>
      <c r="KM161" s="225" t="s">
        <v>3960</v>
      </c>
      <c r="KN161" s="225" t="s">
        <v>3959</v>
      </c>
      <c r="KO161" s="264" t="s">
        <v>3958</v>
      </c>
      <c r="KP161" s="264" t="s">
        <v>3957</v>
      </c>
      <c r="KQ161" s="226"/>
      <c r="KR161" s="226"/>
      <c r="KS161" s="226"/>
      <c r="KT161" s="226"/>
      <c r="KU161" s="226"/>
      <c r="KV161" s="225" t="s">
        <v>3956</v>
      </c>
      <c r="KW161" s="263" t="s">
        <v>3708</v>
      </c>
      <c r="KX161" s="798" t="s">
        <v>9174</v>
      </c>
      <c r="KY161" s="793" t="s">
        <v>9293</v>
      </c>
      <c r="KZ161" s="264" t="s">
        <v>9174</v>
      </c>
      <c r="LA161" s="264" t="s">
        <v>9265</v>
      </c>
      <c r="LB161" s="264" t="s">
        <v>9247</v>
      </c>
      <c r="LC161" s="264" t="s">
        <v>9232</v>
      </c>
      <c r="LD161" s="264" t="s">
        <v>9174</v>
      </c>
      <c r="LE161" s="263" t="s">
        <v>9207</v>
      </c>
      <c r="LF161" s="225" t="s">
        <v>9174</v>
      </c>
      <c r="LG161" s="264" t="s">
        <v>9185</v>
      </c>
      <c r="LH161" s="264" t="s">
        <v>9174</v>
      </c>
      <c r="LI161" s="397" t="s">
        <v>9157</v>
      </c>
      <c r="LJ161" s="263" t="s">
        <v>9140</v>
      </c>
      <c r="LK161" s="263" t="s">
        <v>3955</v>
      </c>
      <c r="LL161" s="263" t="s">
        <v>3954</v>
      </c>
      <c r="LM161" s="226"/>
      <c r="LN161" s="264" t="s">
        <v>3953</v>
      </c>
      <c r="LO161" s="260" t="s">
        <v>3952</v>
      </c>
      <c r="LP161" s="225" t="s">
        <v>3951</v>
      </c>
      <c r="LQ161" s="225" t="s">
        <v>3950</v>
      </c>
      <c r="LR161" s="225" t="s">
        <v>3949</v>
      </c>
      <c r="LS161" s="260" t="s">
        <v>3948</v>
      </c>
      <c r="LT161" s="268" t="s">
        <v>3947</v>
      </c>
      <c r="LU161" s="260" t="s">
        <v>3946</v>
      </c>
      <c r="LV161" s="260" t="s">
        <v>3946</v>
      </c>
      <c r="LW161" s="225" t="s">
        <v>3945</v>
      </c>
      <c r="LX161" s="264" t="s">
        <v>3706</v>
      </c>
      <c r="LY161" s="260" t="s">
        <v>3705</v>
      </c>
      <c r="LZ161" s="260" t="s">
        <v>3704</v>
      </c>
      <c r="MA161" s="264" t="s">
        <v>3944</v>
      </c>
      <c r="MB161" s="264" t="s">
        <v>3702</v>
      </c>
      <c r="MC161" s="260" t="s">
        <v>3943</v>
      </c>
      <c r="MD161" s="260" t="s">
        <v>3700</v>
      </c>
      <c r="ME161" s="260" t="s">
        <v>3942</v>
      </c>
      <c r="MF161" s="225" t="s">
        <v>3941</v>
      </c>
      <c r="MG161" s="226"/>
      <c r="MH161" s="226"/>
      <c r="MI161" s="226"/>
      <c r="MJ161" s="235" t="s">
        <v>3940</v>
      </c>
      <c r="MK161" s="235"/>
      <c r="ML161" s="290" t="s">
        <v>3939</v>
      </c>
      <c r="MM161" s="270" t="s">
        <v>3938</v>
      </c>
      <c r="MN161" s="286" t="s">
        <v>3937</v>
      </c>
      <c r="MO161" s="286" t="s">
        <v>3936</v>
      </c>
      <c r="MP161" s="286" t="s">
        <v>3935</v>
      </c>
      <c r="MQ161" s="236" t="s">
        <v>3934</v>
      </c>
      <c r="MR161" s="287" t="s">
        <v>3933</v>
      </c>
      <c r="MS161" s="236" t="s">
        <v>3932</v>
      </c>
      <c r="MT161" s="235" t="s">
        <v>3931</v>
      </c>
      <c r="MU161" s="236" t="s">
        <v>3930</v>
      </c>
      <c r="MV161" s="269" t="s">
        <v>3929</v>
      </c>
      <c r="MW161" s="398" t="s">
        <v>3928</v>
      </c>
      <c r="MX161" s="226"/>
      <c r="MY161" s="226"/>
      <c r="MZ161" s="226"/>
      <c r="NA161" s="226"/>
    </row>
    <row r="162" spans="1:365" ht="289" x14ac:dyDescent="0.2">
      <c r="A162" s="1216" t="s">
        <v>3927</v>
      </c>
      <c r="B162" s="201" t="s">
        <v>292</v>
      </c>
      <c r="C162" s="202" t="s">
        <v>293</v>
      </c>
      <c r="D162" s="215" t="s">
        <v>15</v>
      </c>
      <c r="E162" s="225" t="s">
        <v>3309</v>
      </c>
      <c r="F162" s="225" t="s">
        <v>3926</v>
      </c>
      <c r="G162" s="225" t="s">
        <v>1495</v>
      </c>
      <c r="H162" s="225" t="s">
        <v>1495</v>
      </c>
      <c r="I162" s="225" t="s">
        <v>1495</v>
      </c>
      <c r="J162" s="225" t="s">
        <v>1495</v>
      </c>
      <c r="K162" s="225" t="s">
        <v>3925</v>
      </c>
      <c r="L162" s="225" t="s">
        <v>3925</v>
      </c>
      <c r="M162" s="225" t="s">
        <v>3925</v>
      </c>
      <c r="N162" s="225" t="s">
        <v>3925</v>
      </c>
      <c r="O162" s="225" t="s">
        <v>3925</v>
      </c>
      <c r="P162" s="225" t="s">
        <v>3925</v>
      </c>
      <c r="Q162" s="225" t="s">
        <v>3925</v>
      </c>
      <c r="R162" s="322"/>
      <c r="S162" s="225" t="s">
        <v>906</v>
      </c>
      <c r="T162" s="225" t="s">
        <v>906</v>
      </c>
      <c r="U162" s="225" t="s">
        <v>906</v>
      </c>
      <c r="V162" s="225"/>
      <c r="W162" s="226"/>
      <c r="X162" s="226"/>
      <c r="Y162" s="226"/>
      <c r="Z162" s="226"/>
      <c r="AA162" s="226"/>
      <c r="AB162" s="226"/>
      <c r="AC162" s="226"/>
      <c r="AD162" s="226"/>
      <c r="AE162" s="226"/>
      <c r="AF162" s="225" t="s">
        <v>1976</v>
      </c>
      <c r="AG162" s="225" t="s">
        <v>1976</v>
      </c>
      <c r="AH162" s="226"/>
      <c r="AI162" s="225" t="s">
        <v>3924</v>
      </c>
      <c r="AJ162" s="225" t="s">
        <v>3923</v>
      </c>
      <c r="AK162" s="229" t="s">
        <v>3922</v>
      </c>
      <c r="AL162" s="225" t="s">
        <v>3921</v>
      </c>
      <c r="AM162" s="226"/>
      <c r="AN162" s="226"/>
      <c r="AO162" s="226"/>
      <c r="AP162" s="226"/>
      <c r="AQ162" s="224" t="s">
        <v>1827</v>
      </c>
      <c r="AR162" s="224" t="s">
        <v>1827</v>
      </c>
      <c r="AS162" s="224" t="s">
        <v>1827</v>
      </c>
      <c r="AT162" s="225"/>
      <c r="AU162" s="225" t="s">
        <v>656</v>
      </c>
      <c r="AV162" s="225"/>
      <c r="AW162" s="225" t="s">
        <v>3920</v>
      </c>
      <c r="AX162" s="225"/>
      <c r="AY162" s="229" t="s">
        <v>3919</v>
      </c>
      <c r="AZ162" s="225" t="s">
        <v>3918</v>
      </c>
      <c r="BA162" s="225" t="s">
        <v>3917</v>
      </c>
      <c r="BB162" s="225" t="s">
        <v>3916</v>
      </c>
      <c r="BC162" s="225"/>
      <c r="BD162" s="225"/>
      <c r="BE162" s="229"/>
      <c r="BF162" s="225"/>
      <c r="BG162" s="225"/>
      <c r="BH162" s="225" t="s">
        <v>470</v>
      </c>
      <c r="BI162" s="225"/>
      <c r="BJ162" s="225"/>
      <c r="BK162" s="233" t="s">
        <v>3915</v>
      </c>
      <c r="BL162" s="225"/>
      <c r="BM162" s="225"/>
      <c r="BN162" s="226"/>
      <c r="BO162" s="225" t="s">
        <v>3914</v>
      </c>
      <c r="BP162" s="225"/>
      <c r="BQ162" s="225" t="s">
        <v>3913</v>
      </c>
      <c r="BR162" s="233" t="s">
        <v>15</v>
      </c>
      <c r="BS162" s="225" t="s">
        <v>3912</v>
      </c>
      <c r="BT162" s="225" t="s">
        <v>3911</v>
      </c>
      <c r="BU162" s="225" t="s">
        <v>3910</v>
      </c>
      <c r="BV162" s="225" t="s">
        <v>3909</v>
      </c>
      <c r="BW162" s="225" t="s">
        <v>3908</v>
      </c>
      <c r="BX162" s="225"/>
      <c r="BY162" s="225" t="s">
        <v>3907</v>
      </c>
      <c r="BZ162" s="225" t="s">
        <v>3906</v>
      </c>
      <c r="CA162" s="225"/>
      <c r="CB162" s="225"/>
      <c r="CC162" s="225"/>
      <c r="CD162" s="229"/>
      <c r="CE162" s="229" t="s">
        <v>3905</v>
      </c>
      <c r="CF162" s="229"/>
      <c r="CG162" s="225" t="s">
        <v>3904</v>
      </c>
      <c r="CH162" s="229"/>
      <c r="CI162" s="229"/>
      <c r="CJ162" s="229"/>
      <c r="CK162" s="229"/>
      <c r="CL162" s="229" t="s">
        <v>3903</v>
      </c>
      <c r="CM162" s="229" t="s">
        <v>3902</v>
      </c>
      <c r="CN162" s="225" t="s">
        <v>3901</v>
      </c>
      <c r="CO162" s="225" t="s">
        <v>3900</v>
      </c>
      <c r="CP162" s="225" t="s">
        <v>3899</v>
      </c>
      <c r="CQ162" s="406" t="s">
        <v>3898</v>
      </c>
      <c r="CR162" s="394" t="s">
        <v>3897</v>
      </c>
      <c r="CS162" s="225"/>
      <c r="CT162" s="225"/>
      <c r="CU162" s="225"/>
      <c r="CV162" s="225"/>
      <c r="CW162" s="225"/>
      <c r="CX162" s="225"/>
      <c r="CY162" s="225"/>
      <c r="CZ162" s="225"/>
      <c r="DA162" s="225" t="s">
        <v>3896</v>
      </c>
      <c r="DB162" s="403" t="s">
        <v>3895</v>
      </c>
      <c r="DC162" s="225" t="s">
        <v>3894</v>
      </c>
      <c r="DD162" s="225" t="s">
        <v>3893</v>
      </c>
      <c r="DE162" s="225" t="s">
        <v>3892</v>
      </c>
      <c r="DF162" s="225" t="s">
        <v>3891</v>
      </c>
      <c r="DG162" s="225" t="s">
        <v>3890</v>
      </c>
      <c r="DH162" s="225" t="s">
        <v>3889</v>
      </c>
      <c r="DI162" s="225" t="s">
        <v>3888</v>
      </c>
      <c r="DJ162" s="225" t="s">
        <v>3887</v>
      </c>
      <c r="DK162" s="225" t="s">
        <v>3886</v>
      </c>
      <c r="DL162" s="225" t="s">
        <v>3885</v>
      </c>
      <c r="DM162" s="225" t="s">
        <v>3884</v>
      </c>
      <c r="DN162" s="225" t="s">
        <v>3884</v>
      </c>
      <c r="DO162" s="225" t="s">
        <v>3883</v>
      </c>
      <c r="DP162" s="225"/>
      <c r="DQ162" s="225"/>
      <c r="DR162" s="225"/>
      <c r="DS162" s="225"/>
      <c r="DT162" s="225"/>
      <c r="DU162" s="225"/>
      <c r="DV162" s="225"/>
      <c r="DW162" s="225" t="s">
        <v>3882</v>
      </c>
      <c r="DX162" s="224" t="s">
        <v>2124</v>
      </c>
      <c r="DY162" s="225" t="s">
        <v>3881</v>
      </c>
      <c r="DZ162" s="225" t="s">
        <v>3880</v>
      </c>
      <c r="EA162" s="224" t="s">
        <v>2124</v>
      </c>
      <c r="EB162" s="225" t="s">
        <v>3544</v>
      </c>
      <c r="EC162" s="226"/>
      <c r="ED162" s="225"/>
      <c r="EE162" s="225" t="s">
        <v>3879</v>
      </c>
      <c r="EF162" s="225"/>
      <c r="EG162" s="226"/>
      <c r="EH162" s="225" t="s">
        <v>3878</v>
      </c>
      <c r="EI162" s="225"/>
      <c r="EJ162" s="226"/>
      <c r="EK162" s="226"/>
      <c r="EL162" s="226"/>
      <c r="EM162" s="226"/>
      <c r="EN162" s="226"/>
      <c r="EO162" s="226"/>
      <c r="EP162" s="226"/>
      <c r="EQ162" s="226"/>
      <c r="ER162" s="225" t="s">
        <v>2201</v>
      </c>
      <c r="ES162" s="225" t="s">
        <v>2201</v>
      </c>
      <c r="ET162" s="225" t="s">
        <v>2201</v>
      </c>
      <c r="EU162" s="225" t="s">
        <v>2201</v>
      </c>
      <c r="EV162" s="225" t="s">
        <v>2201</v>
      </c>
      <c r="EW162" s="225" t="s">
        <v>2201</v>
      </c>
      <c r="EX162" s="225" t="s">
        <v>2201</v>
      </c>
      <c r="EY162" s="225" t="s">
        <v>1251</v>
      </c>
      <c r="EZ162" s="225" t="s">
        <v>1251</v>
      </c>
      <c r="FA162" s="225" t="s">
        <v>1251</v>
      </c>
      <c r="FB162" s="225" t="s">
        <v>3877</v>
      </c>
      <c r="FC162" s="225" t="s">
        <v>1251</v>
      </c>
      <c r="FD162" s="226"/>
      <c r="FE162" s="394" t="s">
        <v>3876</v>
      </c>
      <c r="FF162" s="225" t="s">
        <v>3166</v>
      </c>
      <c r="FG162" s="225" t="s">
        <v>3166</v>
      </c>
      <c r="FH162" s="225" t="s">
        <v>3166</v>
      </c>
      <c r="FI162" s="394" t="s">
        <v>3876</v>
      </c>
      <c r="FJ162" s="394" t="s">
        <v>3876</v>
      </c>
      <c r="FK162" s="394"/>
      <c r="FL162" s="394" t="s">
        <v>3876</v>
      </c>
      <c r="FM162" s="394" t="s">
        <v>3876</v>
      </c>
      <c r="FN162" s="394"/>
      <c r="FO162" s="394" t="s">
        <v>3876</v>
      </c>
      <c r="FP162" s="394"/>
      <c r="FQ162" s="394" t="s">
        <v>3876</v>
      </c>
      <c r="FR162" s="394" t="s">
        <v>3876</v>
      </c>
      <c r="FS162" s="394"/>
      <c r="FT162" s="394" t="s">
        <v>3876</v>
      </c>
      <c r="FU162" s="226"/>
      <c r="FV162" s="394" t="s">
        <v>3876</v>
      </c>
      <c r="FW162" s="394" t="s">
        <v>3876</v>
      </c>
      <c r="FX162" s="394" t="s">
        <v>3876</v>
      </c>
      <c r="FY162" s="226"/>
      <c r="FZ162" s="394" t="s">
        <v>3876</v>
      </c>
      <c r="GA162" s="394" t="s">
        <v>3876</v>
      </c>
      <c r="GB162" s="394" t="s">
        <v>3876</v>
      </c>
      <c r="GC162" s="394"/>
      <c r="GD162" s="394" t="s">
        <v>3876</v>
      </c>
      <c r="GE162" s="394" t="s">
        <v>3876</v>
      </c>
      <c r="GF162" s="394" t="s">
        <v>3876</v>
      </c>
      <c r="GG162" s="394" t="s">
        <v>3876</v>
      </c>
      <c r="GH162" s="394" t="s">
        <v>3876</v>
      </c>
      <c r="GI162" s="226"/>
      <c r="GJ162" s="394" t="s">
        <v>3876</v>
      </c>
      <c r="GK162" s="394" t="s">
        <v>3876</v>
      </c>
      <c r="GL162" s="394" t="s">
        <v>3876</v>
      </c>
      <c r="GM162" s="394" t="s">
        <v>3876</v>
      </c>
      <c r="GN162" s="394" t="s">
        <v>3876</v>
      </c>
      <c r="GO162" s="226"/>
      <c r="GP162" s="394" t="s">
        <v>3876</v>
      </c>
      <c r="GQ162" s="226"/>
      <c r="GR162" s="394" t="s">
        <v>3876</v>
      </c>
      <c r="GS162" s="394" t="s">
        <v>3876</v>
      </c>
      <c r="GT162" s="394"/>
      <c r="GU162" s="394" t="s">
        <v>3876</v>
      </c>
      <c r="GV162" s="394" t="s">
        <v>3876</v>
      </c>
      <c r="GW162" s="226"/>
      <c r="GX162" s="394" t="s">
        <v>3876</v>
      </c>
      <c r="GY162" s="225" t="s">
        <v>3876</v>
      </c>
      <c r="GZ162" s="394" t="s">
        <v>3876</v>
      </c>
      <c r="HA162" s="225" t="s">
        <v>3875</v>
      </c>
      <c r="HB162" s="225" t="s">
        <v>3874</v>
      </c>
      <c r="HC162" s="225"/>
      <c r="HD162" s="225"/>
      <c r="HE162" s="225" t="s">
        <v>3873</v>
      </c>
      <c r="HF162" s="226"/>
      <c r="HG162" s="227" t="s">
        <v>3872</v>
      </c>
      <c r="HH162" s="227" t="s">
        <v>3871</v>
      </c>
      <c r="HI162" s="227" t="s">
        <v>3870</v>
      </c>
      <c r="HJ162" s="225"/>
      <c r="HK162" s="227" t="s">
        <v>3869</v>
      </c>
      <c r="HL162" s="226"/>
      <c r="HM162" s="225" t="s">
        <v>2903</v>
      </c>
      <c r="HN162" s="226"/>
      <c r="HO162" s="225" t="s">
        <v>3868</v>
      </c>
      <c r="HP162" s="225" t="s">
        <v>3867</v>
      </c>
      <c r="HQ162" s="225" t="s">
        <v>3866</v>
      </c>
      <c r="HR162" s="225" t="s">
        <v>3866</v>
      </c>
      <c r="HS162" s="224" t="s">
        <v>3865</v>
      </c>
      <c r="HT162" s="224" t="s">
        <v>3865</v>
      </c>
      <c r="HU162" s="225"/>
      <c r="HV162" s="225"/>
      <c r="HW162" s="225"/>
      <c r="HX162" s="225"/>
      <c r="HY162" s="225" t="s">
        <v>3864</v>
      </c>
      <c r="HZ162" s="228" t="s">
        <v>3863</v>
      </c>
      <c r="IA162" s="225"/>
      <c r="IB162" s="225" t="s">
        <v>3862</v>
      </c>
      <c r="IC162" s="225" t="s">
        <v>3862</v>
      </c>
      <c r="ID162" s="225"/>
      <c r="IE162" s="225"/>
      <c r="IF162" s="225"/>
      <c r="IG162" s="225"/>
      <c r="IH162" s="229"/>
      <c r="II162" s="225"/>
      <c r="IJ162" s="225"/>
      <c r="IK162" s="225"/>
      <c r="IL162" s="225"/>
      <c r="IM162" s="225"/>
      <c r="IN162" s="225"/>
      <c r="IO162" s="225"/>
      <c r="IP162" s="225"/>
      <c r="IQ162" s="225"/>
      <c r="IR162" s="225"/>
      <c r="IS162" s="225"/>
      <c r="IT162" s="225"/>
      <c r="IU162" s="225"/>
      <c r="IV162" s="225"/>
      <c r="IW162" s="225"/>
      <c r="IX162" s="225"/>
      <c r="IY162" s="225" t="s">
        <v>3861</v>
      </c>
      <c r="IZ162" s="225" t="s">
        <v>3860</v>
      </c>
      <c r="JA162" s="225" t="s">
        <v>3860</v>
      </c>
      <c r="JB162" s="225" t="s">
        <v>3860</v>
      </c>
      <c r="JC162" s="225" t="s">
        <v>3859</v>
      </c>
      <c r="JD162" s="225" t="s">
        <v>3858</v>
      </c>
      <c r="JE162" s="226"/>
      <c r="JF162" s="226"/>
      <c r="JG162" s="226"/>
      <c r="JH162" s="225"/>
      <c r="JI162" s="225"/>
      <c r="JJ162" s="225"/>
      <c r="JK162" s="237"/>
      <c r="JL162" s="225" t="s">
        <v>3857</v>
      </c>
      <c r="JM162" s="225"/>
      <c r="JN162" s="226"/>
      <c r="JO162" s="226"/>
      <c r="JP162" s="226"/>
      <c r="JQ162" s="225" t="s">
        <v>2502</v>
      </c>
      <c r="JR162" s="232" t="s">
        <v>2502</v>
      </c>
      <c r="JS162" s="232" t="s">
        <v>2502</v>
      </c>
      <c r="JT162" s="225" t="s">
        <v>2502</v>
      </c>
      <c r="JU162" s="225" t="s">
        <v>2502</v>
      </c>
      <c r="JV162" s="225" t="s">
        <v>2502</v>
      </c>
      <c r="JW162" s="225" t="s">
        <v>2502</v>
      </c>
      <c r="JX162" s="225" t="s">
        <v>2502</v>
      </c>
      <c r="JY162" s="225" t="s">
        <v>2502</v>
      </c>
      <c r="JZ162" s="225" t="s">
        <v>2502</v>
      </c>
      <c r="KA162" s="225" t="s">
        <v>2502</v>
      </c>
      <c r="KB162" s="225" t="s">
        <v>2502</v>
      </c>
      <c r="KC162" s="232" t="s">
        <v>2502</v>
      </c>
      <c r="KD162" s="225" t="s">
        <v>2502</v>
      </c>
      <c r="KE162" s="225" t="s">
        <v>2502</v>
      </c>
      <c r="KF162" s="225" t="s">
        <v>2502</v>
      </c>
      <c r="KG162" s="225" t="s">
        <v>2502</v>
      </c>
      <c r="KH162" s="225" t="s">
        <v>2502</v>
      </c>
      <c r="KI162" s="225" t="s">
        <v>2502</v>
      </c>
      <c r="KJ162" s="225" t="s">
        <v>2502</v>
      </c>
      <c r="KK162" s="225" t="s">
        <v>2502</v>
      </c>
      <c r="KL162" s="225" t="s">
        <v>2502</v>
      </c>
      <c r="KM162" s="225" t="s">
        <v>2502</v>
      </c>
      <c r="KN162" s="225" t="s">
        <v>2502</v>
      </c>
      <c r="KO162" s="225" t="s">
        <v>2502</v>
      </c>
      <c r="KP162" s="225" t="s">
        <v>3856</v>
      </c>
      <c r="KQ162" s="226"/>
      <c r="KR162" s="226"/>
      <c r="KS162" s="226"/>
      <c r="KT162" s="226"/>
      <c r="KU162" s="226"/>
      <c r="KV162" s="225" t="s">
        <v>2360</v>
      </c>
      <c r="KW162" s="225" t="s">
        <v>3855</v>
      </c>
      <c r="KX162" s="228" t="s">
        <v>9141</v>
      </c>
      <c r="KY162" s="225" t="s">
        <v>9141</v>
      </c>
      <c r="KZ162" s="225" t="s">
        <v>9141</v>
      </c>
      <c r="LA162" s="225" t="s">
        <v>9141</v>
      </c>
      <c r="LB162" s="225" t="s">
        <v>9141</v>
      </c>
      <c r="LC162" s="225" t="s">
        <v>9141</v>
      </c>
      <c r="LD162" s="225" t="s">
        <v>9141</v>
      </c>
      <c r="LE162" s="225" t="s">
        <v>9141</v>
      </c>
      <c r="LF162" s="225" t="s">
        <v>9141</v>
      </c>
      <c r="LG162" s="225" t="s">
        <v>9141</v>
      </c>
      <c r="LH162" s="225" t="s">
        <v>9141</v>
      </c>
      <c r="LI162" s="225" t="s">
        <v>9141</v>
      </c>
      <c r="LJ162" s="225" t="s">
        <v>9141</v>
      </c>
      <c r="LK162" s="225" t="s">
        <v>1572</v>
      </c>
      <c r="LL162" s="225" t="s">
        <v>1572</v>
      </c>
      <c r="LM162" s="226"/>
      <c r="LN162" s="225"/>
      <c r="LO162" s="225"/>
      <c r="LP162" s="225"/>
      <c r="LQ162" s="225"/>
      <c r="LR162" s="225"/>
      <c r="LS162" s="225"/>
      <c r="LT162" s="234"/>
      <c r="LU162" s="225" t="s">
        <v>3854</v>
      </c>
      <c r="LV162" s="225" t="s">
        <v>3854</v>
      </c>
      <c r="LW162" s="225"/>
      <c r="LX162" s="225" t="s">
        <v>3853</v>
      </c>
      <c r="LY162" s="225" t="s">
        <v>3852</v>
      </c>
      <c r="LZ162" s="225" t="s">
        <v>3851</v>
      </c>
      <c r="MA162" s="225" t="s">
        <v>3850</v>
      </c>
      <c r="MB162" s="225" t="s">
        <v>3849</v>
      </c>
      <c r="MC162" s="225" t="s">
        <v>3848</v>
      </c>
      <c r="MD162" s="225" t="s">
        <v>3847</v>
      </c>
      <c r="ME162" s="225" t="s">
        <v>3846</v>
      </c>
      <c r="MF162" s="225"/>
      <c r="MG162" s="226"/>
      <c r="MH162" s="226"/>
      <c r="MI162" s="226"/>
      <c r="MJ162" s="235" t="s">
        <v>3844</v>
      </c>
      <c r="MK162" s="235"/>
      <c r="ML162" s="235" t="s">
        <v>3844</v>
      </c>
      <c r="MM162" s="235" t="s">
        <v>3844</v>
      </c>
      <c r="MN162" s="236" t="s">
        <v>3844</v>
      </c>
      <c r="MO162" s="236" t="s">
        <v>3844</v>
      </c>
      <c r="MP162" s="236" t="s">
        <v>3844</v>
      </c>
      <c r="MQ162" s="236" t="s">
        <v>3844</v>
      </c>
      <c r="MR162" s="236" t="s">
        <v>3844</v>
      </c>
      <c r="MS162" s="236" t="s">
        <v>3844</v>
      </c>
      <c r="MT162" s="235" t="s">
        <v>3845</v>
      </c>
      <c r="MU162" s="236" t="s">
        <v>3844</v>
      </c>
      <c r="MV162" s="235" t="s">
        <v>3844</v>
      </c>
      <c r="MW162" s="235" t="s">
        <v>3844</v>
      </c>
      <c r="MX162" s="226"/>
      <c r="MY162" s="226"/>
      <c r="MZ162" s="226"/>
      <c r="NA162" s="226"/>
    </row>
    <row r="163" spans="1:365" ht="51" x14ac:dyDescent="0.2">
      <c r="A163" s="1216"/>
      <c r="B163" s="201" t="s">
        <v>294</v>
      </c>
      <c r="C163" s="202" t="s">
        <v>285</v>
      </c>
      <c r="D163" s="215" t="s">
        <v>286</v>
      </c>
      <c r="E163" s="225" t="s">
        <v>3310</v>
      </c>
      <c r="F163" s="225" t="s">
        <v>3843</v>
      </c>
      <c r="G163" s="225" t="s">
        <v>1496</v>
      </c>
      <c r="H163" s="225" t="s">
        <v>1496</v>
      </c>
      <c r="I163" s="225" t="s">
        <v>1496</v>
      </c>
      <c r="J163" s="225" t="s">
        <v>1496</v>
      </c>
      <c r="K163" s="225" t="s">
        <v>1947</v>
      </c>
      <c r="L163" s="225" t="s">
        <v>1947</v>
      </c>
      <c r="M163" s="225" t="s">
        <v>1947</v>
      </c>
      <c r="N163" s="225" t="s">
        <v>1947</v>
      </c>
      <c r="O163" s="225" t="s">
        <v>1947</v>
      </c>
      <c r="P163" s="225" t="s">
        <v>1947</v>
      </c>
      <c r="Q163" s="225" t="s">
        <v>1947</v>
      </c>
      <c r="R163" s="322"/>
      <c r="S163" s="224" t="s">
        <v>907</v>
      </c>
      <c r="T163" s="224" t="s">
        <v>907</v>
      </c>
      <c r="U163" s="224" t="s">
        <v>907</v>
      </c>
      <c r="V163" s="225"/>
      <c r="W163" s="226"/>
      <c r="X163" s="226"/>
      <c r="Y163" s="226"/>
      <c r="Z163" s="226"/>
      <c r="AA163" s="226"/>
      <c r="AB163" s="226"/>
      <c r="AC163" s="226"/>
      <c r="AD163" s="226"/>
      <c r="AE163" s="226"/>
      <c r="AF163" s="225" t="s">
        <v>3842</v>
      </c>
      <c r="AG163" s="225" t="s">
        <v>3842</v>
      </c>
      <c r="AH163" s="226"/>
      <c r="AI163" s="225" t="s">
        <v>3841</v>
      </c>
      <c r="AJ163" s="225" t="s">
        <v>3840</v>
      </c>
      <c r="AK163" s="229" t="s">
        <v>3839</v>
      </c>
      <c r="AL163" s="225" t="s">
        <v>3838</v>
      </c>
      <c r="AM163" s="226"/>
      <c r="AN163" s="226"/>
      <c r="AO163" s="226"/>
      <c r="AP163" s="226"/>
      <c r="AQ163" s="497" t="s">
        <v>1828</v>
      </c>
      <c r="AR163" s="497" t="s">
        <v>1828</v>
      </c>
      <c r="AS163" s="497" t="s">
        <v>1828</v>
      </c>
      <c r="AT163" s="225"/>
      <c r="AU163" s="225" t="s">
        <v>656</v>
      </c>
      <c r="AV163" s="225"/>
      <c r="AW163" s="225">
        <v>88213692330</v>
      </c>
      <c r="AX163" s="225"/>
      <c r="AY163" s="229" t="s">
        <v>3837</v>
      </c>
      <c r="AZ163" s="254" t="s">
        <v>3836</v>
      </c>
      <c r="BA163" s="322">
        <v>88213321223</v>
      </c>
      <c r="BB163" s="225" t="s">
        <v>3835</v>
      </c>
      <c r="BC163" s="225"/>
      <c r="BD163" s="225"/>
      <c r="BE163" s="229"/>
      <c r="BF163" s="225"/>
      <c r="BG163" s="225"/>
      <c r="BH163" s="225" t="s">
        <v>470</v>
      </c>
      <c r="BI163" s="225"/>
      <c r="BJ163" s="225"/>
      <c r="BK163" s="233" t="s">
        <v>3834</v>
      </c>
      <c r="BL163" s="225"/>
      <c r="BM163" s="225"/>
      <c r="BN163" s="226"/>
      <c r="BO163" s="225">
        <v>89186886162</v>
      </c>
      <c r="BP163" s="225"/>
      <c r="BQ163" s="225">
        <v>88619264226</v>
      </c>
      <c r="BR163" s="233" t="s">
        <v>286</v>
      </c>
      <c r="BS163" s="225" t="s">
        <v>3833</v>
      </c>
      <c r="BT163" s="225" t="s">
        <v>3832</v>
      </c>
      <c r="BU163" s="225" t="s">
        <v>3831</v>
      </c>
      <c r="BV163" s="225" t="s">
        <v>3830</v>
      </c>
      <c r="BW163" s="225" t="s">
        <v>3829</v>
      </c>
      <c r="BX163" s="225"/>
      <c r="BY163" s="225">
        <v>88615571360</v>
      </c>
      <c r="BZ163" s="225" t="s">
        <v>3828</v>
      </c>
      <c r="CA163" s="225"/>
      <c r="CB163" s="225"/>
      <c r="CC163" s="225"/>
      <c r="CD163" s="229"/>
      <c r="CE163" s="229" t="s">
        <v>3827</v>
      </c>
      <c r="CF163" s="229"/>
      <c r="CG163" s="225" t="s">
        <v>3826</v>
      </c>
      <c r="CH163" s="229"/>
      <c r="CI163" s="229"/>
      <c r="CJ163" s="229"/>
      <c r="CK163" s="229"/>
      <c r="CL163" s="229" t="s">
        <v>3825</v>
      </c>
      <c r="CM163" s="229" t="s">
        <v>3824</v>
      </c>
      <c r="CN163" s="225" t="s">
        <v>3823</v>
      </c>
      <c r="CO163" s="225" t="s">
        <v>3822</v>
      </c>
      <c r="CP163" s="225" t="s">
        <v>3821</v>
      </c>
      <c r="CQ163" s="406">
        <v>88616598705</v>
      </c>
      <c r="CR163" s="394">
        <v>89612590658</v>
      </c>
      <c r="CS163" s="225"/>
      <c r="CT163" s="225"/>
      <c r="CU163" s="225"/>
      <c r="CV163" s="225"/>
      <c r="CW163" s="225"/>
      <c r="CX163" s="225"/>
      <c r="CY163" s="225"/>
      <c r="CZ163" s="225"/>
      <c r="DA163" s="225" t="s">
        <v>3820</v>
      </c>
      <c r="DB163" s="403" t="s">
        <v>3819</v>
      </c>
      <c r="DC163" s="225"/>
      <c r="DD163" s="225" t="s">
        <v>3818</v>
      </c>
      <c r="DE163" s="225" t="s">
        <v>3817</v>
      </c>
      <c r="DF163" s="225">
        <v>89180883355</v>
      </c>
      <c r="DG163" s="225" t="s">
        <v>3816</v>
      </c>
      <c r="DH163" s="225" t="s">
        <v>3815</v>
      </c>
      <c r="DI163" s="225">
        <v>89184684884</v>
      </c>
      <c r="DJ163" s="225">
        <v>89186727078</v>
      </c>
      <c r="DK163" s="225" t="s">
        <v>3814</v>
      </c>
      <c r="DL163" s="225" t="s">
        <v>3813</v>
      </c>
      <c r="DM163" s="225">
        <v>89182114617</v>
      </c>
      <c r="DN163" s="225">
        <v>89182114617</v>
      </c>
      <c r="DO163" s="225" t="s">
        <v>3812</v>
      </c>
      <c r="DP163" s="225"/>
      <c r="DQ163" s="225"/>
      <c r="DR163" s="225"/>
      <c r="DS163" s="225"/>
      <c r="DT163" s="225"/>
      <c r="DU163" s="225"/>
      <c r="DV163" s="225"/>
      <c r="DW163" s="225" t="s">
        <v>3811</v>
      </c>
      <c r="DX163" s="224" t="s">
        <v>2125</v>
      </c>
      <c r="DY163" s="225" t="s">
        <v>3810</v>
      </c>
      <c r="DZ163" s="225" t="s">
        <v>3809</v>
      </c>
      <c r="EA163" s="224" t="s">
        <v>2125</v>
      </c>
      <c r="EB163" s="225" t="s">
        <v>3545</v>
      </c>
      <c r="EC163" s="226"/>
      <c r="ED163" s="225"/>
      <c r="EE163" s="225">
        <v>79787529097</v>
      </c>
      <c r="EF163" s="225"/>
      <c r="EG163" s="226"/>
      <c r="EH163" s="225" t="s">
        <v>3808</v>
      </c>
      <c r="EI163" s="225"/>
      <c r="EJ163" s="226"/>
      <c r="EK163" s="226"/>
      <c r="EL163" s="226"/>
      <c r="EM163" s="226"/>
      <c r="EN163" s="226"/>
      <c r="EO163" s="226"/>
      <c r="EP163" s="226"/>
      <c r="EQ163" s="226"/>
      <c r="ER163" s="225" t="s">
        <v>2202</v>
      </c>
      <c r="ES163" s="225" t="s">
        <v>2202</v>
      </c>
      <c r="ET163" s="225" t="s">
        <v>2202</v>
      </c>
      <c r="EU163" s="225" t="s">
        <v>2202</v>
      </c>
      <c r="EV163" s="225" t="s">
        <v>2202</v>
      </c>
      <c r="EW163" s="225" t="s">
        <v>2202</v>
      </c>
      <c r="EX163" s="225" t="s">
        <v>2202</v>
      </c>
      <c r="EY163" s="225" t="s">
        <v>1230</v>
      </c>
      <c r="EZ163" s="225" t="s">
        <v>1230</v>
      </c>
      <c r="FA163" s="225" t="s">
        <v>1230</v>
      </c>
      <c r="FB163" s="225" t="s">
        <v>1230</v>
      </c>
      <c r="FC163" s="225" t="s">
        <v>1230</v>
      </c>
      <c r="FD163" s="226"/>
      <c r="FE163" s="394" t="s">
        <v>3807</v>
      </c>
      <c r="FF163" s="225" t="s">
        <v>3167</v>
      </c>
      <c r="FG163" s="225" t="s">
        <v>3167</v>
      </c>
      <c r="FH163" s="225" t="s">
        <v>3167</v>
      </c>
      <c r="FI163" s="394" t="s">
        <v>3807</v>
      </c>
      <c r="FJ163" s="394" t="s">
        <v>3807</v>
      </c>
      <c r="FK163" s="394"/>
      <c r="FL163" s="394" t="s">
        <v>3807</v>
      </c>
      <c r="FM163" s="394" t="s">
        <v>3807</v>
      </c>
      <c r="FN163" s="394"/>
      <c r="FO163" s="394" t="s">
        <v>3807</v>
      </c>
      <c r="FP163" s="394"/>
      <c r="FQ163" s="394" t="s">
        <v>3807</v>
      </c>
      <c r="FR163" s="394" t="s">
        <v>3807</v>
      </c>
      <c r="FS163" s="394"/>
      <c r="FT163" s="394" t="s">
        <v>3807</v>
      </c>
      <c r="FU163" s="226"/>
      <c r="FV163" s="394" t="s">
        <v>3807</v>
      </c>
      <c r="FW163" s="394" t="s">
        <v>3807</v>
      </c>
      <c r="FX163" s="394" t="s">
        <v>3807</v>
      </c>
      <c r="FY163" s="226"/>
      <c r="FZ163" s="394" t="s">
        <v>3807</v>
      </c>
      <c r="GA163" s="394" t="s">
        <v>3807</v>
      </c>
      <c r="GB163" s="394" t="s">
        <v>3807</v>
      </c>
      <c r="GC163" s="394"/>
      <c r="GD163" s="394" t="s">
        <v>3807</v>
      </c>
      <c r="GE163" s="394" t="s">
        <v>3807</v>
      </c>
      <c r="GF163" s="394" t="s">
        <v>3807</v>
      </c>
      <c r="GG163" s="394" t="s">
        <v>3807</v>
      </c>
      <c r="GH163" s="394" t="s">
        <v>3807</v>
      </c>
      <c r="GI163" s="226"/>
      <c r="GJ163" s="394" t="s">
        <v>3807</v>
      </c>
      <c r="GK163" s="394" t="s">
        <v>3807</v>
      </c>
      <c r="GL163" s="394" t="s">
        <v>3807</v>
      </c>
      <c r="GM163" s="394" t="s">
        <v>3807</v>
      </c>
      <c r="GN163" s="394" t="s">
        <v>3807</v>
      </c>
      <c r="GO163" s="226"/>
      <c r="GP163" s="394" t="s">
        <v>3807</v>
      </c>
      <c r="GQ163" s="226"/>
      <c r="GR163" s="394" t="s">
        <v>3807</v>
      </c>
      <c r="GS163" s="394" t="s">
        <v>3807</v>
      </c>
      <c r="GT163" s="394"/>
      <c r="GU163" s="394" t="s">
        <v>3807</v>
      </c>
      <c r="GV163" s="394" t="s">
        <v>3807</v>
      </c>
      <c r="GW163" s="226"/>
      <c r="GX163" s="394" t="s">
        <v>3807</v>
      </c>
      <c r="GY163" s="225" t="s">
        <v>3807</v>
      </c>
      <c r="GZ163" s="394" t="s">
        <v>3807</v>
      </c>
      <c r="HA163" s="225" t="s">
        <v>3806</v>
      </c>
      <c r="HB163" s="225" t="s">
        <v>3805</v>
      </c>
      <c r="HC163" s="225"/>
      <c r="HD163" s="225"/>
      <c r="HE163" s="225" t="s">
        <v>3804</v>
      </c>
      <c r="HF163" s="226"/>
      <c r="HG163" s="227" t="s">
        <v>3803</v>
      </c>
      <c r="HH163" s="227" t="s">
        <v>3802</v>
      </c>
      <c r="HI163" s="227" t="s">
        <v>3801</v>
      </c>
      <c r="HJ163" s="225"/>
      <c r="HK163" s="227" t="s">
        <v>3800</v>
      </c>
      <c r="HL163" s="226"/>
      <c r="HM163" s="225" t="s">
        <v>2904</v>
      </c>
      <c r="HN163" s="226"/>
      <c r="HO163" s="225" t="s">
        <v>3799</v>
      </c>
      <c r="HP163" s="225" t="s">
        <v>3798</v>
      </c>
      <c r="HQ163" s="225" t="s">
        <v>3797</v>
      </c>
      <c r="HR163" s="225" t="s">
        <v>3797</v>
      </c>
      <c r="HS163" s="224" t="s">
        <v>3796</v>
      </c>
      <c r="HT163" s="224" t="s">
        <v>3796</v>
      </c>
      <c r="HU163" s="225"/>
      <c r="HV163" s="225"/>
      <c r="HW163" s="225"/>
      <c r="HX163" s="225"/>
      <c r="HY163" s="225">
        <v>88482543554</v>
      </c>
      <c r="HZ163" s="228" t="s">
        <v>3795</v>
      </c>
      <c r="IA163" s="225"/>
      <c r="IB163" s="225" t="s">
        <v>3794</v>
      </c>
      <c r="IC163" s="225" t="s">
        <v>3794</v>
      </c>
      <c r="ID163" s="225"/>
      <c r="IE163" s="225"/>
      <c r="IF163" s="225"/>
      <c r="IG163" s="225"/>
      <c r="IH163" s="229"/>
      <c r="II163" s="225"/>
      <c r="IJ163" s="225"/>
      <c r="IK163" s="225"/>
      <c r="IL163" s="225"/>
      <c r="IM163" s="225"/>
      <c r="IN163" s="225"/>
      <c r="IO163" s="225"/>
      <c r="IP163" s="225"/>
      <c r="IQ163" s="225"/>
      <c r="IR163" s="225"/>
      <c r="IS163" s="225"/>
      <c r="IT163" s="225"/>
      <c r="IU163" s="225"/>
      <c r="IV163" s="225"/>
      <c r="IW163" s="225"/>
      <c r="IX163" s="225"/>
      <c r="IY163" s="225" t="s">
        <v>3793</v>
      </c>
      <c r="IZ163" s="225" t="s">
        <v>3792</v>
      </c>
      <c r="JA163" s="225" t="s">
        <v>3792</v>
      </c>
      <c r="JB163" s="225" t="s">
        <v>3792</v>
      </c>
      <c r="JC163" s="225" t="s">
        <v>3791</v>
      </c>
      <c r="JD163" s="225" t="s">
        <v>3790</v>
      </c>
      <c r="JE163" s="226"/>
      <c r="JF163" s="226"/>
      <c r="JG163" s="226"/>
      <c r="JH163" s="225"/>
      <c r="JI163" s="225"/>
      <c r="JJ163" s="225"/>
      <c r="JK163" s="237"/>
      <c r="JL163" s="225" t="s">
        <v>3789</v>
      </c>
      <c r="JM163" s="225"/>
      <c r="JN163" s="226"/>
      <c r="JO163" s="226"/>
      <c r="JP163" s="226"/>
      <c r="JQ163" s="225" t="s">
        <v>3788</v>
      </c>
      <c r="JR163" s="225" t="s">
        <v>3788</v>
      </c>
      <c r="JS163" s="225" t="s">
        <v>3788</v>
      </c>
      <c r="JT163" s="225" t="s">
        <v>3788</v>
      </c>
      <c r="JU163" s="232" t="s">
        <v>3788</v>
      </c>
      <c r="JV163" s="232" t="s">
        <v>3788</v>
      </c>
      <c r="JW163" s="232" t="s">
        <v>3788</v>
      </c>
      <c r="JX163" s="232" t="s">
        <v>3788</v>
      </c>
      <c r="JY163" s="232" t="s">
        <v>3788</v>
      </c>
      <c r="JZ163" s="232" t="s">
        <v>3788</v>
      </c>
      <c r="KA163" s="225" t="s">
        <v>3788</v>
      </c>
      <c r="KB163" s="232" t="s">
        <v>3788</v>
      </c>
      <c r="KC163" s="232" t="s">
        <v>3788</v>
      </c>
      <c r="KD163" s="225" t="s">
        <v>3788</v>
      </c>
      <c r="KE163" s="232" t="s">
        <v>3788</v>
      </c>
      <c r="KF163" s="225" t="s">
        <v>3788</v>
      </c>
      <c r="KG163" s="232" t="s">
        <v>3788</v>
      </c>
      <c r="KH163" s="232" t="s">
        <v>3788</v>
      </c>
      <c r="KI163" s="232" t="s">
        <v>3788</v>
      </c>
      <c r="KJ163" s="232" t="s">
        <v>3788</v>
      </c>
      <c r="KK163" s="232" t="s">
        <v>3788</v>
      </c>
      <c r="KL163" s="232" t="s">
        <v>3788</v>
      </c>
      <c r="KM163" s="225" t="s">
        <v>3788</v>
      </c>
      <c r="KN163" s="232" t="s">
        <v>3788</v>
      </c>
      <c r="KO163" s="232" t="s">
        <v>3788</v>
      </c>
      <c r="KP163" s="225" t="s">
        <v>3787</v>
      </c>
      <c r="KQ163" s="226"/>
      <c r="KR163" s="226"/>
      <c r="KS163" s="226"/>
      <c r="KT163" s="226"/>
      <c r="KU163" s="226"/>
      <c r="KV163" s="225" t="s">
        <v>2361</v>
      </c>
      <c r="KW163" s="225" t="s">
        <v>3786</v>
      </c>
      <c r="KX163" s="228" t="s">
        <v>9142</v>
      </c>
      <c r="KY163" s="225" t="s">
        <v>9142</v>
      </c>
      <c r="KZ163" s="225" t="s">
        <v>9142</v>
      </c>
      <c r="LA163" s="225" t="s">
        <v>9142</v>
      </c>
      <c r="LB163" s="225" t="s">
        <v>9142</v>
      </c>
      <c r="LC163" s="224" t="s">
        <v>9142</v>
      </c>
      <c r="LD163" s="225" t="s">
        <v>9142</v>
      </c>
      <c r="LE163" s="225" t="s">
        <v>9142</v>
      </c>
      <c r="LF163" s="225" t="s">
        <v>9142</v>
      </c>
      <c r="LG163" s="225" t="s">
        <v>9142</v>
      </c>
      <c r="LH163" s="225" t="s">
        <v>9142</v>
      </c>
      <c r="LI163" s="225" t="s">
        <v>9142</v>
      </c>
      <c r="LJ163" s="225" t="s">
        <v>9142</v>
      </c>
      <c r="LK163" s="225" t="s">
        <v>1573</v>
      </c>
      <c r="LL163" s="225" t="s">
        <v>1573</v>
      </c>
      <c r="LM163" s="226"/>
      <c r="LN163" s="225"/>
      <c r="LO163" s="225"/>
      <c r="LP163" s="225"/>
      <c r="LQ163" s="225"/>
      <c r="LR163" s="225"/>
      <c r="LS163" s="225"/>
      <c r="LT163" s="234"/>
      <c r="LU163" s="225" t="s">
        <v>3785</v>
      </c>
      <c r="LV163" s="225" t="s">
        <v>3785</v>
      </c>
      <c r="LW163" s="225"/>
      <c r="LX163" s="225" t="s">
        <v>3784</v>
      </c>
      <c r="LY163" s="225" t="s">
        <v>3783</v>
      </c>
      <c r="LZ163" s="225" t="s">
        <v>3782</v>
      </c>
      <c r="MA163" s="225" t="s">
        <v>3781</v>
      </c>
      <c r="MB163" s="225" t="s">
        <v>3780</v>
      </c>
      <c r="MC163" s="225" t="s">
        <v>3779</v>
      </c>
      <c r="MD163" s="225" t="s">
        <v>3778</v>
      </c>
      <c r="ME163" s="260" t="s">
        <v>3777</v>
      </c>
      <c r="MF163" s="225"/>
      <c r="MG163" s="226"/>
      <c r="MH163" s="226"/>
      <c r="MI163" s="226"/>
      <c r="MJ163" s="235" t="s">
        <v>3775</v>
      </c>
      <c r="MK163" s="235"/>
      <c r="ML163" s="235" t="s">
        <v>3775</v>
      </c>
      <c r="MM163" s="235" t="s">
        <v>3775</v>
      </c>
      <c r="MN163" s="236" t="s">
        <v>3775</v>
      </c>
      <c r="MO163" s="236" t="s">
        <v>3775</v>
      </c>
      <c r="MP163" s="236" t="s">
        <v>3775</v>
      </c>
      <c r="MQ163" s="236" t="s">
        <v>3775</v>
      </c>
      <c r="MR163" s="236" t="s">
        <v>3775</v>
      </c>
      <c r="MS163" s="236" t="s">
        <v>3775</v>
      </c>
      <c r="MT163" s="269" t="s">
        <v>3776</v>
      </c>
      <c r="MU163" s="236" t="s">
        <v>3775</v>
      </c>
      <c r="MV163" s="235" t="s">
        <v>3775</v>
      </c>
      <c r="MW163" s="235" t="s">
        <v>3775</v>
      </c>
      <c r="MX163" s="226"/>
      <c r="MY163" s="226"/>
      <c r="MZ163" s="226"/>
      <c r="NA163" s="226"/>
    </row>
    <row r="164" spans="1:365" ht="51" x14ac:dyDescent="0.2">
      <c r="A164" s="1216"/>
      <c r="B164" s="201" t="s">
        <v>295</v>
      </c>
      <c r="C164" s="202" t="s">
        <v>288</v>
      </c>
      <c r="D164" s="215" t="s">
        <v>289</v>
      </c>
      <c r="E164" s="498" t="s">
        <v>3311</v>
      </c>
      <c r="F164" s="260" t="s">
        <v>3774</v>
      </c>
      <c r="G164" s="263" t="s">
        <v>1497</v>
      </c>
      <c r="H164" s="263" t="s">
        <v>1497</v>
      </c>
      <c r="I164" s="263" t="s">
        <v>1497</v>
      </c>
      <c r="J164" s="263" t="s">
        <v>1497</v>
      </c>
      <c r="K164" s="392" t="s">
        <v>1916</v>
      </c>
      <c r="L164" s="392" t="s">
        <v>1916</v>
      </c>
      <c r="M164" s="263" t="s">
        <v>1916</v>
      </c>
      <c r="N164" s="263" t="s">
        <v>1916</v>
      </c>
      <c r="O164" s="263" t="s">
        <v>1916</v>
      </c>
      <c r="P164" s="263" t="s">
        <v>1916</v>
      </c>
      <c r="Q164" s="263" t="s">
        <v>1916</v>
      </c>
      <c r="R164" s="322"/>
      <c r="S164" s="279" t="s">
        <v>908</v>
      </c>
      <c r="T164" s="279" t="s">
        <v>908</v>
      </c>
      <c r="U164" s="279" t="s">
        <v>908</v>
      </c>
      <c r="V164" s="225"/>
      <c r="W164" s="226"/>
      <c r="X164" s="226"/>
      <c r="Y164" s="226"/>
      <c r="Z164" s="226"/>
      <c r="AA164" s="226"/>
      <c r="AB164" s="226"/>
      <c r="AC164" s="226"/>
      <c r="AD164" s="226"/>
      <c r="AE164" s="226"/>
      <c r="AF164" s="260" t="s">
        <v>1978</v>
      </c>
      <c r="AG164" s="260" t="s">
        <v>1978</v>
      </c>
      <c r="AH164" s="226"/>
      <c r="AI164" s="260" t="s">
        <v>3773</v>
      </c>
      <c r="AJ164" s="264" t="s">
        <v>3772</v>
      </c>
      <c r="AK164" s="424" t="s">
        <v>3771</v>
      </c>
      <c r="AL164" s="260" t="s">
        <v>3770</v>
      </c>
      <c r="AM164" s="226"/>
      <c r="AN164" s="226"/>
      <c r="AO164" s="226"/>
      <c r="AP164" s="226"/>
      <c r="AQ164" s="264" t="s">
        <v>1829</v>
      </c>
      <c r="AR164" s="279" t="s">
        <v>1829</v>
      </c>
      <c r="AS164" s="279" t="s">
        <v>1829</v>
      </c>
      <c r="AT164" s="225"/>
      <c r="AU164" s="225" t="s">
        <v>656</v>
      </c>
      <c r="AV164" s="225"/>
      <c r="AW164" s="429" t="s">
        <v>3769</v>
      </c>
      <c r="AX164" s="225"/>
      <c r="AY164" s="499" t="s">
        <v>3768</v>
      </c>
      <c r="AZ164" s="260" t="s">
        <v>3767</v>
      </c>
      <c r="BA164" s="260" t="s">
        <v>3766</v>
      </c>
      <c r="BB164" s="260" t="s">
        <v>3765</v>
      </c>
      <c r="BC164" s="225"/>
      <c r="BD164" s="225"/>
      <c r="BE164" s="229"/>
      <c r="BF164" s="225"/>
      <c r="BG164" s="225"/>
      <c r="BH164" s="225" t="s">
        <v>470</v>
      </c>
      <c r="BI164" s="225"/>
      <c r="BJ164" s="225"/>
      <c r="BK164" s="260" t="s">
        <v>3764</v>
      </c>
      <c r="BL164" s="225"/>
      <c r="BM164" s="225"/>
      <c r="BN164" s="226"/>
      <c r="BO164" s="225" t="s">
        <v>3763</v>
      </c>
      <c r="BP164" s="225"/>
      <c r="BQ164" s="495" t="s">
        <v>3762</v>
      </c>
      <c r="BR164" s="233" t="s">
        <v>289</v>
      </c>
      <c r="BS164" s="225"/>
      <c r="BT164" s="264" t="s">
        <v>3761</v>
      </c>
      <c r="BU164" s="264" t="s">
        <v>3760</v>
      </c>
      <c r="BV164" s="225" t="s">
        <v>3759</v>
      </c>
      <c r="BW164" s="264" t="s">
        <v>3758</v>
      </c>
      <c r="BX164" s="225"/>
      <c r="BY164" s="225" t="s">
        <v>3757</v>
      </c>
      <c r="BZ164" s="225" t="s">
        <v>3756</v>
      </c>
      <c r="CA164" s="225"/>
      <c r="CB164" s="225"/>
      <c r="CC164" s="225"/>
      <c r="CD164" s="229"/>
      <c r="CE164" s="278" t="s">
        <v>3755</v>
      </c>
      <c r="CF164" s="229"/>
      <c r="CG164" s="225" t="s">
        <v>3754</v>
      </c>
      <c r="CH164" s="229"/>
      <c r="CI164" s="229"/>
      <c r="CJ164" s="229"/>
      <c r="CK164" s="229"/>
      <c r="CL164" s="229" t="s">
        <v>3753</v>
      </c>
      <c r="CM164" s="425" t="s">
        <v>3752</v>
      </c>
      <c r="CN164" s="263" t="s">
        <v>3751</v>
      </c>
      <c r="CO164" s="263" t="s">
        <v>3750</v>
      </c>
      <c r="CP164" s="264" t="s">
        <v>3749</v>
      </c>
      <c r="CQ164" s="406" t="s">
        <v>3748</v>
      </c>
      <c r="CR164" s="388" t="s">
        <v>3747</v>
      </c>
      <c r="CS164" s="225"/>
      <c r="CT164" s="225"/>
      <c r="CU164" s="225"/>
      <c r="CV164" s="260"/>
      <c r="CW164" s="279"/>
      <c r="CX164" s="260"/>
      <c r="CY164" s="260"/>
      <c r="CZ164" s="225"/>
      <c r="DA164" s="260" t="s">
        <v>3746</v>
      </c>
      <c r="DB164" s="403" t="s">
        <v>3745</v>
      </c>
      <c r="DC164" s="225"/>
      <c r="DD164" s="225" t="s">
        <v>3744</v>
      </c>
      <c r="DE164" s="264" t="s">
        <v>3743</v>
      </c>
      <c r="DF164" s="260" t="s">
        <v>3742</v>
      </c>
      <c r="DG164" s="260" t="s">
        <v>3741</v>
      </c>
      <c r="DH164" s="260" t="s">
        <v>3740</v>
      </c>
      <c r="DI164" s="279" t="s">
        <v>3739</v>
      </c>
      <c r="DJ164" s="426" t="s">
        <v>3738</v>
      </c>
      <c r="DK164" s="260" t="s">
        <v>3737</v>
      </c>
      <c r="DL164" s="260" t="s">
        <v>3736</v>
      </c>
      <c r="DM164" s="260" t="s">
        <v>3735</v>
      </c>
      <c r="DN164" s="279" t="s">
        <v>3735</v>
      </c>
      <c r="DO164" s="260" t="s">
        <v>3734</v>
      </c>
      <c r="DP164" s="225"/>
      <c r="DQ164" s="225"/>
      <c r="DR164" s="225"/>
      <c r="DS164" s="225"/>
      <c r="DT164" s="225"/>
      <c r="DU164" s="225"/>
      <c r="DV164" s="260"/>
      <c r="DW164" s="225" t="s">
        <v>3733</v>
      </c>
      <c r="DX164" s="264" t="s">
        <v>2126</v>
      </c>
      <c r="DY164" s="263" t="s">
        <v>3732</v>
      </c>
      <c r="DZ164" s="263" t="s">
        <v>3731</v>
      </c>
      <c r="EA164" s="279" t="s">
        <v>2126</v>
      </c>
      <c r="EB164" s="225" t="s">
        <v>3546</v>
      </c>
      <c r="EC164" s="226"/>
      <c r="ED164" s="225"/>
      <c r="EE164" s="263" t="s">
        <v>3730</v>
      </c>
      <c r="EF164" s="225"/>
      <c r="EG164" s="226"/>
      <c r="EH164" s="266" t="s">
        <v>3729</v>
      </c>
      <c r="EI164" s="225"/>
      <c r="EJ164" s="226"/>
      <c r="EK164" s="226"/>
      <c r="EL164" s="226"/>
      <c r="EM164" s="226"/>
      <c r="EN164" s="226"/>
      <c r="EO164" s="226"/>
      <c r="EP164" s="226"/>
      <c r="EQ164" s="226"/>
      <c r="ER164" s="263" t="s">
        <v>2203</v>
      </c>
      <c r="ES164" s="263" t="s">
        <v>2203</v>
      </c>
      <c r="ET164" s="264" t="s">
        <v>2203</v>
      </c>
      <c r="EU164" s="264" t="s">
        <v>2203</v>
      </c>
      <c r="EV164" s="264" t="s">
        <v>2203</v>
      </c>
      <c r="EW164" s="264" t="s">
        <v>2203</v>
      </c>
      <c r="EX164" s="263" t="s">
        <v>2203</v>
      </c>
      <c r="EY164" s="264" t="s">
        <v>1231</v>
      </c>
      <c r="EZ164" s="264" t="s">
        <v>1231</v>
      </c>
      <c r="FA164" s="264" t="s">
        <v>1231</v>
      </c>
      <c r="FB164" s="225" t="s">
        <v>1231</v>
      </c>
      <c r="FC164" s="264" t="s">
        <v>1231</v>
      </c>
      <c r="FD164" s="226"/>
      <c r="FE164" s="388" t="s">
        <v>1412</v>
      </c>
      <c r="FF164" s="264" t="s">
        <v>3168</v>
      </c>
      <c r="FG164" s="225" t="s">
        <v>3168</v>
      </c>
      <c r="FH164" s="264" t="s">
        <v>3168</v>
      </c>
      <c r="FI164" s="388" t="s">
        <v>1412</v>
      </c>
      <c r="FJ164" s="388" t="s">
        <v>1412</v>
      </c>
      <c r="FK164" s="388"/>
      <c r="FL164" s="388" t="s">
        <v>1412</v>
      </c>
      <c r="FM164" s="500" t="s">
        <v>1412</v>
      </c>
      <c r="FN164" s="500"/>
      <c r="FO164" s="388" t="s">
        <v>1412</v>
      </c>
      <c r="FP164" s="388"/>
      <c r="FQ164" s="394" t="s">
        <v>1412</v>
      </c>
      <c r="FR164" s="388" t="s">
        <v>1412</v>
      </c>
      <c r="FS164" s="388"/>
      <c r="FT164" s="388" t="s">
        <v>1412</v>
      </c>
      <c r="FU164" s="226"/>
      <c r="FV164" s="388" t="s">
        <v>1412</v>
      </c>
      <c r="FW164" s="388" t="s">
        <v>1412</v>
      </c>
      <c r="FX164" s="388" t="s">
        <v>1412</v>
      </c>
      <c r="FY164" s="226"/>
      <c r="FZ164" s="388" t="s">
        <v>1412</v>
      </c>
      <c r="GA164" s="388" t="s">
        <v>1412</v>
      </c>
      <c r="GB164" s="388" t="s">
        <v>1412</v>
      </c>
      <c r="GC164" s="388"/>
      <c r="GD164" s="388" t="s">
        <v>1412</v>
      </c>
      <c r="GE164" s="388" t="s">
        <v>1412</v>
      </c>
      <c r="GF164" s="388" t="s">
        <v>1412</v>
      </c>
      <c r="GG164" s="388" t="s">
        <v>1412</v>
      </c>
      <c r="GH164" s="388" t="s">
        <v>1412</v>
      </c>
      <c r="GI164" s="226"/>
      <c r="GJ164" s="388" t="s">
        <v>1412</v>
      </c>
      <c r="GK164" s="388" t="s">
        <v>1412</v>
      </c>
      <c r="GL164" s="388" t="s">
        <v>1412</v>
      </c>
      <c r="GM164" s="388" t="s">
        <v>1412</v>
      </c>
      <c r="GN164" s="388" t="s">
        <v>1412</v>
      </c>
      <c r="GO164" s="226"/>
      <c r="GP164" s="388" t="s">
        <v>1412</v>
      </c>
      <c r="GQ164" s="226"/>
      <c r="GR164" s="388" t="s">
        <v>1412</v>
      </c>
      <c r="GS164" s="388" t="s">
        <v>1412</v>
      </c>
      <c r="GT164" s="388"/>
      <c r="GU164" s="388" t="s">
        <v>1412</v>
      </c>
      <c r="GV164" s="388" t="s">
        <v>1412</v>
      </c>
      <c r="GW164" s="226"/>
      <c r="GX164" s="388" t="s">
        <v>1412</v>
      </c>
      <c r="GY164" s="501" t="s">
        <v>1412</v>
      </c>
      <c r="GZ164" s="388" t="s">
        <v>1412</v>
      </c>
      <c r="HA164" s="225" t="s">
        <v>3728</v>
      </c>
      <c r="HB164" s="260" t="s">
        <v>3727</v>
      </c>
      <c r="HC164" s="225"/>
      <c r="HD164" s="225"/>
      <c r="HE164" s="225" t="s">
        <v>3726</v>
      </c>
      <c r="HF164" s="226"/>
      <c r="HG164" s="261" t="s">
        <v>3725</v>
      </c>
      <c r="HH164" s="262" t="s">
        <v>3724</v>
      </c>
      <c r="HI164" s="261" t="s">
        <v>3723</v>
      </c>
      <c r="HJ164" s="225"/>
      <c r="HK164" s="261" t="s">
        <v>3722</v>
      </c>
      <c r="HL164" s="226"/>
      <c r="HM164" s="225" t="s">
        <v>2905</v>
      </c>
      <c r="HN164" s="226"/>
      <c r="HO164" s="260" t="s">
        <v>3721</v>
      </c>
      <c r="HP164" s="225" t="s">
        <v>3720</v>
      </c>
      <c r="HQ164" s="260" t="s">
        <v>3719</v>
      </c>
      <c r="HR164" s="260" t="s">
        <v>3719</v>
      </c>
      <c r="HS164" s="260" t="s">
        <v>3718</v>
      </c>
      <c r="HT164" s="260" t="s">
        <v>3718</v>
      </c>
      <c r="HU164" s="225"/>
      <c r="HV164" s="225"/>
      <c r="HW164" s="225"/>
      <c r="HX164" s="225"/>
      <c r="HY164" s="225" t="s">
        <v>3717</v>
      </c>
      <c r="HZ164" s="395" t="s">
        <v>3716</v>
      </c>
      <c r="IA164" s="225"/>
      <c r="IB164" s="260" t="s">
        <v>3715</v>
      </c>
      <c r="IC164" s="260" t="s">
        <v>3715</v>
      </c>
      <c r="ID164" s="225"/>
      <c r="IE164" s="225"/>
      <c r="IF164" s="225"/>
      <c r="IG164" s="225"/>
      <c r="IH164" s="260"/>
      <c r="II164" s="225"/>
      <c r="IJ164" s="225"/>
      <c r="IK164" s="225"/>
      <c r="IL164" s="260"/>
      <c r="IM164" s="260" t="s">
        <v>2306</v>
      </c>
      <c r="IN164" s="225"/>
      <c r="IO164" s="225"/>
      <c r="IP164" s="260"/>
      <c r="IQ164" s="225"/>
      <c r="IR164" s="225"/>
      <c r="IS164" s="260"/>
      <c r="IT164" s="260"/>
      <c r="IU164" s="260"/>
      <c r="IV164" s="260"/>
      <c r="IW164" s="260"/>
      <c r="IX164" s="225"/>
      <c r="IY164" s="260" t="s">
        <v>3714</v>
      </c>
      <c r="IZ164" s="226" t="s">
        <v>3713</v>
      </c>
      <c r="JA164" s="226" t="s">
        <v>3713</v>
      </c>
      <c r="JB164" s="226" t="s">
        <v>3713</v>
      </c>
      <c r="JC164" s="225" t="s">
        <v>3712</v>
      </c>
      <c r="JD164" s="264" t="s">
        <v>3711</v>
      </c>
      <c r="JE164" s="226"/>
      <c r="JF164" s="226"/>
      <c r="JG164" s="226"/>
      <c r="JH164" s="225"/>
      <c r="JI164" s="225"/>
      <c r="JJ164" s="225"/>
      <c r="JK164" s="237"/>
      <c r="JL164" s="225" t="s">
        <v>3710</v>
      </c>
      <c r="JM164" s="225"/>
      <c r="JN164" s="226"/>
      <c r="JO164" s="226"/>
      <c r="JP164" s="226"/>
      <c r="JQ164" s="225" t="s">
        <v>2504</v>
      </c>
      <c r="JR164" s="225" t="s">
        <v>2504</v>
      </c>
      <c r="JS164" s="225" t="s">
        <v>2504</v>
      </c>
      <c r="JT164" s="225" t="s">
        <v>2504</v>
      </c>
      <c r="JU164" s="232" t="s">
        <v>2504</v>
      </c>
      <c r="JV164" s="232" t="s">
        <v>2504</v>
      </c>
      <c r="JW164" s="232" t="s">
        <v>2504</v>
      </c>
      <c r="JX164" s="232" t="s">
        <v>2504</v>
      </c>
      <c r="JY164" s="232" t="s">
        <v>2504</v>
      </c>
      <c r="JZ164" s="232" t="s">
        <v>2504</v>
      </c>
      <c r="KA164" s="225" t="s">
        <v>2504</v>
      </c>
      <c r="KB164" s="232" t="s">
        <v>2504</v>
      </c>
      <c r="KC164" s="232" t="s">
        <v>2504</v>
      </c>
      <c r="KD164" s="225" t="s">
        <v>2504</v>
      </c>
      <c r="KE164" s="232" t="s">
        <v>2504</v>
      </c>
      <c r="KF164" s="225" t="s">
        <v>2504</v>
      </c>
      <c r="KG164" s="232" t="s">
        <v>2504</v>
      </c>
      <c r="KH164" s="232" t="s">
        <v>2504</v>
      </c>
      <c r="KI164" s="232" t="s">
        <v>2504</v>
      </c>
      <c r="KJ164" s="232" t="s">
        <v>2504</v>
      </c>
      <c r="KK164" s="232" t="s">
        <v>2504</v>
      </c>
      <c r="KL164" s="232" t="s">
        <v>2504</v>
      </c>
      <c r="KM164" s="225" t="s">
        <v>2504</v>
      </c>
      <c r="KN164" s="232" t="s">
        <v>2504</v>
      </c>
      <c r="KO164" s="232" t="s">
        <v>2504</v>
      </c>
      <c r="KP164" s="264" t="s">
        <v>3709</v>
      </c>
      <c r="KQ164" s="226"/>
      <c r="KR164" s="226"/>
      <c r="KS164" s="226"/>
      <c r="KT164" s="226"/>
      <c r="KU164" s="226"/>
      <c r="KV164" s="225" t="s">
        <v>2362</v>
      </c>
      <c r="KW164" s="263" t="s">
        <v>3708</v>
      </c>
      <c r="KX164" s="798" t="s">
        <v>9143</v>
      </c>
      <c r="KY164" s="264" t="s">
        <v>9143</v>
      </c>
      <c r="KZ164" s="264" t="s">
        <v>9143</v>
      </c>
      <c r="LA164" s="264" t="s">
        <v>9143</v>
      </c>
      <c r="LB164" s="264" t="s">
        <v>9143</v>
      </c>
      <c r="LC164" s="264" t="s">
        <v>9143</v>
      </c>
      <c r="LD164" s="264" t="s">
        <v>9143</v>
      </c>
      <c r="LE164" s="279" t="s">
        <v>9143</v>
      </c>
      <c r="LF164" s="264" t="s">
        <v>9143</v>
      </c>
      <c r="LG164" s="264" t="s">
        <v>9143</v>
      </c>
      <c r="LH164" s="264" t="s">
        <v>9143</v>
      </c>
      <c r="LI164" s="264" t="s">
        <v>9143</v>
      </c>
      <c r="LJ164" s="225" t="s">
        <v>9143</v>
      </c>
      <c r="LK164" s="263" t="s">
        <v>1574</v>
      </c>
      <c r="LL164" s="289" t="s">
        <v>1574</v>
      </c>
      <c r="LM164" s="226"/>
      <c r="LN164" s="264"/>
      <c r="LO164" s="260"/>
      <c r="LP164" s="225"/>
      <c r="LQ164" s="225"/>
      <c r="LR164" s="225"/>
      <c r="LS164" s="225"/>
      <c r="LT164" s="268"/>
      <c r="LU164" s="225" t="s">
        <v>3707</v>
      </c>
      <c r="LV164" s="225" t="s">
        <v>3707</v>
      </c>
      <c r="LW164" s="225"/>
      <c r="LX164" s="264" t="s">
        <v>3706</v>
      </c>
      <c r="LY164" s="260" t="s">
        <v>3705</v>
      </c>
      <c r="LZ164" s="260" t="s">
        <v>3704</v>
      </c>
      <c r="MA164" s="264" t="s">
        <v>3703</v>
      </c>
      <c r="MB164" s="264" t="s">
        <v>3702</v>
      </c>
      <c r="MC164" s="225" t="s">
        <v>3701</v>
      </c>
      <c r="MD164" s="225" t="s">
        <v>3700</v>
      </c>
      <c r="ME164" s="225" t="s">
        <v>3699</v>
      </c>
      <c r="MF164" s="225"/>
      <c r="MG164" s="226"/>
      <c r="MH164" s="226"/>
      <c r="MI164" s="226"/>
      <c r="MJ164" s="275" t="s">
        <v>3697</v>
      </c>
      <c r="MK164" s="275"/>
      <c r="ML164" s="275" t="s">
        <v>3697</v>
      </c>
      <c r="MM164" s="275" t="s">
        <v>3697</v>
      </c>
      <c r="MN164" s="271" t="s">
        <v>3697</v>
      </c>
      <c r="MO164" s="271" t="s">
        <v>3697</v>
      </c>
      <c r="MP164" s="271" t="s">
        <v>3697</v>
      </c>
      <c r="MQ164" s="271" t="s">
        <v>3697</v>
      </c>
      <c r="MR164" s="271" t="s">
        <v>3697</v>
      </c>
      <c r="MS164" s="271" t="s">
        <v>3697</v>
      </c>
      <c r="MT164" s="269" t="s">
        <v>3698</v>
      </c>
      <c r="MU164" s="271" t="s">
        <v>3697</v>
      </c>
      <c r="MV164" s="275" t="s">
        <v>3697</v>
      </c>
      <c r="MW164" s="275" t="s">
        <v>3697</v>
      </c>
      <c r="MX164" s="226"/>
      <c r="MY164" s="226"/>
      <c r="MZ164" s="226"/>
      <c r="NA164" s="226"/>
    </row>
    <row r="165" spans="1:365" x14ac:dyDescent="0.2">
      <c r="KX165" s="203"/>
      <c r="KY165" s="203"/>
      <c r="KZ165" s="216"/>
      <c r="LA165" s="216"/>
      <c r="LB165" s="216"/>
      <c r="LC165" s="216"/>
      <c r="LD165" s="216"/>
      <c r="LI165" s="216"/>
      <c r="LJ165" s="217"/>
    </row>
    <row r="166" spans="1:365" x14ac:dyDescent="0.2">
      <c r="KX166" s="203"/>
      <c r="KY166" s="203"/>
      <c r="KZ166" s="216"/>
      <c r="LA166" s="216"/>
      <c r="LB166" s="216"/>
      <c r="LC166" s="216"/>
      <c r="LD166" s="216"/>
      <c r="LI166" s="216"/>
      <c r="LJ166" s="217"/>
    </row>
    <row r="167" spans="1:365" x14ac:dyDescent="0.2">
      <c r="KX167" s="211"/>
      <c r="KY167" s="211"/>
      <c r="KZ167" s="813"/>
      <c r="LA167" s="813"/>
      <c r="LB167" s="813"/>
      <c r="LC167" s="813"/>
      <c r="LD167" s="813"/>
      <c r="LE167" s="813"/>
      <c r="LF167" s="813"/>
      <c r="LG167" s="813"/>
      <c r="LH167" s="813"/>
      <c r="LI167" s="813"/>
      <c r="LJ167" s="217"/>
    </row>
    <row r="168" spans="1:365" x14ac:dyDescent="0.2">
      <c r="KX168" s="214"/>
      <c r="KY168" s="214"/>
      <c r="KZ168" s="813"/>
      <c r="LA168" s="813"/>
      <c r="LB168" s="813"/>
      <c r="LC168" s="813"/>
      <c r="LD168" s="813"/>
      <c r="LE168" s="813"/>
      <c r="LF168" s="813"/>
      <c r="LG168" s="813"/>
      <c r="LH168" s="813"/>
      <c r="LI168" s="813"/>
      <c r="LJ168" s="217"/>
    </row>
    <row r="169" spans="1:365" x14ac:dyDescent="0.2">
      <c r="KX169" s="214"/>
      <c r="KY169" s="214"/>
      <c r="KZ169" s="813"/>
      <c r="LA169" s="813"/>
      <c r="LB169" s="813"/>
      <c r="LC169" s="813"/>
      <c r="LD169" s="813"/>
      <c r="LE169" s="813"/>
      <c r="LF169" s="813"/>
      <c r="LG169" s="813"/>
      <c r="LH169" s="813"/>
      <c r="LI169" s="813"/>
      <c r="LJ169" s="217"/>
    </row>
    <row r="170" spans="1:365" x14ac:dyDescent="0.2">
      <c r="KX170" s="214"/>
      <c r="KY170" s="214"/>
      <c r="KZ170" s="813"/>
      <c r="LA170" s="813"/>
      <c r="LB170" s="813"/>
      <c r="LC170" s="813"/>
      <c r="LD170" s="813"/>
      <c r="LE170" s="813"/>
      <c r="LF170" s="813"/>
      <c r="LG170" s="813"/>
      <c r="LH170" s="813"/>
      <c r="LI170" s="813"/>
      <c r="LJ170" s="217"/>
    </row>
    <row r="171" spans="1:365" x14ac:dyDescent="0.2">
      <c r="KX171" s="203"/>
      <c r="KY171" s="203"/>
      <c r="KZ171" s="216"/>
      <c r="LA171" s="216"/>
      <c r="LB171" s="216"/>
      <c r="LC171" s="216"/>
      <c r="LD171" s="216"/>
      <c r="LE171" s="216"/>
      <c r="LF171" s="216"/>
      <c r="LG171" s="216"/>
      <c r="LH171" s="216"/>
      <c r="LI171" s="216"/>
      <c r="LJ171" s="217"/>
    </row>
    <row r="172" spans="1:365" x14ac:dyDescent="0.2">
      <c r="KX172" s="203"/>
      <c r="KY172" s="203"/>
      <c r="KZ172" s="216"/>
      <c r="LA172" s="216"/>
      <c r="LB172" s="216"/>
      <c r="LC172" s="216"/>
      <c r="LD172" s="216"/>
      <c r="LE172" s="216"/>
      <c r="LF172" s="216"/>
      <c r="LG172" s="216"/>
      <c r="LH172" s="216"/>
      <c r="LI172" s="216"/>
      <c r="LJ172" s="217"/>
    </row>
    <row r="173" spans="1:365" x14ac:dyDescent="0.2">
      <c r="KX173" s="203"/>
      <c r="KY173" s="203"/>
      <c r="KZ173" s="216"/>
      <c r="LA173" s="216"/>
      <c r="LB173" s="216"/>
      <c r="LC173" s="216"/>
      <c r="LD173" s="216"/>
      <c r="LE173" s="216"/>
      <c r="LF173" s="216"/>
      <c r="LG173" s="216"/>
      <c r="LH173" s="216"/>
      <c r="LI173" s="216"/>
      <c r="LJ173" s="217"/>
    </row>
    <row r="174" spans="1:365" x14ac:dyDescent="0.2">
      <c r="KX174" s="203"/>
      <c r="KY174" s="203"/>
      <c r="KZ174" s="216"/>
      <c r="LA174" s="216"/>
      <c r="LB174" s="216"/>
      <c r="LC174" s="216"/>
      <c r="LD174" s="216"/>
      <c r="LE174" s="216"/>
      <c r="LF174" s="216"/>
      <c r="LG174" s="216"/>
      <c r="LH174" s="216"/>
      <c r="LI174" s="216"/>
      <c r="LJ174" s="217"/>
    </row>
    <row r="175" spans="1:365" x14ac:dyDescent="0.2">
      <c r="KX175" s="203"/>
      <c r="KY175" s="203"/>
      <c r="KZ175" s="216"/>
      <c r="LA175" s="216"/>
      <c r="LB175" s="216"/>
      <c r="LC175" s="216"/>
      <c r="LD175" s="216"/>
      <c r="LE175" s="216"/>
      <c r="LF175" s="216"/>
      <c r="LG175" s="216"/>
      <c r="LH175" s="216"/>
      <c r="LI175" s="216"/>
      <c r="LJ175" s="217"/>
    </row>
    <row r="176" spans="1:365" x14ac:dyDescent="0.2">
      <c r="KX176" s="203"/>
      <c r="KY176" s="203"/>
      <c r="KZ176" s="216"/>
      <c r="LA176" s="216"/>
      <c r="LB176" s="216"/>
      <c r="LC176" s="216"/>
      <c r="LD176" s="216"/>
      <c r="LE176" s="216"/>
      <c r="LF176" s="216"/>
      <c r="LG176" s="216"/>
      <c r="LH176" s="216"/>
      <c r="LI176" s="216"/>
      <c r="LJ176" s="217"/>
    </row>
    <row r="177" spans="310:322" x14ac:dyDescent="0.2">
      <c r="KX177" s="203"/>
      <c r="KY177" s="203"/>
      <c r="KZ177" s="216"/>
      <c r="LA177" s="216"/>
      <c r="LB177" s="216"/>
      <c r="LC177" s="216"/>
      <c r="LD177" s="216"/>
      <c r="LE177" s="216"/>
      <c r="LF177" s="216"/>
      <c r="LG177" s="216"/>
      <c r="LH177" s="216"/>
      <c r="LI177" s="216"/>
      <c r="LJ177" s="217"/>
    </row>
    <row r="178" spans="310:322" x14ac:dyDescent="0.2">
      <c r="KX178" s="203"/>
      <c r="KY178" s="203"/>
      <c r="KZ178" s="216"/>
      <c r="LA178" s="216"/>
      <c r="LB178" s="216"/>
      <c r="LC178" s="216"/>
      <c r="LD178" s="216"/>
      <c r="LE178" s="216"/>
      <c r="LF178" s="216"/>
      <c r="LG178" s="216"/>
      <c r="LH178" s="216"/>
      <c r="LI178" s="216"/>
      <c r="LJ178" s="217"/>
    </row>
    <row r="179" spans="310:322" x14ac:dyDescent="0.2">
      <c r="KX179" s="203"/>
      <c r="KY179" s="203"/>
      <c r="KZ179" s="216"/>
      <c r="LA179" s="216"/>
      <c r="LB179" s="216"/>
      <c r="LC179" s="216"/>
      <c r="LD179" s="216"/>
      <c r="LE179" s="216"/>
      <c r="LF179" s="216"/>
      <c r="LG179" s="216"/>
      <c r="LH179" s="216"/>
      <c r="LI179" s="216"/>
      <c r="LJ179" s="217"/>
    </row>
    <row r="180" spans="310:322" x14ac:dyDescent="0.2">
      <c r="KX180" s="203"/>
      <c r="KY180" s="203"/>
      <c r="KZ180" s="216"/>
      <c r="LA180" s="216"/>
      <c r="LB180" s="216"/>
      <c r="LC180" s="216"/>
      <c r="LD180" s="216"/>
      <c r="LE180" s="216"/>
      <c r="LF180" s="216"/>
      <c r="LG180" s="216"/>
      <c r="LH180" s="216"/>
      <c r="LI180" s="216"/>
      <c r="LJ180" s="217"/>
    </row>
    <row r="181" spans="310:322" x14ac:dyDescent="0.2">
      <c r="KX181" s="203"/>
      <c r="KY181" s="203"/>
      <c r="KZ181" s="216"/>
      <c r="LA181" s="216"/>
      <c r="LB181" s="216"/>
      <c r="LC181" s="216"/>
      <c r="LD181" s="216"/>
      <c r="LE181" s="216"/>
      <c r="LF181" s="216"/>
      <c r="LG181" s="216"/>
      <c r="LH181" s="216"/>
      <c r="LI181" s="216"/>
      <c r="LJ181" s="217"/>
    </row>
    <row r="182" spans="310:322" x14ac:dyDescent="0.2">
      <c r="KX182" s="203"/>
      <c r="KY182" s="203"/>
      <c r="KZ182" s="216"/>
      <c r="LA182" s="216"/>
      <c r="LB182" s="216"/>
      <c r="LC182" s="216"/>
      <c r="LD182" s="216"/>
      <c r="LE182" s="216"/>
      <c r="LF182" s="216"/>
      <c r="LG182" s="216"/>
      <c r="LH182" s="216"/>
      <c r="LI182" s="216"/>
      <c r="LJ182" s="217"/>
    </row>
    <row r="183" spans="310:322" x14ac:dyDescent="0.2">
      <c r="KX183" s="204"/>
      <c r="KY183" s="204"/>
      <c r="KZ183" s="814"/>
      <c r="LA183" s="814"/>
      <c r="LB183" s="814"/>
      <c r="LC183" s="814"/>
      <c r="LD183" s="814"/>
      <c r="LE183" s="814"/>
      <c r="LF183" s="814"/>
      <c r="LG183" s="814"/>
      <c r="LH183" s="814"/>
      <c r="LI183" s="814"/>
      <c r="LJ183" s="217"/>
    </row>
    <row r="184" spans="310:322" x14ac:dyDescent="0.2">
      <c r="KX184" s="203"/>
      <c r="KY184" s="203"/>
      <c r="KZ184" s="216"/>
      <c r="LA184" s="216"/>
      <c r="LB184" s="216"/>
      <c r="LC184" s="216"/>
      <c r="LD184" s="216"/>
      <c r="LE184" s="216"/>
      <c r="LF184" s="216"/>
      <c r="LG184" s="216"/>
      <c r="LH184" s="216"/>
      <c r="LI184" s="216"/>
      <c r="LJ184" s="217"/>
    </row>
    <row r="185" spans="310:322" x14ac:dyDescent="0.2">
      <c r="KX185" s="203"/>
      <c r="KY185" s="203"/>
      <c r="KZ185" s="216"/>
      <c r="LA185" s="216"/>
      <c r="LB185" s="216"/>
      <c r="LC185" s="216"/>
      <c r="LD185" s="216"/>
      <c r="LE185" s="216"/>
      <c r="LF185" s="216"/>
      <c r="LG185" s="216"/>
      <c r="LH185" s="216"/>
      <c r="LI185" s="216"/>
      <c r="LJ185" s="217"/>
    </row>
    <row r="186" spans="310:322" x14ac:dyDescent="0.2">
      <c r="KX186" s="204"/>
      <c r="KY186" s="204"/>
      <c r="KZ186" s="814"/>
      <c r="LA186" s="814"/>
      <c r="LB186" s="814"/>
      <c r="LC186" s="814"/>
      <c r="LD186" s="814"/>
      <c r="LE186" s="814"/>
      <c r="LF186" s="814"/>
      <c r="LG186" s="814"/>
      <c r="LH186" s="814"/>
      <c r="LI186" s="814"/>
      <c r="LJ186" s="217"/>
    </row>
  </sheetData>
  <mergeCells count="72">
    <mergeCell ref="C8:C9"/>
    <mergeCell ref="A21:A28"/>
    <mergeCell ref="B21:B22"/>
    <mergeCell ref="C21:C22"/>
    <mergeCell ref="B23:B24"/>
    <mergeCell ref="C23:C24"/>
    <mergeCell ref="C25:C26"/>
    <mergeCell ref="C27:C28"/>
    <mergeCell ref="A37:A39"/>
    <mergeCell ref="A3:A4"/>
    <mergeCell ref="A5:A6"/>
    <mergeCell ref="A8:A9"/>
    <mergeCell ref="B8:B9"/>
    <mergeCell ref="B25:B26"/>
    <mergeCell ref="B27:B28"/>
    <mergeCell ref="A30:A32"/>
    <mergeCell ref="A40:A41"/>
    <mergeCell ref="A42:A43"/>
    <mergeCell ref="A44:A45"/>
    <mergeCell ref="A51:A54"/>
    <mergeCell ref="B52:B53"/>
    <mergeCell ref="A55:A56"/>
    <mergeCell ref="A57:A59"/>
    <mergeCell ref="C110:C112"/>
    <mergeCell ref="B113:B115"/>
    <mergeCell ref="C113:C115"/>
    <mergeCell ref="A60:A84"/>
    <mergeCell ref="A85:A90"/>
    <mergeCell ref="B86:B87"/>
    <mergeCell ref="C86:C87"/>
    <mergeCell ref="A91:A97"/>
    <mergeCell ref="B92:B93"/>
    <mergeCell ref="A98:A121"/>
    <mergeCell ref="B98:B100"/>
    <mergeCell ref="C98:C100"/>
    <mergeCell ref="B101:B103"/>
    <mergeCell ref="C101:C103"/>
    <mergeCell ref="B104:B106"/>
    <mergeCell ref="C104:C106"/>
    <mergeCell ref="B107:B109"/>
    <mergeCell ref="C107:C109"/>
    <mergeCell ref="B110:B112"/>
    <mergeCell ref="B116:B118"/>
    <mergeCell ref="DY52:DY53"/>
    <mergeCell ref="B140:B142"/>
    <mergeCell ref="C140:C142"/>
    <mergeCell ref="C116:C118"/>
    <mergeCell ref="B119:B121"/>
    <mergeCell ref="C119:C121"/>
    <mergeCell ref="B89:B90"/>
    <mergeCell ref="C89:C90"/>
    <mergeCell ref="B134:B136"/>
    <mergeCell ref="C134:C136"/>
    <mergeCell ref="B137:B139"/>
    <mergeCell ref="C137:C139"/>
    <mergeCell ref="B125:B127"/>
    <mergeCell ref="C125:C127"/>
    <mergeCell ref="C52:C53"/>
    <mergeCell ref="A162:A164"/>
    <mergeCell ref="B143:B145"/>
    <mergeCell ref="C143:C145"/>
    <mergeCell ref="A149:A150"/>
    <mergeCell ref="A151:A155"/>
    <mergeCell ref="A156:A158"/>
    <mergeCell ref="A159:A161"/>
    <mergeCell ref="A122:A145"/>
    <mergeCell ref="B122:B124"/>
    <mergeCell ref="C122:C124"/>
    <mergeCell ref="B128:B130"/>
    <mergeCell ref="C128:C130"/>
    <mergeCell ref="B131:B133"/>
    <mergeCell ref="C131:C133"/>
  </mergeCells>
  <hyperlinks>
    <hyperlink ref="K26" r:id="rId1" xr:uid="{70A7734D-3173-F84C-85BE-21C3B75EF451}"/>
    <hyperlink ref="K28" r:id="rId2" xr:uid="{4207B73F-4E83-1947-9524-BA3A4E9FEE5A}"/>
    <hyperlink ref="K151" r:id="rId3" xr:uid="{66896C83-9C1D-DF4D-B8CD-87DA6C093823}"/>
    <hyperlink ref="K152" r:id="rId4" xr:uid="{56008D0B-3D73-A74F-8E27-C2E00729A63D}"/>
    <hyperlink ref="K161" r:id="rId5" xr:uid="{A6B99E43-4733-5E45-8A3A-1284F13B4F7C}"/>
    <hyperlink ref="K164" r:id="rId6" xr:uid="{904FB1BD-FD5C-5849-BF2C-444CA0A85B67}"/>
    <hyperlink ref="L90" r:id="rId7" xr:uid="{BD8EA049-3367-0C40-9B7C-E291774D1FFF}"/>
    <hyperlink ref="L151" r:id="rId8" xr:uid="{5D922DFD-123B-7746-B17B-F77E65C4B826}"/>
    <hyperlink ref="L161" r:id="rId9" xr:uid="{564DAD37-A296-AC4D-8800-E87148247A23}"/>
    <hyperlink ref="L164" r:id="rId10" xr:uid="{6BF23B9B-3DDE-AA40-A546-488FC0893D5E}"/>
    <hyperlink ref="M90" r:id="rId11" xr:uid="{099E06CA-2FA9-464A-809C-C8A1754E3456}"/>
    <hyperlink ref="M151" r:id="rId12" xr:uid="{A3767BB7-606D-B443-9B62-34C52B21D21E}"/>
    <hyperlink ref="M26" r:id="rId13" xr:uid="{B50B94C0-AB5F-4647-ADB1-5210212122AA}"/>
    <hyperlink ref="M22" r:id="rId14" xr:uid="{BB3FAFFB-2000-5D48-AF49-9D9DCC105136}"/>
    <hyperlink ref="M161" r:id="rId15" xr:uid="{FF4F95D7-FE8D-0D41-A292-D329F840214A}"/>
    <hyperlink ref="M164" r:id="rId16" xr:uid="{72330390-8531-BA4F-9222-36B9730576A1}"/>
    <hyperlink ref="N90" r:id="rId17" xr:uid="{DF271F12-24B3-3244-98A8-4B9F633CC057}"/>
    <hyperlink ref="N151" r:id="rId18" xr:uid="{FEED0D85-AAB9-B344-81A0-12E54371C073}"/>
    <hyperlink ref="N26" r:id="rId19" xr:uid="{A529B6DE-C866-B44D-BAA8-E658D7C4545A}"/>
    <hyperlink ref="N22" r:id="rId20" xr:uid="{E9D4AF0A-10A5-254C-B820-34C40E2B8B7A}"/>
    <hyperlink ref="N152" r:id="rId21" display="https://vk.com/volokonovskiyrayon?w=wall-159960654_7532" xr:uid="{FB351BCE-6152-D943-AD5F-3601679A51A7}"/>
    <hyperlink ref="N164" r:id="rId22" xr:uid="{FAAAF30E-BB7F-1B46-921E-BC0FAB3D7316}"/>
    <hyperlink ref="O22" r:id="rId23" xr:uid="{5CDE702E-EBFB-6647-BD4F-63C2529D5924}"/>
    <hyperlink ref="O28" r:id="rId24" xr:uid="{4F7471DA-F9ED-6644-A21E-FEC81F7ADD66}"/>
    <hyperlink ref="O90" r:id="rId25" xr:uid="{2566A2D9-844C-C947-87A1-A0C99F87FBAF}"/>
    <hyperlink ref="O152" r:id="rId26" xr:uid="{84756A26-2D52-334E-B07D-D86083206AE9}"/>
    <hyperlink ref="O161" r:id="rId27" xr:uid="{20B5C3EF-A662-C646-AE35-F99B05CA785E}"/>
    <hyperlink ref="O164" r:id="rId28" xr:uid="{9EDD56C2-155B-3640-81C5-E7C343F4AB97}"/>
    <hyperlink ref="P161" r:id="rId29" xr:uid="{E00A73A1-DA2A-8548-A099-24DA3A9A1C6E}"/>
    <hyperlink ref="P164" r:id="rId30" xr:uid="{C973192F-E115-3D44-9FDB-0F3F0A1FECBF}"/>
    <hyperlink ref="P26" r:id="rId31" xr:uid="{D67BD96E-2D65-6E49-97F1-94C405E8137A}"/>
    <hyperlink ref="P22" r:id="rId32" xr:uid="{8E253C8E-CE33-B84B-B5C4-68FFD77EE083}"/>
    <hyperlink ref="Q28" r:id="rId33" xr:uid="{B30EC0B3-11B2-B741-8014-5F22BDF7CDD2}"/>
    <hyperlink ref="Q26" r:id="rId34" xr:uid="{DA682B88-6A5D-ED4E-B3D5-97464E81DFCC}"/>
    <hyperlink ref="Q22" r:id="rId35" xr:uid="{28969616-CFBB-8D4F-BFC3-11DCCF033240}"/>
    <hyperlink ref="Q24" r:id="rId36" xr:uid="{DADE638B-984E-3948-BB69-FFCBC4B5DE77}"/>
    <hyperlink ref="Q161" r:id="rId37" xr:uid="{23A3998E-66EE-AD46-818C-815377E7AE9E}"/>
    <hyperlink ref="Q152" r:id="rId38" xr:uid="{7713937B-230A-4341-89B2-1C54D0733250}"/>
    <hyperlink ref="Q154" r:id="rId39" xr:uid="{454984B7-134B-934A-88D2-AD4A49CEAA5A}"/>
    <hyperlink ref="Q151" r:id="rId40" xr:uid="{796014B4-1174-EE4A-8FF8-2EB66CB78939}"/>
    <hyperlink ref="Q93" r:id="rId41" xr:uid="{A41C3ED2-E927-DE41-8250-2882A4E54D66}"/>
    <hyperlink ref="Q164" r:id="rId42" xr:uid="{FAE06623-9955-044B-BDEA-759EBFB8EBF2}"/>
    <hyperlink ref="S22" r:id="rId43" display="https://www.gusr.ru/userfiles_npa/P_399_15_04_2020.pdf" xr:uid="{FDBC3221-E1F1-4744-92D2-3C63A7AD5D50}"/>
    <hyperlink ref="S161" r:id="rId44" xr:uid="{990C7B65-F7C1-5A48-8725-3A03121A990F}"/>
    <hyperlink ref="S164" r:id="rId45" xr:uid="{FE007983-1685-4C4F-BC90-ED23C79541CC}"/>
    <hyperlink ref="T24" r:id="rId46" location="here_x000a_" xr:uid="{9274FE0B-1BD0-C547-A1D8-160F2E266F7D}"/>
    <hyperlink ref="T164" r:id="rId47" xr:uid="{CD98DEE3-3D73-E247-8D6E-EE6FB2754A84}"/>
    <hyperlink ref="T22" r:id="rId48" location="here_x000a_" xr:uid="{031BA1AF-2F02-584E-92F0-6FFC0E3FA3CB}"/>
    <hyperlink ref="T26" r:id="rId49" location="here_x000a_" xr:uid="{7F064AB3-ACE0-9043-B033-FC65A1A74651}"/>
    <hyperlink ref="T90" r:id="rId50" xr:uid="{1CC1BD79-CFEF-AC42-9A02-DF1E584A1D80}"/>
    <hyperlink ref="U22" r:id="rId51" xr:uid="{B7A982EC-FF0B-A843-9073-AA72A9EA61D0}"/>
    <hyperlink ref="U26" r:id="rId52" xr:uid="{4FA2402A-2E02-124D-9A9E-C8E8D585F7C5}"/>
    <hyperlink ref="U24" r:id="rId53" xr:uid="{3936559E-02D5-6D43-B3C5-F4ACFA4BDFB4}"/>
    <hyperlink ref="U90" r:id="rId54" xr:uid="{BC367137-9EA9-A349-A93A-AD5241BDA76B}"/>
    <hyperlink ref="U99" r:id="rId55" xr:uid="{9B7FE899-B997-F242-BD0C-DF2118A86BF3}"/>
    <hyperlink ref="U154" r:id="rId56" display="https://33mayak.ru/2022/04/21/58568" xr:uid="{EFE70084-1458-0D4F-9382-E32C0A2194DD}"/>
    <hyperlink ref="U161" r:id="rId57" xr:uid="{C53BF0BB-2C63-4748-8898-FDEE8DF5176A}"/>
    <hyperlink ref="U164" r:id="rId58" xr:uid="{AC0F8598-006E-C041-8565-1B4F6B72110E}"/>
    <hyperlink ref="EH161" r:id="rId59" xr:uid="{AB20B1AF-59F7-A24E-AE00-D362AB64240A}"/>
    <hyperlink ref="EH164" r:id="rId60" xr:uid="{487B98FF-47E9-174A-A787-78C7D679D59E}"/>
    <hyperlink ref="EI24" r:id="rId61" xr:uid="{31709211-FFD4-F343-81E1-3AE2035A681D}"/>
    <hyperlink ref="EI26" r:id="rId62" xr:uid="{6AF0DF77-8E65-E146-8658-C540B3DBC486}"/>
    <hyperlink ref="EI22" r:id="rId63" xr:uid="{3ABBD40D-1361-A945-BA90-5987FABD6E9D}"/>
    <hyperlink ref="EI90" r:id="rId64" xr:uid="{3A807B7E-07A6-5940-AF94-FE0A6F75802C}"/>
    <hyperlink ref="EI151" r:id="rId65" xr:uid="{487CCD21-8E58-6D4A-BD22-26175B3067B1}"/>
    <hyperlink ref="EI87" r:id="rId66" xr:uid="{656358A5-8E1B-EB45-9A06-F009A6BFC433}"/>
    <hyperlink ref="MJ22" r:id="rId67" xr:uid="{0FD7E299-70F2-D044-A3EA-AEC216125611}"/>
    <hyperlink ref="MJ24" r:id="rId68" xr:uid="{643ED366-F537-3946-8AD2-251FD7302A42}"/>
    <hyperlink ref="MJ26" r:id="rId69" xr:uid="{46883180-98AE-7847-8D69-E1CC39FB73A3}"/>
    <hyperlink ref="MJ90" r:id="rId70" xr:uid="{3F74F345-BAF8-1543-85F5-6A21FFC2F8C1}"/>
    <hyperlink ref="MJ93" r:id="rId71" xr:uid="{4F60756A-D3EA-3949-A3F0-0926C3DFA418}"/>
    <hyperlink ref="MJ117" r:id="rId72" xr:uid="{A2695DA9-176E-B246-826C-3AC97A2B75E9}"/>
    <hyperlink ref="MJ138" r:id="rId73" xr:uid="{79DAB813-1ACF-D345-8A6D-FE9B637D35BD}"/>
    <hyperlink ref="MJ152" r:id="rId74" xr:uid="{0FD8F3CB-BD92-944D-86EF-4553785BE4B2}"/>
    <hyperlink ref="MJ153" r:id="rId75" xr:uid="{4B590615-60D3-D946-964C-7867164041F7}"/>
    <hyperlink ref="MJ154" r:id="rId76" display="https://sever-press.ru/news/ekonomika/ujutnyj-jamal-salehardcy-uvideli-prezentaciju-luchshih-idej-po-blagoustrojstvu-goroda/" xr:uid="{41A28AD1-18D9-3147-9B57-6786B22EC763}"/>
    <hyperlink ref="ML26" r:id="rId77" xr:uid="{BDF2D935-4252-E64B-83D7-9077CD18B567}"/>
    <hyperlink ref="ML53" r:id="rId78" xr:uid="{D3210569-F0D4-BF4A-B297-C6AD1BBE2DD7}"/>
    <hyperlink ref="ML90" r:id="rId79" xr:uid="{24AD6E4F-3206-DC4E-AFF0-7295712CDF20}"/>
    <hyperlink ref="ML93" r:id="rId80" xr:uid="{AD3CB50F-8FB5-1240-9BB3-52BFF3418F19}"/>
    <hyperlink ref="ML96" r:id="rId81" xr:uid="{F03F22E9-8838-DF4A-A773-5C8741D97056}"/>
    <hyperlink ref="ML141" r:id="rId82" xr:uid="{96013B12-39B1-6E49-B4AD-3DFA19B39728}"/>
    <hyperlink ref="ML151" r:id="rId83" xr:uid="{0CFD169C-2AD3-5742-A3D2-46AEEEEE7A11}"/>
    <hyperlink ref="ML152" r:id="rId84" xr:uid="{4B1BFAD1-B7A9-4D45-AC30-6435C237FCA6}"/>
    <hyperlink ref="ML153" r:id="rId85" xr:uid="{695214DC-0CA0-B041-9680-4D1B74EEB73E}"/>
    <hyperlink ref="ML155" r:id="rId86" xr:uid="{7336C252-0731-C341-8888-C8DF23866E85}"/>
    <hyperlink ref="ML161" r:id="rId87" xr:uid="{E88DA76C-5CE9-6946-8328-A2A0BA4E205A}"/>
    <hyperlink ref="MM22" r:id="rId88" xr:uid="{6D508B62-7929-C945-B3E6-EC81CFD18090}"/>
    <hyperlink ref="MM24" r:id="rId89" xr:uid="{E7F75792-8864-5D4E-9733-7B31334B864A}"/>
    <hyperlink ref="MM26" r:id="rId90" display="https://www.newurengoy.ru/doc/12900-ob-utverzhdenii-municipalnoy-programmy-municipalnogo-obrazovaniya-gorod-novyy-urengoy-blagoustroystvo-i-razvitie-transportnogo-kompleksa-na-territorii-municipalnogo-obrazovaniya-gorod-novyy-urengoy.html, https://www.newurengoy.ru/doc/8727-ob-utverzhdenii-municipalnoy-programmy-municipalnogo-obrazovaniya-gorod-novyy-urengoy-razvitie-gorodskogo-hozyaystva-na-2014-2016-gody.html, https://www.newurengoy.ru/doc/8705-ob-utverzhdenii-municipalnoy-programmy-razvitie-sistemy-obrazovaniya-na-2014-2016-gody.html" xr:uid="{1B6E2C4F-07EB-6D4A-8E1F-0FE18952EA6B}"/>
    <hyperlink ref="MM28" r:id="rId91" xr:uid="{9DB4E43F-A8A5-7241-B5B6-068039D60971}"/>
    <hyperlink ref="MM90" r:id="rId92" xr:uid="{92779398-14F0-4142-ABAC-0601A83DE5F4}"/>
    <hyperlink ref="MM93" r:id="rId93" xr:uid="{1456A290-1300-C14E-A8D0-61C792FA3A30}"/>
    <hyperlink ref="MM153" r:id="rId94" xr:uid="{E43D91E8-3DC9-DC46-B4F4-E2766268705E}"/>
    <hyperlink ref="MM161" r:id="rId95" xr:uid="{C39D8D9B-7CC1-C646-AE0A-5FC5031D8460}"/>
    <hyperlink ref="MN26" r:id="rId96" xr:uid="{C01F7EB5-52AC-C948-8EEE-B97B826E4E1A}"/>
    <hyperlink ref="MN87" r:id="rId97" xr:uid="{3E1F4865-2EE6-9F47-AC72-08CF8FD42A3B}"/>
    <hyperlink ref="MN90" r:id="rId98" xr:uid="{65C78B63-74A6-E34A-844A-0D72570064B1}"/>
    <hyperlink ref="MN123" r:id="rId99" xr:uid="{B9A60AAC-267A-F442-9245-4E0D37224B84}"/>
    <hyperlink ref="MN151" r:id="rId100" xr:uid="{B78CFC73-01FF-9E4E-9B25-926F53327867}"/>
    <hyperlink ref="MN153" r:id="rId101" xr:uid="{1FF49D01-46FA-184F-872D-20BA148DBB35}"/>
    <hyperlink ref="MN161" r:id="rId102" xr:uid="{19D9E9FC-6FC8-1D45-90F1-3687E107BC59}"/>
    <hyperlink ref="MO22" r:id="rId103" xr:uid="{0891461B-F3C1-C042-87CA-B60510770B76}"/>
    <hyperlink ref="MO24" r:id="rId104" xr:uid="{EDF42E82-DDCE-9345-87E2-B28F253944D4}"/>
    <hyperlink ref="MO90" r:id="rId105" xr:uid="{87C5FE71-D1B9-8841-A4FF-F2B3CEB8DADE}"/>
    <hyperlink ref="MO93" r:id="rId106" xr:uid="{C415462F-1E6F-0E45-B9D8-9137AD7D179B}"/>
    <hyperlink ref="MO102" r:id="rId107" xr:uid="{4C352285-E712-8C40-AA04-97FC83AE78DD}"/>
    <hyperlink ref="MO120" r:id="rId108" xr:uid="{2990AB69-C7D5-DD4B-9A2D-A3C5C18011FC}"/>
    <hyperlink ref="MO126" r:id="rId109" xr:uid="{3311E929-540E-F744-ABEE-506A7DDBA0F5}"/>
    <hyperlink ref="MO152" r:id="rId110" xr:uid="{ECA4B13F-60D8-A54E-974A-3C5BDD64EC16}"/>
    <hyperlink ref="MO161" r:id="rId111" xr:uid="{60C8E44A-20D3-194F-8FF8-72D4FC590792}"/>
    <hyperlink ref="MP22" r:id="rId112" xr:uid="{945CD450-191B-F74C-A3AE-8514FA9B4F00}"/>
    <hyperlink ref="MP24" r:id="rId113" xr:uid="{29B06179-29FC-0547-AF9F-9E7865E73F3C}"/>
    <hyperlink ref="MP26" r:id="rId114" xr:uid="{7FAB2A3B-E0DE-9F43-A322-2861AAA50B6D}"/>
    <hyperlink ref="MP53" r:id="rId115" xr:uid="{6202DA6A-38E0-6E49-B6EE-723DF6105AFA}"/>
    <hyperlink ref="MP87" r:id="rId116" xr:uid="{28F0AD25-F728-8D4F-9732-F7C9C73D6B75}"/>
    <hyperlink ref="MP90" r:id="rId117" xr:uid="{FE6BE35C-CFF3-DC4F-8DA8-AAE9946D5695}"/>
    <hyperlink ref="MP93" r:id="rId118" xr:uid="{73848DBF-8CD7-CC48-B6E2-3E933E1AC9CF}"/>
    <hyperlink ref="MP152" r:id="rId119" xr:uid="{7E026FD8-AC24-EC4D-89C1-F90EFBB9DF68}"/>
    <hyperlink ref="MP153" r:id="rId120" xr:uid="{DAE5932D-5C3C-BD4A-9B09-C4063EDAB596}"/>
    <hyperlink ref="MP161" r:id="rId121" xr:uid="{F753CFCB-FC7C-9044-B5E7-00084DD9692F}"/>
    <hyperlink ref="MQ24" r:id="rId122" xr:uid="{25B2F0C8-4410-6A4D-8C3B-3DC793EAB097}"/>
    <hyperlink ref="MQ26" r:id="rId123" xr:uid="{585A659B-6BE7-FF4C-B2C7-D745F6DBB39A}"/>
    <hyperlink ref="MQ53" r:id="rId124" xr:uid="{570D1FF7-8149-1E40-AFDA-2019A7BAFB72}"/>
    <hyperlink ref="MQ90" r:id="rId125" xr:uid="{5618CA4F-7B8F-8C4F-8CD4-84A434568C20}"/>
    <hyperlink ref="MQ93" r:id="rId126" xr:uid="{D34171BE-A0E8-2045-A03A-A1B1D7F1BA58}"/>
    <hyperlink ref="MQ151" r:id="rId127" xr:uid="{D82D63A5-31FA-0D49-AC38-E4327B849D82}"/>
    <hyperlink ref="MR24" r:id="rId128" xr:uid="{C2D9C8E6-170F-9B4E-9810-266314B8D5DE}"/>
    <hyperlink ref="MR26" r:id="rId129" xr:uid="{52F200DD-D4DC-234C-8BAA-AF7700BB0DFD}"/>
    <hyperlink ref="MR28" r:id="rId130" xr:uid="{EAC0C3BE-CF60-4F4A-A265-BE8D8E1407D6}"/>
    <hyperlink ref="MR90" r:id="rId131" xr:uid="{CE0E842E-26D6-4045-9A5B-1060B34203EB}"/>
    <hyperlink ref="MR93" r:id="rId132" xr:uid="{7D214E1D-6A30-CB4A-993C-E22A8F852C05}"/>
    <hyperlink ref="MR114" r:id="rId133" xr:uid="{D9EE1431-2AB5-5940-8038-754F43A97D7B}"/>
    <hyperlink ref="MR123" r:id="rId134" xr:uid="{1ECFC656-A89B-A646-ADFF-87620C9C98AA}"/>
    <hyperlink ref="MR153" r:id="rId135" xr:uid="{22DC0E85-D512-9A4E-852E-2326E2C278F3}"/>
    <hyperlink ref="MR154" r:id="rId136" display="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а в группах социальных сетей:   https://vk.com/wall-170438171_7452     https://vk.com/wall-170438171_7193     https://vk.com/wall-170438171_7189    https://vk.com/wall-170438171_6739     https://www.youtube.com/watch?v=QrYePcipRo8  http://spmuzhi.ru/?p=40137   http://spmuzhi.ru/?p=35724 " xr:uid="{7B4E5791-2CEB-7948-8D65-BE18EC205FFB}"/>
    <hyperlink ref="MR155" r:id="rId137" xr:uid="{4D29A5AD-FD8F-B640-932C-9F7AD724FD3A}"/>
    <hyperlink ref="MR161" r:id="rId138" xr:uid="{6C841CAC-D47B-E94E-8AEA-A491DE23971A}"/>
    <hyperlink ref="MS26" display="http://приуральскийрайон.рф/upload/iblock/d0c/27f19eicy5oa8emd80dehb8zw3e04qwa/2022.01.24_n38.doc_x000a_http://приуральскийрайон.рф/upload/iblock/a16/55w6he5h3r94ak3rj1vxcct3g87j1sp2/2022.01.12_n12.docx   _x000a_http://приуральскийрайон.рф/upload/iblock/42b/1sch9xg990fogdmtg8v8lk6xmutuvipo/2022.01.21_n36.doc" xr:uid="{9F43FEC0-42AA-7847-8141-E4C819FDEC6D}"/>
    <hyperlink ref="MS90" r:id="rId139" xr:uid="{649E5EDE-8832-CB4F-B485-0B99A74795C0}"/>
    <hyperlink ref="MS102" r:id="rId140" xr:uid="{B219B91C-FD5D-6446-A7B6-18E1714B4345}"/>
    <hyperlink ref="MS141" r:id="rId141" xr:uid="{A7F6A05F-47BA-5545-B4C2-57B9C21B01A6}"/>
    <hyperlink ref="MS151" r:id="rId142" xr:uid="{6A5F8025-7B38-784E-BB8F-35FFCA9B2DBD}"/>
    <hyperlink ref="MS153" r:id="rId143" xr:uid="{A1B32DDA-23BB-6443-A709-94BD61FA6635}"/>
    <hyperlink ref="MT22" r:id="rId144" xr:uid="{FC92CC32-1702-2345-B244-4E19D9D3C287}"/>
    <hyperlink ref="MT24" r:id="rId145" xr:uid="{B3ADC4C9-FE37-8145-ADDF-E3F8DF269F19}"/>
    <hyperlink ref="MT28" r:id="rId146" xr:uid="{2517B295-EE0A-774D-ACAB-CE63DB3DAFB1}"/>
    <hyperlink ref="MT53" r:id="rId147" xr:uid="{94400709-3B63-9C4F-93D0-A7CAF4DA3E7E}"/>
    <hyperlink ref="MT90" r:id="rId148" xr:uid="{0BF5515A-B2C5-A642-A22F-267465B6BCB0}"/>
    <hyperlink ref="MT141" r:id="rId149" xr:uid="{78BDAF19-86DD-E241-A840-F4CFB0233E8E}"/>
    <hyperlink ref="MT155" r:id="rId150" xr:uid="{895A0880-9C8D-4F45-B159-2887257CB0A8}"/>
    <hyperlink ref="MT156" r:id="rId151" xr:uid="{D2E0EB33-A521-674A-9746-D2EDF4888277}"/>
    <hyperlink ref="MU22" r:id="rId152" xr:uid="{0DE6D1EE-193D-794B-AAB1-B98DE9710A6C}"/>
    <hyperlink ref="MU24" r:id="rId153" xr:uid="{E6D4AB90-C824-E148-A941-A23325379E4C}"/>
    <hyperlink ref="MU90" r:id="rId154" xr:uid="{CCC805C1-E0E1-6D48-AE4B-2941EDCD9753}"/>
    <hyperlink ref="MU93" r:id="rId155" xr:uid="{5131A099-6A29-5044-A4FD-B249A0A1BFDF}"/>
    <hyperlink ref="MV24" r:id="rId156" xr:uid="{92AB6F58-895E-F246-96AF-54D3FEE5D04A}"/>
    <hyperlink ref="MV90" r:id="rId157" xr:uid="{6DCC2DE1-1000-BA45-AA7A-8113C0375DE9}"/>
    <hyperlink ref="MV93" r:id="rId158" xr:uid="{E2ADC41A-B4EE-EE44-9DE3-FF163DF7C896}"/>
    <hyperlink ref="MV152" r:id="rId159" display="https://trk-luch.ru/search/index.php?q=Уютный+Ямал&amp;s=_x000a_https://газетасеверныйлуч.рф/search/index.php?tags=&amp;q=Уютный+Ямал&amp;where=&amp;how=r_x000a_https://www.puradm.ru/search/index.php?tags=&amp;q=«Уютный+Ямал»&amp;how=r_x000a_https://dfik.ru/#iniciativa_x000a_https://vk.com/depfinpurovskiy_x000a_https://t.me/puradm/599_x000a_https://t.me/puradm/476_x000a_https://t.me/puradm/655_x000a_https://t.me/puradm/1289_x000a_https://t.me/puradm/1299_x000a_https://t.me/puradm/1550_x000a_https://t.me/puradm/1576_x000a_https://t.me/puradm/1601_x000a_https://vk.com/public_pur_adm_89_x000a_https://газетасеверныйлуч.рф/search/index.php?tags=&amp;q=школа+идей&amp;where=&amp;how=r_x000a_https://trk-luch.ru/news/v-khanymeyskoy-shkole-2-proveli-den-otkrytykh-dverey/?sphrase_id=88284" xr:uid="{8EC31B19-0D6C-334D-9F81-3E66D0AFA638}"/>
    <hyperlink ref="MW24" r:id="rId160" display="1.  https://selkup.yanao.ru/documents/active/106983/;_x000a_2.  https://za-nas-zakon.ru/doc/ob-utverzhdenii-polozheniya-o-poryadke-vydvizheniya-vneseniya-obsuzhdeniya-rassmotreniya-initsiativnyh-proektov-i-provedeniya-ih-konkursnogo-otbora/;_x000a_3.  не размещено;_x000a_4.  https://selkup.yanao.ru/documents/active/186972/" xr:uid="{FC1AD3F8-FE9F-1347-B294-1D05247A8B9B}"/>
    <hyperlink ref="MW90" r:id="rId161" xr:uid="{6C2DC0F7-5C93-6341-995F-C3937A1C2BE7}"/>
    <hyperlink ref="MW123" r:id="rId162" xr:uid="{0D8FD0CF-4C2F-AD43-86E8-7E04D198514D}"/>
    <hyperlink ref="MW153" r:id="rId163" xr:uid="{9444D7B3-614D-604E-918B-33C75F83F71E}"/>
    <hyperlink ref="MW161" r:id="rId164" xr:uid="{DD17CD99-523C-DF47-83C9-3D23528C83A5}"/>
    <hyperlink ref="FE164" r:id="rId165" xr:uid="{2721C7A1-E88E-C640-88AD-7D19E1AB7F6E}"/>
    <hyperlink ref="FI22" r:id="rId166" xr:uid="{26BB16D7-8C8B-1C42-97E7-B33A82308057}"/>
    <hyperlink ref="FI26" r:id="rId167" xr:uid="{1A6D665E-9EC1-504A-BD5B-D17FCF840DF4}"/>
    <hyperlink ref="FI90" r:id="rId168" xr:uid="{62709C90-9571-DD4B-85FB-25477943E76E}"/>
    <hyperlink ref="FI93" r:id="rId169" xr:uid="{FF130B7B-12A0-1E42-BD17-97AE55673993}"/>
    <hyperlink ref="FI123" r:id="rId170" xr:uid="{921156FA-F76A-DE48-AFF8-A35DA5830BC2}"/>
    <hyperlink ref="FI151" r:id="rId171" xr:uid="{5ACE7A7A-7933-8648-BFF9-5E0E86B8064F}"/>
    <hyperlink ref="FI152" r:id="rId172" xr:uid="{58BC23DB-9F08-564A-A649-7FF08835F931}"/>
    <hyperlink ref="FI153" r:id="rId173" xr:uid="{C102A04B-58CC-5343-B936-190359B4E00E}"/>
    <hyperlink ref="FI164" r:id="rId174" xr:uid="{9D571F68-05C0-1040-A97C-C8E83D4FA97C}"/>
    <hyperlink ref="FJ22" r:id="rId175" xr:uid="{83F3FF6E-637E-A24F-911E-4F47154335A2}"/>
    <hyperlink ref="FJ26" r:id="rId176" xr:uid="{A42917D0-437C-1046-9194-82270E4FC8A2}"/>
    <hyperlink ref="FJ90" r:id="rId177" xr:uid="{27DF59A9-7ADC-F344-A21E-5C281E741504}"/>
    <hyperlink ref="FJ164" r:id="rId178" xr:uid="{BE1EA3D5-263C-9C49-BE8D-0D437A034859}"/>
    <hyperlink ref="FL22" r:id="rId179" xr:uid="{F8715E20-9FF4-0546-A75E-CB2ADE39DFA8}"/>
    <hyperlink ref="FL26" r:id="rId180" xr:uid="{60038004-6624-0140-9395-97CD875EDC66}"/>
    <hyperlink ref="FL90" r:id="rId181" xr:uid="{02B8C21D-6295-CF4F-926D-F9365203139C}"/>
    <hyperlink ref="FL93" r:id="rId182" xr:uid="{791C151F-3662-5F49-81F2-B1480A38B829}"/>
    <hyperlink ref="FL151" r:id="rId183" xr:uid="{18FDFEA3-FDC5-124D-8B8F-B31D627AE895}"/>
    <hyperlink ref="FL153" r:id="rId184" xr:uid="{5CBB43FC-763B-3249-BF65-06CE013A7609}"/>
    <hyperlink ref="FL164" r:id="rId185" xr:uid="{C7364135-6AFA-9D40-8F52-96B7A1090DFB}"/>
    <hyperlink ref="FM164" r:id="rId186" xr:uid="{F860FD8E-C61E-1B4D-83E1-E1C832442079}"/>
    <hyperlink ref="FO22" r:id="rId187" xr:uid="{26EA4DE4-1A37-9B46-BD60-A0045CFA48AE}"/>
    <hyperlink ref="FO24" r:id="rId188" xr:uid="{4A1D0C71-8DD5-E042-97C0-5D19C6526933}"/>
    <hyperlink ref="FO26" r:id="rId189" xr:uid="{8CB989A6-FDAA-9443-935C-DA935C2A4D9D}"/>
    <hyperlink ref="FO90" r:id="rId190" xr:uid="{2E322394-0428-874C-84BC-BC58D07F6C56}"/>
    <hyperlink ref="FO102" r:id="rId191" xr:uid="{A2A39E4B-9E73-5C43-83A9-C6EAB99DE174}"/>
    <hyperlink ref="FO151" r:id="rId192" xr:uid="{AB7FE906-15C9-EF47-AA75-1A68F1D66E53}"/>
    <hyperlink ref="FO152" r:id="rId193" xr:uid="{8FD2CF95-5E93-D248-99D7-906227ACC784}"/>
    <hyperlink ref="FO161" r:id="rId194" xr:uid="{2E895387-5891-5B44-9C40-551EEC9FB7DB}"/>
    <hyperlink ref="FO164" r:id="rId195" xr:uid="{574B7328-486C-5C45-AA15-16D500EB4E9B}"/>
    <hyperlink ref="FQ22" r:id="rId196" xr:uid="{91A76D30-0F4E-004A-A1C8-9D4F05D5AC95}"/>
    <hyperlink ref="FQ24" r:id="rId197" xr:uid="{9F31F986-686E-B94D-88D4-1B8922B07D8F}"/>
    <hyperlink ref="FQ26" r:id="rId198" xr:uid="{B75F45C0-E7F3-8847-923B-2B01EF8E06B5}"/>
    <hyperlink ref="FQ28" r:id="rId199" xr:uid="{B51A55FF-188E-AC41-8D43-5F12DD503F60}"/>
    <hyperlink ref="FQ53" r:id="rId200" xr:uid="{D1E43402-1E9E-B640-A2A0-AF5D45ABFE95}"/>
    <hyperlink ref="FQ90" r:id="rId201" xr:uid="{DB0841BB-418D-0E41-8426-29806396E686}"/>
    <hyperlink ref="FQ164" r:id="rId202" xr:uid="{CFDB0426-E5BC-EE49-AD4B-225ACD99799D}"/>
    <hyperlink ref="FR22" r:id="rId203" xr:uid="{AD30C961-CAA0-5D4B-9952-0F5BEB49642C}"/>
    <hyperlink ref="FR26" r:id="rId204" xr:uid="{2A8E7D05-ABE7-5E46-AFE0-BD57CBA5EE4A}"/>
    <hyperlink ref="FR28" r:id="rId205" xr:uid="{40496D9F-6305-0145-85B4-1C5D4ADE469A}"/>
    <hyperlink ref="FR53" r:id="rId206" xr:uid="{EB02F94B-17A4-5E4E-AFCC-964DC9CD1250}"/>
    <hyperlink ref="FR87" r:id="rId207" xr:uid="{27C83DB1-05CB-0A46-899F-76CED20C7406}"/>
    <hyperlink ref="FR93" r:id="rId208" xr:uid="{2C3FBD8F-6F24-7F48-9604-E4AF34CDEF8E}"/>
    <hyperlink ref="FR151" r:id="rId209" xr:uid="{871EFD00-D8DE-6D46-95C2-17B57DE2788E}"/>
    <hyperlink ref="FR153" r:id="rId210" xr:uid="{CF7AD210-8E0B-EE4A-BEFC-DD7775D9A84D}"/>
    <hyperlink ref="FR161" r:id="rId211" xr:uid="{8D776545-FCA5-1547-9E53-67812F9B0536}"/>
    <hyperlink ref="FR164" r:id="rId212" xr:uid="{45ACCA66-4D3C-1A45-86D7-2D1214D6A1FA}"/>
    <hyperlink ref="FT22" r:id="rId213" xr:uid="{46859B25-3366-164F-BCEA-AC0A29552E50}"/>
    <hyperlink ref="FT144" r:id="rId214" xr:uid="{A20E201A-56C1-B642-8F2C-19B006ED17E9}"/>
    <hyperlink ref="FT161" r:id="rId215" xr:uid="{7F0062CE-7825-D24A-8B9D-F8FF3365CBC9}"/>
    <hyperlink ref="FT164" r:id="rId216" xr:uid="{2B70C685-C107-9541-8501-373BBCDAC0C9}"/>
    <hyperlink ref="FW22" r:id="rId217" xr:uid="{7E11F8E9-4596-F84A-8A7E-F2EA64ED753B}"/>
    <hyperlink ref="FW53" r:id="rId218" xr:uid="{6308BCD2-40F0-394C-BBFC-BB309C99773A}"/>
    <hyperlink ref="FW87" r:id="rId219" xr:uid="{5FD4433B-2844-EC4F-9513-66B1DA8C469A}"/>
    <hyperlink ref="FW90" r:id="rId220" xr:uid="{8B1787A4-F6BE-D440-8C5D-D6E680AA0A4D}"/>
    <hyperlink ref="FW138" r:id="rId221" xr:uid="{3A0E3535-ECA7-674B-A3D7-DE4295F9101A}"/>
    <hyperlink ref="FW161" r:id="rId222" xr:uid="{1B509C4A-1507-0149-AE03-7D0778E9D2D5}"/>
    <hyperlink ref="FW164" r:id="rId223" xr:uid="{55DAF88D-0759-9A49-B083-4AC90111B2F6}"/>
    <hyperlink ref="FX22" r:id="rId224" xr:uid="{D57593FB-EB92-A74C-A9F9-369AB4243AA2}"/>
    <hyperlink ref="FX138" r:id="rId225" xr:uid="{53DF8FCD-C012-5144-BDD5-901F33813C6C}"/>
    <hyperlink ref="FX161" r:id="rId226" xr:uid="{369F4B92-DE8C-C948-8A3A-C798703C580E}"/>
    <hyperlink ref="FX164" r:id="rId227" xr:uid="{9C099C7D-8A43-5D47-BB44-135E82AD54C1}"/>
    <hyperlink ref="GA164" r:id="rId228" xr:uid="{2C31FF3F-E48C-4B46-8237-6655BE00DD1E}"/>
    <hyperlink ref="GD22" r:id="rId229" xr:uid="{CF810BAB-174E-AA46-A9F8-0C7AEFC48C3D}"/>
    <hyperlink ref="GD26" r:id="rId230" xr:uid="{C72F5E96-43F1-2942-B9A0-1EB47938015A}"/>
    <hyperlink ref="GD28" r:id="rId231" xr:uid="{97075BD2-5ED5-C34C-96B9-D6E79C137618}"/>
    <hyperlink ref="GD153" r:id="rId232" xr:uid="{A8F9FC40-401E-DF40-A3C8-55541A908006}"/>
    <hyperlink ref="GD155" r:id="rId233" xr:uid="{F096A595-1EA6-A94D-931D-D4EA7AEF8A72}"/>
    <hyperlink ref="GD161" r:id="rId234" xr:uid="{9B392E81-935D-5949-8EA3-72311B4D537F}"/>
    <hyperlink ref="GD164" r:id="rId235" xr:uid="{8592EEFD-C73B-EC47-89A6-D8E219F224EC}"/>
    <hyperlink ref="GE24" r:id="rId236" xr:uid="{7C4F782B-3BFB-4340-937E-6D8546C87167}"/>
    <hyperlink ref="GE90" r:id="rId237" xr:uid="{0CDFBB78-0866-314E-BEEB-5A707F2729B2}"/>
    <hyperlink ref="GE138" r:id="rId238" xr:uid="{78EB7CDE-6364-024B-9EDE-ADABEB9E1AD8}"/>
    <hyperlink ref="GE151" r:id="rId239" xr:uid="{2D4573DD-FDFC-954A-9271-9931F20F9786}"/>
    <hyperlink ref="GE161" r:id="rId240" xr:uid="{1FCE561C-6099-1241-BA4B-F4A178408A0D}"/>
    <hyperlink ref="GE164" r:id="rId241" xr:uid="{F0F430F9-6CB2-B347-BB36-B73D6B76B566}"/>
    <hyperlink ref="GF22" r:id="rId242" xr:uid="{8C1E1D0B-84BC-E645-8770-75344F1E3C04}"/>
    <hyperlink ref="GF90" r:id="rId243" xr:uid="{4C2992A2-AF5A-D74B-9619-6179739AD43B}"/>
    <hyperlink ref="GF138" r:id="rId244" xr:uid="{18BD34AB-EAB9-044D-99A7-26CDE9F50463}"/>
    <hyperlink ref="GF151" r:id="rId245" xr:uid="{FC8B2D8F-EA44-E04F-8C13-256BAB650C0E}"/>
    <hyperlink ref="GF152" r:id="rId246" xr:uid="{5D690102-6CAD-FB44-9588-E00FA2B58170}"/>
    <hyperlink ref="GF161" r:id="rId247" xr:uid="{50D24923-D2CE-364A-85C5-0F6E069551DC}"/>
    <hyperlink ref="GF164" r:id="rId248" xr:uid="{27237DA5-9243-C847-AB4F-F0E32BB95AFB}"/>
    <hyperlink ref="GG22" r:id="rId249" xr:uid="{67635356-6912-374C-B512-7D19047CA5AB}"/>
    <hyperlink ref="GG26" r:id="rId250" xr:uid="{67538A4F-B32C-0143-A8CA-28DD23172A3B}"/>
    <hyperlink ref="GG53" r:id="rId251" xr:uid="{7ED95724-DC4C-4D4C-94BB-3C1FE705EAFE}"/>
    <hyperlink ref="GG161" r:id="rId252" xr:uid="{E5EF4FB9-0FBC-ED4C-B084-229A74CE0D86}"/>
    <hyperlink ref="GG164" r:id="rId253" xr:uid="{439845DD-A007-7043-9C54-53900B6348F6}"/>
    <hyperlink ref="GH26" r:id="rId254" xr:uid="{A86C7C96-DB63-3F46-9F2D-9F0CCD665F00}"/>
    <hyperlink ref="GH90" r:id="rId255" xr:uid="{E26FAACB-3562-2441-804B-B7C17A84C535}"/>
    <hyperlink ref="GH152" r:id="rId256" xr:uid="{A1E736C6-8EB5-B04E-A054-44A9F2F28348}"/>
    <hyperlink ref="GH161" r:id="rId257" xr:uid="{DAF98EA7-4EF8-6348-B690-D8082E3B887E}"/>
    <hyperlink ref="GH164" r:id="rId258" xr:uid="{D8E61D7B-1078-3C49-8A02-E599CD73B8B6}"/>
    <hyperlink ref="GJ26" r:id="rId259" xr:uid="{5FD89531-BB99-384D-B0E2-B5399B882E31}"/>
    <hyperlink ref="GJ28" r:id="rId260" xr:uid="{CF371050-D665-4043-A291-557E4C929F86}"/>
    <hyperlink ref="GJ53" r:id="rId261" xr:uid="{00DAE261-D964-224F-ABEE-D90DAC7DB962}"/>
    <hyperlink ref="GJ90" r:id="rId262" xr:uid="{FA32B962-7678-9B43-8EBE-6E2474C15E7F}"/>
    <hyperlink ref="GJ151" r:id="rId263" xr:uid="{FB8889F9-FEEC-1F44-8EF8-FCECD5C635CE}"/>
    <hyperlink ref="GJ155" r:id="rId264" xr:uid="{8096EE66-ABBC-5542-8187-D7CAB1E9C990}"/>
    <hyperlink ref="GJ161" r:id="rId265" xr:uid="{4E561866-81C5-CE4C-9CEF-8D0DEBFCFE80}"/>
    <hyperlink ref="GJ164" r:id="rId266" xr:uid="{FC9EE8BE-C784-044F-A093-98A5148D8145}"/>
    <hyperlink ref="GK22" r:id="rId267" xr:uid="{1993DF0A-46B2-2E47-96F3-18A233D74C7B}"/>
    <hyperlink ref="GK24" r:id="rId268" xr:uid="{F6261147-9044-294F-9797-023E0859E42E}"/>
    <hyperlink ref="GK26" r:id="rId269" xr:uid="{668B90CE-9E36-3A4C-9764-5F462F601EB7}"/>
    <hyperlink ref="GK28" r:id="rId270" xr:uid="{EF52FA16-8ABE-ED44-90F7-D71F6E81E348}"/>
    <hyperlink ref="GK87" r:id="rId271" xr:uid="{83C4D672-6254-F244-A3FD-2C847EA1F3C4}"/>
    <hyperlink ref="GK151" r:id="rId272" xr:uid="{77950835-3D7F-BC4C-AC13-4A249E4258BA}"/>
    <hyperlink ref="GK161" r:id="rId273" xr:uid="{A7CF06FD-F9A2-244D-88FA-41D03F79EDCF}"/>
    <hyperlink ref="GK164" r:id="rId274" xr:uid="{6A07C035-1281-FB4A-B264-6ECC63FBC032}"/>
    <hyperlink ref="GL22" r:id="rId275" xr:uid="{B99B0E55-9B93-EB42-83D2-AD4005D7EC95}"/>
    <hyperlink ref="GL53" r:id="rId276" xr:uid="{AFD68E51-631A-0F47-9AA9-A824647D847A}"/>
    <hyperlink ref="GL90" r:id="rId277" xr:uid="{BE5BFA20-749D-054D-BB7E-893F88CA99A6}"/>
    <hyperlink ref="GL138" r:id="rId278" xr:uid="{80B7483C-EA9F-2046-8FBD-8738D02CC454}"/>
    <hyperlink ref="GL151" r:id="rId279" xr:uid="{6F6F430D-B29E-3F49-AD4D-6E1A45439A51}"/>
    <hyperlink ref="GL152" r:id="rId280" xr:uid="{E75AFACF-229E-E840-9DD8-9011C8780891}"/>
    <hyperlink ref="GL153" r:id="rId281" xr:uid="{17EBC5A1-7D08-F44C-8084-5556023449A1}"/>
    <hyperlink ref="GL161" r:id="rId282" xr:uid="{A78E22A0-7C66-184F-8BC1-F39A5309556D}"/>
    <hyperlink ref="GL164" r:id="rId283" xr:uid="{C65068A6-17CA-094C-A67B-8DA7F6FB2EC5}"/>
    <hyperlink ref="GM22" r:id="rId284" xr:uid="{A80DA44B-19CF-8E49-BAA8-929D26FD483B}"/>
    <hyperlink ref="GM24" r:id="rId285" xr:uid="{45FD4BE9-274D-3041-B142-D41CCDBEFF60}"/>
    <hyperlink ref="GM26" r:id="rId286" xr:uid="{7C2AEA48-0C47-214E-8792-69078C7A78D6}"/>
    <hyperlink ref="GM53" r:id="rId287" xr:uid="{FABFEE10-2B2B-914F-8C0F-23B38607CB58}"/>
    <hyperlink ref="GM90" r:id="rId288" xr:uid="{9B064138-D9DB-CB4D-9EAE-26AEF2528A37}"/>
    <hyperlink ref="GM151" r:id="rId289" xr:uid="{A4571621-809B-E142-A567-03A2CAF4FF7A}"/>
    <hyperlink ref="GM153" r:id="rId290" xr:uid="{C440DB8A-3FFD-E94B-9092-A953F16D367A}"/>
    <hyperlink ref="GM154" r:id="rId291" xr:uid="{25BA908D-A4B3-5844-A0CF-7EEA89C5FC78}"/>
    <hyperlink ref="GM161" r:id="rId292" xr:uid="{66863C4A-8991-9448-BBBE-0F6B8DDE052E}"/>
    <hyperlink ref="GM164" r:id="rId293" xr:uid="{405D19FF-18D0-9B40-A0DE-14D27242B481}"/>
    <hyperlink ref="GN22" r:id="rId294" xr:uid="{00BE9C7D-BE69-0444-B12F-2A273DDD1726}"/>
    <hyperlink ref="GN26" r:id="rId295" xr:uid="{852EC169-A444-904C-874C-D48F8D3BDF95}"/>
    <hyperlink ref="GN90" r:id="rId296" xr:uid="{679D905D-AAB7-0345-B3D4-E76AACB92634}"/>
    <hyperlink ref="GN151" r:id="rId297" xr:uid="{4B26881C-845A-B742-A5B3-526C6E773772}"/>
    <hyperlink ref="GN154" r:id="rId298" xr:uid="{5979C551-DD47-614C-BA64-10CAA793A26A}"/>
    <hyperlink ref="GN161" r:id="rId299" xr:uid="{1529BB4A-6E62-104C-99A0-BCB5B949CAB9}"/>
    <hyperlink ref="GN164" r:id="rId300" xr:uid="{94CFA4AB-818F-104B-9DC0-EB0CD0256FBE}"/>
    <hyperlink ref="GP164" r:id="rId301" xr:uid="{F1D47731-0720-F249-8C6E-2B899E264227}"/>
    <hyperlink ref="GP161" r:id="rId302" xr:uid="{4669EC25-88CC-8348-B152-F7D800380B00}"/>
    <hyperlink ref="GP152" r:id="rId303" xr:uid="{3903D48C-FD6B-404B-B89E-582033DE8650}"/>
    <hyperlink ref="GP22" r:id="rId304" xr:uid="{0C06BC51-E3BB-7542-A29E-87C5F2FBEDB5}"/>
    <hyperlink ref="GU22" r:id="rId305" xr:uid="{83C8AD72-A8E6-F84B-B1A5-5BE0AF670B7F}"/>
    <hyperlink ref="GU24" r:id="rId306" xr:uid="{C45D99E8-7BC3-6746-9DEC-14222FD3048F}"/>
    <hyperlink ref="GU26" r:id="rId307" xr:uid="{6E93E2FA-AFE1-9845-9805-7D85DF672B45}"/>
    <hyperlink ref="GU90" r:id="rId308" xr:uid="{D0889BF4-90F5-DC42-A6BD-C3ACE242EA1D}"/>
    <hyperlink ref="GU151" r:id="rId309" xr:uid="{A402F566-D181-8548-9248-90F99E8E1A27}"/>
    <hyperlink ref="GU152" r:id="rId310" xr:uid="{3364BF6C-886F-B643-A875-A33F4818F082}"/>
    <hyperlink ref="GU153" r:id="rId311" xr:uid="{0A2C2927-E3AD-B14F-9A98-CA0ABD768018}"/>
    <hyperlink ref="GU161" r:id="rId312" xr:uid="{75376004-939A-2D46-AA27-B9802F1376E7}"/>
    <hyperlink ref="GU164" r:id="rId313" xr:uid="{D7B1C837-C585-D248-B0ED-2F60DC70F691}"/>
    <hyperlink ref="GV22" r:id="rId314" xr:uid="{DCD50D5E-A80A-6C48-B483-6F461869204F}"/>
    <hyperlink ref="GV26" r:id="rId315" xr:uid="{A3E7BE7F-D6B9-3E47-B6A9-D6FB57AE0083}"/>
    <hyperlink ref="GV90" r:id="rId316" xr:uid="{CDBBD472-B7E2-DC47-92C9-C24646E3D15A}"/>
    <hyperlink ref="GV126" r:id="rId317" xr:uid="{00BDD0D3-4F0A-7548-B658-95B74CA0FCDC}"/>
    <hyperlink ref="GV151" r:id="rId318" xr:uid="{CD44FB4C-4BBC-DA43-AE96-E8B736BD9480}"/>
    <hyperlink ref="GV152" r:id="rId319" xr:uid="{35D6BD64-1BBF-4D45-8E8D-7DCB73557423}"/>
    <hyperlink ref="GV161" r:id="rId320" xr:uid="{3EBCC76F-A5BA-E442-8FA7-38BAECFE0856}"/>
    <hyperlink ref="GV164" r:id="rId321" xr:uid="{E52A0172-14D1-6345-8A71-9CADFB97D7C4}"/>
    <hyperlink ref="GY164" r:id="rId322" xr:uid="{7599466E-FF25-E84B-A917-FA7BEF91935E}"/>
    <hyperlink ref="GZ164" r:id="rId323" xr:uid="{70C643CD-763E-FC4E-85AA-429D3E8A4A52}"/>
    <hyperlink ref="V22" r:id="rId324" display="https://cherinfo-doc.ru/documents/postanovlenie-merii-goroda-cherepovca-ot-18.06.2019-2883-o-proekte-narodnyj-byudzhet-tos, " xr:uid="{E832042D-1AFE-3F45-A737-32F48C574B20}"/>
    <hyperlink ref="V28" r:id="rId325" display="https://cherinfo-doc.ru/resolution/85077-resenie-cerepoveckoj-gorodskoj-dumy-ot-06122016-no-242-ob-utverzdenii-strategii-socialno-ekonomiceskogo-razvitia-goroda-cerepovc" xr:uid="{09565E00-DA3E-AF40-A8B5-DDA594635836}"/>
    <hyperlink ref="V26" r:id="rId326" display="https://cherinfo-doc.ru/documents/postanovlenie-merii-goroda-cherepovca-ot-26.10.2021-4132-ob-utverzhdenii-municipalnoj-programmy-osucshestvlenie-byudzhetnyh-investicij-v-socialnuyu-kommunalnuyu-transportnuyu-infrastruktury-i-kapitalnyj-remont-obektov-municipalnoj-sobstvennosti-" xr:uid="{25B2F7FF-B0CF-DA45-8B45-E7C35B8303A0}"/>
    <hyperlink ref="V90" r:id="rId327" xr:uid="{C0B42D04-23E7-054C-8418-13BAC15B832F}"/>
    <hyperlink ref="V152" r:id="rId328" xr:uid="{02BFE6B5-7FED-E148-B239-39778E6162E1}"/>
    <hyperlink ref="V151" r:id="rId329" xr:uid="{E46E4B96-F086-364A-828E-C61856FBF29D}"/>
    <hyperlink ref="V24" r:id="rId330" xr:uid="{2757034A-F78C-4142-B268-FB12A18FB7A2}"/>
    <hyperlink ref="V93" r:id="rId331" display="https://cherinfo-doc.ru/documents/postanovlenie-merii-goroda-cherepovca-ot-18.06.2019-2883-o-proekte-narodnyj-byudzhet-tos, " xr:uid="{C23C2D4B-1B9E-4C4C-8096-79A01EEEEE6D}"/>
    <hyperlink ref="V87" r:id="rId332" xr:uid="{C7B4B002-1FA5-8741-85FB-53E27AAF082D}"/>
    <hyperlink ref="V53" r:id="rId333" display="https://cherinfo.ru/nb, " xr:uid="{82C89A5C-7D54-B445-9C08-092B73E1DE02}"/>
    <hyperlink ref="BO151" r:id="rId334" xr:uid="{806AA590-B6E8-A648-9E87-29E4CD329FE4}"/>
    <hyperlink ref="BO161" r:id="rId335" xr:uid="{AF1017B8-6109-6940-8097-EB97195B7EF5}"/>
    <hyperlink ref="BP161" r:id="rId336" xr:uid="{D702D093-C95B-9D4E-92B0-73E51F2657A3}"/>
    <hyperlink ref="BQ22" r:id="rId337" display="https://unarokovo.ru/" xr:uid="{6DDDDDF5-4405-954E-91FF-DFB5364D2913}"/>
    <hyperlink ref="BQ24" r:id="rId338" display="https://unarokovo.ru/" xr:uid="{1108C358-5986-5540-8632-1D5C46FBFFC0}"/>
    <hyperlink ref="BQ53" r:id="rId339" display="https://unarokovo.ru/" xr:uid="{B4BEA0AC-CDDE-BD47-A75A-F47267598A57}"/>
    <hyperlink ref="BQ26" r:id="rId340" display="https://unarokovo.ru/" xr:uid="{5B6867AB-417C-CD4D-BCD4-03954A73725B}"/>
    <hyperlink ref="BQ90" r:id="rId341" display="https://unarokovo.ru/" xr:uid="{3D2562BC-A18C-2E44-972E-0D82B3758E38}"/>
    <hyperlink ref="BR93" r:id="rId342" xr:uid="{F4AF2504-80F5-704A-A6BC-04B32279F267}"/>
    <hyperlink ref="BR102" r:id="rId343" xr:uid="{FA6AA00F-E25B-0745-89E4-5C0C78CB4EB7}"/>
    <hyperlink ref="BR105" r:id="rId344" xr:uid="{A0E1613D-B34A-4049-A1BA-A7C93B12D930}"/>
    <hyperlink ref="BR126" r:id="rId345" xr:uid="{24302894-4E05-C74D-9B70-2588FD235B0A}"/>
    <hyperlink ref="BR151" r:id="rId346" xr:uid="{11832F6E-0F70-9F48-A3AD-0C5E1B315688}"/>
    <hyperlink ref="BR154" r:id="rId347" xr:uid="{6B4A9B69-492B-624D-AE30-C7221F5B5BEB}"/>
    <hyperlink ref="BU90" r:id="rId348" xr:uid="{FC521A2E-BBAB-074D-B85B-30F5464B9BF6}"/>
    <hyperlink ref="BU161" r:id="rId349" display="mailto:adm-chsp@mail.ru" xr:uid="{7409227D-3B17-EF4A-A921-E8D304767646}"/>
    <hyperlink ref="BU164" r:id="rId350" display="mailto:adm-chsp@mail.ru" xr:uid="{5A549D92-BDE3-AE40-8FCE-38267BC0D861}"/>
    <hyperlink ref="BV161" r:id="rId351" xr:uid="{10A0652A-2004-1842-93D9-2CF37239EA2D}"/>
    <hyperlink ref="BW161" r:id="rId352" xr:uid="{E42CAF34-64B9-2941-B9B6-2382D29B5AD0}"/>
    <hyperlink ref="BW164" r:id="rId353" xr:uid="{04CEABC7-7988-824C-84A5-379897FAA998}"/>
    <hyperlink ref="BX161" r:id="rId354" xr:uid="{C448EE78-6BF3-2A48-A1F1-A85932524878}"/>
    <hyperlink ref="BX26" r:id="rId355" xr:uid="{EF644DEF-5E8C-8B49-8E86-C9F2489FA0FD}"/>
    <hyperlink ref="BX153" r:id="rId356" xr:uid="{CF9B4A61-0BB3-A846-BE6F-84D77C0D42B3}"/>
    <hyperlink ref="BY161" r:id="rId357" xr:uid="{9BDEE4C4-AA08-8847-AA54-D2376CD8AE72}"/>
    <hyperlink ref="CA24" r:id="rId358" xr:uid="{F2EFB2B6-A254-2A42-AE3A-3347376FCC00}"/>
    <hyperlink ref="CA151" r:id="rId359" xr:uid="{559B044D-06B7-FF41-843F-696984C20871}"/>
    <hyperlink ref="CA153" r:id="rId360" xr:uid="{D6D05214-A1DB-A440-8BBA-127016F6A387}"/>
    <hyperlink ref="CA161" r:id="rId361" xr:uid="{0597F1F5-F5D5-1242-B8E6-E72EDCD239E5}"/>
    <hyperlink ref="CB24" r:id="rId362" xr:uid="{AFF13481-3C52-564B-8717-3891497E1786}"/>
    <hyperlink ref="CB151" r:id="rId363" xr:uid="{2A9646C3-72B6-E549-892D-547F6E0F5E2A}"/>
    <hyperlink ref="CB153" r:id="rId364" xr:uid="{798D4A42-F388-E34B-ADE8-28115E02DA2D}"/>
    <hyperlink ref="CB161" r:id="rId365" xr:uid="{25341DEA-065B-7844-806F-D425700F59D9}"/>
    <hyperlink ref="CC161" r:id="rId366" xr:uid="{27E70D88-4DB5-E34A-9289-8472587245B0}"/>
    <hyperlink ref="CC26" r:id="rId367" xr:uid="{CA0577CF-8205-804A-9B5C-0F4FB825E47C}"/>
    <hyperlink ref="CD22" r:id="rId368" xr:uid="{55E487FA-D8F6-2A42-8283-9B4280285D71}"/>
    <hyperlink ref="CD24" r:id="rId369" xr:uid="{778B2A37-B6D4-544A-A681-6A42A22F6EC8}"/>
    <hyperlink ref="CD26" r:id="rId370" xr:uid="{1CA8B7E6-09F9-1D49-9D61-28BCDA5003B4}"/>
    <hyperlink ref="CD90" r:id="rId371" location="cite_note-2022AA-1" xr:uid="{3FE94AFC-2434-974F-9D7F-26CA8FF73EE2}"/>
    <hyperlink ref="CD161" r:id="rId372" xr:uid="{5F588A56-BE54-AD42-ADCE-07C1E185983F}"/>
    <hyperlink ref="CE164" r:id="rId373" xr:uid="{E46672DC-5D05-8F44-A081-4C73659F3B4A}"/>
    <hyperlink ref="CE90" r:id="rId374" xr:uid="{BA3C9660-435F-8C43-95BE-016E978BAEF5}"/>
    <hyperlink ref="CF90" r:id="rId375" xr:uid="{7F8E7C71-156C-CD4F-875C-66C1B70A9819}"/>
    <hyperlink ref="CH22" r:id="rId376" xr:uid="{C7803DE1-3494-A949-9C36-F98E8A16B27D}"/>
    <hyperlink ref="CH24" r:id="rId377" xr:uid="{4FEA8405-35AE-4340-82B4-31916CCC0C4F}"/>
    <hyperlink ref="CH26" r:id="rId378" xr:uid="{DF6B5D88-0A28-4B4F-A134-56B67E2F1A29}"/>
    <hyperlink ref="CH90" r:id="rId379" xr:uid="{B6CDC22F-2443-1044-BA7D-CD709E5505A1}"/>
    <hyperlink ref="CI24" r:id="rId380" xr:uid="{F7686469-FD06-2248-B971-FD91684EEB71}"/>
    <hyperlink ref="CJ24" r:id="rId381" display="http://www.platnirovskaja.ru/f_docs/qm1w2j12tvzw/reshenie-soveta-platnirovskogo-selskogo-poseleniya-korenovskogo-rayona-ot-24122020-101-ob-utverjdenii-polojeniya-o-poryadke-realizatsii-initsiativnyih-proektov-v-platnirovskom-selskom-poselenii-korenovskogo-rayona.html" xr:uid="{88C5BBC1-4544-8248-8096-8218BA42483C}"/>
    <hyperlink ref="CJ26" r:id="rId382" display="http://www.platnirovskaja.ru/f_docs/rokvl21i4hdc/postanovlenie-administratsii-platnirovskogo-selskogo-poseleniya-korenovskogo-rayona-ot-24112022-g--258-ob-utverjdenii-vedomstvennoy-tselevoy-programmyi-realizatsiya-initsiativnyih-proektov-v-platnirovskom-selskom-poselenii-korenovskogo-rayona-na-2022.html" xr:uid="{7D80AE45-D6DD-7547-BB11-07A912AA31CC}"/>
    <hyperlink ref="CJ151" r:id="rId383" xr:uid="{51791C21-DD02-C140-B545-02A3378B4440}"/>
    <hyperlink ref="CJ161" r:id="rId384" xr:uid="{DB5EBAD8-41AF-504C-8F2F-4CC42A3D4684}"/>
    <hyperlink ref="CK22" r:id="rId385" xr:uid="{C1E54672-4FAD-4A41-AA1F-1B93E638E606}"/>
    <hyperlink ref="CK24" r:id="rId386" xr:uid="{35C3F745-EEF9-EB4C-AEF9-1AFFC1B22D1C}"/>
    <hyperlink ref="CK26" r:id="rId387" xr:uid="{5273A09C-A4F6-5B43-B5F1-7BA7F4BF8ABA}"/>
    <hyperlink ref="CK90" r:id="rId388" xr:uid="{AC92CA1C-AB34-7D4E-A5B7-9AF3F31EFEF7}"/>
    <hyperlink ref="CL161" r:id="rId389" xr:uid="{067B85E3-4EDE-BB41-8D81-12CCD70A66AD}"/>
    <hyperlink ref="CM161" r:id="rId390" xr:uid="{48F52F34-C3EE-6D46-8780-B2D05633E545}"/>
    <hyperlink ref="CM164" r:id="rId391" xr:uid="{346D757A-60A4-3B44-AEA9-66836F05BD9D}"/>
    <hyperlink ref="CM24" r:id="rId392" xr:uid="{E7847B86-5F86-604B-8E7B-571D783BD053}"/>
    <hyperlink ref="CN28" r:id="rId393" xr:uid="{B2C4A58F-C9E4-9C44-9E7B-7C6A4BFE71AE}"/>
    <hyperlink ref="CN164" r:id="rId394" xr:uid="{AECCF1F2-7065-3446-B6EE-CD4FD7D71D25}"/>
    <hyperlink ref="CN161" r:id="rId395" xr:uid="{FAB4D03B-BAC0-894B-9991-242D885E975D}"/>
    <hyperlink ref="CO164" r:id="rId396" xr:uid="{E09BB2D6-7528-1045-AFA5-FDD048F843C8}"/>
    <hyperlink ref="CO26" r:id="rId397" xr:uid="{EE56704C-DB15-A447-A1DC-B5B2191BF44D}"/>
    <hyperlink ref="CO24" r:id="rId398" xr:uid="{1D152B89-BAD1-FB4D-9D33-E74B7BC9DA15}"/>
    <hyperlink ref="CO53" r:id="rId399" xr:uid="{5DCE814C-BE28-3544-8A3E-D2FCA003971D}"/>
    <hyperlink ref="CO153" r:id="rId400" xr:uid="{06AF2974-9ACC-FF46-B419-0B0F916C34B1}"/>
    <hyperlink ref="CO151" r:id="rId401" xr:uid="{6E09D1D3-E046-0B45-85C0-FCBF18702111}"/>
    <hyperlink ref="CP161" r:id="rId402" xr:uid="{AA9F1781-86DE-C547-9AE5-429E8D99AA9F}"/>
    <hyperlink ref="CP164" r:id="rId403" xr:uid="{89EF4A70-1499-924A-8EA8-750C801643C7}"/>
    <hyperlink ref="CQ22" r:id="rId404" xr:uid="{682B0B94-54E7-AD43-BDF6-C99A851D765B}"/>
    <hyperlink ref="CQ53" r:id="rId405" xr:uid="{D6EAA695-3064-5740-9D45-2C4555FD4C54}"/>
    <hyperlink ref="CQ87" r:id="rId406" xr:uid="{CAA31276-592A-DD4F-80E2-1508384523B5}"/>
    <hyperlink ref="CQ151" r:id="rId407" xr:uid="{1E584778-A09E-3F4D-8926-BC42BFCFF7C0}"/>
    <hyperlink ref="CQ161" r:id="rId408" xr:uid="{B40906ED-12A3-954E-A959-A698F30AC114}"/>
    <hyperlink ref="CQ164" r:id="rId409" xr:uid="{DCAD6D39-4DF4-DF47-B9EB-9EFF06E71D20}"/>
    <hyperlink ref="CR24" r:id="rId410" location="/document/401407438/paragraph/1/doclist/5772/1/0/0/%D1%80%D0%B5%D1%88%D0%B5%D0%BD%D0%B8%D0%B5 %D0%B3%D0%BE%D1%80%D0%BE%D0%B4%D1%81%D0%BA%D0%BE%D0%B9 %D0%94%D1%83%D0%BC%D1%8B %D0%9A%D1%80%D0%B0%D1%81%D0%BD%D0%BE%D0%B4%D0%B0%D1%80%D0%B0 %D0%BE%D1%82 24.06.2021 %E2%84%96 15 %D0%BF.1:2" xr:uid="{5EBC6C73-240A-5A4A-9977-1C92BB63706A}"/>
    <hyperlink ref="CR53" r:id="rId411" location="/document/401407438/paragraph/1/doclist/5772/1/0/0/%D1%80%D0%B5%D1%88%D0%B5%D0%BD%D0%B8%D0%B5 %D0%B3%D0%BE%D1%80%D0%BE%D0%B4%D1%81%D0%BA%D0%BE%D0%B9 %D0%94%D1%83%D0%BC%D1%8B %D0%9A%D1%80%D0%B0%D1%81%D0%BD%D0%BE%D0%B4%D0%B0%D1%80%D0%B0 %D0%BE%D1%82 24.06.2021 %E2%84%96 15 %D0%BF.1:2" xr:uid="{F44BE4E7-FB80-F844-87C3-980B3370D23F}"/>
    <hyperlink ref="CR151" r:id="rId412" xr:uid="{25E92E33-BF0E-C147-A68D-7C2FA98FB56C}"/>
    <hyperlink ref="CR161" r:id="rId413" xr:uid="{CB860830-6527-2F4C-9A10-C103BCB23A7C}"/>
    <hyperlink ref="CR164" r:id="rId414" xr:uid="{8C0572A0-450D-8F41-B260-A52B896C8D29}"/>
    <hyperlink ref="CS161" r:id="rId415" xr:uid="{E0B65900-8621-8046-A088-589650A339BB}"/>
    <hyperlink ref="CT24" r:id="rId416" xr:uid="{0E06E6E9-CD38-CD4E-A7DC-92E348A3CC0C}"/>
    <hyperlink ref="CT26" r:id="rId417" xr:uid="{1BC332CA-D760-1349-8FE3-AE457F9ED712}"/>
    <hyperlink ref="CT161" r:id="rId418" xr:uid="{403E1303-785E-444D-9F42-922C698A627E}"/>
    <hyperlink ref="CU24" r:id="rId419" xr:uid="{A110DA80-3940-A14E-B991-189D9FE10F27}"/>
    <hyperlink ref="CU26" r:id="rId420" xr:uid="{E3F37A02-95F4-9047-B8CC-4FA3CB7A07F8}"/>
    <hyperlink ref="CU53" r:id="rId421" xr:uid="{9381936C-59AC-1E44-A4F6-1527B4DEEB82}"/>
    <hyperlink ref="CU161" r:id="rId422" xr:uid="{414805D3-440C-DB41-A2F7-63718B4635DE}"/>
    <hyperlink ref="CV161" r:id="rId423" xr:uid="{8379CA2C-54ED-1540-B122-14AD9770DFAA}"/>
    <hyperlink ref="CW161" r:id="rId424" xr:uid="{FA3ECD22-102F-604D-8F76-66029FC968E3}"/>
    <hyperlink ref="CW24" r:id="rId425" xr:uid="{3B33E462-D866-CF46-8A39-89D85EDE8A7B}"/>
    <hyperlink ref="CW151" r:id="rId426" xr:uid="{5AEC8AC8-8A2D-C04E-B2C8-E6598582EF19}"/>
    <hyperlink ref="CW26" r:id="rId427" xr:uid="{EA31ED89-3BD4-5E42-AF24-2067B257D16F}"/>
    <hyperlink ref="CX161" r:id="rId428" xr:uid="{9291A3D4-84AA-6343-AF4E-B4B716455632}"/>
    <hyperlink ref="CY24" r:id="rId429" xr:uid="{B184F34A-6CF6-4141-BB5D-B8AF75647545}"/>
    <hyperlink ref="CY26" r:id="rId430" xr:uid="{01FFCD0B-E4B8-8349-8E8E-C865CB84434E}"/>
    <hyperlink ref="CY152" r:id="rId431" xr:uid="{56266A28-B5C8-2846-A3C4-075073E912D2}"/>
    <hyperlink ref="CY153" r:id="rId432" xr:uid="{491EC072-E6D9-CE4A-9501-1C2A9A98FD3B}"/>
    <hyperlink ref="CY161" r:id="rId433" xr:uid="{088AF697-3CE4-1C44-A40C-C4BBAF15D6A5}"/>
    <hyperlink ref="CZ22" r:id="rId434" xr:uid="{6D49CBE7-35D0-C84C-A85F-60100FBDF1B4}"/>
    <hyperlink ref="CZ26" r:id="rId435" xr:uid="{4464C4CC-5C12-E34F-97C9-2DA701EDB444}"/>
    <hyperlink ref="CZ161" r:id="rId436" xr:uid="{93252963-F8F7-D644-BE79-97836467FB6C}"/>
    <hyperlink ref="CZ151" r:id="rId437" xr:uid="{D7224E4B-C193-8348-9F16-D7A6BA7C6F05}"/>
    <hyperlink ref="DA164" r:id="rId438" xr:uid="{423EA016-B297-2A4C-B352-537AEF71CFA8}"/>
    <hyperlink ref="DA93" r:id="rId439" xr:uid="{05BAF5B1-5486-8242-8BFB-451DEACB1E76}"/>
    <hyperlink ref="DA151" r:id="rId440" xr:uid="{26A5903A-7406-C948-802F-11A5E43C8FCF}"/>
    <hyperlink ref="DA161" r:id="rId441" xr:uid="{48262E11-EEFB-3846-8060-54F6F018E782}"/>
    <hyperlink ref="DA153" r:id="rId442" xr:uid="{3CBF0812-F6DF-3E43-A04C-BC85D4A52D59}"/>
    <hyperlink ref="DA155" r:id="rId443" xr:uid="{C989AFE4-08D9-8E49-9C32-90E995FEDC38}"/>
    <hyperlink ref="DA152" r:id="rId444" xr:uid="{4CF8EA97-2071-4E4D-B742-2734270FA8F9}"/>
    <hyperlink ref="DB26" r:id="rId445" xr:uid="{31C57ADD-1823-ED46-9C5F-D3518BED5000}"/>
    <hyperlink ref="DB24" r:id="rId446" xr:uid="{B2743371-8CC5-D149-BDB0-31EBDBD7CE5B}"/>
    <hyperlink ref="DB151" r:id="rId447" xr:uid="{DAE83D07-3138-0F40-BD33-4DA9043B52F4}"/>
    <hyperlink ref="DC161" r:id="rId448" xr:uid="{7CBF46A1-18F3-B540-A559-4F38A46A29CE}"/>
    <hyperlink ref="DD161" r:id="rId449" xr:uid="{CA312770-AB4B-7748-AC97-37E987C95923}"/>
    <hyperlink ref="DF161" r:id="rId450" xr:uid="{7AC38DD2-A21F-8A46-B01A-47818634CDA5}"/>
    <hyperlink ref="DF22" r:id="rId451" display="https://sochi.ru/gorodskaya-vlast/normativno-pravovyye-akty/?ELEMENT_ID=171037" xr:uid="{3FE227F6-E37E-1E48-A5F1-4B730E8A8EA3}"/>
    <hyperlink ref="DF164" r:id="rId452" xr:uid="{2D135000-E280-A446-B304-2FF41879EC8D}"/>
    <hyperlink ref="DF151" r:id="rId453" xr:uid="{EDFDC18B-4CD1-0142-9BF8-AC43DCE09174}"/>
    <hyperlink ref="DF90" r:id="rId454" xr:uid="{EFDA514E-378D-BF45-9F93-9B7CAA0FDB29}"/>
    <hyperlink ref="DF24" r:id="rId455" xr:uid="{05147A06-C80E-994C-852C-B01A9AA0CA4C}"/>
    <hyperlink ref="DF26" r:id="rId456" xr:uid="{93C999AA-C81E-884B-A92C-747075DD4E8C}"/>
    <hyperlink ref="DG151" r:id="rId457" xr:uid="{5A828E84-820B-B343-8C15-7ABEFC2BC264}"/>
    <hyperlink ref="DG22" r:id="rId458" xr:uid="{E11C694A-2F54-D341-AB78-D1A9B31CF287}"/>
    <hyperlink ref="DG24" r:id="rId459" xr:uid="{AF1FB41D-AAAA-4F48-ACF7-521061CCCF19}"/>
    <hyperlink ref="DG164" r:id="rId460" xr:uid="{B361A6BE-E9A6-624A-9E6C-FFFFFF3B05CC}"/>
    <hyperlink ref="DG90" r:id="rId461" xr:uid="{3122FA25-41F9-5140-A3FA-6C7361FD4E4D}"/>
    <hyperlink ref="DH161" r:id="rId462" xr:uid="{3FBF2733-3CFF-4C45-BB0A-BE5522E1CD1D}"/>
    <hyperlink ref="DH164" r:id="rId463" xr:uid="{43389A1A-8BDB-D54D-B3CB-088E3BC66A6D}"/>
    <hyperlink ref="DH24" r:id="rId464" xr:uid="{FD6506F0-1C55-B244-BD09-DB57F5B5A0FE}"/>
    <hyperlink ref="DH26" r:id="rId465" xr:uid="{DA3F272A-AB78-904F-AAFE-41BE3233DB9A}"/>
    <hyperlink ref="DH22" r:id="rId466" xr:uid="{20167E17-69A2-C14F-90E2-A1C8E7B10FF6}"/>
    <hyperlink ref="DI22" r:id="rId467" xr:uid="{1340C25A-CAF9-9342-8602-DEC75C5742BA}"/>
    <hyperlink ref="DI24" r:id="rId468" xr:uid="{47FB4EB8-97BD-4E4F-83B3-D2E5711F73AC}"/>
    <hyperlink ref="DI161" r:id="rId469" xr:uid="{0139EC72-A42B-DA41-AC31-2C9932DE0366}"/>
    <hyperlink ref="DI164" r:id="rId470" xr:uid="{DD8F180D-4969-E549-AC6F-447A26F1DA72}"/>
    <hyperlink ref="DI151" r:id="rId471" xr:uid="{71EB7E01-21FD-1A46-B7DE-8929475F9DF9}"/>
    <hyperlink ref="DI152" r:id="rId472" xr:uid="{5C180EF6-3A76-814A-A063-88599DAB1A15}"/>
    <hyperlink ref="DI26" r:id="rId473" xr:uid="{9A35F7C1-53B9-0943-8AE7-F98321DBA1FA}"/>
    <hyperlink ref="DJ151" r:id="rId474" xr:uid="{EB1E13B2-5EFE-B044-A5AD-AFF262F1BE08}"/>
    <hyperlink ref="DJ26" r:id="rId475" xr:uid="{E6E7C075-B8FB-3846-98CC-9BA0D06B5462}"/>
    <hyperlink ref="DJ24" r:id="rId476" xr:uid="{9B4F8242-56BE-0546-9120-B685D0BD5EEB}"/>
    <hyperlink ref="DJ161" r:id="rId477" xr:uid="{E7ABA43A-5AEC-284D-BDC6-AE5419B48D97}"/>
    <hyperlink ref="DJ164" r:id="rId478" xr:uid="{C6F74D1A-8894-2947-A12B-E47D1C32BCB6}"/>
    <hyperlink ref="DK102" r:id="rId479" xr:uid="{9CC58717-A322-6F45-ADD7-B2EE0237F853}"/>
    <hyperlink ref="DK161" r:id="rId480" xr:uid="{0E7F482D-40F1-3649-B61F-8BC8A3F9A08B}"/>
    <hyperlink ref="DK164" r:id="rId481" xr:uid="{A6DE1EA5-6FCB-2D43-9B68-B949DC7B425C}"/>
    <hyperlink ref="DK26" r:id="rId482" xr:uid="{A6F1F2E6-5162-EC4C-A854-DF8653CA65AA}"/>
    <hyperlink ref="DL164" r:id="rId483" xr:uid="{1AB13303-113A-6245-BCE6-8E526A5EF91C}"/>
    <hyperlink ref="DL161" r:id="rId484" xr:uid="{075A76F9-969C-DF4D-82E4-CAE4F3C66866}"/>
    <hyperlink ref="DL151" r:id="rId485" xr:uid="{F2DF1A4E-A891-A94F-95BF-4D55B4831883}"/>
    <hyperlink ref="DL141" r:id="rId486" xr:uid="{A6081594-1F9F-8F4D-A1D4-EFDBA5C3A9F7}"/>
    <hyperlink ref="DL102" r:id="rId487" xr:uid="{59EFA622-4B18-2341-B651-182FB01CA8F0}"/>
    <hyperlink ref="DL22" r:id="rId488" xr:uid="{996DA603-F59F-AF43-8A4B-5302092129A4}"/>
    <hyperlink ref="DL26" r:id="rId489" xr:uid="{79501FDB-FA3D-B141-BB87-B144C45EE529}"/>
    <hyperlink ref="DL24" r:id="rId490" xr:uid="{6EBB0CB9-FE66-5B44-960E-E282A60859C1}"/>
    <hyperlink ref="DM161" r:id="rId491" xr:uid="{A5486A9A-0FE6-A14A-B53C-54CE96FB3FD2}"/>
    <hyperlink ref="DM22" r:id="rId492" xr:uid="{72594C80-1398-234B-8DEE-E7D5965AAA1E}"/>
    <hyperlink ref="DM164" r:id="rId493" display="mailto:fumotim@mail.ru" xr:uid="{F39C5900-F4E4-B542-B6ED-40CF9D8636A3}"/>
    <hyperlink ref="DN22" r:id="rId494" xr:uid="{501A01A3-773D-2947-BD59-3700A5792E2A}"/>
    <hyperlink ref="DN24" r:id="rId495" xr:uid="{A8D25E11-372B-7847-AA5F-FFCCE3D7D16F}"/>
    <hyperlink ref="DN53" r:id="rId496" xr:uid="{0689B981-E4CD-0642-9A33-A86408060E18}"/>
    <hyperlink ref="DN87" r:id="rId497" xr:uid="{B0D6B52D-A0C6-9D4B-941E-0330634B65A2}"/>
    <hyperlink ref="DN26" r:id="rId498" xr:uid="{0F515EA3-8751-AF46-80CA-58A474149760}"/>
    <hyperlink ref="DN90" r:id="rId499" xr:uid="{384C86DB-D404-DE49-8914-499E24C94D1F}"/>
    <hyperlink ref="DN161" r:id="rId500" xr:uid="{EE41CC90-ADA3-D446-BEAF-49C1392A954E}"/>
    <hyperlink ref="DN164" r:id="rId501" display="mailto:fumotim@mail.ru" xr:uid="{51AB65C6-E518-7B49-8DA6-51466A6B465E}"/>
    <hyperlink ref="DO152" r:id="rId502" xr:uid="{1E727890-C97E-8749-BB64-9E08827B56A1}"/>
    <hyperlink ref="DO161" r:id="rId503" xr:uid="{56B4763B-A378-F642-82B0-01573066D60A}"/>
    <hyperlink ref="DO164" r:id="rId504" xr:uid="{146CBDDB-6A05-6243-A4F7-38B952F825CD}"/>
    <hyperlink ref="DP24" r:id="rId505" xr:uid="{0AD9C253-5C69-4C4E-8D63-105F652AE2BC}"/>
    <hyperlink ref="DP22" r:id="rId506" xr:uid="{D256E5EA-D5A9-5C4A-958B-099857366F25}"/>
    <hyperlink ref="DP152" r:id="rId507" xr:uid="{D540F518-D3B0-A54A-8A6A-ED0ACE08B0E2}"/>
    <hyperlink ref="DQ161" r:id="rId508" xr:uid="{751478E2-BAB1-904D-A0D8-4C1D38FC5D3B}"/>
    <hyperlink ref="DQ152" r:id="rId509" xr:uid="{E4022D35-8582-8F4D-A105-EFE61506AAC5}"/>
    <hyperlink ref="DQ26" r:id="rId510" xr:uid="{2358E37B-4E9F-1649-9515-49ABA7F16D6E}"/>
    <hyperlink ref="DR26" display="https://docs.yandex.ru/docs/view?url=ya-browser%3A%2F%2F4DT1uXEPRrJRXlUFoewruDnM-POcH77EIURgPU5OVJY5wVw3J5uNd408Rf4tVHvRAVEewQDrCER-duWFBa5IqJO7nnt71fdHaxNchCQKurO-MxpHoMw1YeGefPAI_47cEhxzj8YaINLiZp9V2e5KWA%3D%3D%3Fsign%3DqI3bchw6waLbeKGq3NCilVIjMreq6Hgd2" xr:uid="{BD0811A7-F51D-4947-8F74-E625671F348A}"/>
    <hyperlink ref="DR161" r:id="rId511" xr:uid="{76BE5EB9-B127-4240-BC8B-7442E55C7901}"/>
    <hyperlink ref="DS24" r:id="rId512" xr:uid="{6971E7BF-D78D-1A43-9125-B17A1BBBA10A}"/>
    <hyperlink ref="DS26" r:id="rId513" xr:uid="{ACF13217-C05F-5946-A9FC-3E10D6C8E31E}"/>
    <hyperlink ref="DS161" r:id="rId514" xr:uid="{14CA08D6-9ED1-7A48-8575-CC6DE6CE5CDC}"/>
    <hyperlink ref="DS22" r:id="rId515" xr:uid="{44F1DDBF-95AE-234D-996C-27753BF2F744}"/>
    <hyperlink ref="DT161" r:id="rId516" xr:uid="{EB342D49-EBBA-7644-AACD-AE5349B86419}"/>
    <hyperlink ref="DU151" r:id="rId517" xr:uid="{253B8D02-AEFD-9746-AEE1-161F51E0918E}"/>
    <hyperlink ref="DU161" r:id="rId518" xr:uid="{E2EFC772-053C-684B-B143-74586CBDA0A8}"/>
    <hyperlink ref="DU26" r:id="rId519" xr:uid="{E54698A2-08C1-D140-8E5F-77598D8C4554}"/>
    <hyperlink ref="DU90" r:id="rId520" xr:uid="{11C99673-3D43-9C47-9C01-EBE1CBC29906}"/>
    <hyperlink ref="DV22" r:id="rId521" xr:uid="{63740F57-CC5D-8944-A647-450ECE1D6753}"/>
    <hyperlink ref="DV24" r:id="rId522" xr:uid="{A2EA1D84-0A22-7E44-8D15-C88A631AA725}"/>
    <hyperlink ref="DV26" r:id="rId523" xr:uid="{0C314700-EA18-C446-897C-7D8981D4B6D0}"/>
    <hyperlink ref="DV90" r:id="rId524" xr:uid="{F907CE2D-6ED0-4245-87AC-79338DFC1F49}"/>
    <hyperlink ref="DV152" r:id="rId525" xr:uid="{A6D438D0-0DDF-9446-9B93-16EB4D83215B}"/>
    <hyperlink ref="DV153" r:id="rId526" xr:uid="{DC97ED11-DAE4-7047-95B4-7FFCB0FE68D2}"/>
    <hyperlink ref="DV161" r:id="rId527" xr:uid="{44C8CCE3-0E66-3542-BEC9-AF2308FD4910}"/>
    <hyperlink ref="AF26" r:id="rId528" xr:uid="{8588903F-2D80-8040-9F5F-04F1CC15DD8A}"/>
    <hyperlink ref="AF164" r:id="rId529" xr:uid="{EFB9BDFB-7A1C-124D-B636-586F9E0B7D82}"/>
    <hyperlink ref="AG93" r:id="rId530" xr:uid="{662BFA9B-93D1-9C4F-85FF-56F5A16795A6}"/>
    <hyperlink ref="AG161" r:id="rId531" xr:uid="{EE89909B-D85F-394B-A9D7-DB7A3E4B7B35}"/>
    <hyperlink ref="AG164" r:id="rId532" xr:uid="{1DC59B3B-DBDB-6047-BD98-D34060594FF2}"/>
    <hyperlink ref="AI164" r:id="rId533" xr:uid="{51B8439B-024C-BF48-9D6F-0D0D1E3652E0}"/>
    <hyperlink ref="AI26" r:id="rId534" xr:uid="{8279FCD7-8069-4449-A158-4ABA51CCFAE8}"/>
    <hyperlink ref="AI22" r:id="rId535" xr:uid="{0BA1E019-C716-4244-9E07-9B39CD650460}"/>
    <hyperlink ref="AI90" r:id="rId536" xr:uid="{0AD5F699-A8FD-7D42-82DC-64AD381CC7C3}"/>
    <hyperlink ref="AI123" r:id="rId537" xr:uid="{C85ACAEA-B588-B24E-8F9A-F4813A307C54}"/>
    <hyperlink ref="AI24" r:id="rId538" xr:uid="{DED67F86-A8BF-5A4C-A709-2C815CC49051}"/>
    <hyperlink ref="AI161" r:id="rId539" xr:uid="{EABC3EB8-6899-2243-A68F-AB34825FB95C}"/>
    <hyperlink ref="AJ152" r:id="rId540" xr:uid="{1C1978E0-ADA8-E44D-BBC4-449518E209CF}"/>
    <hyperlink ref="AJ161" r:id="rId541" xr:uid="{5240CEB1-F2F5-064A-953D-48EB84D94F30}"/>
    <hyperlink ref="AJ24" r:id="rId542" display="http://adm-borovskiy.ru/files/1/reshen_34(1).PDF" xr:uid="{AC69E331-6A70-1344-BB92-F79230C7BAC0}"/>
    <hyperlink ref="AJ90" r:id="rId543" xr:uid="{5A8BB585-8E59-B240-BEAD-69283C08A56B}"/>
    <hyperlink ref="AJ164" r:id="rId544" xr:uid="{E599D70A-F60D-044A-81A0-260DA5F340B4}"/>
    <hyperlink ref="AL90" r:id="rId545" xr:uid="{23D9D015-10F9-3045-A861-BDF68CC1F105}"/>
    <hyperlink ref="AL26" r:id="rId546" xr:uid="{6B359BEF-239F-6747-B9B6-E7A5B62A302C}"/>
    <hyperlink ref="AL28" r:id="rId547" xr:uid="{FE884820-F998-3E47-9A2E-180797966E93}"/>
    <hyperlink ref="AL161" r:id="rId548" xr:uid="{3D5912CB-AB80-BD45-9E93-387AD0F70342}"/>
    <hyperlink ref="AL164" r:id="rId549" xr:uid="{77CC85BB-8591-B44C-AAC4-20CD96DDC296}"/>
    <hyperlink ref="AL24" r:id="rId550" xr:uid="{CBFEC851-80F7-404C-ABC3-1C61771B0E24}"/>
    <hyperlink ref="AQ161" r:id="rId551" xr:uid="{C3A4A749-4150-4248-BC90-7EFABFCACB76}"/>
    <hyperlink ref="AQ141" r:id="rId552" xr:uid="{0C11C3CE-9E59-F04B-BA72-B68260F70963}"/>
    <hyperlink ref="AQ151" r:id="rId553" xr:uid="{514567F7-A8B6-AF4A-8C0A-F11FA85136CB}"/>
    <hyperlink ref="AQ90" r:id="rId554" xr:uid="{C36AB40F-91E7-EB4F-AC27-6BBD18E64E02}"/>
    <hyperlink ref="AQ149" r:id="rId555" display="https://www.afanasyevo.ru/ekonomika/initsiativnye-proekty" xr:uid="{A23C8108-122E-A047-AD45-975A9ECDE3F2}"/>
    <hyperlink ref="AQ24" r:id="rId556" xr:uid="{4027C3A1-CC4D-484B-B7B8-559736F29A27}"/>
    <hyperlink ref="AQ22" r:id="rId557" xr:uid="{E807DFBE-47EF-D845-8E72-B1C4AF169AF0}"/>
    <hyperlink ref="AQ164" r:id="rId558" xr:uid="{5D54C741-8954-704E-BCB3-DE60258CE21C}"/>
    <hyperlink ref="CF161" r:id="rId559" xr:uid="{DCAED60F-8A5A-EC4A-89D2-AB2960E76379}"/>
    <hyperlink ref="CH161" r:id="rId560" xr:uid="{E2556626-7AF8-A64E-B35D-52C67C7F0A39}"/>
    <hyperlink ref="CK161" r:id="rId561" xr:uid="{A806DE83-602A-2742-96C5-21490E8C9F64}"/>
    <hyperlink ref="GX161" r:id="rId562" xr:uid="{1F3236F2-B54B-A94B-AE29-5FF504163CB8}"/>
    <hyperlink ref="GX151" r:id="rId563" xr:uid="{A3415873-3DE2-7C43-9EC0-3980C8E03BA1}"/>
    <hyperlink ref="GX152" r:id="rId564" xr:uid="{2C7B558F-E663-0A49-9305-1F29128EA3C3}"/>
    <hyperlink ref="GY161" r:id="rId565" xr:uid="{28661DCE-CBD3-BB48-BB1C-21DEFFF0C2E3}"/>
    <hyperlink ref="GY151" r:id="rId566" xr:uid="{3D8E714B-0110-0941-9E28-EE1E4C0B559B}"/>
    <hyperlink ref="BT24" r:id="rId567" xr:uid="{A057772A-B220-EE4D-A6D3-E91074518C4E}"/>
    <hyperlink ref="BT164" r:id="rId568" xr:uid="{AF0DEC5C-2D90-2F4F-9C02-83CEE2787F46}"/>
    <hyperlink ref="BT161" r:id="rId569" xr:uid="{E96F8832-615A-384D-9859-7CBE80CF5CD9}"/>
    <hyperlink ref="BT151" r:id="rId570" xr:uid="{4236A8C8-6CC4-5B41-8F3F-60F5ABFC3FE8}"/>
    <hyperlink ref="BZ24" r:id="rId571" display="https://www.adm-kavkaz.ru/sobranie-deputatov/reshenie-sobranij/resheniya-2020/3741-reshenie-4-ot-08-02-2019-goda-o-peredache-kavkazskomu-selskomu-poseleniyu-kavkazskogo-rajona-proektnoj-dokumentatsii-ob-ekta-gazifikatsii            " xr:uid="{03E9A509-9D35-044A-8E2D-CEF16F3E5EF0}"/>
    <hyperlink ref="BZ152" r:id="rId572" display="https://www.adm-kavkaz.ru/sobranie-deputatov/reshenie-sobranij/resheniya-2020/3741-reshenie-4-ot-08-02-2019-goda-o-peredache-kavkazskomu-selskomu-poseleniyu-kavkazskogo-rajona-proektnoj-dokumentatsii-ob-ekta-gazifikatsii; " xr:uid="{5FAB0DB0-2BC6-FB4E-81EB-6E25A50E1025}"/>
    <hyperlink ref="BW152" r:id="rId573" xr:uid="{52663B02-FD70-194B-882F-FB008BA963F8}"/>
    <hyperlink ref="BW151" r:id="rId574" xr:uid="{36055F9A-87BF-DE44-9769-2D2E4E30EBBF}"/>
    <hyperlink ref="FX90" r:id="rId575" xr:uid="{7C46186A-B384-0840-B511-0168C285F09B}"/>
    <hyperlink ref="FX152" r:id="rId576" xr:uid="{CFDD56EF-A5F8-4347-8E34-CAD6E33F579A}"/>
    <hyperlink ref="FX151" r:id="rId577" display="https://adamfin.ru/shb-2022_x000a_" xr:uid="{A83B8D0A-EACB-C44C-891F-972223BB67A0}"/>
    <hyperlink ref="FW151" r:id="rId578" xr:uid="{780B1D3C-8F47-3143-9DBA-7BAD169A7FD8}"/>
    <hyperlink ref="FW152" r:id="rId579" display="https://vk.com/@-211208773-praktiki-iniciativnogo-budzhetirovaniya-opyt-adamovskogo-rai_x000a_" xr:uid="{C78B2666-8BC0-BC48-926B-9827360F5AFE}"/>
    <hyperlink ref="FW153" r:id="rId580" xr:uid="{0FD969AA-C6C3-924D-A46D-9448127D03BA}"/>
    <hyperlink ref="FW155" r:id="rId581" xr:uid="{FFBB7CB3-159D-B746-B946-8AA3CDBD806B}"/>
    <hyperlink ref="GX164" r:id="rId582" xr:uid="{32F530E9-7994-2746-8EF0-AFC9BACD3AD0}"/>
    <hyperlink ref="DW161" r:id="rId583" xr:uid="{FB3B1E18-5FA0-4C47-8C6E-243E39DA41BB}"/>
    <hyperlink ref="DE26" r:id="rId584" xr:uid="{E334AE6E-12F5-AB4F-8E7D-C033224CBA9B}"/>
    <hyperlink ref="DE105" r:id="rId585" xr:uid="{BCF544E8-72D6-C648-8C24-740DEF363360}"/>
    <hyperlink ref="DE161" r:id="rId586" xr:uid="{8CFA16A9-D4BC-4A49-81E7-86CD647A4FB9}"/>
    <hyperlink ref="DE164" r:id="rId587" xr:uid="{E2A505AD-C03F-384A-91FE-B7CAD61AF912}"/>
    <hyperlink ref="FM22" r:id="rId588" xr:uid="{0920B96C-FE7E-874B-AB1C-47BBA97DC69D}"/>
    <hyperlink ref="FM90" r:id="rId589" xr:uid="{5CA5A31D-A9C1-6B45-AF8C-EA9989169024}"/>
    <hyperlink ref="FM26" r:id="rId590" display="https://gy.orb.ru/upload/uf/c88/Postanovlenie-1000_pA_2019.doc; " xr:uid="{01019145-6D8F-724F-AB32-733EAAD9C400}"/>
    <hyperlink ref="FM28" r:id="rId591" xr:uid="{832D0F81-2A37-6049-979F-1EE9CB345D6A}"/>
    <hyperlink ref="FM123" r:id="rId592" xr:uid="{B489D0A3-2FD2-BE42-83A3-AB62D0626BEF}"/>
    <hyperlink ref="FM161" r:id="rId593" xr:uid="{5A7EB474-708B-184D-8D57-6E4825447C15}"/>
    <hyperlink ref="FM154" r:id="rId594" display="https://gy.orb.ru/presscenter/news/50364/" xr:uid="{1960979C-8136-3A4B-86DF-D1F5B6087D74}"/>
    <hyperlink ref="FM153" r:id="rId595" display="https://gy.orb.ru/documents/active/66763/" xr:uid="{3DB7810D-0179-D74D-9B75-B79645FEF033}"/>
    <hyperlink ref="FM152" r:id="rId596" xr:uid="{B43CDD54-F94A-F345-9051-C439344E5324}"/>
    <hyperlink ref="FM150" r:id="rId597" xr:uid="{3B38D258-73D6-0E4B-873F-3D04A90DDBCC}"/>
    <hyperlink ref="FV22" r:id="rId598" xr:uid="{EDEEB6E5-7216-3242-828E-95E4044B6C4C}"/>
    <hyperlink ref="FV151" r:id="rId599" xr:uid="{8759C291-A259-D04A-B1D8-E8B3203D70D3}"/>
    <hyperlink ref="FV152" r:id="rId600" xr:uid="{BC6D8130-3D22-114C-AFF9-1021BFB7F161}"/>
    <hyperlink ref="FV161" r:id="rId601" xr:uid="{48ADB88E-90FC-4C4B-99CC-82EE8B8B9490}"/>
    <hyperlink ref="FV164" r:id="rId602" xr:uid="{CA269072-EC5D-224B-8089-50CB575A825B}"/>
    <hyperlink ref="FZ26" r:id="rId603" xr:uid="{02362385-AEFA-8F4B-A45F-F2C2044CB89C}"/>
    <hyperlink ref="FZ151" r:id="rId604" xr:uid="{847AF7C8-90F3-564C-AF90-92D759E88929}"/>
    <hyperlink ref="FZ164" r:id="rId605" xr:uid="{67E0F596-6D31-9942-BAEC-3AF56EBE34D7}"/>
    <hyperlink ref="GB151" r:id="rId606" xr:uid="{5D9B5087-D241-584E-BFB0-37C2A2266441}"/>
    <hyperlink ref="GB152" r:id="rId607" xr:uid="{24AC3B4D-9E6C-AD40-9C00-50DD1020A02F}"/>
    <hyperlink ref="GB164" r:id="rId608" xr:uid="{FA994EA5-67EF-074C-827B-CFEDE9386678}"/>
    <hyperlink ref="GR24" r:id="rId609" xr:uid="{A88C4FD7-079A-4948-8B01-9952198D6DCB}"/>
    <hyperlink ref="GR161" r:id="rId610" xr:uid="{F2F57EA8-EEB1-1C4E-8713-A62A92F3E290}"/>
    <hyperlink ref="GR164" r:id="rId611" xr:uid="{A3100596-FD79-2845-A6B7-9E2672FA32C4}"/>
    <hyperlink ref="GS90" r:id="rId612" xr:uid="{D39F751E-E7A0-4D40-83A4-268DE7DED37E}"/>
    <hyperlink ref="GS123" r:id="rId613" xr:uid="{C4E65C27-0F94-8A4A-8102-E41F0C73FAB5}"/>
    <hyperlink ref="GS151" r:id="rId614" xr:uid="{8296D2B4-AD6E-7A49-A5DF-9F9C1A173FF2}"/>
    <hyperlink ref="GS153" r:id="rId615" xr:uid="{587ACACC-5C4E-274E-AFF4-1756E290F639}"/>
    <hyperlink ref="GS161" r:id="rId616" xr:uid="{17DA6EA8-ACBF-EC4B-947C-0B705F3BC757}"/>
    <hyperlink ref="GS164" r:id="rId617" xr:uid="{79D39B16-C6AB-EE49-A0A2-D8C4551CB92D}"/>
    <hyperlink ref="G22" r:id="rId618" xr:uid="{89458019-703D-BF4C-896C-7A760B176512}"/>
    <hyperlink ref="G152" r:id="rId619" xr:uid="{27570DF6-4D24-5746-BB1B-0FFD72E3B6DA}"/>
    <hyperlink ref="G164" r:id="rId620" xr:uid="{9A8A24A0-754A-AF4A-8C22-B2793E5FF20B}"/>
    <hyperlink ref="G90" r:id="rId621" xr:uid="{BD8B2E74-50FF-D043-975A-83A03596DB52}"/>
    <hyperlink ref="G153" r:id="rId622" xr:uid="{27DE60BB-9FDC-F94F-9D6F-CF8779304FBC}"/>
    <hyperlink ref="G161" r:id="rId623" xr:uid="{682595D0-40E7-334E-96EB-C6FF1D78611E}"/>
    <hyperlink ref="I22" r:id="rId624" display="https://miyaki.bashkortostan.ru/documents/active/174961/ , " xr:uid="{311C0DCE-621A-884F-A2E0-C9FECE36B93C}"/>
    <hyperlink ref="I90" r:id="rId625" xr:uid="{F95AA7AF-3614-6344-9FD8-0B8E26145E1C}"/>
    <hyperlink ref="I152" r:id="rId626" xr:uid="{ACE70737-068F-FB49-9424-9B5E5B614F11}"/>
    <hyperlink ref="I164" r:id="rId627" xr:uid="{29F71892-D0B3-5745-8958-F1794A9D5522}"/>
    <hyperlink ref="J22" r:id="rId628" display="https://sterlibash.bashkortostan.ru/documents/active/427286/,  " xr:uid="{BDFBBFCF-8497-4D47-AF9E-F5ED9F9A67B9}"/>
    <hyperlink ref="J90" r:id="rId629" xr:uid="{F8A9F985-162D-F446-92E0-1DAB81F82C62}"/>
    <hyperlink ref="J152" r:id="rId630" xr:uid="{012DA56D-0DEA-5949-9149-0C71043CFA96}"/>
    <hyperlink ref="J164" r:id="rId631" xr:uid="{98557A9C-6D1E-A542-A9D7-5E04C121E885}"/>
    <hyperlink ref="ED24" r:id="rId632" xr:uid="{301D4A5F-9695-2D47-90A9-0889BC8CC5D0}"/>
    <hyperlink ref="ED28" r:id="rId633" display="https://dzhankoy.rk.gov.ru/document/show/4055" xr:uid="{4207CABB-9005-0847-965D-F0CD6F35376D}"/>
    <hyperlink ref="ED141" r:id="rId634" xr:uid="{546383D0-E68A-F145-97D8-923BDEE184D8}"/>
    <hyperlink ref="ED151" r:id="rId635" xr:uid="{305F8F7D-5CE0-294C-9BFF-35A672C09783}"/>
    <hyperlink ref="ED153" r:id="rId636" xr:uid="{3351C256-9C0B-9A41-B5FB-FD05A9690BD1}"/>
    <hyperlink ref="ED155" r:id="rId637" xr:uid="{D42E7F6D-CB1D-6D47-A229-EC46B5B72BEF}"/>
    <hyperlink ref="ED161" r:id="rId638" xr:uid="{8E3688C5-DDDB-BA44-BD40-685A2D9D5C5A}"/>
    <hyperlink ref="ED90" r:id="rId639" xr:uid="{4E010F76-F792-3F4B-B572-07CA4F0188D5}"/>
    <hyperlink ref="EE53" r:id="rId640" xr:uid="{E9925A38-EAC1-F342-8DF0-4E13D6753409}"/>
    <hyperlink ref="EE24" r:id="rId641" xr:uid="{AF67BB14-2103-CC44-95E3-BD4B495F8FFF}"/>
    <hyperlink ref="EE151" r:id="rId642" xr:uid="{5669D116-A945-1C41-83A5-11C154D7995B}"/>
    <hyperlink ref="EE161" r:id="rId643" xr:uid="{017AF351-29E1-A549-A508-C50742D0D708}"/>
    <hyperlink ref="EE90" r:id="rId644" xr:uid="{88FC51AA-9FF5-7543-BA64-B8AF119BDABA}"/>
    <hyperlink ref="EE164" r:id="rId645" xr:uid="{AB1B04C6-2813-C444-B266-EF6C2A6E1E55}"/>
    <hyperlink ref="EF24" r:id="rId646" xr:uid="{431CB6C5-1F93-5143-BA98-DB3ECE0B67BC}"/>
    <hyperlink ref="EF28" r:id="rId647" display="https://dzhankoy.rk.gov.ru/document/show/4055" xr:uid="{46139F6C-66ED-004D-9D66-4363A9F7EC36}"/>
    <hyperlink ref="EF141" r:id="rId648" xr:uid="{76200D6A-95B8-9C47-AFAF-21D2097DBB43}"/>
    <hyperlink ref="EF151" r:id="rId649" xr:uid="{697005A6-5268-974A-B0C8-2EACA2886058}"/>
    <hyperlink ref="EF153" r:id="rId650" xr:uid="{03F25496-7593-A447-86C9-F54BAE7A5599}"/>
    <hyperlink ref="EF161" r:id="rId651" xr:uid="{50A7B5F0-A04A-104A-ADFB-ADFA5A2E6E65}"/>
    <hyperlink ref="EF102" r:id="rId652" xr:uid="{9EEF7317-C08E-F74D-BD83-DC1FDC8C5BD6}"/>
    <hyperlink ref="EF6" r:id="rId653" xr:uid="{C78E2677-CA31-9442-953B-835AB0434B60}"/>
    <hyperlink ref="EF90" r:id="rId654" xr:uid="{D1F50E63-F419-5444-840F-AF62BC073BFF}"/>
    <hyperlink ref="ER22" r:id="rId655" display="https://адмдзержинск.рф/ekonomika-i-imushchestvo/ekonomika/normativno-pravovye-dokumenty/initsiativnoe-byudzhetirovanie/" xr:uid="{F409AEE5-A734-B246-A102-62A16AD27355}"/>
    <hyperlink ref="ER90" r:id="rId656" xr:uid="{7191D4B3-6189-7344-B4E0-9DE2231750A1}"/>
    <hyperlink ref="ER161" r:id="rId657" xr:uid="{1327C9EC-864A-BA4E-A4E5-5B3D9A58D0C5}"/>
    <hyperlink ref="ER28" r:id="rId658" xr:uid="{3E10DBBC-0A61-BE42-9DEE-18098C6A9265}"/>
    <hyperlink ref="ER24" r:id="rId659" display="http://www.dumadzr.ru/index.php?id_page=6&amp;id_catalog=6200" xr:uid="{73D67984-5BE3-EC41-B799-DE0DBE541678}"/>
    <hyperlink ref="ER26" r:id="rId660" xr:uid="{A770C9B3-274E-EC40-B6CE-DCE7BA299F5B}"/>
    <hyperlink ref="ER164" r:id="rId661" xr:uid="{D99D582E-E0BC-CA44-B978-DA929E5B3AC7}"/>
    <hyperlink ref="ES26" r:id="rId662" xr:uid="{86CEFBF5-B1A2-CA41-AFEB-590C7B337875}"/>
    <hyperlink ref="ES90" r:id="rId663" display="https://nizhstat.gks.ru/folder/33271" xr:uid="{A3EB53E6-2CE5-DE48-9CF8-D89B9FE38877}"/>
    <hyperlink ref="ES151" r:id="rId664" xr:uid="{583941FC-31EA-124A-9D94-D8F0CF4FC81E}"/>
    <hyperlink ref="ES161" r:id="rId665" xr:uid="{0E992FFB-CFEF-8047-AE9C-2D91DDEC9C4D}"/>
    <hyperlink ref="ES22" r:id="rId666" xr:uid="{F5CE4ED2-8789-7443-9074-E5F0039417C6}"/>
    <hyperlink ref="ES24" r:id="rId667" xr:uid="{21F0792F-0474-9B4E-B71D-4ADA4721E860}"/>
    <hyperlink ref="ES164" r:id="rId668" xr:uid="{09849872-44AF-1B49-A98B-D0ED3D27FB65}"/>
    <hyperlink ref="ET22" r:id="rId669" xr:uid="{31CD9D95-83E7-864A-A96A-03FB8595AA63}"/>
    <hyperlink ref="ET26" r:id="rId670" xr:uid="{CB4440C6-2D4F-9346-B3D4-ADB37E1A2E2A}"/>
    <hyperlink ref="ET90" r:id="rId671" xr:uid="{E46D9E0B-FDF2-CA47-96EC-599B369BC45B}"/>
    <hyperlink ref="ET164" r:id="rId672" xr:uid="{50018029-831F-F748-B5C4-22DC274AA239}"/>
    <hyperlink ref="EU22" r:id="rId673" xr:uid="{37D4C7C9-EABB-4B4C-9625-8A39242593D6}"/>
    <hyperlink ref="EU26" r:id="rId674" xr:uid="{AE2919F8-C875-1847-A7CE-0211C7CDD6F0}"/>
    <hyperlink ref="EU90" r:id="rId675" xr:uid="{37FF5DDE-1392-3E48-985C-01263DD74B20}"/>
    <hyperlink ref="EU164" r:id="rId676" xr:uid="{11B96EB4-8444-D946-83B4-F66879C52774}"/>
    <hyperlink ref="EV26" r:id="rId677" xr:uid="{4D4D7995-3497-0B49-9618-823853AD9393}"/>
    <hyperlink ref="EV90" r:id="rId678" xr:uid="{9385A5B6-6241-ED48-B19E-BB113EE5E4A1}"/>
    <hyperlink ref="EV164" r:id="rId679" xr:uid="{045C2E60-8312-9548-AA51-1FF585499590}"/>
    <hyperlink ref="EV22" r:id="rId680" xr:uid="{6E44EF71-2343-4744-8BA2-716E75A4B70B}"/>
    <hyperlink ref="EW161" r:id="rId681" xr:uid="{DCF43E9C-C0A8-0B4A-ADC1-6147F365E26A}"/>
    <hyperlink ref="EW164" r:id="rId682" xr:uid="{1486CEDD-2FD9-2C42-B317-93094D8AC29F}"/>
    <hyperlink ref="EW22" r:id="rId683" xr:uid="{1F8FD7F9-5D7C-BB41-9691-C1292F7B3585}"/>
    <hyperlink ref="EX161" r:id="rId684" display="ati@semenov.nnov.ru" xr:uid="{FFA2A0CA-02A0-2348-AB9B-0679EFA21974}"/>
    <hyperlink ref="EX22" r:id="rId685" xr:uid="{9CC41AF4-F1A5-8A44-8B77-B02573D469D0}"/>
    <hyperlink ref="EX90" r:id="rId686" xr:uid="{D4F2265E-A7B7-2944-AB7A-21C0ADE1B072}"/>
    <hyperlink ref="EX151" r:id="rId687" xr:uid="{0364163F-4669-9443-A6B2-1ECF74C9672C}"/>
    <hyperlink ref="EX152" r:id="rId688" xr:uid="{AE1CCB67-6644-C840-AA3C-9EE2EC86407D}"/>
    <hyperlink ref="EX26" r:id="rId689" xr:uid="{0FF172FB-C5BE-A044-AAE0-44BB5902D936}"/>
    <hyperlink ref="EX164" r:id="rId690" xr:uid="{59E822FD-DE85-9B46-9A04-B8C4D0824479}"/>
    <hyperlink ref="HA22" r:id="rId691" xr:uid="{AB083C65-C65C-2743-B64A-41E90D8CEAF8}"/>
    <hyperlink ref="HA28" r:id="rId692" xr:uid="{C8121EB6-5066-7B4D-8844-A1C959E48714}"/>
    <hyperlink ref="HA90" r:id="rId693" xr:uid="{AEC09E8E-C06C-D746-87C4-5763DB59B3AC}"/>
    <hyperlink ref="HA151" r:id="rId694" xr:uid="{BDEC1C82-AD39-884C-85F2-277E668289C4}"/>
    <hyperlink ref="HA152" r:id="rId695" xr:uid="{5ED6E282-C4EC-AA4B-9A17-697D86DB87B8}"/>
    <hyperlink ref="HG22" r:id="rId696" xr:uid="{0FF4819F-E998-D149-AE91-079DA15F0224}"/>
    <hyperlink ref="HG26" r:id="rId697" xr:uid="{86C71935-7C3A-CB4A-A78C-6D8F6C427D24}"/>
    <hyperlink ref="HG28" r:id="rId698" xr:uid="{6A845ECD-96B0-1048-996A-C9A071014652}"/>
    <hyperlink ref="HG90" r:id="rId699" xr:uid="{8AD97201-ABF4-6142-810A-2FDCCD2C6896}"/>
    <hyperlink ref="HG151" r:id="rId700" xr:uid="{7B8083C9-7F89-774C-B45C-B2AB77F4B9C9}"/>
    <hyperlink ref="HG161" r:id="rId701" xr:uid="{EE7C5430-BBE1-994F-AD9F-AAECEA6A34C0}"/>
    <hyperlink ref="HG164" r:id="rId702" xr:uid="{F12BC15C-D046-9541-949C-5189771452B3}"/>
    <hyperlink ref="HH22" r:id="rId703" xr:uid="{5CF0EC36-3103-8B46-B586-58165E29CF4D}"/>
    <hyperlink ref="HH24" r:id="rId704" xr:uid="{8B87E7A1-B3A3-7346-AFF5-595935E5B69F}"/>
    <hyperlink ref="HH26" r:id="rId705" xr:uid="{AE72AB4B-1906-D844-BE23-EEAE5D4F44BE}"/>
    <hyperlink ref="HH90" r:id="rId706" xr:uid="{B8CCEED1-1842-5141-A5EC-AAC38A41A414}"/>
    <hyperlink ref="HH93" r:id="rId707" xr:uid="{A4B938C8-E5F6-154E-BDBE-6203583D148E}"/>
    <hyperlink ref="HH151" r:id="rId708" xr:uid="{B1B38428-85D2-0A44-8690-169873D59CD3}"/>
    <hyperlink ref="HH152" r:id="rId709" display="https://vk.com/wall-203950610_1948  " xr:uid="{D8ED4B2D-742F-8D44-9816-518EFC203FC6}"/>
    <hyperlink ref="HH153" r:id="rId710" xr:uid="{991D1F3E-436B-E14C-9DF9-D38EA9132F37}"/>
    <hyperlink ref="HH161" r:id="rId711" xr:uid="{7F2ED7E1-E0AE-E448-9C40-92BEECD5BB32}"/>
    <hyperlink ref="HH164" r:id="rId712" xr:uid="{CF45F975-2CC6-BA4A-B185-8F1EC33C4A29}"/>
    <hyperlink ref="HI22" r:id="rId713" xr:uid="{3B0455EA-7A71-F344-950F-F6A71BB0CA75}"/>
    <hyperlink ref="HI24" r:id="rId714" xr:uid="{946E589D-5C1D-0840-9080-3C7DD59F92C5}"/>
    <hyperlink ref="HI26" r:id="rId715" xr:uid="{A564440C-EA9B-3349-B0AE-7FD23EA7FDD2}"/>
    <hyperlink ref="HI53" r:id="rId716" xr:uid="{5C5852C6-F439-6F4B-A5FB-D73518ABF99C}"/>
    <hyperlink ref="HI151" r:id="rId717" xr:uid="{20E0A861-2134-2643-A340-2D27F2D83A7B}"/>
    <hyperlink ref="HI161" r:id="rId718" xr:uid="{1DE14F3F-B9FD-9F40-8F44-1E8951CFF88B}"/>
    <hyperlink ref="HI164" r:id="rId719" xr:uid="{E54F4D5B-DB0E-1049-91DB-479E9A0E2D9F}"/>
    <hyperlink ref="HJ161" r:id="rId720" xr:uid="{30326D9C-1C61-7649-A833-19EFE55BC26D}"/>
    <hyperlink ref="HJ22" r:id="rId721" display="https://mo-lgo.ru/documents/?mode=edit&amp;list_id=46&amp;section_id=188&amp;element_id=37325&amp;list_section_id=188" xr:uid="{6F77DEE2-D4A9-8147-BA38-53B8A6F89CC2}"/>
    <hyperlink ref="HJ26" r:id="rId722" display="https://mo-lgo.ru/documents/?mode=edit&amp;list_id=46&amp;section_id=188&amp;element_id=37325&amp;list_section_id=188" xr:uid="{7E2C4AD4-9A76-8C44-90C2-A5273A2E7BD7}"/>
    <hyperlink ref="HM161" r:id="rId723" xr:uid="{D84DD860-D825-984C-895D-A6698D2FF908}"/>
    <hyperlink ref="JH24" r:id="rId724" xr:uid="{7F579F87-A649-2642-8781-5705CF4BDF48}"/>
    <hyperlink ref="JH90" r:id="rId725" xr:uid="{B737D61B-D2B9-B145-B9BE-B3E7466553ED}"/>
    <hyperlink ref="JH161" r:id="rId726" xr:uid="{BFA150D3-89EB-654B-82CB-C8D74AE92687}"/>
    <hyperlink ref="JI24" r:id="rId727" xr:uid="{C205A9D1-7851-B94A-AC53-C6637291B82B}"/>
    <hyperlink ref="JI26" r:id="rId728" display="https://asbestadm.ru/economy/munitsipalnyie-programmyi/obrazovanie/2022/  " xr:uid="{D0206268-7E8F-914E-ADC6-486D3F7277F1}"/>
    <hyperlink ref="JI90" r:id="rId729" xr:uid="{2BAC1039-9B8C-6F47-A3D3-6BF628EB1937}"/>
    <hyperlink ref="JI161" r:id="rId730" xr:uid="{3A1A5173-E69D-E84E-8CFB-5E0F329226DA}"/>
    <hyperlink ref="JI151" r:id="rId731" xr:uid="{92C38618-F305-7B45-B6AC-1128C0110D95}"/>
    <hyperlink ref="JJ22" r:id="rId732" xr:uid="{7A47E482-0EAF-464D-B1C3-613296370DBD}"/>
    <hyperlink ref="JJ90" r:id="rId733" xr:uid="{4929EBBA-0FC3-264D-BD6B-145D77559AC8}"/>
    <hyperlink ref="JJ151" r:id="rId734" xr:uid="{E977C667-FB79-2E43-BCA7-40CE619E5E42}"/>
    <hyperlink ref="JJ161" r:id="rId735" xr:uid="{5059EC4F-A269-F544-A30F-9929767A3B11}"/>
    <hyperlink ref="JK90" r:id="rId736" xr:uid="{2F3CA565-4697-D642-AC53-4A11ECB00DF1}"/>
    <hyperlink ref="JK149" r:id="rId737" xr:uid="{25EDE3CF-9E45-8D47-BB84-27FD9558D3D5}"/>
    <hyperlink ref="JK151" r:id="rId738" xr:uid="{11FA1E01-6E39-C44D-AD06-BFAD41FDA005}"/>
    <hyperlink ref="JK161" r:id="rId739" xr:uid="{DBAFB5D6-84B9-7542-904B-634426B0466D}"/>
    <hyperlink ref="JL22" r:id="rId740" xr:uid="{47642F75-1344-064B-9DE0-864FBC2E1860}"/>
    <hyperlink ref="JL28" r:id="rId741" xr:uid="{19BC57FA-7DB2-7244-A1D0-F887028A88F1}"/>
    <hyperlink ref="JL90" display="https://docs.yandex.ru/docs/view?url=ya-browser%3A%2F%2F4DT1uXEPRrJRXlUFoewruMK9qdWWSI4tb5pvE1AAAl1mrAg0BGqEi2eRznCIZz6YrPktRWoBZ1X7SQI9u1dMWNjdqz44eaBXVjavKqTc9c8lQm5KKTrNVuJSR3wvTkilqlk-9bE3e9MCVN5OIma7qQ%3D%3D%3Fsign%3Dv90LNKcW6Zy3DOGqXViu5FSDt9TGlyHCO" xr:uid="{DEBCEC57-9101-2E46-8A30-A0A5553F45F6}"/>
    <hyperlink ref="JL161" r:id="rId742" xr:uid="{67FD737D-B8FE-4F47-848C-0E23794D97C5}"/>
    <hyperlink ref="JL24" r:id="rId743" xr:uid="{0D682A8A-44F3-754A-A98B-827D042B98E4}"/>
    <hyperlink ref="JL151" r:id="rId744" xr:uid="{5C959A14-9F4D-8F43-B824-F008CF887FF6}"/>
    <hyperlink ref="JM22" r:id="rId745" xr:uid="{B7298A2F-65C8-E943-BC25-E953E324D32F}"/>
    <hyperlink ref="JM151" r:id="rId746" xr:uid="{AAA0AD17-1152-A64F-98CB-21B0BF2207A0}"/>
    <hyperlink ref="KP164" r:id="rId747" xr:uid="{AF0BB14E-F1BE-3540-8DB0-315C37DE0B33}"/>
    <hyperlink ref="KV22" r:id="rId748" xr:uid="{9452B48F-34C0-9840-8EFC-EC789FCDC178}"/>
    <hyperlink ref="KV24" r:id="rId749" xr:uid="{01E47947-80BC-4147-AB64-D86EDFFFD3AA}"/>
    <hyperlink ref="KV90" r:id="rId750" xr:uid="{8B2806EC-B0DC-8A4D-9B1D-E77C5E4F6530}"/>
    <hyperlink ref="KV152" r:id="rId751" xr:uid="{B0267DE1-19B1-AB41-B79E-510D683EF1C7}"/>
    <hyperlink ref="KV161" r:id="rId752" xr:uid="{09199914-3BE2-D743-8605-D2E449B98BE1}"/>
    <hyperlink ref="KV26" r:id="rId753" xr:uid="{63AA8539-F785-F54E-8777-73282D60E4AD}"/>
    <hyperlink ref="KV153" r:id="rId754" display="http://www.tyumen-city.ru/ekonomika/finansi/iniciativnoe-budjetirovanie/" xr:uid="{983E4189-5343-B644-BE40-CED4CCFF8D51}"/>
    <hyperlink ref="KW24" r:id="rId755" xr:uid="{89038956-075C-EE43-BBF8-1D775A53788F}"/>
    <hyperlink ref="KW161" r:id="rId756" xr:uid="{7226B6D1-131D-E243-9CE6-270C72358CD8}"/>
    <hyperlink ref="KW164" r:id="rId757" xr:uid="{E462C063-AF09-284D-A4A8-25F2E0E29FAD}"/>
    <hyperlink ref="LK90" r:id="rId758" xr:uid="{4F3689D6-8260-E143-8EA3-8A066865FADE}"/>
    <hyperlink ref="LK161" r:id="rId759" display="org@gorod.amursk.ru" xr:uid="{65A880D2-6965-CF4F-A688-2D5FD4E0E2D1}"/>
    <hyperlink ref="DX24" r:id="rId760" xr:uid="{03525FA7-A0D7-814C-900C-17563C9DA20F}"/>
    <hyperlink ref="DX53" r:id="rId761" xr:uid="{84B28EDD-216E-404C-8EFD-76CD8EDC2B53}"/>
    <hyperlink ref="DX90" r:id="rId762" xr:uid="{8F80AC5C-0E22-7944-AF13-EDA7D764F1DB}"/>
    <hyperlink ref="DX161" r:id="rId763" xr:uid="{2D2E5422-50BF-3E4A-B142-1E0747A3C5F9}"/>
    <hyperlink ref="DX151" r:id="rId764" display="http://www.divnogorsk-adm.ru/finansy/iniciativnoe-byudzhetirovanie/_x000a_" xr:uid="{6B5DED50-F865-B840-89EF-8592FCE6CB64}"/>
    <hyperlink ref="DX164" r:id="rId765" xr:uid="{BF2BA9E2-FF2D-2F4F-8A6B-3FA3EAA6FCA0}"/>
    <hyperlink ref="DY151" r:id="rId766" xr:uid="{872AE401-AC0C-C24E-944B-E09FE7594EF8}"/>
    <hyperlink ref="DY90" r:id="rId767" xr:uid="{BC939611-5713-F344-9BE0-D88CE34FF9D0}"/>
    <hyperlink ref="DY161" r:id="rId768" xr:uid="{2D88F56F-069C-D549-BCDD-7E76316C88C9}"/>
    <hyperlink ref="DY167" r:id="rId769" display="k312@krasfin.ru" xr:uid="{DBEE6DFA-356A-6744-A99F-D29796F3B193}"/>
    <hyperlink ref="DZ24" r:id="rId770" xr:uid="{C94D2465-A17B-F14F-8F33-B14EDCB59266}"/>
    <hyperlink ref="DZ26" r:id="rId771" xr:uid="{EEC64A22-DEE8-924A-BFF6-CFA60F116731}"/>
    <hyperlink ref="DZ90" r:id="rId772" xr:uid="{6B846E54-327C-8748-A5BC-35A96F0178A8}"/>
    <hyperlink ref="DZ151" r:id="rId773" xr:uid="{60EDDB69-0404-284F-9545-811352E8BC99}"/>
    <hyperlink ref="DZ152" r:id="rId774" xr:uid="{B08A47BB-B526-534D-8D86-8C3FEAD71E4D}"/>
    <hyperlink ref="DZ164" r:id="rId775" display="adm_gpse@admse.ru" xr:uid="{48F03F00-5F9D-4141-9F27-BEF8789DE058}"/>
    <hyperlink ref="DZ161" r:id="rId776" xr:uid="{F410D71A-FDD5-9641-B9CA-63D7077D105E}"/>
    <hyperlink ref="EA22" r:id="rId777" xr:uid="{82C84E57-7DA6-FC4F-88B4-8DC70AC1A6C1}"/>
    <hyperlink ref="EA161" r:id="rId778" display="suxom.rf35@yandex.ru" xr:uid="{5588A468-4EF3-344A-84A7-7E534DE383D8}"/>
    <hyperlink ref="EA26" r:id="rId779" xr:uid="{52A1E331-0B09-3940-AD46-E6093834A9ED}"/>
    <hyperlink ref="EA90" r:id="rId780" display="https://selo-life.ru/news/19606-zhitelej-prozhivaet-v-suhobuzimskom-rajone/" xr:uid="{DB8E4753-5DF6-FC40-80FC-14F32FDF3EC0}"/>
    <hyperlink ref="EA164" r:id="rId781" xr:uid="{953EEB8D-8B28-9545-B49D-ABEEA9869E92}"/>
    <hyperlink ref="EA152" r:id="rId782" display="http://suhobuzimo.ru/sites/default/files/docs/byudzhet_dlya_grazhdan_2023.pdf" xr:uid="{C5F50A90-9BD5-0049-A5F8-F58301C1D9A7}"/>
    <hyperlink ref="EB24" r:id="rId783" xr:uid="{BD3DB4F2-DCBC-474C-A66D-2273F73F337F}"/>
    <hyperlink ref="EB26" r:id="rId784" xr:uid="{3A8857C2-CA49-7247-B025-74BB110254C6}"/>
    <hyperlink ref="EB28" r:id="rId785" xr:uid="{8212B01E-4D7D-E745-8935-BCB8E4549079}"/>
    <hyperlink ref="EB90" r:id="rId786" xr:uid="{D04E61B9-7CEB-2048-9FAA-CFCFCCF86EC5}"/>
    <hyperlink ref="EB161" r:id="rId787" xr:uid="{F27E8112-32F9-A54A-891C-8CC5B4886A22}"/>
    <hyperlink ref="EB22" r:id="rId788" xr:uid="{CB1CCA4C-C7B8-ED48-94E3-293802480824}"/>
    <hyperlink ref="KP28" r:id="rId789" xr:uid="{13FBE995-172B-9549-83C1-F67AEDAD087F}"/>
    <hyperlink ref="KP161" r:id="rId790" xr:uid="{1A59CFE9-B7EB-2A4A-9C82-6F704C184BC8}"/>
    <hyperlink ref="KP152" r:id="rId791" xr:uid="{E0941184-DC9E-2E47-9DC5-BF4764285843}"/>
    <hyperlink ref="AR22" r:id="rId792" xr:uid="{2C2BECEB-82AC-9748-A7EF-DA9A2DA554C3}"/>
    <hyperlink ref="AR24" r:id="rId793" xr:uid="{224ED6A4-4DAB-CD49-A5C7-9F5270033E8B}"/>
    <hyperlink ref="AR161" r:id="rId794" xr:uid="{16A013FC-4B32-CC42-9759-EEB203949B9B}"/>
    <hyperlink ref="AR26" r:id="rId795" xr:uid="{18B7F2D6-546C-E443-883A-2FD09B96D194}"/>
    <hyperlink ref="AR151" r:id="rId796" xr:uid="{E9484A04-F655-FF46-9FDA-731113F8BBEF}"/>
    <hyperlink ref="AR164" r:id="rId797" xr:uid="{BC399064-AB2B-DA42-BFE3-AD7ED22D5B08}"/>
    <hyperlink ref="AS22" r:id="rId798" xr:uid="{19B95426-27B6-544E-ADB3-50A5A789CD58}"/>
    <hyperlink ref="AS24" r:id="rId799" xr:uid="{26917A67-AC0C-764F-98F5-3D5FADA50426}"/>
    <hyperlink ref="AS161" r:id="rId800" xr:uid="{810FB0DE-3718-5046-8014-6AE2FA89D7E2}"/>
    <hyperlink ref="AS26" r:id="rId801" xr:uid="{1B12F4F9-DCB3-D140-80C7-CB29BC79A420}"/>
    <hyperlink ref="AS151" r:id="rId802" xr:uid="{C8BB8C8F-A51F-3F43-B18A-D44A4DD401BA}"/>
    <hyperlink ref="AS164" r:id="rId803" xr:uid="{9EB08885-771A-494F-BFFB-5D01B48A8073}"/>
    <hyperlink ref="H90" r:id="rId804" xr:uid="{0B67391A-94B9-3E47-B330-BF2545BE6BD7}"/>
    <hyperlink ref="H22" r:id="rId805" xr:uid="{1178EC56-A3F1-8C49-9861-F2B3713DAFCE}"/>
    <hyperlink ref="H151" r:id="rId806" display="http://admmeleuz.ru/index.php?option=com_content&amp;view=category&amp;id=905&amp;Itemid=356" xr:uid="{FDCF3D67-3539-C743-83B8-C071900AE165}"/>
    <hyperlink ref="H152" r:id="rId807" xr:uid="{30D328AE-9C96-6449-886B-2014D6CB5929}"/>
    <hyperlink ref="H164" r:id="rId808" xr:uid="{CCD8045E-B021-154B-B89F-E866EA8B6DE9}"/>
    <hyperlink ref="H161" r:id="rId809" xr:uid="{48F4F068-EF3D-B14A-ADD2-E037B58BAD95}"/>
    <hyperlink ref="CG24" display="https://dyadkovskaya.ru/initsiativnoe-byudzhetirovanie/10834-reshenie-soveta-dyadkovskogo-selskogo-poseleniya-korenovskogo-rajona-ot-16-12-2020-82-ob-utverzhdenii-polozheniya-o-poryadke-realizatsii-initsiativnykh-proektov-v-dyadkovskom-selskom-poselenii-k" xr:uid="{4E5859DC-9D24-6F48-9909-06AD9802DC78}"/>
    <hyperlink ref="CG28" r:id="rId810" xr:uid="{CB79F73B-F100-E944-A8D4-E89B2776AFEE}"/>
    <hyperlink ref="CG87" display="https://dyadkovskaya.ru/initsiativnoe-byudzhetirovanie/10834-reshenie-soveta-dyadkovskogo-selskogo-poseleniya-korenovskogo-rajona-ot-16-12-2020-82-ob-utverzhdenii-polozheniya-o-poryadke-realizatsii-initsiativnykh-proektov-v-dyadkovskom-selskom-poselenii-k" xr:uid="{D2E189DF-A88C-8D45-8282-D8CE5606D430}"/>
    <hyperlink ref="CG152" r:id="rId811" xr:uid="{C8C9B0FF-0D42-6A4D-AF2A-55CF184209AE}"/>
    <hyperlink ref="CG154" display="https://dyadkovskaya.ru/initsiativnoe-byudzhetirovanie/10834-reshenie-soveta-dyadkovskogo-selskogo-poseleniya-korenovskogo-rajona-ot-16-12-2020-82-ob-utverzhdenii-polozheniya-o-poryadke-realizatsii-initsiativnykh-proektov-v-dyadkovskom-selskom-poselenii-k" xr:uid="{190E8CBE-0927-0642-AED4-2C292CF85F65}"/>
    <hyperlink ref="CG161" r:id="rId812" xr:uid="{D33A5C6C-3EEA-CC47-930E-90A85840FDEF}"/>
    <hyperlink ref="CG164" r:id="rId813" xr:uid="{C07571DB-0D05-0D43-9F50-27E39AEF87B7}"/>
    <hyperlink ref="HO22" r:id="rId814" xr:uid="{65F882F5-F9A1-8243-85D0-386B05BD300A}"/>
    <hyperlink ref="HO26" r:id="rId815" xr:uid="{F8C5AA41-89A9-6843-B9FC-B78896B170EC}"/>
    <hyperlink ref="HO161" r:id="rId816" xr:uid="{9068BD2F-7C43-AB42-BB70-BBCC4D15E897}"/>
    <hyperlink ref="HO90" r:id="rId817" xr:uid="{13DEABE1-6235-1347-8C97-5E2B7EAB553F}"/>
    <hyperlink ref="HO164" r:id="rId818" xr:uid="{A75CC216-FC86-A744-B03A-4C49CFB44A14}"/>
    <hyperlink ref="HO138" r:id="rId819" display="https://otradny.org/upload/iblock/1f3/1f3df8aa53ea75199261fa1fcc0289b8.docx" xr:uid="{C79A6EA0-D608-014B-9C3F-FA7036BDE7A9}"/>
    <hyperlink ref="HO24" r:id="rId820" xr:uid="{99BAFD64-C6D6-FA4C-BF2E-C3A96302BE02}"/>
    <hyperlink ref="HO28" r:id="rId821" xr:uid="{B6119F29-9D93-B04F-A9A7-0399436B0691}"/>
    <hyperlink ref="HP24" r:id="rId822" xr:uid="{087C0BFE-3277-C149-8641-AF1A315B1C88}"/>
    <hyperlink ref="HP26" r:id="rId823" xr:uid="{823AE93A-3845-F64D-B63B-0785063DA21C}"/>
    <hyperlink ref="HP28" r:id="rId824" xr:uid="{E47E9C28-C4F4-2343-A003-E2EB372CD80D}"/>
    <hyperlink ref="HP22" r:id="rId825" display="https://pohgor.ru/documents/postanovlenie/npa_1884.html" xr:uid="{953582AA-A4D4-2346-B1CA-41FA3575DE6E}"/>
    <hyperlink ref="HP53" r:id="rId826" xr:uid="{4F650705-98E0-594E-87AC-764B5132DBD4}"/>
    <hyperlink ref="HP90" r:id="rId827" xr:uid="{4C55CF43-487E-6849-8190-F575CF75F911}"/>
    <hyperlink ref="HP151" r:id="rId828" xr:uid="{2819E8CA-1CF0-A644-A91F-3C4D94A7827C}"/>
    <hyperlink ref="HP153" r:id="rId829" xr:uid="{464FEC60-A422-B54E-89F9-00290B689CCC}"/>
    <hyperlink ref="HP152" r:id="rId830" display="https://pohgor.ru/sociosfera/prestige-pricing/image-projects_56.html" xr:uid="{05E753C1-7EFB-CD41-983F-0FFC2270DDB2}"/>
    <hyperlink ref="HQ161" r:id="rId831" xr:uid="{B3B86735-A496-4E41-848E-E6C64232D414}"/>
    <hyperlink ref="HQ164" r:id="rId832" xr:uid="{41F9F64F-1D23-4848-80A0-4842F3127441}"/>
    <hyperlink ref="HQ22" r:id="rId833" xr:uid="{56974BFE-39C8-1544-AB7C-841CE0BD0FE5}"/>
    <hyperlink ref="HQ26" r:id="rId834" xr:uid="{5C78DC57-178B-9A47-A26B-9B95DD3FF1D9}"/>
    <hyperlink ref="HQ28" r:id="rId835" xr:uid="{6FA3A101-5EC1-0744-840F-25D75E797425}"/>
    <hyperlink ref="HQ90" r:id="rId836" xr:uid="{24464956-6CEA-6840-B62C-B359FB6DE1E0}"/>
    <hyperlink ref="HR161" r:id="rId837" xr:uid="{F2957381-CB93-074D-AD27-533FACB262B9}"/>
    <hyperlink ref="HR164" r:id="rId838" xr:uid="{12D98C28-8295-1547-891A-3BB9414573EF}"/>
    <hyperlink ref="HR22" r:id="rId839" xr:uid="{119ED334-9D01-1047-A916-AFD459A4ED16}"/>
    <hyperlink ref="HR24" r:id="rId840" xr:uid="{EE285617-6164-AB49-9E40-B86846B4697D}"/>
    <hyperlink ref="HR26" r:id="rId841" xr:uid="{15B916AB-91E1-AD44-946B-08C1A0F7A032}"/>
    <hyperlink ref="HR28" r:id="rId842" xr:uid="{2BE068FA-CB3F-7343-8AA6-60CA6C9F5065}"/>
    <hyperlink ref="HS161" r:id="rId843" xr:uid="{A3EE2AB4-9BD1-3A40-9CA9-1B51A4804FC7}"/>
    <hyperlink ref="HS164" r:id="rId844" xr:uid="{078F8725-13FD-8246-8AFB-3C0CAB64C117}"/>
    <hyperlink ref="HT22" r:id="rId845" xr:uid="{405D57D0-A752-CE40-B0BE-313558E4D851}"/>
    <hyperlink ref="HT153" r:id="rId846" xr:uid="{563AF9CE-599E-A04B-B816-06EEDD3DCED5}"/>
    <hyperlink ref="HT161" r:id="rId847" xr:uid="{2D43B118-9D26-5C47-A309-30D5C019030B}"/>
    <hyperlink ref="HT164" r:id="rId848" xr:uid="{8E67E1B2-AE2C-D044-B700-D485216E25D7}"/>
    <hyperlink ref="HU24" r:id="rId849" xr:uid="{2E75CE15-69EC-1649-AFAC-99CE7049CC43}"/>
    <hyperlink ref="HU53" r:id="rId850" xr:uid="{026373C0-CD72-554A-8713-042D65AE3B9B}"/>
    <hyperlink ref="HU161" r:id="rId851" xr:uid="{03A96C3C-D0AB-B747-97A8-ABD4FFF84411}"/>
    <hyperlink ref="HU151" r:id="rId852" xr:uid="{E546FC77-43DE-B541-B882-0F04BD366C3C}"/>
    <hyperlink ref="HV24" r:id="rId853" xr:uid="{2338D346-8A3F-6947-B8C2-77AF5C20567E}"/>
    <hyperlink ref="HV22" r:id="rId854" xr:uid="{A4151842-8194-3A42-BD82-56DE01725D18}"/>
    <hyperlink ref="HV152" r:id="rId855" display="https://www.samadm.ru/authority/industrial-inner-city/" xr:uid="{262DEB8B-7BFE-A24D-9C87-5EE2E3B1FFA7}"/>
    <hyperlink ref="HV161" r:id="rId856" xr:uid="{A3AAD848-3126-F44F-BF1A-CA5CEB0DAF1E}"/>
    <hyperlink ref="HX24" r:id="rId857" xr:uid="{2913D9B8-4F6C-C346-94DA-3731384C5C2E}"/>
    <hyperlink ref="HX22" r:id="rId858" xr:uid="{986D2C1C-2E83-FA4B-A69B-BA6429C838BD}"/>
    <hyperlink ref="HX90" r:id="rId859" xr:uid="{9290A91A-5A3B-A140-B95C-41D1B820DFE3}"/>
    <hyperlink ref="HX151" r:id="rId860" xr:uid="{3040DCB8-A635-4A4E-9A54-28BD41DAE31C}"/>
    <hyperlink ref="HY22" r:id="rId861" xr:uid="{3825F3C9-5B6F-994F-A332-9DF8FB88B1F6}"/>
    <hyperlink ref="HY28" r:id="rId862" xr:uid="{BCB3F89F-B259-8543-8090-4ECA3012F863}"/>
    <hyperlink ref="HY90" r:id="rId863" xr:uid="{D5EE434B-4497-BD41-A6A4-D876C05BF5E2}"/>
    <hyperlink ref="HY161" r:id="rId864" xr:uid="{EB8CDABB-6884-5F48-81DB-CA92E022EC20}"/>
    <hyperlink ref="HZ161" r:id="rId865" xr:uid="{518D842B-9381-134E-BD7A-FD285BF35B58}"/>
    <hyperlink ref="HZ164" r:id="rId866" xr:uid="{43F6194F-5C17-034C-B4DC-75170615E323}"/>
    <hyperlink ref="HZ90" r:id="rId867" xr:uid="{EA1F0CA1-C088-A541-A429-E990D4AE12F8}"/>
    <hyperlink ref="HZ152" r:id="rId868" xr:uid="{1C9C276F-3E0D-AA4E-AD05-202A0CD7EE1D}"/>
    <hyperlink ref="HZ22" r:id="rId869" xr:uid="{7CDE1CB9-5666-F34A-B25F-A67083E2183C}"/>
    <hyperlink ref="IA161" r:id="rId870" xr:uid="{F37D751A-A978-A742-9D26-8D74F3512C38}"/>
    <hyperlink ref="IA24" r:id="rId871" xr:uid="{41981977-15A6-4340-AE99-D5C9EC17934E}"/>
    <hyperlink ref="IB161" r:id="rId872" xr:uid="{DD117328-3C5A-F14D-B383-CAC162A4B144}"/>
    <hyperlink ref="IB164" r:id="rId873" xr:uid="{D077A805-2E71-8841-9FB3-569FBCAC4B13}"/>
    <hyperlink ref="IB90" r:id="rId874" xr:uid="{B7C14617-7302-BE4A-A462-697F6016FDA3}"/>
    <hyperlink ref="IB26" r:id="rId875" xr:uid="{F83205C4-002F-A04C-A767-89334B0F4300}"/>
    <hyperlink ref="IB151" r:id="rId876" xr:uid="{E3991270-9779-9348-B6A0-613C4CDC7372}"/>
    <hyperlink ref="IB24" r:id="rId877" xr:uid="{C2114751-AD56-7A4E-9419-7F69AF27E387}"/>
    <hyperlink ref="IC161" r:id="rId878" xr:uid="{88CA8155-DB35-4148-A45E-87D050324BD0}"/>
    <hyperlink ref="IC164" r:id="rId879" xr:uid="{56AEB062-806D-BC48-8ECB-D0E5E9ACD676}"/>
    <hyperlink ref="IC26" r:id="rId880" xr:uid="{93AEEBED-2FAC-4746-BEF1-0F5075E0A462}"/>
    <hyperlink ref="IC90" r:id="rId881" xr:uid="{D6886E0E-0A63-194E-B6E4-5EADFDD909E4}"/>
    <hyperlink ref="ID90" r:id="rId882" xr:uid="{29F11D60-C90C-F942-82CA-F0AB0B94AE2E}"/>
    <hyperlink ref="ID161" r:id="rId883" xr:uid="{05E5FD3A-5975-5242-B689-8EE3433343A3}"/>
    <hyperlink ref="ID24" r:id="rId884" xr:uid="{82ED44B9-4C71-7940-8E02-AFF3245E1C0E}"/>
    <hyperlink ref="IE161" r:id="rId885" xr:uid="{47181C71-0DB7-8D48-96FE-E08A0D6F9DE7}"/>
    <hyperlink ref="IE26" r:id="rId886" xr:uid="{44D96DA1-C304-E24C-B27F-BE2469A455DE}"/>
    <hyperlink ref="IE90" r:id="rId887" xr:uid="{227D2190-6F46-C540-A3DF-1A775CD49BD4}"/>
    <hyperlink ref="IF26" r:id="rId888" xr:uid="{D7B9CA68-5EE9-954E-9E35-3C169C41096D}"/>
    <hyperlink ref="IF161" r:id="rId889" xr:uid="{9448806B-5626-3443-BD3D-1D27F2D82735}"/>
    <hyperlink ref="IF90" r:id="rId890" xr:uid="{E36BDE58-32DB-244F-A0C5-2B0A726D9D0E}"/>
    <hyperlink ref="IG24" r:id="rId891" xr:uid="{7017B683-7093-9349-9550-732CDC9B73D2}"/>
    <hyperlink ref="IG26" r:id="rId892" xr:uid="{BA066C6A-A0AA-A443-9E95-FBA4465ED141}"/>
    <hyperlink ref="IG87" r:id="rId893" xr:uid="{D84C82B3-92FE-0248-81A3-C0F57A064B73}"/>
    <hyperlink ref="IG90" r:id="rId894" xr:uid="{D15FEE7D-8FCE-6244-9437-275DDE775305}"/>
    <hyperlink ref="IH161" r:id="rId895" location="compose?to=%3Cadmbereznyaki%40yandex.ru%3E" display="https://mail.yandex.ru/?uid=1553361628 - compose?to=%3Cadmbereznyaki%40yandex.ru%3E" xr:uid="{DCB00AE8-24BE-1340-A037-11108FADCC18}"/>
    <hyperlink ref="IH24" r:id="rId896" xr:uid="{EE34AF0E-5F73-E840-BF64-BBCE2F828AE4}"/>
    <hyperlink ref="IH26" r:id="rId897" xr:uid="{EE895F7B-099E-4A46-85E2-A4D4D0335783}"/>
    <hyperlink ref="IH87" r:id="rId898" xr:uid="{9546D665-98C2-074D-9966-D1FD9382A718}"/>
    <hyperlink ref="IH151" r:id="rId899" xr:uid="{C4134D16-D94F-D943-9A0C-4E26DC29A6E0}"/>
    <hyperlink ref="II161" r:id="rId900" xr:uid="{E3051153-FD8C-434E-9013-E69F55130351}"/>
    <hyperlink ref="II26" r:id="rId901" xr:uid="{2FC53FF8-8CA5-7F40-A40C-9408E2D6C7AE}"/>
    <hyperlink ref="II24" r:id="rId902" xr:uid="{3F372723-3B2D-3542-85A4-D73ED4025109}"/>
    <hyperlink ref="II90" r:id="rId903" xr:uid="{111116E4-1838-1645-8029-C5C1979F4341}"/>
    <hyperlink ref="II151" r:id="rId904" xr:uid="{55F13CBD-E7A3-AA45-B58F-58FF7850F7E4}"/>
    <hyperlink ref="II87" r:id="rId905" xr:uid="{8C0D3915-27C5-D64D-90A7-8E599FE00864}"/>
    <hyperlink ref="IJ161" r:id="rId906" xr:uid="{5C6C6C29-74AA-E844-8B60-E3125E90E705}"/>
    <hyperlink ref="IJ26" r:id="rId907" xr:uid="{C83F04C8-A90C-5744-BB68-9C026E3BEF65}"/>
    <hyperlink ref="IJ90" r:id="rId908" xr:uid="{4616F411-B8F8-F742-BFCC-2BF9F0CEC3E5}"/>
    <hyperlink ref="IJ24" r:id="rId909" xr:uid="{4F3B4773-D778-7C4B-8052-0FC62D3F9224}"/>
    <hyperlink ref="IJ87" r:id="rId910" xr:uid="{0E7A4F7E-9121-3941-8FC6-B2D180E20C3E}"/>
    <hyperlink ref="IK161" r:id="rId911" xr:uid="{F4A8AED6-150B-1548-BFB7-DEF1C8B551D1}"/>
    <hyperlink ref="IK26" r:id="rId912" xr:uid="{A2D7B38C-8EAF-A84C-A9DE-CBD3EEBEFBA7}"/>
    <hyperlink ref="IK90" r:id="rId913" xr:uid="{EB22FCC4-622C-B847-A8A2-EB746A1D1265}"/>
    <hyperlink ref="IK24" r:id="rId914" xr:uid="{359F1147-1737-1C4C-9022-DC07AA0424F6}"/>
    <hyperlink ref="IK87" r:id="rId915" xr:uid="{133AA429-86BA-C045-8909-73220D878F08}"/>
    <hyperlink ref="IL161" r:id="rId916" xr:uid="{46D78A16-81EF-384B-B7AB-74A14EE642E4}"/>
    <hyperlink ref="IL24" r:id="rId917" xr:uid="{20C25AD5-4C64-8B4E-AA64-63390D2B480F}"/>
    <hyperlink ref="IL26" r:id="rId918" xr:uid="{FC1192F0-3B38-F243-A235-08AA2084CFDE}"/>
    <hyperlink ref="IL90" r:id="rId919" xr:uid="{72BB80BA-9055-CE4A-BF3A-1C0BB0138D4E}"/>
    <hyperlink ref="IL151" r:id="rId920" xr:uid="{AED25631-7B14-404D-B8B6-55D4B8B442B5}"/>
    <hyperlink ref="IM161" r:id="rId921" xr:uid="{DC6E05BB-5A17-D944-A52E-BFED23208E8A}"/>
    <hyperlink ref="IM164" r:id="rId922" display="poselenie63@mail.ru" xr:uid="{B3625064-08D1-B543-8B2D-52D4124E16EE}"/>
    <hyperlink ref="IM24" r:id="rId923" xr:uid="{8733D628-3B3D-1548-80F6-8D54CFBA9CD9}"/>
    <hyperlink ref="IM26" r:id="rId924" xr:uid="{07B3E8E5-50F2-D94B-91D2-A0303A4BF660}"/>
    <hyperlink ref="IM151" r:id="rId925" xr:uid="{E27706C8-A7CF-C84D-B637-A2199869A3A9}"/>
    <hyperlink ref="IM90" r:id="rId926" xr:uid="{E378E641-8DB8-A041-9C23-43155A0C6FDF}"/>
    <hyperlink ref="IN24" r:id="rId927" xr:uid="{DBC81519-4815-854F-8F3F-34BDFB601FFA}"/>
    <hyperlink ref="IN90" r:id="rId928" xr:uid="{21E4D5B2-FC62-6744-8DA2-996F8A5CDA0B}"/>
    <hyperlink ref="IN87" r:id="rId929" xr:uid="{AEEDAC23-AF72-BF49-AD2D-AC0A34F108A0}"/>
    <hyperlink ref="IN26" r:id="rId930" xr:uid="{EABA9B34-26A3-BF40-8A20-E029D12EF6D7}"/>
    <hyperlink ref="IN151" r:id="rId931" xr:uid="{AE73DB8F-4293-A042-B10F-2499F87FEC77}"/>
    <hyperlink ref="IN161" r:id="rId932" xr:uid="{F8F9D9AA-8287-AC48-84D4-3A9828CDC8CF}"/>
    <hyperlink ref="IO161" r:id="rId933" xr:uid="{94A8681F-DDEE-7248-AF91-9B0DA16ADE6E}"/>
    <hyperlink ref="IO24" r:id="rId934" xr:uid="{C7F18FDA-9A4B-6747-A474-6DB002F3BCBD}"/>
    <hyperlink ref="IO90" r:id="rId935" xr:uid="{80D01781-035A-8944-8877-618F221ADDB1}"/>
    <hyperlink ref="IO87" r:id="rId936" xr:uid="{79A07F48-94BB-2F41-ABD8-8F8439AE8425}"/>
    <hyperlink ref="IO26" r:id="rId937" xr:uid="{743F46D1-C9B5-534C-BC89-868CD74EF027}"/>
    <hyperlink ref="IO151" r:id="rId938" xr:uid="{01EAB368-B5CD-FC47-A4E5-B226A03E79B5}"/>
    <hyperlink ref="IP24" r:id="rId939" xr:uid="{07372171-8EB6-774A-BAD0-BDD3F0AFCDBD}"/>
    <hyperlink ref="IP161" r:id="rId940" xr:uid="{9F8313F4-C44C-4A4D-B89E-45EFC2BB3093}"/>
    <hyperlink ref="IP90" r:id="rId941" xr:uid="{CD386E87-664A-B14D-8A80-B01D80E57DC3}"/>
    <hyperlink ref="IP87" r:id="rId942" xr:uid="{2DAC129E-36DE-8748-A163-292014ACFD23}"/>
    <hyperlink ref="IP26" r:id="rId943" xr:uid="{21D2EBFC-85E7-9942-8740-675399BA9A07}"/>
    <hyperlink ref="IP151" r:id="rId944" xr:uid="{C803794F-FD3A-9D4D-B991-1799E917EE18}"/>
    <hyperlink ref="IQ24" r:id="rId945" xr:uid="{89363611-02F4-6D47-BA1A-939770B05C3A}"/>
    <hyperlink ref="IQ161" r:id="rId946" xr:uid="{244A046C-2CB6-884C-B4E0-165F312B0886}"/>
    <hyperlink ref="IQ151" r:id="rId947" xr:uid="{C66FA5FF-C0B3-A44E-AA53-FD25984751DD}"/>
    <hyperlink ref="IQ90" r:id="rId948" xr:uid="{D126FE60-A67C-2242-8940-8399876963C0}"/>
    <hyperlink ref="IQ26" r:id="rId949" xr:uid="{3BAF0B76-ECC9-F640-A000-EFB5661B9B0E}"/>
    <hyperlink ref="IQ87" r:id="rId950" xr:uid="{D05DE329-FC66-B44F-A2C4-AE378493BAD2}"/>
    <hyperlink ref="IR24" r:id="rId951" xr:uid="{F3BB2066-7C85-424F-86DD-6BB35B822C6C}"/>
    <hyperlink ref="IR26" r:id="rId952" xr:uid="{60D594BF-F26C-A84B-B32F-8ADCC27D219D}"/>
    <hyperlink ref="IR87" r:id="rId953" xr:uid="{23A62B70-3AD9-C449-AF16-32685D4E4107}"/>
    <hyperlink ref="IR90" r:id="rId954" xr:uid="{7038D04B-5E00-544D-8E30-A43D1BECF8BC}"/>
    <hyperlink ref="IR161" r:id="rId955" xr:uid="{6E7098EE-785A-6C42-8ACF-ABEDB9BEBAC0}"/>
    <hyperlink ref="IS90" r:id="rId956" xr:uid="{2017D246-8F60-114E-B7CA-7DD658F83950}"/>
    <hyperlink ref="IS24" r:id="rId957" xr:uid="{04ED026F-DB2E-074F-B77B-B8C07BE12883}"/>
    <hyperlink ref="IS26" r:id="rId958" xr:uid="{57323C05-872F-E245-9AC0-87693A7377A5}"/>
    <hyperlink ref="IS151" r:id="rId959" xr:uid="{10C23E76-EE82-1848-8469-B8661D732037}"/>
    <hyperlink ref="IS87" r:id="rId960" xr:uid="{F983E74F-8224-DA4B-B7D3-822D73137182}"/>
    <hyperlink ref="IS161" r:id="rId961" xr:uid="{1E3A68F9-1ABD-8E4E-9AFD-44F49D9D1B47}"/>
    <hyperlink ref="IT26" r:id="rId962" xr:uid="{0CE56300-1F15-FE43-A7F9-15EB272FEF69}"/>
    <hyperlink ref="IT24" r:id="rId963" xr:uid="{F77B0078-EAFD-FD4A-BAE0-C1BCC2061AD6}"/>
    <hyperlink ref="IT87" r:id="rId964" xr:uid="{F2BE0E2E-276D-E94E-AEF0-C747CC5D6F35}"/>
    <hyperlink ref="IT90" r:id="rId965" xr:uid="{A4AE38FA-86FE-0844-B30D-9CE33411555E}"/>
    <hyperlink ref="IT161" r:id="rId966" xr:uid="{FDCB7AB5-64EA-FE4E-9B36-F7059A390EEA}"/>
    <hyperlink ref="IT151" r:id="rId967" xr:uid="{25859239-6A07-9A4C-8095-88F904E93F4C}"/>
    <hyperlink ref="IU161" r:id="rId968" xr:uid="{8714AE80-3C23-0141-A7A7-CEC8AC164D1C}"/>
    <hyperlink ref="IU26" r:id="rId969" xr:uid="{FB4E9CD6-2F61-3C49-9261-8945F780C96D}"/>
    <hyperlink ref="IU24" r:id="rId970" xr:uid="{235AD08B-BC25-804F-9796-E714D5B4BD6B}"/>
    <hyperlink ref="IU90" r:id="rId971" xr:uid="{8C139FA1-1490-354D-8C9D-223D8E379D1E}"/>
    <hyperlink ref="IU151" r:id="rId972" xr:uid="{B2362E9F-E106-D54C-A66C-4D90B439EA00}"/>
    <hyperlink ref="IU87" r:id="rId973" xr:uid="{C9D09CFE-D3D4-5143-B0EC-8FB3CB8EA6C6}"/>
    <hyperlink ref="IV161" r:id="rId974" xr:uid="{07A487BF-D680-524C-B513-B26DB3F327F5}"/>
    <hyperlink ref="IV24" r:id="rId975" xr:uid="{9CDB6894-9E53-424A-BFA0-7BFF4F38A2EC}"/>
    <hyperlink ref="IV90" r:id="rId976" xr:uid="{D285DBAB-B5F0-7B4A-A390-320F42524750}"/>
    <hyperlink ref="IV151" r:id="rId977" xr:uid="{DC3793B4-FB05-2B4A-BE3A-F0D263BCF935}"/>
    <hyperlink ref="IV26" r:id="rId978" xr:uid="{207F667F-DF42-C542-98A1-F9504182564B}"/>
    <hyperlink ref="IW26" r:id="rId979" xr:uid="{CFAB998C-7492-D94D-94F6-1114CBA0CC6F}"/>
    <hyperlink ref="IW24" r:id="rId980" xr:uid="{35A407D2-C218-6847-875C-18D27C4400FB}"/>
    <hyperlink ref="IW87" r:id="rId981" xr:uid="{C2E8B826-AB81-7045-905A-78CB496B6BA4}"/>
    <hyperlink ref="IW90" r:id="rId982" xr:uid="{E42B95F0-2421-AA45-9B0B-0821392DF8BD}"/>
    <hyperlink ref="IW161" r:id="rId983" xr:uid="{8A2FACE0-BF45-8741-AADB-0461117A009C}"/>
    <hyperlink ref="IW151" r:id="rId984" xr:uid="{EDD25593-7715-2440-990B-1F42620F5414}"/>
    <hyperlink ref="IX22" r:id="rId985" xr:uid="{6BD06A63-2BBC-7D49-B3F4-C5BD42CC0F63}"/>
    <hyperlink ref="IX24" r:id="rId986" xr:uid="{BA20472E-22EF-E045-A31E-703CF1FDA24E}"/>
    <hyperlink ref="IX26" r:id="rId987" xr:uid="{997427D4-E762-284A-816A-F1FBA8D52AC9}"/>
    <hyperlink ref="IX87" r:id="rId988" xr:uid="{CA263DD7-37FC-434F-BBA0-1DFF2B4482CD}"/>
    <hyperlink ref="IX161" r:id="rId989" xr:uid="{D32A1CC4-EDE9-A94C-8ACF-8B0C6391C9DF}"/>
    <hyperlink ref="IY24" r:id="rId990" xr:uid="{F053C810-DCC2-5342-92E3-099AA5A54184}"/>
    <hyperlink ref="IY26" r:id="rId991" xr:uid="{FB11B1C7-5D56-5542-8BCF-A38AFAAA4AF7}"/>
    <hyperlink ref="IY53" r:id="rId992" xr:uid="{80FD64FF-1C99-AB45-B802-D76E675812E7}"/>
    <hyperlink ref="IY87" r:id="rId993" xr:uid="{D2C252D1-6780-5141-AE2D-CFC4531164BF}"/>
    <hyperlink ref="IY161" r:id="rId994" xr:uid="{E8A2D5CE-D8AD-6C48-ACC0-C5A54625E86C}"/>
    <hyperlink ref="IY164" r:id="rId995" xr:uid="{704F3922-17AF-6B4B-9E33-E0A2CCFCD8E6}"/>
    <hyperlink ref="IY90" r:id="rId996" xr:uid="{0D5844B4-ED00-4148-B11C-014B7FDA124D}"/>
    <hyperlink ref="IZ26" r:id="rId997" xr:uid="{CAD94D07-840B-5A40-AFE9-411F425C94B5}"/>
    <hyperlink ref="JA26" r:id="rId998" xr:uid="{84198451-BF68-2C4A-837A-8D3E32115AFD}"/>
    <hyperlink ref="JC90" r:id="rId999" xr:uid="{23FF8C5D-E620-BB48-A1A3-6E7BED775445}"/>
    <hyperlink ref="LL161" r:id="rId1000" xr:uid="{75B93F82-13ED-F84F-B24E-C1844F1BD962}"/>
    <hyperlink ref="LL151" r:id="rId1001" xr:uid="{4CA9CE74-A5E6-124F-AAF3-7C6FDCBA349C}"/>
    <hyperlink ref="LL22" r:id="rId1002" xr:uid="{A127D499-0A26-4540-8A28-2B8767475CBD}"/>
    <hyperlink ref="LL26" r:id="rId1003" xr:uid="{8D6E9027-4C46-674C-A326-BD74B4B1027C}"/>
    <hyperlink ref="LL90" r:id="rId1004" xr:uid="{0ABF1696-43C6-614F-B259-97E1AEF9A359}"/>
    <hyperlink ref="AT90" r:id="rId1005" xr:uid="{7412166F-2E91-1345-8419-B43E190649CA}"/>
    <hyperlink ref="AT161" r:id="rId1006" xr:uid="{B0C62770-8ACB-A147-86D2-B0A8CAC8900B}"/>
    <hyperlink ref="AU22" r:id="rId1007" xr:uid="{FF5DB67C-8988-6248-8E0E-4F1F41B59339}"/>
    <hyperlink ref="AU28" r:id="rId1008" xr:uid="{3054F067-5B7E-5443-8142-6E2B65503B0A}"/>
    <hyperlink ref="AU26" r:id="rId1009" xr:uid="{FBFAEDB1-1B6A-8B44-994D-24746C944F3F}"/>
    <hyperlink ref="AU152" r:id="rId1010" display="http://adminta.ru/about/info/news/12760/" xr:uid="{FFB08FD2-32F2-B34C-AF2A-CBE5819B6718}"/>
    <hyperlink ref="AU90" r:id="rId1011" xr:uid="{3DDDC19D-8E06-DE45-ADC7-FFE5C3FE925E}"/>
    <hyperlink ref="AU161" r:id="rId1012" xr:uid="{81D997A1-F879-5D42-A6C6-EDD108CBCA73}"/>
    <hyperlink ref="AW161" r:id="rId1013" xr:uid="{08597CB5-EFD3-E74C-8653-2DA482125ABD}"/>
    <hyperlink ref="AW25" r:id="rId1014" display="https://kortkeros-r11.gosweb.gosuslugi.ru/netcat_files/userfiles/Razvitie_rayona/1756.zip" xr:uid="{72A10E20-69B6-BC4B-8B21-9AA90DA528E0}"/>
    <hyperlink ref="AX24" r:id="rId1015" xr:uid="{CA93494D-6445-DD4F-B6BB-A4327DEC7AC0}"/>
    <hyperlink ref="AX161" r:id="rId1016" xr:uid="{01DB7417-EE3F-BE49-BA76-48E054D2C9FA}"/>
    <hyperlink ref="AY22" r:id="rId1017" xr:uid="{3A4ECD7E-C31A-394F-ADBD-14BE19030EDA}"/>
    <hyperlink ref="AY151" r:id="rId1018" xr:uid="{99E6E0AB-DE49-274F-AB97-8B413843DF57}"/>
    <hyperlink ref="AY152" r:id="rId1019" xr:uid="{661A1BFC-63B5-4545-9D59-A541BA23D96B}"/>
    <hyperlink ref="AY161" r:id="rId1020" display="org.otdel.vuktyl@mail" xr:uid="{311D11C3-FEAF-294C-A7C3-DCEE811B2BCC}"/>
    <hyperlink ref="AY164" r:id="rId1021" xr:uid="{5752627E-386C-4C42-BD5B-29A6FA089028}"/>
    <hyperlink ref="AZ22" r:id="rId1022" xr:uid="{634A4864-7FA8-5247-8057-B7B137350A02}"/>
    <hyperlink ref="AZ26" r:id="rId1023" xr:uid="{2E68F5D0-21BE-584F-A351-E9CB7A80D48E}"/>
    <hyperlink ref="AZ28" r:id="rId1024" xr:uid="{251815C6-F60F-854D-A835-6388ADE3A463}"/>
    <hyperlink ref="AZ24" r:id="rId1025" xr:uid="{F465C1A0-C918-A747-BD6F-F6CF06F6D053}"/>
    <hyperlink ref="AZ90" r:id="rId1026" xr:uid="{21E32C92-347E-5F44-9CDC-DB6E8FFA524A}"/>
    <hyperlink ref="AZ151" r:id="rId1027" xr:uid="{B095B466-FE99-2244-B556-FA96231B6C79}"/>
    <hyperlink ref="AZ152" r:id="rId1028" xr:uid="{B8C15C0D-4F28-A840-8CEB-4195F7460683}"/>
    <hyperlink ref="AZ164" r:id="rId1029" xr:uid="{EC7AA437-4BB1-B547-B657-2DA2E2D36C55}"/>
    <hyperlink ref="BA161" r:id="rId1030" xr:uid="{1E528778-A3B7-6F4F-8B33-ECDBA04D1522}"/>
    <hyperlink ref="BA164" r:id="rId1031" xr:uid="{DE27B141-7052-A043-AFDA-45A620BCB763}"/>
    <hyperlink ref="BB161" r:id="rId1032" xr:uid="{38236979-38E9-B242-B1A6-9FFF7171C9F0}"/>
    <hyperlink ref="BB164" r:id="rId1033" xr:uid="{B14E18A4-1DCC-0A46-B469-D681B26A03C7}"/>
    <hyperlink ref="BD26" r:id="rId1034" display="www.сысола-адм.рф/area/12-1674_19.pdf, ww.сысола-адм.рф/area/12_1697_r.pdf, " xr:uid="{5B8E19D5-78C5-734F-9B4B-4E950E2A9A30}"/>
    <hyperlink ref="BD161" r:id="rId1035" xr:uid="{D8E88F54-7F05-9546-99E0-3C170991CE07}"/>
    <hyperlink ref="BD22" r:id="rId1036" xr:uid="{B5831F70-CE94-D74E-A10E-5BA3CA134B8A}"/>
    <hyperlink ref="BD151" r:id="rId1037" xr:uid="{FE2AE238-F4AE-654E-8771-02DA82175861}"/>
    <hyperlink ref="BE161" r:id="rId1038" xr:uid="{424CE207-5D2F-1E44-A5A8-ED7232A466EC}"/>
    <hyperlink ref="BE149" r:id="rId1039" xr:uid="{D6416C97-637C-9748-A983-5D715336941E}"/>
    <hyperlink ref="BE151" r:id="rId1040" xr:uid="{F06FE32D-B658-3E47-888C-65053F6E2CE7}"/>
    <hyperlink ref="BF161" r:id="rId1041" xr:uid="{76D33C59-2660-7143-9E10-529C19986044}"/>
    <hyperlink ref="BF151" r:id="rId1042" xr:uid="{38027F93-BDE1-594F-B223-3FCD1B92E211}"/>
    <hyperlink ref="BG90" r:id="rId1043" xr:uid="{990B14A6-2B48-5644-92C7-82C854625959}"/>
    <hyperlink ref="BG152" r:id="rId1044" xr:uid="{13504635-B0EA-B14A-8CD0-CB9DE1AD4A55}"/>
    <hyperlink ref="BG161" r:id="rId1045" xr:uid="{B3BB809D-6FA3-3940-A1E5-414F852D4FCA}"/>
    <hyperlink ref="BH28" r:id="rId1046" xr:uid="{B28D1E21-AB88-4245-8ECF-FC586A8C7229}"/>
    <hyperlink ref="BH26" r:id="rId1047" xr:uid="{F593EEA1-2534-1F42-93AC-6E2AF2A9D2AD}"/>
    <hyperlink ref="BH24" display="https://docs.yandex.ru/docs/view?url=ya-browser%3A%2F%2F4DT1uXEPRrJRXlUFoewruDntAfLKrbxo9IElOrQQGpjDvezGVQ3AqamsvDBuz5TUGG_-tt76D8E7_DJrVF5XIfiGxvsDa_plXMKHXjFwZRM7FFOZ-kBiXrHAwJw_ukGlx_3MvYWEbbvGh3BtUcaycA%3D%3D%3Fsign%3DIP6XVyO2_AorVHkMVOOIf7XsuiJsm-F34" xr:uid="{D8D2AA57-F9EB-1C40-ADEC-E1D1ECD85B5A}"/>
    <hyperlink ref="BH90" r:id="rId1048" xr:uid="{8BC4011F-5860-D544-AF04-9BCE1E2B56C6}"/>
    <hyperlink ref="BI161" r:id="rId1049" xr:uid="{87CB1806-C920-E14B-9815-70488DD90F63}"/>
    <hyperlink ref="BI90" r:id="rId1050" xr:uid="{5BD2C7CD-A265-334A-A0A7-3A78E04F50E7}"/>
    <hyperlink ref="BJ161" r:id="rId1051" xr:uid="{49D5FA6B-AABF-E04C-B84E-D00461CDC296}"/>
    <hyperlink ref="BJ22" r:id="rId1052" xr:uid="{8FA5F438-3D94-8D4F-B576-3D99D816D1AE}"/>
    <hyperlink ref="BK161" r:id="rId1053" xr:uid="{7A82A736-898A-364F-BF78-4D27FE0A949F}"/>
    <hyperlink ref="BK164" r:id="rId1054" xr:uid="{20D3A228-9AD9-DE4F-8B44-5A864BFCA5EA}"/>
    <hyperlink ref="BM90" r:id="rId1055" xr:uid="{6F8783D6-BABD-EB42-ADCD-54EAE0976855}"/>
    <hyperlink ref="BM161" r:id="rId1056" xr:uid="{6F87DB7C-D60F-404E-B6FE-870A5E96FD5D}"/>
    <hyperlink ref="AK22" r:id="rId1057" xr:uid="{BB74E29C-8F67-AE42-A414-E06BB7C8F4FB}"/>
    <hyperlink ref="AK24" r:id="rId1058" display="https://www.kaluga-gov.ru/obshchestvo/initsiativnye-proekty/pravovaya-baza/2740/" xr:uid="{DAD1C91D-890C-3247-93FE-D0BE80F2590B}"/>
    <hyperlink ref="AK26" r:id="rId1059" xr:uid="{6B838E9E-D755-C443-A196-D50925EA49E8}"/>
    <hyperlink ref="AK53" r:id="rId1060" xr:uid="{C46C6B4B-C525-5B47-B072-5C4560E1F7E7}"/>
    <hyperlink ref="AK87" r:id="rId1061" xr:uid="{0D7E084F-785F-4140-AC42-3BDDD391DEDB}"/>
    <hyperlink ref="AK151" r:id="rId1062" xr:uid="{F5067A39-1C01-5F4A-8916-BBF58AFAF2AA}"/>
    <hyperlink ref="AK161" r:id="rId1063" xr:uid="{667A5303-5194-7944-8A64-8A2CC8403E40}"/>
    <hyperlink ref="AK164" r:id="rId1064" xr:uid="{36692713-BCCF-474D-8E34-574F7FB8B270}"/>
    <hyperlink ref="AK90" r:id="rId1065" xr:uid="{39B2DE34-96B4-C446-AE95-D6B7070F09AC}"/>
    <hyperlink ref="DY164" r:id="rId1066" display="Lapo@fin.admkrsk.ru " xr:uid="{A0D44B28-94F4-D04B-A0FB-95CB81CF1B5F}"/>
    <hyperlink ref="HK24" display="https://xn----7sbbnwghl2bjadrdc.xn--p1ai/deyatelnost/resheniya-dumy/7727/" xr:uid="{E7677CCF-6212-384E-8062-DF23E122BAB5}"/>
    <hyperlink ref="HK26" r:id="rId1067" display="https://adm-ussuriisk.ru/ob_okruge/kompleksnoe_razvitie_selskikh_territoriy_ussuriyskogo_gorodskogo_okruga_na_2020_2024_gody/" xr:uid="{CE705D67-56E2-E342-BC19-57C3BE7F59EC}"/>
    <hyperlink ref="HK28" display="https://xn----7sbbnwghl2bjadrdc.xn--p1ai/deyatelnost/resheniya-dumy/10208/" xr:uid="{7660B3E5-191B-B643-A1AE-B4FCA4783030}"/>
    <hyperlink ref="HK53" display="https://xn----7sbbnwghl2bjadrdc.xn--p1ai/deyatelnost/resheniya-dumy/7727/" xr:uid="{8D43E36B-D999-2640-B008-EFB501B8B642}"/>
    <hyperlink ref="HK87" r:id="rId1068" xr:uid="{2145E0C4-87FC-9A4F-8A14-D41D5292DE9D}"/>
    <hyperlink ref="HK90" r:id="rId1069" display="http://www.gks.ru/scripts/db_inet2/passport/table.aspx?opt=57230002022" xr:uid="{5B88965D-83DE-E842-85DF-B5F21D75B75C}"/>
    <hyperlink ref="HK151" r:id="rId1070" xr:uid="{4B656275-2127-3041-8DB3-94F6BEF2540D}"/>
    <hyperlink ref="HK152" r:id="rId1071" display="https://vk.com/fuauss" xr:uid="{97A0A46E-FEA9-C94E-BBEA-83AE7F32B44A}"/>
    <hyperlink ref="HK155" r:id="rId1072" xr:uid="{041E0FD0-38BA-B24C-A168-D79F18A09EE3}"/>
    <hyperlink ref="HK161" r:id="rId1073" xr:uid="{A2FBE954-9335-B742-867B-B7F9B1449F9F}"/>
    <hyperlink ref="HK164" r:id="rId1074" xr:uid="{13C914A2-21A4-5649-ADBE-379513BE367D}"/>
    <hyperlink ref="LN24" r:id="rId1075" xr:uid="{EE17226F-B131-1843-8355-ADEE93E11060}"/>
    <hyperlink ref="LN22" r:id="rId1076" xr:uid="{BF3C9D0E-50BB-2C49-BC72-2C3CDEB1C299}"/>
    <hyperlink ref="LN26" r:id="rId1077" xr:uid="{BAB60184-B189-914D-8391-ACB87873801B}"/>
    <hyperlink ref="LN28" r:id="rId1078" xr:uid="{616B6039-420C-2D40-879A-E8551B3CCEE1}"/>
    <hyperlink ref="LN53" r:id="rId1079" display="https://budget.uray.ru/iniciativnoe-bjudzhetirovanie-v-rf/opisanie-proektov-2022/;   " xr:uid="{ECC228DD-40EF-274B-9434-921B0A208C72}"/>
    <hyperlink ref="LN99" r:id="rId1080" xr:uid="{B8B65A3F-B9D3-A340-A89D-BEE8327C6CD4}"/>
    <hyperlink ref="LN102" r:id="rId1081" xr:uid="{32F5C96F-C70D-F74A-AB27-B7E0EEB5568C}"/>
    <hyperlink ref="LN151" r:id="rId1082" xr:uid="{BC85E88B-5540-4A40-8484-8935556BA1F3}"/>
    <hyperlink ref="LN161" r:id="rId1083" xr:uid="{475D96EB-D3DA-3F4A-BFCA-181D8DB31C03}"/>
    <hyperlink ref="LO99" r:id="rId1084" display="https://www.dumamegion.ru/laws/resheniya/detail.php?ID=9646" xr:uid="{5F18E2C7-CFCB-B14B-9536-FE4AE6AA7A44}"/>
    <hyperlink ref="LO161" r:id="rId1085" xr:uid="{47EB90DC-A2A9-944F-87FA-C8F65C758BBC}"/>
    <hyperlink ref="LO24" r:id="rId1086" xr:uid="{AA67D28D-3994-4940-A913-E7A1F84F7934}"/>
    <hyperlink ref="LO28" r:id="rId1087" xr:uid="{C3F0DA73-86AF-FB49-8088-84858D1BECE2}"/>
    <hyperlink ref="LO26" r:id="rId1088" xr:uid="{DCA50E97-06E7-B046-B530-80EF1BB626DF}"/>
    <hyperlink ref="LO151" r:id="rId1089" xr:uid="{4D8FE55E-6132-2643-A275-C2E5CAB67686}"/>
    <hyperlink ref="LO90" r:id="rId1090" xr:uid="{53EA1ED2-D7C9-8A43-8947-263A2CDFEEDC}"/>
    <hyperlink ref="LS28" r:id="rId1091" xr:uid="{DA6BF9C4-AB26-9048-9862-E9079278104E}"/>
    <hyperlink ref="LS26" r:id="rId1092" xr:uid="{304DABD0-0BB2-9842-BF1A-A33658341AD6}"/>
    <hyperlink ref="LS90" r:id="rId1093" xr:uid="{108B8544-CC5F-DB4F-ACDB-039804A3536A}"/>
    <hyperlink ref="LS123" r:id="rId1094" xr:uid="{1DBD2B0D-12A8-CE47-B268-CE972A91BA7E}"/>
    <hyperlink ref="LS151" r:id="rId1095" xr:uid="{8B474C76-4DAA-D140-8229-1D0E52468527}"/>
    <hyperlink ref="LS152" r:id="rId1096" xr:uid="{1F9E0786-FC4B-974E-A3B3-47F1CE3E59A9}"/>
    <hyperlink ref="LS153" r:id="rId1097" xr:uid="{69F498C7-26F8-AF48-BE74-40229316D571}"/>
    <hyperlink ref="LS161" r:id="rId1098" xr:uid="{1C4BE096-FDDC-E04A-A801-4F4C67F6F94B}"/>
    <hyperlink ref="LT24" r:id="rId1099" location="DOCTYPE=dumaReshenie&amp;Y=2021&amp;M=2" xr:uid="{26DF1FEE-C740-4948-86C4-E70FB529DDE1}"/>
    <hyperlink ref="LT28" r:id="rId1100" location="DOCTYPE=dumaReshenie&amp;DNUM=&amp;DT1=&amp;DT2=&amp;DNAME=&amp;Y=2018&amp;M=5" xr:uid="{9EC0D4DB-D4A3-6F4C-994C-60E9925A23CF}"/>
    <hyperlink ref="LT53" r:id="rId1101" location="DOCTYPE=dumaReshenie&amp;Y=2021&amp;M=2" xr:uid="{11319D3E-B3A1-6147-A387-0212C2D8F564}"/>
    <hyperlink ref="LT141" r:id="rId1102" xr:uid="{62051412-DAED-624E-A21D-10A0AEFD583C}"/>
    <hyperlink ref="LT152" r:id="rId1103" xr:uid="{D2E088E4-8D38-024F-9D43-82795CEBDD80}"/>
    <hyperlink ref="LT153" r:id="rId1104" xr:uid="{708B21ED-09AD-6541-96A1-CA28671A2620}"/>
    <hyperlink ref="LT161" r:id="rId1105" xr:uid="{BB19C4FF-5DD2-6641-A6C7-38AE5672268C}"/>
    <hyperlink ref="LU161" r:id="rId1106" xr:uid="{71660DC9-D96A-8144-AB00-4D66FD7C1444}"/>
    <hyperlink ref="LV161" r:id="rId1107" xr:uid="{702512BD-AC3D-784C-BCD0-358F063AB6BB}"/>
    <hyperlink ref="LW24" r:id="rId1108" xr:uid="{A1C5929B-9017-8841-B589-67094E6961A9}"/>
    <hyperlink ref="LW26" r:id="rId1109" xr:uid="{1AA1E963-69D0-BE41-A0FB-1B38C96FB694}"/>
    <hyperlink ref="LW90" r:id="rId1110" xr:uid="{BE778C7E-8143-6C48-B8EB-04883FD88AA0}"/>
    <hyperlink ref="LW151" r:id="rId1111" xr:uid="{EFC39C09-E603-8148-B298-6BADF8B06689}"/>
    <hyperlink ref="LW161" r:id="rId1112" xr:uid="{A415449E-04F5-E441-B70C-2BB97CF0A784}"/>
    <hyperlink ref="LX24" r:id="rId1113" xr:uid="{B15FAC58-423C-F749-A6B5-1C43BB89DB17}"/>
    <hyperlink ref="LX26" r:id="rId1114" xr:uid="{F935E781-4D13-1F48-A0B5-939658E000BA}"/>
    <hyperlink ref="LX161" r:id="rId1115" xr:uid="{6EEDBF59-A897-E646-8612-A7D7651001FF}"/>
    <hyperlink ref="LX99" r:id="rId1116" xr:uid="{0A32C893-5304-E847-8455-849286C740C7}"/>
    <hyperlink ref="LX90" r:id="rId1117" xr:uid="{0CDA2311-0B80-3E45-9809-E2211B381383}"/>
    <hyperlink ref="LX151" r:id="rId1118" xr:uid="{325564A1-9E52-6E49-B598-2A6E2E1008C0}"/>
    <hyperlink ref="LX138" r:id="rId1119" xr:uid="{5EA7B7A0-D5EB-1644-8A89-B88F648D6CD7}"/>
    <hyperlink ref="LX126" r:id="rId1120" display="http://lugovoikonda.ru/tinybrowser/files/2021/rasporygeniy/protokol.docx" xr:uid="{36D0B21C-B61F-E84B-97FF-36E29789B6D8}"/>
    <hyperlink ref="LX164" r:id="rId1121" xr:uid="{6BACDB3D-F492-B744-9C31-591B5B6CB8CD}"/>
    <hyperlink ref="LY161" r:id="rId1122" xr:uid="{BB91DE8C-1C6A-0C4B-BF9F-9F334C1497C0}"/>
    <hyperlink ref="LY151" r:id="rId1123" xr:uid="{654DA0FD-F7B1-4542-86EE-DBE9E8F9FCF1}"/>
    <hyperlink ref="LY152" r:id="rId1124" display="https://vk.com/public188912037" xr:uid="{9AE4D26B-6DD5-054A-A881-CC1072D2C471}"/>
    <hyperlink ref="LY102" r:id="rId1125" xr:uid="{49DEFA2B-B8D9-D141-8370-D8DED50756D0}"/>
    <hyperlink ref="LY90" r:id="rId1126" xr:uid="{00B64B9B-4DD1-6347-A48A-C9FA0F92EC8A}"/>
    <hyperlink ref="LY164" r:id="rId1127" xr:uid="{1B464120-1C64-5948-8DE1-986BB4EAB0EF}"/>
    <hyperlink ref="LY53" r:id="rId1128" xr:uid="{886D4E6B-553E-204B-9421-33B49ACF505C}"/>
    <hyperlink ref="LZ24" r:id="rId1129" xr:uid="{75B1BAD1-B65A-C243-835B-FFEA8C1110A3}"/>
    <hyperlink ref="LZ87" r:id="rId1130" xr:uid="{0DC4B907-326F-E94A-BD8A-7547A4CF544F}"/>
    <hyperlink ref="LZ114" r:id="rId1131" xr:uid="{E8B602F8-5662-AD4E-A4E5-AA25DD12E807}"/>
    <hyperlink ref="LZ161" r:id="rId1132" xr:uid="{605EA380-E0DE-E04B-B571-9A516EA858ED}"/>
    <hyperlink ref="LZ164" r:id="rId1133" xr:uid="{09C11B4A-21BA-6B41-A80D-39BC41DEC926}"/>
    <hyperlink ref="LZ26" r:id="rId1134" xr:uid="{DDF01E62-1A7A-9743-A5AE-1897438BF772}"/>
    <hyperlink ref="LZ90" r:id="rId1135" xr:uid="{4F29EBFE-AF3B-4D44-AC97-9B9FFF45F26D}"/>
    <hyperlink ref="MA22" r:id="rId1136" xr:uid="{A84F08FD-5338-1E46-B952-ACAD77D5B0E7}"/>
    <hyperlink ref="MA53" r:id="rId1137" xr:uid="{C25BFB2B-1AA1-5144-9DC5-5103619B38DC}"/>
    <hyperlink ref="MA26" r:id="rId1138" xr:uid="{5FAFA118-3F96-5349-9095-6C7C38B301AA}"/>
    <hyperlink ref="MA24" r:id="rId1139" xr:uid="{5308391F-BFD3-4743-A581-C1CF5A052AE2}"/>
    <hyperlink ref="MA152" r:id="rId1140" xr:uid="{5B38E623-0CC6-E048-86B9-5C7D508EF57B}"/>
    <hyperlink ref="MA161" r:id="rId1141" xr:uid="{F5B2ACEA-171F-8346-A54B-EC4519C58476}"/>
    <hyperlink ref="MA164" r:id="rId1142" xr:uid="{0268A12C-0848-1F43-9D13-80703EA3851A}"/>
    <hyperlink ref="MA90" r:id="rId1143" xr:uid="{51CDCC41-D0E9-B44F-B970-38053044C7F9}"/>
    <hyperlink ref="MB164" r:id="rId1144" xr:uid="{71CE6010-87EC-AA42-A06A-AEF0EA2CFC21}"/>
    <hyperlink ref="MB161" r:id="rId1145" xr:uid="{E78633D7-E022-F74A-A1A5-30CBAA50B681}"/>
    <hyperlink ref="MB90" r:id="rId1146" xr:uid="{13B25776-C2B8-9945-97C8-4DB57F768E99}"/>
    <hyperlink ref="MC123" r:id="rId1147" display="http://www.admugansk.ru/read/52979" xr:uid="{271F420F-9462-3B45-923F-341A5C282424}"/>
    <hyperlink ref="MC161" r:id="rId1148" xr:uid="{6816230A-25E1-1547-B810-824622414FF9}"/>
    <hyperlink ref="ME26" r:id="rId1149" xr:uid="{3B39A0B1-F73D-0540-A5F8-4CA0DD3A0C26}"/>
    <hyperlink ref="ME90" r:id="rId1150" xr:uid="{85D59515-4CA3-7D40-BFB1-BB925EB0F28B}"/>
    <hyperlink ref="ME151" r:id="rId1151" xr:uid="{7DEB8636-2D8B-8C4F-81BC-18A3C997A681}"/>
    <hyperlink ref="ME153" r:id="rId1152" xr:uid="{800EB94B-AA28-5847-B218-4B1E1E128D75}"/>
    <hyperlink ref="ME163" r:id="rId1153" display="NesterenkoYA@NVraion.ru" xr:uid="{68F166E4-3ABF-F242-B2AE-AE0CDE6868C4}"/>
    <hyperlink ref="ME161" r:id="rId1154" xr:uid="{42E0598C-048B-C842-83AB-8620133EF60A}"/>
    <hyperlink ref="ME24" r:id="rId1155" display="http://nvraion.ru/ekonomika-i-finansy/initsiativnoe-byudzhetirovanie/" xr:uid="{FF7A9A58-304C-164F-A41B-525FEF6DE74B}"/>
    <hyperlink ref="MF26" r:id="rId1156" xr:uid="{658AA5C3-8519-A840-A3DD-F81D70F730C4}"/>
    <hyperlink ref="MF90" r:id="rId1157" xr:uid="{B481090C-856D-7E46-94E6-DAEECE7C71D3}"/>
    <hyperlink ref="E151" r:id="rId1158" xr:uid="{100350F7-08F9-0C43-8CCD-239170651990}"/>
    <hyperlink ref="E153" r:id="rId1159" xr:uid="{B41D9C88-6985-3946-AC52-87654131AE70}"/>
    <hyperlink ref="E152" r:id="rId1160" xr:uid="{04F5A6E3-EC67-DA40-9EAD-7F3A42F8CBF4}"/>
    <hyperlink ref="E161" r:id="rId1161" xr:uid="{7E6AA8CF-50FE-A34D-A45E-D5CA09E6813F}"/>
    <hyperlink ref="E22" r:id="rId1162" xr:uid="{73065317-CC4C-A24B-9D2F-FC5946329CCF}"/>
    <hyperlink ref="E93" r:id="rId1163" xr:uid="{430D05DC-8BEF-D843-A056-F6C2ED1C10FE}"/>
    <hyperlink ref="E164" r:id="rId1164" xr:uid="{51A375F6-898C-DC45-B463-283BDC7591CD}"/>
    <hyperlink ref="F152" r:id="rId1165" xr:uid="{0BAC069D-35E7-BB49-AA84-FA399CC129AB}"/>
    <hyperlink ref="F161" r:id="rId1166" xr:uid="{B94184C0-23FC-0641-A348-EB83361DC6F0}"/>
    <hyperlink ref="F164" r:id="rId1167" xr:uid="{20E9475E-ED59-6648-AA01-3B5963B20184}"/>
    <hyperlink ref="F24" r:id="rId1168" xr:uid="{ED5BF466-F59D-5946-882C-51844A351E21}"/>
    <hyperlink ref="F28" r:id="rId1169" xr:uid="{73C30293-FE25-134D-A680-D86557E292BC}"/>
    <hyperlink ref="F27" r:id="rId1170" display="https://www.arhcity.ru/data/2946/agd reshenie 598_30112022.pdf" xr:uid="{20EF299C-72CF-2F4E-84D7-77419B88808C}"/>
    <hyperlink ref="F26" r:id="rId1171" xr:uid="{2F12BBA6-8D25-024B-8EF8-FD94DB41CA8C}"/>
    <hyperlink ref="F153" r:id="rId1172" xr:uid="{11A765A8-EC72-FF40-910F-7B0A210C03FA}"/>
    <hyperlink ref="HB152" r:id="rId1173" xr:uid="{D4C6F068-5B45-4C4F-8C35-1141E5197EC4}"/>
    <hyperlink ref="HB161" r:id="rId1174" xr:uid="{5C3C6BD6-C7C1-CD41-86C7-F9CD75384CF2}"/>
    <hyperlink ref="HB164" r:id="rId1175" xr:uid="{6501ABD8-AF68-564E-AB40-4FD9B92FEB79}"/>
    <hyperlink ref="HB90" r:id="rId1176" xr:uid="{1F44C1FB-7EBF-D44D-94AF-15CFBF345523}"/>
    <hyperlink ref="HC151" r:id="rId1177" xr:uid="{9ECCE407-EA1A-984A-8629-7972D04BC3F7}"/>
    <hyperlink ref="HC152" r:id="rId1178" display="https://vk.com/brz_official" xr:uid="{AAFDA55D-5763-5F42-870B-2A800275225F}"/>
    <hyperlink ref="HD24" r:id="rId1179" xr:uid="{5633693C-B6DB-D04D-BDFF-617F9F389042}"/>
    <hyperlink ref="HD26" r:id="rId1180" xr:uid="{05AF52AC-D379-D948-AADC-798569313F8C}"/>
    <hyperlink ref="HD151" r:id="rId1181" xr:uid="{C1AD9D9F-99D6-D044-A4DA-0F300B2B207B}"/>
    <hyperlink ref="HD161" r:id="rId1182" xr:uid="{D4B711FE-5769-0044-BC79-232FD43D7527}"/>
    <hyperlink ref="JQ22" r:id="rId1183" xr:uid="{ED7B22EB-A80E-E143-8B25-11104E774E0F}"/>
    <hyperlink ref="JQ151" r:id="rId1184" xr:uid="{521E2AA6-2B4C-3543-B26B-B1182BB4B90F}"/>
    <hyperlink ref="JQ90" r:id="rId1185" xr:uid="{B8825CD2-B753-DD4A-A5CC-3B7DE2A8053B}"/>
    <hyperlink ref="JR53" r:id="rId1186" xr:uid="{61E5BEFA-CAD7-8C49-82A7-6CF1C3C8B68D}"/>
    <hyperlink ref="JR90" r:id="rId1187" xr:uid="{B28A9187-CB08-6845-BA9E-DA3EA9935350}"/>
    <hyperlink ref="JS22" r:id="rId1188" xr:uid="{00DFD0B0-59CA-A44B-8046-0C42F94777B0}"/>
    <hyperlink ref="JS24" r:id="rId1189" xr:uid="{3C95B9EF-2BE6-1C4B-ADB3-737023F90101}"/>
    <hyperlink ref="JS151" r:id="rId1190" xr:uid="{D02EAA4C-F8D2-6045-ABE7-DDF6727E3E3A}"/>
    <hyperlink ref="JS90" r:id="rId1191" xr:uid="{F80ECDDC-D469-F441-A3DF-CFDFB7DA916A}"/>
    <hyperlink ref="JT24" r:id="rId1192" xr:uid="{CF0C8CCD-B94D-3A4C-ADAE-53FE61BFC4FA}"/>
    <hyperlink ref="JT22" r:id="rId1193" xr:uid="{E8E72928-D341-4E47-924E-D088BAE70F48}"/>
    <hyperlink ref="JT53" r:id="rId1194" xr:uid="{D9C4CC7A-0CA4-E248-A835-1CB3E946ED37}"/>
    <hyperlink ref="JT87" r:id="rId1195" xr:uid="{2BB19998-6AC5-B642-ACE1-BB90815559EB}"/>
    <hyperlink ref="JT161" r:id="rId1196" xr:uid="{AD509E7E-3545-744C-9124-F65DB7B40982}"/>
    <hyperlink ref="JT151" r:id="rId1197" display="http://abgosk.ru/finansy/initsiativnoe-byudzhetirovanie/initsiativnoe-byudzhetirovanie.php" xr:uid="{B3AEDB3B-8245-D948-9AC2-117D4695CA74}"/>
    <hyperlink ref="JT28" r:id="rId1198" display="http://www.abgosk.ru/about/dependents/otdel_econom_razvitiya_i_mun_zakupok/15_10112022.docx" xr:uid="{340DD618-B005-3D48-93E3-98869C5D86A2}"/>
    <hyperlink ref="JT26" r:id="rId1199" display="http://www.abgosk.ru/city/economica/municipal-programs/razvitie-zhkkh-i-dorozhnoy-infrastruktury.php" xr:uid="{321C2CD2-B6C9-F546-AFBE-E916ADA7577D}"/>
    <hyperlink ref="JT90" r:id="rId1200" xr:uid="{BED812EB-4807-9B49-8F9A-E8F0C5C77B74}"/>
    <hyperlink ref="JU24" r:id="rId1201" display="http://www.georgievsk.ru/duma/reshen/469-24.doc" xr:uid="{68049CEE-83A2-E645-AEDE-B67BD362AE9E}"/>
    <hyperlink ref="JU161" r:id="rId1202" xr:uid="{A8AD51B5-4AAB-EE4A-AD0A-AFD2AF70942F}"/>
    <hyperlink ref="JU90" r:id="rId1203" xr:uid="{AC0BE4C9-8BBB-8441-97ED-064D3388B9A0}"/>
    <hyperlink ref="JV22" r:id="rId1204" display="https://www.georgievsk.ru/mestnye-initsiativy/budjetirovanie/1386_26-04-2022.doc" xr:uid="{EDF4441D-B8B3-7546-B093-C7B3AB6DD959}"/>
    <hyperlink ref="JV26" r:id="rId1205" xr:uid="{DF2B6BEA-7919-3844-8BB2-AFA98F152262}"/>
    <hyperlink ref="JV53" r:id="rId1206" xr:uid="{2C74F0B1-A3BC-BA47-8EDD-A15E94C194EB}"/>
    <hyperlink ref="JV151" r:id="rId1207" xr:uid="{96D14C1D-963A-F248-9CA0-049468922EFB}"/>
    <hyperlink ref="JV90" r:id="rId1208" xr:uid="{937A7243-032E-9546-8501-834321561710}"/>
    <hyperlink ref="JV87" r:id="rId1209" xr:uid="{D3F14151-2251-244A-B9EF-2DDD8B74AE1E}"/>
    <hyperlink ref="JV161" r:id="rId1210" xr:uid="{ABBBD39B-AFA6-994A-B19F-8D7DF9390506}"/>
    <hyperlink ref="JV153" r:id="rId1211" xr:uid="{F070A5F1-0A74-3E4C-881E-91036FB3FEA0}"/>
    <hyperlink ref="JW24" r:id="rId1212" xr:uid="{B829B2A7-3CCA-E048-B192-034949CBAA82}"/>
    <hyperlink ref="JW53" r:id="rId1213" xr:uid="{21383A61-2667-414A-BB6B-12B08A103695}"/>
    <hyperlink ref="JW151" r:id="rId1214" xr:uid="{C45DF3ED-F0A9-624B-BD3D-90E2BC93CD05}"/>
    <hyperlink ref="JW161" r:id="rId1215" xr:uid="{C8B30F9A-6863-4B42-91C1-A6CD81F0D32E}"/>
    <hyperlink ref="JX26" r:id="rId1216" xr:uid="{B51B3B1F-C594-CD40-8B84-6D2104443566}"/>
    <hyperlink ref="JX22" r:id="rId1217" xr:uid="{98B5CCBB-2783-5948-801F-CBCEDE2C12DF}"/>
    <hyperlink ref="JY151" r:id="rId1218" location="top" xr:uid="{DEF8999B-3028-C747-A5A1-49316ACFDE9B}"/>
    <hyperlink ref="JY153" r:id="rId1219" xr:uid="{A91E4270-7389-E74E-82EC-381CF113C530}"/>
    <hyperlink ref="JY24" r:id="rId1220" display="http://ipatovo.org/userfiles/file/2021/fevral/resheniya/reshenie_16_poryadka_vyd_rassm__inic_proektov.doc" xr:uid="{692B9DBA-8472-264A-9792-38EFF996D8DF}"/>
    <hyperlink ref="JY90" r:id="rId1221" xr:uid="{C993B685-2053-4049-B2AB-F43BE9161B31}"/>
    <hyperlink ref="JY26" r:id="rId1222" display="http://ipatovo.org/userfiles/file/2019/aprel/636_ob_utverzhdenii_pravil_malyh_sel.zip" xr:uid="{95F966D4-55C6-BB49-A234-00C1D7FBAF6A}"/>
    <hyperlink ref="JY22" r:id="rId1223" display="http://ipatovo.org/userfiles/file/2021/fevral/resheniya/reshenie_16_poryadka_vyd_rassm__inic_proektov.doc" xr:uid="{6D96F56C-2BE0-2E47-9386-C35B24C7DD17}"/>
    <hyperlink ref="JZ24" r:id="rId1224" xr:uid="{D7627CC4-523B-6C4D-833F-D4DAC6B31B3E}"/>
    <hyperlink ref="KA161" r:id="rId1225" xr:uid="{4A8AE217-13F2-AF43-A3C7-E30437FF93E1}"/>
    <hyperlink ref="KA90" r:id="rId1226" xr:uid="{67D87935-B2EF-9848-8892-CCCCEB0C555E}"/>
    <hyperlink ref="KB28" r:id="rId1227" xr:uid="{587516DD-7D6F-B147-8462-3ACB54CB860B}"/>
    <hyperlink ref="KB24" r:id="rId1228" xr:uid="{30B41E6D-505E-D240-9EDD-080E4AB5283E}"/>
    <hyperlink ref="KB26" r:id="rId1229" xr:uid="{2A420430-FAC8-8844-B87A-4EE071C9A7DD}"/>
    <hyperlink ref="KB151" r:id="rId1230" xr:uid="{64BD04FE-076A-4B4F-B9D0-B36C875EE5A5}"/>
    <hyperlink ref="KB153" r:id="rId1231" xr:uid="{8F25BB47-396E-F148-8BC3-BB723FB0694A}"/>
    <hyperlink ref="KB161" r:id="rId1232" xr:uid="{51483979-54F4-5D42-9ADC-2CB9D2D167F0}"/>
    <hyperlink ref="KC151" r:id="rId1233" xr:uid="{373B067F-E423-E542-BAB5-BE3562E24CB8}"/>
    <hyperlink ref="KC24" r:id="rId1234" display="http://krasnogvardeiskoe.info/sites/krasnogvardeiskoe.info/files/of/userfiles/file/sovet%20kmr/obnarodovanie/2021/%D0%A0%D0%B5%D1%88%D0%B5%D0%BD%D0%B8%D0%B5%20%   E2%84%96%20114%20%D0%BE%D1%82%2024.02.2021%20%D0%B3..doc  " xr:uid="{B5F14084-6D04-AB44-91BA-358D6224E869}"/>
    <hyperlink ref="KE161" r:id="rId1235" xr:uid="{61395B43-EF69-E548-8051-40AAE9825B07}"/>
    <hyperlink ref="KF24" r:id="rId1236" xr:uid="{A1590144-B8FC-0E40-88EC-BF23D796483E}"/>
    <hyperlink ref="KF26" r:id="rId1237" xr:uid="{1D41DD7B-D27C-5845-915D-E929EE1CB64F}"/>
    <hyperlink ref="KF90" r:id="rId1238" xr:uid="{C5473A79-799F-DE40-8831-F140B4C2437B}"/>
    <hyperlink ref="KF161" r:id="rId1239" display="finnev@nevsk.stavregion.ru_x000a_" xr:uid="{A320E951-D967-F146-8AD0-669949CF1277}"/>
    <hyperlink ref="KG53" r:id="rId1240" xr:uid="{12F30E92-8469-D140-8CB2-1C6CCD7DAE65}"/>
    <hyperlink ref="KG26" r:id="rId1241" xr:uid="{231CFCB2-21A8-8047-95AB-EDF1C4ECD9A6}"/>
    <hyperlink ref="KG22" r:id="rId1242" xr:uid="{EBDD4CD4-03CB-AF40-9594-26F2013C05E7}"/>
    <hyperlink ref="KG24" r:id="rId1243" xr:uid="{C6787141-E846-BB46-8CB2-66BE51964F81}"/>
    <hyperlink ref="KG28" r:id="rId1244" xr:uid="{0F36579F-BC5B-674E-8156-1F166F42FE37}"/>
    <hyperlink ref="KG161" r:id="rId1245" xr:uid="{C06126B5-405B-E442-94B5-62BC6566B223}"/>
    <hyperlink ref="KH22" r:id="rId1246" xr:uid="{09B29F8A-854F-084E-9F01-49B19C762706}"/>
    <hyperlink ref="KH24" r:id="rId1247" xr:uid="{ED517FAA-2217-8A4F-84F8-A5BAA5248ADC}"/>
    <hyperlink ref="KH26" r:id="rId1248" xr:uid="{C897B1EB-6605-5148-A294-A807ED3F2EF0}"/>
    <hyperlink ref="KH53" r:id="rId1249" xr:uid="{9B862534-CD2A-5F49-A1F9-7B0AECDCACE2}"/>
    <hyperlink ref="KH151" r:id="rId1250" xr:uid="{67CB4924-C2D1-524A-A6F2-D26C9863612D}"/>
    <hyperlink ref="KH161" r:id="rId1251" xr:uid="{DAD40605-1731-B24D-B547-EC7F64E3669F}"/>
    <hyperlink ref="KH90" r:id="rId1252" xr:uid="{5FA5818C-28D4-0E4A-BA68-ABD403D052F9}"/>
    <hyperlink ref="KH87" r:id="rId1253" xr:uid="{6197BB56-D92E-8B41-B949-D9BC7A03F864}"/>
    <hyperlink ref="KI161" r:id="rId1254" xr:uid="{61794AED-DFAD-3D4B-9F12-C0BE0617A7B6}"/>
    <hyperlink ref="KI22" display="https://www.novoselickoe.ru/;https://www.novoselickoe.ru/dokumenty/postanovleniya/postanovleniya-2021/postanovlenie-563-ot-16-iyulya-2021-g-o-naznachenii-i-provedenii-na-territorii-poselka-shchelkan-novoselitskogo-rajona-stavropolskogo-kraya-sobraniya-kon" xr:uid="{5E331383-F3BB-6144-A0DF-78CE98E44F68}"/>
    <hyperlink ref="KI28" r:id="rId1255" xr:uid="{0E8DAFE8-5CBD-F641-A55A-94309646A817}"/>
    <hyperlink ref="KJ26" r:id="rId1256" xr:uid="{975CA3AA-BB52-1F44-A590-33E7CADF4845}"/>
    <hyperlink ref="KJ90" r:id="rId1257" xr:uid="{499ADC3D-37DD-3046-83E2-685A5141A1C5}"/>
    <hyperlink ref="KJ151" r:id="rId1258" xr:uid="{9D9098A5-8213-0542-9BF8-48196DABFF9C}"/>
    <hyperlink ref="KJ155" r:id="rId1259" xr:uid="{4068ABF9-F013-064C-A26E-509B47F8BC33}"/>
    <hyperlink ref="KJ161" r:id="rId1260" xr:uid="{9C926452-E92F-D24A-831F-CED1945A1581}"/>
    <hyperlink ref="KK161" r:id="rId1261" xr:uid="{76BD61AB-3B43-2845-87F4-EE8846D8AA56}"/>
    <hyperlink ref="KL24" r:id="rId1262" xr:uid="{891A26F1-6043-AB4C-A214-33CF4F9D7679}"/>
    <hyperlink ref="KL26" r:id="rId1263" xr:uid="{0500CA8C-B7A0-A449-9016-6F54F2B4C3AE}"/>
    <hyperlink ref="KL22" r:id="rId1264" xr:uid="{8E1F1C90-2818-3F42-BF96-27B891DE947B}"/>
    <hyperlink ref="KL90" r:id="rId1265" xr:uid="{F3B4DCFD-08D2-544C-B0B2-98090CB5A6B6}"/>
    <hyperlink ref="KL151" r:id="rId1266" xr:uid="{8DDAF870-884C-1947-9A73-6A0278050435}"/>
    <hyperlink ref="KL152" r:id="rId1267" xr:uid="{2DF141F1-B7DF-D443-AB19-791B3BB4CED4}"/>
    <hyperlink ref="KL161" r:id="rId1268" xr:uid="{A56283C3-C51D-5947-8C90-FCCFCE89A725}"/>
    <hyperlink ref="KM22" r:id="rId1269" xr:uid="{64D82AAF-2740-A046-AA12-FF7856D780BA}"/>
    <hyperlink ref="KM24" r:id="rId1270" xr:uid="{D15958DA-E5A3-E343-84C1-E8A87805FB72}"/>
    <hyperlink ref="KM26" r:id="rId1271" xr:uid="{3F34467F-BBC6-4A48-8516-A1FD31A94A6C}"/>
    <hyperlink ref="KM151" r:id="rId1272" xr:uid="{5B32C13C-3F28-9F43-BE99-8EC0BFCA7D49}"/>
    <hyperlink ref="KO161" r:id="rId1273" xr:uid="{783B9EB5-3EBB-3E46-B5DD-D95F5B86CC61}"/>
    <hyperlink ref="KO90" r:id="rId1274" xr:uid="{710A173D-E753-9448-BBE0-8938548C7AC5}"/>
    <hyperlink ref="EY22" r:id="rId1275" xr:uid="{2B12A5C1-8849-6647-9FC3-BF219C8CE5F5}"/>
    <hyperlink ref="EY152" r:id="rId1276" xr:uid="{EAA5819E-857F-FF47-9042-CC4980BA7266}"/>
    <hyperlink ref="EY161" r:id="rId1277" xr:uid="{4038F4DC-E666-2A48-B80D-1EBB98A418DF}"/>
    <hyperlink ref="EY164" r:id="rId1278" xr:uid="{1375C8FD-6D7A-3442-9A49-888E8C40BCCC}"/>
    <hyperlink ref="EY90" r:id="rId1279" xr:uid="{99F6D7F4-89A7-7148-9573-5F12C4326722}"/>
    <hyperlink ref="EZ161" r:id="rId1280" xr:uid="{73BA6CB8-CE9C-8849-A385-9047264D789B}"/>
    <hyperlink ref="EZ164" r:id="rId1281" xr:uid="{6B252913-D2F7-3B44-A0F3-5BCA3015E146}"/>
    <hyperlink ref="EZ90" r:id="rId1282" display="https://novgorodstat.gks.ru/storage/mediabank/%D0%A7%D0%B8%D1%81%D0%BB%D0%B5%D0%BD%D0%BD%D0%BE%D1%81%D1%82%D1%8C %D0%BD%D0%B0%D1%81%D0%B5%D0%BB%D0%B5%D0%BD%D0%B8%D1%8F %D0%BD%D0%B0 1.01.2022 %D0%B3%D0%BE%D0%B4%D0%B0.pdf" xr:uid="{91D602A3-9022-CC42-8744-B5F72F69D75B}"/>
    <hyperlink ref="EZ28" r:id="rId1283" xr:uid="{4CDEB479-65EC-B643-B630-9BACD6375735}"/>
    <hyperlink ref="FA141" r:id="rId1284" xr:uid="{A8E6E127-D015-7143-9162-A2D9331A0617}"/>
    <hyperlink ref="FA26" r:id="rId1285" xr:uid="{D33D1302-90C2-1647-A553-405F712AD877}"/>
    <hyperlink ref="FA155" r:id="rId1286" xr:uid="{6B9EEB75-AB10-AB4E-AE94-ECEAAAA4BE78}"/>
    <hyperlink ref="FA22" r:id="rId1287" xr:uid="{E64162C9-EB45-F147-A8FA-1431B8EB009D}"/>
    <hyperlink ref="FA161" r:id="rId1288" xr:uid="{B6B0B68F-0C05-5E48-A403-CD47CF51BF81}"/>
    <hyperlink ref="FA90" r:id="rId1289" display="https://novgorodstat.gks.ru/storage/mediabank/%D0%A7%D0%B8%D1%81%D0%BB%D0%B5%D0%BD%D0%BD%D0%BE%D1%81%D1%82%D1%8C %D0%BD%D0%B0%D1%81%D0%B5%D0%BB%D0%B5%D0%BD%D0%B8%D1%8F %D0%BD%D0%B0 1.01.2022 %D0%B3%D0%BE%D0%B4%D0%B0.pdf" xr:uid="{C0C034B4-8D23-AE4D-A474-E8A136E72331}"/>
    <hyperlink ref="FA164" r:id="rId1290" xr:uid="{0CA936B5-E231-3F49-A181-DA54AFE6E09E}"/>
    <hyperlink ref="FA28" r:id="rId1291" xr:uid="{1B0EA5D5-A04E-DA4D-A026-0AA3671828CD}"/>
    <hyperlink ref="FB22" r:id="rId1292" xr:uid="{B43E8E22-31DF-E54E-8E2E-54000CEBB05B}"/>
    <hyperlink ref="FB26" r:id="rId1293" xr:uid="{B5D701CC-735E-3A49-A754-43B2C5BA9002}"/>
    <hyperlink ref="FB87" r:id="rId1294" xr:uid="{FE3D2B48-971D-D841-8137-9CAB36B8AFF1}"/>
    <hyperlink ref="FB135" r:id="rId1295" xr:uid="{685DC71A-EE2E-1940-A3F4-BCD17E345EC2}"/>
    <hyperlink ref="FB161" r:id="rId1296" xr:uid="{37318BDD-AEF0-A64A-AB4A-F3F57F1004FB}"/>
    <hyperlink ref="FB90" r:id="rId1297" xr:uid="{3A0AC003-AE83-B742-B03F-20ABCCA1E5B9}"/>
    <hyperlink ref="FB152" r:id="rId1298" display="https://vk.com/wall-188987338_4254" xr:uid="{A2BA0940-7221-A24D-AB5F-2BDEEDD28F46}"/>
    <hyperlink ref="FB153" r:id="rId1299" xr:uid="{C1C86947-49C1-BE44-B921-9701624B336D}"/>
    <hyperlink ref="FC161" r:id="rId1300" xr:uid="{E437BCCC-9CD0-8743-A8D2-32AAB9F9384C}"/>
    <hyperlink ref="FC152" r:id="rId1301" xr:uid="{E05308AA-CD33-C840-A0B7-F2CBA7FBF22F}"/>
    <hyperlink ref="FC26" r:id="rId1302" xr:uid="{596408B9-7E41-9243-8685-9F920FC9C9D6}"/>
    <hyperlink ref="FC24" r:id="rId1303" xr:uid="{F6D8D8E0-C7CE-AA4B-A2E0-ECBC91DCBD82}"/>
    <hyperlink ref="FC90" r:id="rId1304" xr:uid="{402F8094-57C4-5646-8A10-7961A0EC0F9F}"/>
    <hyperlink ref="FC28" r:id="rId1305" xr:uid="{93B568E2-0A08-644A-9930-55882EC93FD5}"/>
    <hyperlink ref="JD22" r:id="rId1306" xr:uid="{BDB60330-8357-0040-BF58-32B6B94FA0C2}"/>
    <hyperlink ref="JD123" r:id="rId1307" xr:uid="{8E95C411-89BE-764F-9802-EC26B34BF7D3}"/>
    <hyperlink ref="JD102" r:id="rId1308" xr:uid="{7A6BBF8D-315B-3041-A748-9C815C56E8ED}"/>
    <hyperlink ref="JD90" r:id="rId1309" xr:uid="{C3C58144-8C82-A740-A5CE-834066A25C78}"/>
    <hyperlink ref="JD135" r:id="rId1310" xr:uid="{60EDA2FA-1913-3348-8FD5-CCA0362CA275}"/>
    <hyperlink ref="JD151" r:id="rId1311" xr:uid="{BE7BC586-2875-644A-A7C6-56EF95EF2E72}"/>
    <hyperlink ref="JD153" r:id="rId1312" xr:uid="{2746478D-81FF-A345-9505-0424153E753F}"/>
    <hyperlink ref="JD161" r:id="rId1313" xr:uid="{AE209722-8856-A947-8380-F5DAA350C98A}"/>
    <hyperlink ref="JD164" r:id="rId1314" xr:uid="{99886E75-301C-A046-B4C0-7663B3BA8A45}"/>
    <hyperlink ref="FH90" display="https://docs.yandex.ru/docs/view?url=ya-browser%3A%2F%2F4DT1uXEPRrJRXlUFoewruKowq88nTeEXyEZWn9KwfxkAy-LavOl08XPC9YZ3IUCxPWmmzeewtz6dETVye0oAIBnHCW7PSc8AL210vFj9edRWNRXi_OxHBHOkBKglSYTTn5L3cfAKjoUD6usZJBCcyg%3D%3D%3Fsign%3DwW6vuODUrD-CmmSyRhkKpYb_6Mse4wgmX" xr:uid="{E14A98D2-59ED-244B-AC41-75674CBA97BF}"/>
    <hyperlink ref="FH164" r:id="rId1315" xr:uid="{A3385A46-35DE-AA46-B3FB-ADFC4A065C78}"/>
    <hyperlink ref="FH153" r:id="rId1316" xr:uid="{F3C400E0-0265-C249-9976-FC7BADDAA551}"/>
    <hyperlink ref="FH152" r:id="rId1317" xr:uid="{965B277E-0F85-244B-924B-DEEB0A8CCEB4}"/>
    <hyperlink ref="FH123" r:id="rId1318" xr:uid="{3B89479A-925B-FB44-B5E7-47A0EC381B34}"/>
    <hyperlink ref="FG22" r:id="rId1319" xr:uid="{23520572-F37A-3D4C-B42A-718FE0D65A65}"/>
    <hyperlink ref="FG164" r:id="rId1320" xr:uid="{92E28A6B-9462-0E48-876D-DD0DC4898B0C}"/>
    <hyperlink ref="FG90" r:id="rId1321" xr:uid="{7D32BAA2-3A51-6043-BE73-E8D346BB163F}"/>
    <hyperlink ref="FG161" r:id="rId1322" xr:uid="{1F628387-72B1-FC46-B019-57AA617B136C}"/>
    <hyperlink ref="FG28" r:id="rId1323" display="https://kormil.omskportal.ru/magnoliaPublic/dam/jcr:f896145f-27af-412e-a323-75204d18e65b/Стратегия.rar" xr:uid="{26F7C7B0-64AD-E64C-81A9-ABA13EE22F1A}"/>
    <hyperlink ref="FG26" r:id="rId1324" xr:uid="{66A11E0C-0250-CA42-B0D9-9709E0C87FFA}"/>
    <hyperlink ref="FG24" r:id="rId1325" xr:uid="{10A97134-5F30-B948-80BF-9DE97B7A103C}"/>
    <hyperlink ref="FF152" r:id="rId1326" xr:uid="{5A7F8E42-B5B4-6A45-9F04-66E87191C636}"/>
    <hyperlink ref="FF164" r:id="rId1327" xr:uid="{1891B7FC-082E-794B-88CD-EC8CE325116E}"/>
    <hyperlink ref="FF151" r:id="rId1328" xr:uid="{F9114C73-A008-D64D-9E7A-33974D4ADAF3}"/>
    <hyperlink ref="FF161" r:id="rId1329" xr:uid="{156CEB25-4FB0-6B4F-B5E0-5B5608A2D1A5}"/>
    <hyperlink ref="FF114" r:id="rId1330" xr:uid="{1638187F-32BE-D540-A3A5-6936D412CA0A}"/>
    <hyperlink ref="FF90" r:id="rId1331" xr:uid="{7A0F6CA9-ED64-7A45-B8C9-BCB80375056E}"/>
    <hyperlink ref="FF24" r:id="rId1332" xr:uid="{F74B5331-133D-B844-9E8D-F75CBBB487BA}"/>
    <hyperlink ref="FF22" r:id="rId1333" xr:uid="{857C2C7C-1F8F-3A4F-8F77-BF6925FF1AA1}"/>
    <hyperlink ref="LJ28" r:id="rId1334" xr:uid="{09DBD3AE-001D-584A-A73D-E5F1D8C16C3C}"/>
    <hyperlink ref="LJ26" r:id="rId1335" xr:uid="{A1003BA1-A05E-F04A-80FC-8487E25D2DDD}"/>
    <hyperlink ref="LJ161" r:id="rId1336" xr:uid="{9F2CB076-365D-184C-A54C-C2D478293DBA}"/>
    <hyperlink ref="LJ22" r:id="rId1337" xr:uid="{E9F6F1CC-9ADC-374D-B65B-04E05601560B}"/>
    <hyperlink ref="LJ24" r:id="rId1338" xr:uid="{DC3F3F2B-6FA5-984B-BA92-96336F09FD5A}"/>
    <hyperlink ref="LJ90" r:id="rId1339" xr:uid="{E32B94E8-CFAE-2C44-9D88-2B150B8C6E2D}"/>
    <hyperlink ref="LJ151" r:id="rId1340" xr:uid="{83D31067-BC74-CD41-988C-68B70F000A5C}"/>
    <hyperlink ref="LI24" r:id="rId1341" xr:uid="{CF283C00-600E-BA41-A6A3-3F7210993812}"/>
    <hyperlink ref="LI26" r:id="rId1342" xr:uid="{D566D019-3B9B-0A48-8EC8-49133828FF4B}"/>
    <hyperlink ref="LI164" r:id="rId1343" xr:uid="{F8DFA84D-9DF6-FC47-9444-35F7DE9D5DB9}"/>
    <hyperlink ref="LI90" r:id="rId1344" xr:uid="{BDAE714F-2987-C94F-83C6-A901C20071BA}"/>
    <hyperlink ref="LI151" r:id="rId1345" display="https://checklink.mail.ru/proxy?es=GMbaw9imyAQOqASLBUmANft%2Fyn5bMbD3h4pVHwZNZKM%3D&amp;egid=3AbA0OMwQIRGT16%2FrmW0B2UcMddvORcZIIku83EmBzo%3D&amp;url=https%3A%2F%2Fclick.mail.ru%2Fredir%3Fu%3Dhttps%253A%252F%252Fbarysh.gosuslugi.ru%252Fdeyatelnost%252Fmunitsipalnye-finansy%252Fnarodnyy-byudzhet%252F%26c%3Dswm%26r%3Dhttp%26o%3Dmail%26v%3D3%26s%3D8146e0fc97296664&amp;uidl=16807832161039341018&amp;from=&amp;to=&amp;email=budget-baryshsk%40mail.ru" xr:uid="{E960D0CC-74E2-CB4A-B18D-E6385B2101A9}"/>
    <hyperlink ref="LI22" r:id="rId1346" xr:uid="{524DE455-4D59-1C46-8B54-29B106567567}"/>
    <hyperlink ref="LH151" r:id="rId1347" xr:uid="{5AB8EB73-BF7F-C54B-A9BD-2E424DDBA238}"/>
    <hyperlink ref="LH22" r:id="rId1348" xr:uid="{88F4D6A7-A878-0340-BCD6-57952B64764A}"/>
    <hyperlink ref="LH90" r:id="rId1349" xr:uid="{3D4E8C9D-CFEC-9041-8E36-AE95B142C4F7}"/>
    <hyperlink ref="LH164" r:id="rId1350" xr:uid="{946F335A-8721-7743-A226-87442A65BECD}"/>
    <hyperlink ref="LH161" r:id="rId1351" xr:uid="{A86046F6-83CF-834E-AD57-2B4A7891742D}"/>
    <hyperlink ref="LG22" r:id="rId1352" xr:uid="{EDD38B18-C240-E04A-B474-D9C2298BFA87}"/>
    <hyperlink ref="LG90" r:id="rId1353" xr:uid="{EBA48D4B-69F3-9441-B056-F2B21708516C}"/>
    <hyperlink ref="LG151" r:id="rId1354" xr:uid="{C38C4E0D-12E1-2941-A5FB-C442AF6B6FD8}"/>
    <hyperlink ref="LG24" r:id="rId1355" xr:uid="{EB10C791-42A5-7249-863C-EB8F7EDAC3FA}"/>
    <hyperlink ref="LG164" r:id="rId1356" xr:uid="{5E722E1C-02B0-D249-824D-9C32FE926D9F}"/>
    <hyperlink ref="LG161" r:id="rId1357" xr:uid="{FEC9C0D5-37EC-1B45-9AFE-68747B879547}"/>
    <hyperlink ref="LF151" r:id="rId1358" xr:uid="{FC304C1D-635E-CC4D-8471-DAF69DB96E3F}"/>
    <hyperlink ref="LF90" r:id="rId1359" xr:uid="{B53EFFA7-6A1F-C442-9585-544ED760FA9A}"/>
    <hyperlink ref="LF164" r:id="rId1360" xr:uid="{4D493527-AAD5-A140-8F3F-FF5319AC1B41}"/>
    <hyperlink ref="LE22" r:id="rId1361" xr:uid="{E1304F31-82A0-0840-B723-8FF08C8DC2BA}"/>
    <hyperlink ref="LE161" r:id="rId1362" xr:uid="{55975001-6528-E640-B3D1-CA15C2DED535}"/>
    <hyperlink ref="LE90" r:id="rId1363" xr:uid="{B9FA5F02-0AE4-0247-BC87-7C4315BC3EE8}"/>
    <hyperlink ref="LE24" r:id="rId1364" xr:uid="{89C42E5D-8FD9-2E42-9FB9-CD3D55D9FE79}"/>
    <hyperlink ref="LE164" r:id="rId1365" xr:uid="{7EDF281D-1E5F-5F4B-A1E9-E46B52A2FC08}"/>
    <hyperlink ref="LE151" r:id="rId1366" xr:uid="{1CE4FC4E-0875-454A-A744-F78C03AC7924}"/>
    <hyperlink ref="LD151" r:id="rId1367" xr:uid="{3A86734F-F218-DD40-B48D-673F681239FD}"/>
    <hyperlink ref="LD22" r:id="rId1368" xr:uid="{539546A5-2241-D04D-83FB-3908DC33E0AA}"/>
    <hyperlink ref="LD90" r:id="rId1369" xr:uid="{881A177B-2C8B-304D-B059-0C949F519E2A}"/>
    <hyperlink ref="LD161" r:id="rId1370" xr:uid="{9A3FA20C-DD7B-BB4F-9F2C-A9F873BD09F8}"/>
    <hyperlink ref="LD164" r:id="rId1371" xr:uid="{4DB9A40A-86A9-C446-93E7-0B16018D92BE}"/>
    <hyperlink ref="LC152" r:id="rId1372" xr:uid="{94536C33-7914-2041-B984-305DCD0621E3}"/>
    <hyperlink ref="LC90" r:id="rId1373" xr:uid="{F4BBD5D1-CA14-B549-9135-7D9791FDE059}"/>
    <hyperlink ref="LC151" r:id="rId1374" xr:uid="{C02CAA39-46BF-3943-8612-64A613E9EEFF}"/>
    <hyperlink ref="LC22" r:id="rId1375" xr:uid="{18F1F35D-4DD8-5945-BF24-4E45A494308B}"/>
    <hyperlink ref="LC24" r:id="rId1376" xr:uid="{0BDDAE71-9F8F-2947-8AD4-4B1893490B5F}"/>
    <hyperlink ref="LC26" r:id="rId1377" xr:uid="{6EBDFD38-08AA-864F-8A55-E0C60D29DCF6}"/>
    <hyperlink ref="LC161" r:id="rId1378" xr:uid="{44BCCC73-91C6-6F43-AD4E-390CE8B6F501}"/>
    <hyperlink ref="LB24" r:id="rId1379" xr:uid="{AE0D4708-975F-B84A-9C7D-F74B7CA540A1}"/>
    <hyperlink ref="LB90" r:id="rId1380" xr:uid="{5AEB2BF6-2008-9649-9210-3E9701EF1DE1}"/>
    <hyperlink ref="LB161" r:id="rId1381" xr:uid="{F2165B52-C406-1945-9F31-C6D9819FF9C1}"/>
    <hyperlink ref="LB164" r:id="rId1382" xr:uid="{F18E3777-302B-EA4C-8A5A-654E6BFDF559}"/>
    <hyperlink ref="LB22" r:id="rId1383" xr:uid="{535D942D-B244-1B41-9821-2CFAEAFBCCEC}"/>
    <hyperlink ref="LA22" r:id="rId1384" xr:uid="{3E2FA5DC-3331-5E47-B713-5AEC7C2A5035}"/>
    <hyperlink ref="LA26" r:id="rId1385" xr:uid="{2410083A-D929-E44F-8600-9BC5882F7C91}"/>
    <hyperlink ref="LA161" r:id="rId1386" xr:uid="{CA342188-7C91-3E4B-8152-E29163C352B9}"/>
    <hyperlink ref="LA151" r:id="rId1387" xr:uid="{F26E9FF8-FE69-C349-8DC4-B9CC215C7011}"/>
    <hyperlink ref="LA90" r:id="rId1388" xr:uid="{9FB778C8-55D0-7A42-936F-BC3D69F6293D}"/>
    <hyperlink ref="LA24" r:id="rId1389" xr:uid="{513F3EB1-0D74-064C-B370-3C7C7E2BDC92}"/>
    <hyperlink ref="LA164" r:id="rId1390" xr:uid="{3BA71105-C7B7-054E-B609-2A75FD92ED30}"/>
    <hyperlink ref="KZ151" r:id="rId1391" xr:uid="{3585B271-9288-5048-8C26-1D2DA8B3B97F}"/>
    <hyperlink ref="KZ22" r:id="rId1392" xr:uid="{31478DFD-A0D9-9C4B-8001-CA74C197CCD8}"/>
    <hyperlink ref="KZ90" r:id="rId1393" xr:uid="{413C3833-68C1-5848-BFF4-207F6DD844BD}"/>
    <hyperlink ref="KZ161" r:id="rId1394" xr:uid="{828F35D9-9FCD-5545-8603-123F6A7102FD}"/>
    <hyperlink ref="KZ164" r:id="rId1395" xr:uid="{E4F63C93-6E16-7641-81EF-6CBE113E764B}"/>
    <hyperlink ref="KY22" r:id="rId1396" xr:uid="{2AD8CE98-000D-C04F-A0F6-D5A9702AD25C}"/>
    <hyperlink ref="KY90" r:id="rId1397" xr:uid="{AFF5B832-4A41-054D-98AA-24D4DD0000F7}"/>
    <hyperlink ref="KY99" r:id="rId1398" xr:uid="{F8AB4F7C-7DAB-0E4A-9E38-1B990BF374D6}"/>
    <hyperlink ref="KY135" r:id="rId1399" xr:uid="{00787F63-86FE-2747-891E-52315A76CAF5}"/>
    <hyperlink ref="KY151" r:id="rId1400" xr:uid="{6C159B82-BDB8-4C4C-B0D4-70B496350506}"/>
    <hyperlink ref="KY24" r:id="rId1401" xr:uid="{7CCA4DB2-496D-0344-8652-BD5DA22650EF}"/>
    <hyperlink ref="KY164" r:id="rId1402" xr:uid="{DBF5BEC1-0647-D14D-84C4-C381C55CCB91}"/>
    <hyperlink ref="KX22" r:id="rId1403" xr:uid="{4444DC7E-33A9-A241-89C5-C2F070AB785D}"/>
    <hyperlink ref="KX24" r:id="rId1404" xr:uid="{3CBB281E-3AE8-C34D-898F-511926E64A40}"/>
    <hyperlink ref="KX90" r:id="rId1405" xr:uid="{F08F4903-6664-2743-8E55-938B21FD39CE}"/>
    <hyperlink ref="KX151" r:id="rId1406" xr:uid="{69FF8011-779C-8F45-8ABC-076337E373B7}"/>
    <hyperlink ref="KX161" r:id="rId1407" display="mailto:finupr.adm.vesh@mail.ru" xr:uid="{A5604390-BD20-B04D-9CC2-EAC920649209}"/>
    <hyperlink ref="KX164" r:id="rId1408" display="mailto:kuzmina.mv@ulminfin.ru" xr:uid="{1A0F11AC-5BA9-AD49-B6C3-4763EC3C2D29}"/>
  </hyperlinks>
  <pageMargins left="0.7" right="0.7" top="0.75" bottom="0.75" header="0.3" footer="0.3"/>
  <drawing r:id="rId1409"/>
  <legacyDrawing r:id="rId14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FD86-C392-5C4F-9422-2F2CC5980629}">
  <dimension ref="D1:GM455"/>
  <sheetViews>
    <sheetView zoomScale="80" zoomScaleNormal="80" workbookViewId="0">
      <pane xSplit="9" ySplit="441" topLeftCell="J920" activePane="bottomRight" state="frozen"/>
      <selection pane="topRight" activeCell="J1" sqref="J1"/>
      <selection pane="bottomLeft" activeCell="A442" sqref="A442"/>
      <selection pane="bottomRight" activeCell="H7" sqref="H7"/>
    </sheetView>
  </sheetViews>
  <sheetFormatPr baseColWidth="10" defaultColWidth="11" defaultRowHeight="16" x14ac:dyDescent="0.2"/>
  <cols>
    <col min="1" max="2" width="11" style="95"/>
    <col min="3" max="3" width="10.83203125" style="95" customWidth="1"/>
    <col min="4" max="4" width="9.83203125" style="93" customWidth="1"/>
    <col min="5" max="5" width="19.5" style="94" customWidth="1"/>
    <col min="6" max="6" width="17.5" style="94" customWidth="1"/>
    <col min="7" max="7" width="13.6640625" style="95" customWidth="1"/>
    <col min="8" max="8" width="17.1640625" style="95" customWidth="1"/>
    <col min="9" max="9" width="20.6640625" style="95" customWidth="1"/>
    <col min="10" max="10" width="28" style="95" customWidth="1"/>
    <col min="11" max="11" width="37" style="95" customWidth="1"/>
    <col min="12" max="12" width="14.83203125" style="95" customWidth="1"/>
    <col min="13" max="13" width="23.33203125" style="95" customWidth="1"/>
    <col min="14" max="14" width="25" style="95" customWidth="1"/>
    <col min="15" max="15" width="23.83203125" style="95" customWidth="1"/>
    <col min="16" max="16" width="11" style="95" customWidth="1"/>
    <col min="17" max="17" width="15.6640625" style="95" customWidth="1"/>
    <col min="18" max="33" width="11" style="95" customWidth="1"/>
    <col min="34" max="34" width="26.6640625" style="95" customWidth="1"/>
    <col min="35" max="35" width="27.83203125" style="95" customWidth="1"/>
    <col min="36" max="36" width="19.5" style="95" customWidth="1"/>
    <col min="37" max="37" width="24.83203125" style="95" customWidth="1"/>
    <col min="38" max="38" width="26.33203125" style="95" customWidth="1"/>
    <col min="39" max="39" width="23.1640625" style="95" customWidth="1"/>
    <col min="40" max="40" width="21" style="95" customWidth="1"/>
    <col min="41" max="41" width="15.83203125" style="95" customWidth="1"/>
    <col min="42" max="42" width="19.83203125" style="95" customWidth="1"/>
    <col min="43" max="43" width="15.33203125" style="95" customWidth="1"/>
    <col min="44" max="44" width="17.1640625" style="95" customWidth="1"/>
    <col min="45" max="49" width="11" style="95" customWidth="1"/>
    <col min="50" max="50" width="13.83203125" style="95" customWidth="1"/>
    <col min="51" max="51" width="14.33203125" style="95" customWidth="1"/>
    <col min="52" max="52" width="13.83203125" style="95" customWidth="1"/>
    <col min="53" max="55" width="11" style="95" customWidth="1"/>
    <col min="56" max="56" width="15.6640625" style="95" customWidth="1"/>
    <col min="57" max="57" width="13" style="95" customWidth="1"/>
    <col min="58" max="58" width="20.5" style="95" customWidth="1"/>
    <col min="59" max="59" width="22.83203125" style="95" customWidth="1"/>
    <col min="60" max="60" width="11" style="95" customWidth="1"/>
    <col min="61" max="61" width="15.83203125" style="95" customWidth="1"/>
    <col min="62" max="89" width="11" style="95" customWidth="1"/>
    <col min="90" max="91" width="14.5" style="95" customWidth="1"/>
    <col min="92" max="92" width="19.1640625" style="95" customWidth="1"/>
    <col min="93" max="93" width="15.33203125" style="95" customWidth="1"/>
    <col min="94" max="94" width="11" style="95" customWidth="1"/>
    <col min="95" max="95" width="14.33203125" style="95" customWidth="1"/>
    <col min="96" max="96" width="14.83203125" style="95" customWidth="1"/>
    <col min="97" max="97" width="15.83203125" style="95" customWidth="1"/>
    <col min="98" max="98" width="17.6640625" style="95" customWidth="1"/>
    <col min="99" max="133" width="11" style="95" customWidth="1"/>
    <col min="134" max="134" width="12" style="95" bestFit="1" customWidth="1"/>
    <col min="135" max="135" width="11" style="95"/>
    <col min="136" max="136" width="11.1640625" style="95" bestFit="1" customWidth="1"/>
    <col min="137" max="137" width="12" style="95" bestFit="1" customWidth="1"/>
    <col min="138" max="139" width="11.1640625" style="95" bestFit="1" customWidth="1"/>
    <col min="140" max="140" width="12" style="95" bestFit="1" customWidth="1"/>
    <col min="141" max="141" width="11" style="95"/>
    <col min="142" max="142" width="11.1640625" style="95" bestFit="1" customWidth="1"/>
    <col min="143" max="143" width="12" style="95" bestFit="1" customWidth="1"/>
    <col min="144" max="144" width="11" style="95"/>
    <col min="145" max="145" width="11.1640625" style="95" bestFit="1" customWidth="1"/>
    <col min="146" max="146" width="12" style="95" bestFit="1" customWidth="1"/>
    <col min="147" max="148" width="11" style="95"/>
    <col min="149" max="149" width="11.1640625" style="95" bestFit="1" customWidth="1"/>
    <col min="150" max="150" width="11" style="95"/>
    <col min="151" max="151" width="11.1640625" style="95" bestFit="1" customWidth="1"/>
    <col min="152" max="152" width="12" style="95" bestFit="1" customWidth="1"/>
    <col min="153" max="153" width="11.1640625" style="95" bestFit="1" customWidth="1"/>
    <col min="154" max="154" width="11" style="95"/>
    <col min="155" max="157" width="11.1640625" style="95" bestFit="1" customWidth="1"/>
    <col min="158" max="162" width="11" style="95"/>
    <col min="163" max="163" width="11.1640625" style="95" bestFit="1" customWidth="1"/>
    <col min="164" max="165" width="12" style="95" bestFit="1" customWidth="1"/>
    <col min="166" max="166" width="11.1640625" style="95" bestFit="1" customWidth="1"/>
    <col min="167" max="167" width="14.83203125" style="95" bestFit="1" customWidth="1"/>
    <col min="168" max="168" width="19.6640625" style="95" customWidth="1"/>
    <col min="169" max="169" width="20.5" style="95" customWidth="1"/>
    <col min="170" max="170" width="19.6640625" style="95" customWidth="1"/>
    <col min="171" max="171" width="19.33203125" style="95" customWidth="1"/>
    <col min="172" max="16384" width="11" style="95"/>
  </cols>
  <sheetData>
    <row r="1" spans="5:171" x14ac:dyDescent="0.2">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t="e" cm="1">
        <f t="array" ref="AM1">+AIAL:(AM)</f>
        <v>#NAME?</v>
      </c>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c r="BO1" s="571"/>
      <c r="BP1" s="571"/>
      <c r="BQ1" s="571"/>
      <c r="BR1" s="571"/>
      <c r="BS1" s="571"/>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c r="CR1" s="571"/>
      <c r="CS1" s="571"/>
      <c r="CT1" s="571"/>
      <c r="CU1" s="571"/>
      <c r="CV1" s="571"/>
      <c r="CW1" s="571"/>
      <c r="CX1" s="571"/>
      <c r="CY1" s="571"/>
      <c r="CZ1" s="571"/>
      <c r="DA1" s="571"/>
      <c r="DB1" s="571"/>
      <c r="DC1" s="571"/>
      <c r="DD1" s="571"/>
      <c r="DE1" s="571"/>
      <c r="DF1" s="571"/>
      <c r="DG1" s="571"/>
      <c r="DH1" s="571"/>
      <c r="DI1" s="571"/>
      <c r="DJ1" s="571"/>
      <c r="DK1" s="571"/>
      <c r="DL1" s="571"/>
      <c r="DM1" s="571"/>
      <c r="DN1" s="571"/>
      <c r="DO1" s="571"/>
      <c r="DP1" s="571"/>
      <c r="DQ1" s="571"/>
      <c r="DR1" s="571"/>
      <c r="DS1" s="571"/>
      <c r="DT1" s="571"/>
      <c r="DU1" s="571"/>
      <c r="DV1" s="571"/>
      <c r="DW1" s="571"/>
      <c r="DX1" s="571"/>
      <c r="DY1" s="571"/>
      <c r="DZ1" s="571"/>
      <c r="EA1" s="571"/>
      <c r="EB1" s="571"/>
      <c r="EC1" s="571"/>
      <c r="ED1" s="571"/>
      <c r="EE1" s="571"/>
      <c r="EF1" s="571"/>
      <c r="EG1" s="571"/>
      <c r="EH1" s="571"/>
      <c r="EI1" s="571"/>
      <c r="EJ1" s="571"/>
      <c r="EK1" s="571"/>
      <c r="EL1" s="571"/>
      <c r="EM1" s="571"/>
      <c r="EN1" s="571"/>
      <c r="EO1" s="571"/>
      <c r="EP1" s="571"/>
      <c r="EQ1" s="571"/>
      <c r="ER1" s="571"/>
      <c r="ES1" s="571"/>
      <c r="ET1" s="571"/>
      <c r="EU1" s="571"/>
      <c r="EV1" s="571"/>
      <c r="EW1" s="571"/>
      <c r="EX1" s="571"/>
      <c r="EY1" s="571"/>
      <c r="EZ1" s="571"/>
      <c r="FA1" s="571"/>
      <c r="FB1" s="571"/>
      <c r="FC1" s="571"/>
      <c r="FD1" s="571"/>
      <c r="FE1" s="571"/>
      <c r="FF1" s="571"/>
      <c r="FG1" s="571"/>
      <c r="FH1" s="571"/>
      <c r="FI1" s="571"/>
      <c r="FJ1" s="571"/>
      <c r="FK1" s="571"/>
      <c r="FL1" s="571"/>
      <c r="FM1" s="571"/>
      <c r="FN1" s="571"/>
      <c r="FO1" s="571"/>
    </row>
    <row r="2" spans="5:171" ht="58" customHeight="1" x14ac:dyDescent="0.2">
      <c r="E2" s="1220" t="s">
        <v>9563</v>
      </c>
      <c r="F2" s="1223" t="s">
        <v>9562</v>
      </c>
      <c r="G2" s="1220" t="s">
        <v>9561</v>
      </c>
      <c r="H2" s="1223" t="s">
        <v>12</v>
      </c>
      <c r="I2" s="1223" t="s">
        <v>8881</v>
      </c>
      <c r="J2" s="1226" t="s">
        <v>9590</v>
      </c>
      <c r="K2" s="1226"/>
      <c r="L2" s="576" t="s">
        <v>20</v>
      </c>
      <c r="M2" s="1227" t="s">
        <v>24</v>
      </c>
      <c r="N2" s="1227"/>
      <c r="O2" s="1227" t="s">
        <v>29</v>
      </c>
      <c r="P2" s="1227"/>
      <c r="Q2" s="1227"/>
      <c r="R2" s="1227"/>
      <c r="S2" s="1227"/>
      <c r="T2" s="1227"/>
      <c r="U2" s="1227"/>
      <c r="V2" s="1227"/>
      <c r="W2" s="1227"/>
      <c r="X2" s="1227"/>
      <c r="Y2" s="1227"/>
      <c r="Z2" s="592"/>
      <c r="AA2" s="592"/>
      <c r="AB2" s="592"/>
      <c r="AC2" s="592"/>
      <c r="AD2" s="592"/>
      <c r="AE2" s="592"/>
      <c r="AF2" s="592"/>
      <c r="AG2" s="592"/>
      <c r="AH2" s="576" t="s">
        <v>43</v>
      </c>
      <c r="AI2" s="1226" t="s">
        <v>46</v>
      </c>
      <c r="AJ2" s="1226"/>
      <c r="AK2" s="1226"/>
      <c r="AL2" s="576" t="s">
        <v>54</v>
      </c>
      <c r="AM2" s="576"/>
      <c r="AN2" s="1226" t="s">
        <v>59</v>
      </c>
      <c r="AO2" s="1226"/>
      <c r="AP2" s="1226"/>
      <c r="AQ2" s="1226" t="s">
        <v>68</v>
      </c>
      <c r="AR2" s="1226"/>
      <c r="AS2" s="576"/>
      <c r="AT2" s="1226" t="s">
        <v>73</v>
      </c>
      <c r="AU2" s="1226"/>
      <c r="AV2" s="1226" t="s">
        <v>78</v>
      </c>
      <c r="AW2" s="1226"/>
      <c r="AX2" s="1227" t="s">
        <v>83</v>
      </c>
      <c r="AY2" s="1227"/>
      <c r="AZ2" s="1226" t="s">
        <v>87</v>
      </c>
      <c r="BA2" s="1226"/>
      <c r="BB2" s="1226"/>
      <c r="BC2" s="1226"/>
      <c r="BD2" s="1226"/>
      <c r="BE2" s="1226" t="s">
        <v>99</v>
      </c>
      <c r="BF2" s="1226"/>
      <c r="BG2" s="1226"/>
      <c r="BH2" s="1226"/>
      <c r="BI2" s="1226" t="s">
        <v>108</v>
      </c>
      <c r="BJ2" s="1226"/>
      <c r="BK2" s="1226" t="s">
        <v>114</v>
      </c>
      <c r="BL2" s="1226"/>
      <c r="BM2" s="1226"/>
      <c r="BN2" s="1227" t="s">
        <v>123</v>
      </c>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592"/>
      <c r="CN2" s="1226" t="s">
        <v>175</v>
      </c>
      <c r="CO2" s="1226"/>
      <c r="CP2" s="1226"/>
      <c r="CQ2" s="1226"/>
      <c r="CR2" s="1226"/>
      <c r="CS2" s="1226"/>
      <c r="CT2" s="1226" t="s">
        <v>186</v>
      </c>
      <c r="CU2" s="1226"/>
      <c r="CV2" s="1226"/>
      <c r="CW2" s="1226"/>
      <c r="CX2" s="1226"/>
      <c r="CY2" s="1226"/>
      <c r="CZ2" s="1226"/>
      <c r="DA2" s="1226" t="s">
        <v>201</v>
      </c>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t="s">
        <v>224</v>
      </c>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t="s">
        <v>242</v>
      </c>
      <c r="EX2" s="1226"/>
      <c r="EY2" s="576" t="s">
        <v>249</v>
      </c>
      <c r="EZ2" s="1226" t="s">
        <v>253</v>
      </c>
      <c r="FA2" s="1226"/>
      <c r="FB2" s="1226" t="s">
        <v>260</v>
      </c>
      <c r="FC2" s="1226"/>
      <c r="FD2" s="1226"/>
      <c r="FE2" s="1226"/>
      <c r="FF2" s="1226"/>
      <c r="FG2" s="1226" t="s">
        <v>273</v>
      </c>
      <c r="FH2" s="1226"/>
      <c r="FI2" s="1226"/>
      <c r="FJ2" s="1226" t="s">
        <v>281</v>
      </c>
      <c r="FK2" s="1226"/>
      <c r="FL2" s="1226"/>
      <c r="FM2" s="1226" t="s">
        <v>291</v>
      </c>
      <c r="FN2" s="1226"/>
      <c r="FO2" s="1226"/>
    </row>
    <row r="3" spans="5:171" ht="15" customHeight="1" x14ac:dyDescent="0.2">
      <c r="E3" s="1221"/>
      <c r="F3" s="1224"/>
      <c r="G3" s="1221"/>
      <c r="H3" s="1224"/>
      <c r="I3" s="1224"/>
      <c r="J3" s="602" t="s">
        <v>16</v>
      </c>
      <c r="K3" s="602" t="s">
        <v>18</v>
      </c>
      <c r="L3" s="602" t="s">
        <v>21</v>
      </c>
      <c r="M3" s="1228" t="s">
        <v>25</v>
      </c>
      <c r="N3" s="1228"/>
      <c r="O3" s="602" t="s">
        <v>30</v>
      </c>
      <c r="P3" s="1228" t="s">
        <v>32</v>
      </c>
      <c r="Q3" s="1228"/>
      <c r="R3" s="1228" t="s">
        <v>35</v>
      </c>
      <c r="S3" s="1229"/>
      <c r="T3" s="1228" t="s">
        <v>37</v>
      </c>
      <c r="U3" s="1228"/>
      <c r="V3" s="1228" t="s">
        <v>39</v>
      </c>
      <c r="W3" s="1228"/>
      <c r="X3" s="1228" t="s">
        <v>41</v>
      </c>
      <c r="Y3" s="1228"/>
      <c r="Z3" s="602"/>
      <c r="AA3" s="602"/>
      <c r="AB3" s="602"/>
      <c r="AC3" s="602"/>
      <c r="AD3" s="602"/>
      <c r="AE3" s="602"/>
      <c r="AF3" s="602"/>
      <c r="AG3" s="602"/>
      <c r="AH3" s="602" t="s">
        <v>44</v>
      </c>
      <c r="AI3" s="602" t="s">
        <v>47</v>
      </c>
      <c r="AJ3" s="602" t="s">
        <v>49</v>
      </c>
      <c r="AK3" s="602" t="s">
        <v>51</v>
      </c>
      <c r="AL3" s="602" t="s">
        <v>55</v>
      </c>
      <c r="AM3" s="602"/>
      <c r="AN3" s="602" t="s">
        <v>60</v>
      </c>
      <c r="AO3" s="602" t="s">
        <v>62</v>
      </c>
      <c r="AP3" s="602" t="s">
        <v>65</v>
      </c>
      <c r="AQ3" s="602" t="s">
        <v>69</v>
      </c>
      <c r="AR3" s="602" t="s">
        <v>71</v>
      </c>
      <c r="AS3" s="602"/>
      <c r="AT3" s="602" t="s">
        <v>74</v>
      </c>
      <c r="AU3" s="602" t="s">
        <v>76</v>
      </c>
      <c r="AV3" s="602" t="s">
        <v>79</v>
      </c>
      <c r="AW3" s="602" t="s">
        <v>81</v>
      </c>
      <c r="AX3" s="602" t="s">
        <v>84</v>
      </c>
      <c r="AY3" s="602" t="s">
        <v>85</v>
      </c>
      <c r="AZ3" s="602" t="s">
        <v>88</v>
      </c>
      <c r="BA3" s="602" t="s">
        <v>90</v>
      </c>
      <c r="BB3" s="602" t="s">
        <v>92</v>
      </c>
      <c r="BC3" s="602" t="s">
        <v>94</v>
      </c>
      <c r="BD3" s="602" t="s">
        <v>96</v>
      </c>
      <c r="BE3" s="602" t="s">
        <v>100</v>
      </c>
      <c r="BF3" s="1228" t="s">
        <v>103</v>
      </c>
      <c r="BG3" s="1229"/>
      <c r="BH3" s="606" t="s">
        <v>105</v>
      </c>
      <c r="BI3" s="602" t="s">
        <v>109</v>
      </c>
      <c r="BJ3" s="602" t="s">
        <v>111</v>
      </c>
      <c r="BK3" s="602" t="s">
        <v>115</v>
      </c>
      <c r="BL3" s="602" t="s">
        <v>118</v>
      </c>
      <c r="BM3" s="602" t="s">
        <v>120</v>
      </c>
      <c r="BN3" s="602" t="s">
        <v>124</v>
      </c>
      <c r="BO3" s="602" t="s">
        <v>126</v>
      </c>
      <c r="BP3" s="602" t="s">
        <v>128</v>
      </c>
      <c r="BQ3" s="602" t="s">
        <v>130</v>
      </c>
      <c r="BR3" s="602" t="s">
        <v>132</v>
      </c>
      <c r="BS3" s="602" t="s">
        <v>134</v>
      </c>
      <c r="BT3" s="602" t="s">
        <v>136</v>
      </c>
      <c r="BU3" s="602" t="s">
        <v>138</v>
      </c>
      <c r="BV3" s="602" t="s">
        <v>140</v>
      </c>
      <c r="BW3" s="602" t="s">
        <v>142</v>
      </c>
      <c r="BX3" s="602" t="s">
        <v>144</v>
      </c>
      <c r="BY3" s="602" t="s">
        <v>146</v>
      </c>
      <c r="BZ3" s="602" t="s">
        <v>148</v>
      </c>
      <c r="CA3" s="602" t="s">
        <v>150</v>
      </c>
      <c r="CB3" s="602" t="s">
        <v>152</v>
      </c>
      <c r="CC3" s="602" t="s">
        <v>154</v>
      </c>
      <c r="CD3" s="602" t="s">
        <v>156</v>
      </c>
      <c r="CE3" s="602" t="s">
        <v>158</v>
      </c>
      <c r="CF3" s="602" t="s">
        <v>160</v>
      </c>
      <c r="CG3" s="602" t="s">
        <v>162</v>
      </c>
      <c r="CH3" s="602" t="s">
        <v>164</v>
      </c>
      <c r="CI3" s="602" t="s">
        <v>166</v>
      </c>
      <c r="CJ3" s="602" t="s">
        <v>168</v>
      </c>
      <c r="CK3" s="602" t="s">
        <v>170</v>
      </c>
      <c r="CL3" s="602" t="s">
        <v>172</v>
      </c>
      <c r="CM3" s="602"/>
      <c r="CN3" s="602" t="s">
        <v>176</v>
      </c>
      <c r="CO3" s="1228" t="s">
        <v>179</v>
      </c>
      <c r="CP3" s="1228"/>
      <c r="CQ3" s="602" t="s">
        <v>181</v>
      </c>
      <c r="CR3" s="1229" t="s">
        <v>183</v>
      </c>
      <c r="CS3" s="1229"/>
      <c r="CT3" s="602" t="s">
        <v>187</v>
      </c>
      <c r="CU3" s="1228" t="s">
        <v>189</v>
      </c>
      <c r="CV3" s="1229"/>
      <c r="CW3" s="602" t="s">
        <v>192</v>
      </c>
      <c r="CX3" s="602" t="s">
        <v>194</v>
      </c>
      <c r="CY3" s="602" t="s">
        <v>196</v>
      </c>
      <c r="CZ3" s="602" t="s">
        <v>198</v>
      </c>
      <c r="DA3" s="1228" t="s">
        <v>202</v>
      </c>
      <c r="DB3" s="1228"/>
      <c r="DC3" s="1228"/>
      <c r="DD3" s="1228" t="s">
        <v>207</v>
      </c>
      <c r="DE3" s="1228"/>
      <c r="DF3" s="1228"/>
      <c r="DG3" s="1228" t="s">
        <v>210</v>
      </c>
      <c r="DH3" s="1229"/>
      <c r="DI3" s="1229"/>
      <c r="DJ3" s="1229" t="s">
        <v>212</v>
      </c>
      <c r="DK3" s="1229"/>
      <c r="DL3" s="1229"/>
      <c r="DM3" s="1228" t="s">
        <v>214</v>
      </c>
      <c r="DN3" s="1228"/>
      <c r="DO3" s="1228"/>
      <c r="DP3" s="1228" t="s">
        <v>216</v>
      </c>
      <c r="DQ3" s="1228"/>
      <c r="DR3" s="1228"/>
      <c r="DS3" s="1228" t="s">
        <v>218</v>
      </c>
      <c r="DT3" s="1228"/>
      <c r="DU3" s="1228"/>
      <c r="DV3" s="1228" t="s">
        <v>220</v>
      </c>
      <c r="DW3" s="1228"/>
      <c r="DX3" s="1228"/>
      <c r="DY3" s="1228" t="s">
        <v>225</v>
      </c>
      <c r="DZ3" s="1228"/>
      <c r="EA3" s="1228"/>
      <c r="EB3" s="1228" t="s">
        <v>227</v>
      </c>
      <c r="EC3" s="1228"/>
      <c r="ED3" s="1228"/>
      <c r="EE3" s="1228" t="s">
        <v>229</v>
      </c>
      <c r="EF3" s="1229"/>
      <c r="EG3" s="1229"/>
      <c r="EH3" s="1228" t="s">
        <v>231</v>
      </c>
      <c r="EI3" s="1228"/>
      <c r="EJ3" s="1228"/>
      <c r="EK3" s="1228" t="s">
        <v>233</v>
      </c>
      <c r="EL3" s="1228"/>
      <c r="EM3" s="1228"/>
      <c r="EN3" s="1228" t="s">
        <v>235</v>
      </c>
      <c r="EO3" s="1228"/>
      <c r="EP3" s="1228"/>
      <c r="EQ3" s="1228" t="s">
        <v>237</v>
      </c>
      <c r="ER3" s="1229"/>
      <c r="ES3" s="1229"/>
      <c r="ET3" s="1228" t="s">
        <v>239</v>
      </c>
      <c r="EU3" s="1228"/>
      <c r="EV3" s="1228"/>
      <c r="EW3" s="815" t="s">
        <v>243</v>
      </c>
      <c r="EX3" s="815" t="s">
        <v>246</v>
      </c>
      <c r="EY3" s="602" t="s">
        <v>250</v>
      </c>
      <c r="EZ3" s="602" t="s">
        <v>254</v>
      </c>
      <c r="FA3" s="602" t="s">
        <v>257</v>
      </c>
      <c r="FB3" s="602" t="s">
        <v>261</v>
      </c>
      <c r="FC3" s="602" t="s">
        <v>263</v>
      </c>
      <c r="FD3" s="602" t="s">
        <v>265</v>
      </c>
      <c r="FE3" s="602" t="s">
        <v>268</v>
      </c>
      <c r="FF3" s="602" t="s">
        <v>270</v>
      </c>
      <c r="FG3" s="602" t="s">
        <v>274</v>
      </c>
      <c r="FH3" s="602" t="s">
        <v>276</v>
      </c>
      <c r="FI3" s="602" t="s">
        <v>278</v>
      </c>
      <c r="FJ3" s="602" t="s">
        <v>282</v>
      </c>
      <c r="FK3" s="602" t="s">
        <v>284</v>
      </c>
      <c r="FL3" s="602" t="s">
        <v>287</v>
      </c>
      <c r="FM3" s="602" t="s">
        <v>292</v>
      </c>
      <c r="FN3" s="602" t="s">
        <v>294</v>
      </c>
      <c r="FO3" s="602" t="s">
        <v>295</v>
      </c>
    </row>
    <row r="4" spans="5:171" ht="135" customHeight="1" x14ac:dyDescent="0.2">
      <c r="E4" s="1221"/>
      <c r="F4" s="1224"/>
      <c r="G4" s="1221"/>
      <c r="H4" s="1224"/>
      <c r="I4" s="1224"/>
      <c r="J4" s="592" t="s">
        <v>17</v>
      </c>
      <c r="K4" s="592" t="s">
        <v>19</v>
      </c>
      <c r="L4" s="592" t="s">
        <v>22</v>
      </c>
      <c r="M4" s="1227" t="s">
        <v>26</v>
      </c>
      <c r="N4" s="1227"/>
      <c r="O4" s="592" t="s">
        <v>31</v>
      </c>
      <c r="P4" s="1227" t="s">
        <v>33</v>
      </c>
      <c r="Q4" s="1227"/>
      <c r="R4" s="1227" t="s">
        <v>36</v>
      </c>
      <c r="S4" s="1227"/>
      <c r="T4" s="1227" t="s">
        <v>38</v>
      </c>
      <c r="U4" s="1227"/>
      <c r="V4" s="1227" t="s">
        <v>40</v>
      </c>
      <c r="W4" s="1227"/>
      <c r="X4" s="1227" t="s">
        <v>42</v>
      </c>
      <c r="Y4" s="1227"/>
      <c r="Z4" s="592"/>
      <c r="AA4" s="592"/>
      <c r="AB4" s="592"/>
      <c r="AC4" s="592"/>
      <c r="AD4" s="592"/>
      <c r="AE4" s="592"/>
      <c r="AF4" s="592"/>
      <c r="AG4" s="592"/>
      <c r="AH4" s="592" t="s">
        <v>45</v>
      </c>
      <c r="AI4" s="592" t="s">
        <v>48</v>
      </c>
      <c r="AJ4" s="592" t="s">
        <v>50</v>
      </c>
      <c r="AK4" s="592" t="s">
        <v>52</v>
      </c>
      <c r="AL4" s="592" t="s">
        <v>56</v>
      </c>
      <c r="AM4" s="592"/>
      <c r="AN4" s="592" t="s">
        <v>61</v>
      </c>
      <c r="AO4" s="592" t="s">
        <v>63</v>
      </c>
      <c r="AP4" s="592" t="s">
        <v>66</v>
      </c>
      <c r="AQ4" s="592" t="s">
        <v>70</v>
      </c>
      <c r="AR4" s="592" t="s">
        <v>63</v>
      </c>
      <c r="AS4" s="592"/>
      <c r="AT4" s="592" t="s">
        <v>75</v>
      </c>
      <c r="AU4" s="592" t="s">
        <v>63</v>
      </c>
      <c r="AV4" s="592" t="s">
        <v>80</v>
      </c>
      <c r="AW4" s="592" t="s">
        <v>63</v>
      </c>
      <c r="AX4" s="576" t="s">
        <v>9591</v>
      </c>
      <c r="AY4" s="576" t="s">
        <v>63</v>
      </c>
      <c r="AZ4" s="592" t="s">
        <v>89</v>
      </c>
      <c r="BA4" s="592" t="s">
        <v>91</v>
      </c>
      <c r="BB4" s="592" t="s">
        <v>93</v>
      </c>
      <c r="BC4" s="592" t="s">
        <v>95</v>
      </c>
      <c r="BD4" s="592" t="s">
        <v>97</v>
      </c>
      <c r="BE4" s="592" t="s">
        <v>101</v>
      </c>
      <c r="BF4" s="1227" t="s">
        <v>104</v>
      </c>
      <c r="BG4" s="1227"/>
      <c r="BH4" s="816" t="s">
        <v>106</v>
      </c>
      <c r="BI4" s="592" t="s">
        <v>110</v>
      </c>
      <c r="BJ4" s="592" t="s">
        <v>112</v>
      </c>
      <c r="BK4" s="592" t="s">
        <v>116</v>
      </c>
      <c r="BL4" s="592" t="s">
        <v>119</v>
      </c>
      <c r="BM4" s="592" t="s">
        <v>121</v>
      </c>
      <c r="BN4" s="592" t="s">
        <v>125</v>
      </c>
      <c r="BO4" s="592" t="s">
        <v>127</v>
      </c>
      <c r="BP4" s="592" t="s">
        <v>129</v>
      </c>
      <c r="BQ4" s="592" t="s">
        <v>131</v>
      </c>
      <c r="BR4" s="592" t="s">
        <v>133</v>
      </c>
      <c r="BS4" s="592" t="s">
        <v>135</v>
      </c>
      <c r="BT4" s="592" t="s">
        <v>137</v>
      </c>
      <c r="BU4" s="592" t="s">
        <v>139</v>
      </c>
      <c r="BV4" s="592" t="s">
        <v>141</v>
      </c>
      <c r="BW4" s="592" t="s">
        <v>143</v>
      </c>
      <c r="BX4" s="592" t="s">
        <v>145</v>
      </c>
      <c r="BY4" s="592" t="s">
        <v>147</v>
      </c>
      <c r="BZ4" s="592" t="s">
        <v>149</v>
      </c>
      <c r="CA4" s="592" t="s">
        <v>151</v>
      </c>
      <c r="CB4" s="592" t="s">
        <v>153</v>
      </c>
      <c r="CC4" s="592" t="s">
        <v>155</v>
      </c>
      <c r="CD4" s="592" t="s">
        <v>157</v>
      </c>
      <c r="CE4" s="592" t="s">
        <v>159</v>
      </c>
      <c r="CF4" s="592" t="s">
        <v>161</v>
      </c>
      <c r="CG4" s="592" t="s">
        <v>163</v>
      </c>
      <c r="CH4" s="592" t="s">
        <v>165</v>
      </c>
      <c r="CI4" s="592" t="s">
        <v>167</v>
      </c>
      <c r="CJ4" s="592" t="s">
        <v>169</v>
      </c>
      <c r="CK4" s="592" t="s">
        <v>171</v>
      </c>
      <c r="CL4" s="817" t="s">
        <v>9589</v>
      </c>
      <c r="CM4" s="817"/>
      <c r="CN4" s="592" t="s">
        <v>177</v>
      </c>
      <c r="CO4" s="1227" t="s">
        <v>180</v>
      </c>
      <c r="CP4" s="1227"/>
      <c r="CQ4" s="592" t="s">
        <v>182</v>
      </c>
      <c r="CR4" s="1227" t="s">
        <v>184</v>
      </c>
      <c r="CS4" s="1227"/>
      <c r="CT4" s="592" t="s">
        <v>188</v>
      </c>
      <c r="CU4" s="592" t="s">
        <v>190</v>
      </c>
      <c r="CV4" s="592" t="s">
        <v>191</v>
      </c>
      <c r="CW4" s="592" t="s">
        <v>193</v>
      </c>
      <c r="CX4" s="592" t="s">
        <v>195</v>
      </c>
      <c r="CY4" s="592" t="s">
        <v>197</v>
      </c>
      <c r="CZ4" s="592" t="s">
        <v>199</v>
      </c>
      <c r="DA4" s="1227" t="s">
        <v>203</v>
      </c>
      <c r="DB4" s="1227"/>
      <c r="DC4" s="1227"/>
      <c r="DD4" s="1227" t="s">
        <v>208</v>
      </c>
      <c r="DE4" s="1227"/>
      <c r="DF4" s="1227"/>
      <c r="DG4" s="1227" t="s">
        <v>211</v>
      </c>
      <c r="DH4" s="1227"/>
      <c r="DI4" s="1227"/>
      <c r="DJ4" s="1227" t="s">
        <v>213</v>
      </c>
      <c r="DK4" s="1227"/>
      <c r="DL4" s="1227"/>
      <c r="DM4" s="1227" t="s">
        <v>215</v>
      </c>
      <c r="DN4" s="1227"/>
      <c r="DO4" s="1227"/>
      <c r="DP4" s="1227" t="s">
        <v>217</v>
      </c>
      <c r="DQ4" s="1227"/>
      <c r="DR4" s="1227"/>
      <c r="DS4" s="1227" t="s">
        <v>219</v>
      </c>
      <c r="DT4" s="1227"/>
      <c r="DU4" s="1227"/>
      <c r="DV4" s="1227" t="s">
        <v>221</v>
      </c>
      <c r="DW4" s="1227"/>
      <c r="DX4" s="1227"/>
      <c r="DY4" s="1227" t="s">
        <v>226</v>
      </c>
      <c r="DZ4" s="1227"/>
      <c r="EA4" s="1227"/>
      <c r="EB4" s="1227" t="s">
        <v>228</v>
      </c>
      <c r="EC4" s="1227"/>
      <c r="ED4" s="1227"/>
      <c r="EE4" s="1227" t="s">
        <v>230</v>
      </c>
      <c r="EF4" s="1227"/>
      <c r="EG4" s="1227"/>
      <c r="EH4" s="1227" t="s">
        <v>232</v>
      </c>
      <c r="EI4" s="1227"/>
      <c r="EJ4" s="1227"/>
      <c r="EK4" s="1227" t="s">
        <v>234</v>
      </c>
      <c r="EL4" s="1227"/>
      <c r="EM4" s="1227"/>
      <c r="EN4" s="1227" t="s">
        <v>236</v>
      </c>
      <c r="EO4" s="1227"/>
      <c r="EP4" s="1227"/>
      <c r="EQ4" s="1227" t="s">
        <v>238</v>
      </c>
      <c r="ER4" s="1227"/>
      <c r="ES4" s="1227"/>
      <c r="ET4" s="1227" t="s">
        <v>240</v>
      </c>
      <c r="EU4" s="1227"/>
      <c r="EV4" s="1227"/>
      <c r="EW4" s="592" t="s">
        <v>244</v>
      </c>
      <c r="EX4" s="592" t="s">
        <v>247</v>
      </c>
      <c r="EY4" s="592" t="s">
        <v>251</v>
      </c>
      <c r="EZ4" s="592" t="s">
        <v>255</v>
      </c>
      <c r="FA4" s="592" t="s">
        <v>258</v>
      </c>
      <c r="FB4" s="592" t="s">
        <v>262</v>
      </c>
      <c r="FC4" s="592" t="s">
        <v>264</v>
      </c>
      <c r="FD4" s="592" t="s">
        <v>266</v>
      </c>
      <c r="FE4" s="592" t="s">
        <v>269</v>
      </c>
      <c r="FF4" s="592" t="s">
        <v>271</v>
      </c>
      <c r="FG4" s="592" t="s">
        <v>275</v>
      </c>
      <c r="FH4" s="592" t="s">
        <v>277</v>
      </c>
      <c r="FI4" s="592" t="s">
        <v>279</v>
      </c>
      <c r="FJ4" s="592" t="s">
        <v>283</v>
      </c>
      <c r="FK4" s="592" t="s">
        <v>285</v>
      </c>
      <c r="FL4" s="592" t="s">
        <v>288</v>
      </c>
      <c r="FM4" s="592" t="s">
        <v>293</v>
      </c>
      <c r="FN4" s="592" t="s">
        <v>285</v>
      </c>
      <c r="FO4" s="592" t="s">
        <v>288</v>
      </c>
    </row>
    <row r="5" spans="5:171" ht="60" customHeight="1" x14ac:dyDescent="0.2">
      <c r="E5" s="1222"/>
      <c r="F5" s="1225"/>
      <c r="G5" s="1222"/>
      <c r="H5" s="1225"/>
      <c r="I5" s="1225"/>
      <c r="J5" s="818" t="s">
        <v>15</v>
      </c>
      <c r="K5" s="818" t="s">
        <v>15</v>
      </c>
      <c r="L5" s="818" t="s">
        <v>23</v>
      </c>
      <c r="M5" s="818" t="s">
        <v>27</v>
      </c>
      <c r="N5" s="818" t="s">
        <v>28</v>
      </c>
      <c r="O5" s="818" t="s">
        <v>15</v>
      </c>
      <c r="P5" s="818" t="s">
        <v>15</v>
      </c>
      <c r="Q5" s="818" t="s">
        <v>34</v>
      </c>
      <c r="R5" s="818" t="s">
        <v>15</v>
      </c>
      <c r="S5" s="818" t="s">
        <v>34</v>
      </c>
      <c r="T5" s="818" t="s">
        <v>15</v>
      </c>
      <c r="U5" s="818" t="s">
        <v>34</v>
      </c>
      <c r="V5" s="818" t="s">
        <v>15</v>
      </c>
      <c r="W5" s="818" t="s">
        <v>34</v>
      </c>
      <c r="X5" s="818" t="s">
        <v>15</v>
      </c>
      <c r="Y5" s="818" t="s">
        <v>34</v>
      </c>
      <c r="Z5" s="818"/>
      <c r="AA5" s="818"/>
      <c r="AB5" s="818"/>
      <c r="AC5" s="818"/>
      <c r="AD5" s="818"/>
      <c r="AE5" s="818"/>
      <c r="AF5" s="818"/>
      <c r="AG5" s="818"/>
      <c r="AH5" s="818" t="s">
        <v>15</v>
      </c>
      <c r="AI5" s="818" t="s">
        <v>15</v>
      </c>
      <c r="AJ5" s="818" t="s">
        <v>15</v>
      </c>
      <c r="AK5" s="818" t="s">
        <v>15</v>
      </c>
      <c r="AL5" s="819" t="s">
        <v>57</v>
      </c>
      <c r="AM5" s="819"/>
      <c r="AN5" s="819" t="s">
        <v>57</v>
      </c>
      <c r="AO5" s="818" t="s">
        <v>64</v>
      </c>
      <c r="AP5" s="818" t="s">
        <v>64</v>
      </c>
      <c r="AQ5" s="819" t="s">
        <v>57</v>
      </c>
      <c r="AR5" s="818" t="s">
        <v>64</v>
      </c>
      <c r="AS5" s="818"/>
      <c r="AT5" s="819" t="s">
        <v>57</v>
      </c>
      <c r="AU5" s="818" t="s">
        <v>64</v>
      </c>
      <c r="AV5" s="819" t="s">
        <v>57</v>
      </c>
      <c r="AW5" s="818" t="s">
        <v>64</v>
      </c>
      <c r="AX5" s="819" t="s">
        <v>57</v>
      </c>
      <c r="AY5" s="818" t="s">
        <v>64</v>
      </c>
      <c r="AZ5" s="819" t="s">
        <v>57</v>
      </c>
      <c r="BA5" s="818" t="s">
        <v>64</v>
      </c>
      <c r="BB5" s="818" t="s">
        <v>15</v>
      </c>
      <c r="BC5" s="818" t="s">
        <v>15</v>
      </c>
      <c r="BD5" s="818" t="s">
        <v>15</v>
      </c>
      <c r="BE5" s="818" t="s">
        <v>102</v>
      </c>
      <c r="BF5" s="818" t="s">
        <v>15</v>
      </c>
      <c r="BG5" s="818" t="s">
        <v>34</v>
      </c>
      <c r="BH5" s="820" t="s">
        <v>57</v>
      </c>
      <c r="BI5" s="819" t="s">
        <v>57</v>
      </c>
      <c r="BJ5" s="818" t="s">
        <v>64</v>
      </c>
      <c r="BK5" s="818" t="s">
        <v>117</v>
      </c>
      <c r="BL5" s="818" t="s">
        <v>117</v>
      </c>
      <c r="BM5" s="818" t="s">
        <v>117</v>
      </c>
      <c r="BN5" s="821" t="s">
        <v>117</v>
      </c>
      <c r="BO5" s="821" t="s">
        <v>117</v>
      </c>
      <c r="BP5" s="821" t="s">
        <v>117</v>
      </c>
      <c r="BQ5" s="821" t="s">
        <v>117</v>
      </c>
      <c r="BR5" s="821" t="s">
        <v>117</v>
      </c>
      <c r="BS5" s="821" t="s">
        <v>117</v>
      </c>
      <c r="BT5" s="821" t="s">
        <v>117</v>
      </c>
      <c r="BU5" s="821" t="s">
        <v>117</v>
      </c>
      <c r="BV5" s="821" t="s">
        <v>117</v>
      </c>
      <c r="BW5" s="821" t="s">
        <v>117</v>
      </c>
      <c r="BX5" s="821" t="s">
        <v>117</v>
      </c>
      <c r="BY5" s="821" t="s">
        <v>117</v>
      </c>
      <c r="BZ5" s="821" t="s">
        <v>117</v>
      </c>
      <c r="CA5" s="821" t="s">
        <v>117</v>
      </c>
      <c r="CB5" s="821" t="s">
        <v>117</v>
      </c>
      <c r="CC5" s="821" t="s">
        <v>117</v>
      </c>
      <c r="CD5" s="821" t="s">
        <v>117</v>
      </c>
      <c r="CE5" s="821" t="s">
        <v>117</v>
      </c>
      <c r="CF5" s="821" t="s">
        <v>117</v>
      </c>
      <c r="CG5" s="821" t="s">
        <v>117</v>
      </c>
      <c r="CH5" s="821" t="s">
        <v>117</v>
      </c>
      <c r="CI5" s="821" t="s">
        <v>117</v>
      </c>
      <c r="CJ5" s="821" t="s">
        <v>117</v>
      </c>
      <c r="CK5" s="821" t="s">
        <v>117</v>
      </c>
      <c r="CL5" s="821" t="s">
        <v>173</v>
      </c>
      <c r="CM5" s="821"/>
      <c r="CN5" s="819" t="s">
        <v>178</v>
      </c>
      <c r="CO5" s="818" t="s">
        <v>15</v>
      </c>
      <c r="CP5" s="818" t="s">
        <v>34</v>
      </c>
      <c r="CQ5" s="818" t="s">
        <v>64</v>
      </c>
      <c r="CR5" s="818" t="s">
        <v>178</v>
      </c>
      <c r="CS5" s="818" t="s">
        <v>34</v>
      </c>
      <c r="CT5" s="818" t="s">
        <v>102</v>
      </c>
      <c r="CU5" s="818" t="s">
        <v>15</v>
      </c>
      <c r="CV5" s="818" t="s">
        <v>34</v>
      </c>
      <c r="CW5" s="818" t="s">
        <v>15</v>
      </c>
      <c r="CX5" s="818" t="s">
        <v>117</v>
      </c>
      <c r="CY5" s="818" t="s">
        <v>117</v>
      </c>
      <c r="CZ5" s="818" t="s">
        <v>117</v>
      </c>
      <c r="DA5" s="818" t="s">
        <v>204</v>
      </c>
      <c r="DB5" s="818" t="s">
        <v>205</v>
      </c>
      <c r="DC5" s="818" t="s">
        <v>206</v>
      </c>
      <c r="DD5" s="818" t="s">
        <v>204</v>
      </c>
      <c r="DE5" s="818" t="s">
        <v>205</v>
      </c>
      <c r="DF5" s="818" t="s">
        <v>209</v>
      </c>
      <c r="DG5" s="818" t="s">
        <v>204</v>
      </c>
      <c r="DH5" s="818" t="s">
        <v>205</v>
      </c>
      <c r="DI5" s="818" t="s">
        <v>209</v>
      </c>
      <c r="DJ5" s="818" t="s">
        <v>204</v>
      </c>
      <c r="DK5" s="818" t="s">
        <v>205</v>
      </c>
      <c r="DL5" s="818" t="s">
        <v>209</v>
      </c>
      <c r="DM5" s="818" t="s">
        <v>204</v>
      </c>
      <c r="DN5" s="818" t="s">
        <v>205</v>
      </c>
      <c r="DO5" s="818" t="s">
        <v>209</v>
      </c>
      <c r="DP5" s="818" t="s">
        <v>204</v>
      </c>
      <c r="DQ5" s="818" t="s">
        <v>205</v>
      </c>
      <c r="DR5" s="818" t="s">
        <v>209</v>
      </c>
      <c r="DS5" s="818" t="s">
        <v>204</v>
      </c>
      <c r="DT5" s="818" t="s">
        <v>205</v>
      </c>
      <c r="DU5" s="818" t="s">
        <v>209</v>
      </c>
      <c r="DV5" s="818" t="s">
        <v>222</v>
      </c>
      <c r="DW5" s="818" t="s">
        <v>205</v>
      </c>
      <c r="DX5" s="818" t="s">
        <v>209</v>
      </c>
      <c r="DY5" s="818" t="s">
        <v>204</v>
      </c>
      <c r="DZ5" s="818" t="s">
        <v>205</v>
      </c>
      <c r="EA5" s="818" t="s">
        <v>209</v>
      </c>
      <c r="EB5" s="818" t="s">
        <v>204</v>
      </c>
      <c r="EC5" s="818" t="s">
        <v>205</v>
      </c>
      <c r="ED5" s="818" t="s">
        <v>209</v>
      </c>
      <c r="EE5" s="818" t="s">
        <v>204</v>
      </c>
      <c r="EF5" s="818" t="s">
        <v>205</v>
      </c>
      <c r="EG5" s="818" t="s">
        <v>209</v>
      </c>
      <c r="EH5" s="818" t="s">
        <v>204</v>
      </c>
      <c r="EI5" s="818" t="s">
        <v>205</v>
      </c>
      <c r="EJ5" s="818" t="s">
        <v>209</v>
      </c>
      <c r="EK5" s="818" t="s">
        <v>204</v>
      </c>
      <c r="EL5" s="818" t="s">
        <v>205</v>
      </c>
      <c r="EM5" s="818" t="s">
        <v>209</v>
      </c>
      <c r="EN5" s="818" t="s">
        <v>204</v>
      </c>
      <c r="EO5" s="818" t="s">
        <v>205</v>
      </c>
      <c r="EP5" s="818" t="s">
        <v>209</v>
      </c>
      <c r="EQ5" s="818" t="s">
        <v>204</v>
      </c>
      <c r="ER5" s="818" t="s">
        <v>205</v>
      </c>
      <c r="ES5" s="818" t="s">
        <v>209</v>
      </c>
      <c r="ET5" s="818" t="s">
        <v>222</v>
      </c>
      <c r="EU5" s="818" t="s">
        <v>205</v>
      </c>
      <c r="EV5" s="818" t="s">
        <v>209</v>
      </c>
      <c r="EW5" s="818" t="s">
        <v>245</v>
      </c>
      <c r="EX5" s="818" t="s">
        <v>15</v>
      </c>
      <c r="EY5" s="818" t="s">
        <v>117</v>
      </c>
      <c r="EZ5" s="818" t="s">
        <v>256</v>
      </c>
      <c r="FA5" s="818" t="s">
        <v>15</v>
      </c>
      <c r="FB5" s="818" t="s">
        <v>34</v>
      </c>
      <c r="FC5" s="818" t="s">
        <v>34</v>
      </c>
      <c r="FD5" s="818" t="s">
        <v>267</v>
      </c>
      <c r="FE5" s="818" t="s">
        <v>15</v>
      </c>
      <c r="FF5" s="818" t="s">
        <v>15</v>
      </c>
      <c r="FG5" s="818" t="s">
        <v>15</v>
      </c>
      <c r="FH5" s="818" t="s">
        <v>117</v>
      </c>
      <c r="FI5" s="818" t="s">
        <v>117</v>
      </c>
      <c r="FJ5" s="818" t="s">
        <v>15</v>
      </c>
      <c r="FK5" s="818" t="s">
        <v>286</v>
      </c>
      <c r="FL5" s="818" t="s">
        <v>289</v>
      </c>
      <c r="FM5" s="818" t="s">
        <v>15</v>
      </c>
      <c r="FN5" s="818" t="s">
        <v>286</v>
      </c>
      <c r="FO5" s="818" t="s">
        <v>289</v>
      </c>
    </row>
    <row r="6" spans="5:171" ht="104" customHeight="1" x14ac:dyDescent="0.2">
      <c r="E6" s="94" t="s">
        <v>9302</v>
      </c>
      <c r="F6" s="94" t="s">
        <v>9120</v>
      </c>
      <c r="G6" s="198" t="s">
        <v>298</v>
      </c>
      <c r="H6" s="198" t="s">
        <v>376</v>
      </c>
      <c r="I6" s="198"/>
      <c r="J6" s="198" t="s">
        <v>991</v>
      </c>
      <c r="K6" s="198" t="s">
        <v>992</v>
      </c>
      <c r="L6" s="578">
        <v>2018</v>
      </c>
      <c r="M6" s="822">
        <v>44618</v>
      </c>
      <c r="N6" s="822" t="s">
        <v>993</v>
      </c>
      <c r="O6" s="198" t="s">
        <v>470</v>
      </c>
      <c r="P6" s="198" t="s">
        <v>470</v>
      </c>
      <c r="Q6" s="198" t="s">
        <v>470</v>
      </c>
      <c r="R6" s="198" t="s">
        <v>994</v>
      </c>
      <c r="S6" s="549" t="s">
        <v>995</v>
      </c>
      <c r="T6" s="198" t="s">
        <v>470</v>
      </c>
      <c r="U6" s="198" t="s">
        <v>470</v>
      </c>
      <c r="V6" s="198" t="s">
        <v>470</v>
      </c>
      <c r="W6" s="198" t="s">
        <v>470</v>
      </c>
      <c r="X6" s="198" t="s">
        <v>996</v>
      </c>
      <c r="Y6" s="549" t="s">
        <v>997</v>
      </c>
      <c r="Z6" s="549"/>
      <c r="AA6" s="549"/>
      <c r="AB6" s="549"/>
      <c r="AC6" s="549"/>
      <c r="AD6" s="549"/>
      <c r="AE6" s="549"/>
      <c r="AF6" s="549"/>
      <c r="AG6" s="549"/>
      <c r="AH6" s="198" t="s">
        <v>998</v>
      </c>
      <c r="AI6" s="198" t="s">
        <v>998</v>
      </c>
      <c r="AJ6" s="198" t="s">
        <v>999</v>
      </c>
      <c r="AK6" s="198" t="s">
        <v>1000</v>
      </c>
      <c r="AL6" s="580">
        <f>SUM(AN6,AQ6,AT6,AV6,AX6,AZ6)</f>
        <v>21.406999999999996</v>
      </c>
      <c r="AM6" s="504">
        <v>21.406999999999996</v>
      </c>
      <c r="AN6" s="516">
        <v>13.35</v>
      </c>
      <c r="AO6" s="137">
        <v>0.62360000000000004</v>
      </c>
      <c r="AP6" s="137">
        <v>2.9999999999999997E-4</v>
      </c>
      <c r="AQ6" s="504">
        <v>5.39</v>
      </c>
      <c r="AR6" s="137">
        <v>0.25169999999999998</v>
      </c>
      <c r="AS6" s="137"/>
      <c r="AT6" s="520"/>
      <c r="AU6" s="137"/>
      <c r="AV6" s="520"/>
      <c r="AW6" s="137"/>
      <c r="AX6" s="520">
        <v>2.6669999999999998</v>
      </c>
      <c r="AY6" s="137">
        <v>0.1246</v>
      </c>
      <c r="AZ6" s="520">
        <v>0</v>
      </c>
      <c r="BA6" s="137">
        <v>0</v>
      </c>
      <c r="BB6" s="198" t="s">
        <v>470</v>
      </c>
      <c r="BC6" s="198" t="s">
        <v>470</v>
      </c>
      <c r="BD6" s="198" t="s">
        <v>470</v>
      </c>
      <c r="BE6" s="198" t="s">
        <v>479</v>
      </c>
      <c r="BF6" s="198" t="s">
        <v>1001</v>
      </c>
      <c r="BG6" s="198" t="s">
        <v>1002</v>
      </c>
      <c r="BH6" s="198">
        <v>0.81</v>
      </c>
      <c r="BI6" s="823">
        <v>30</v>
      </c>
      <c r="BJ6" s="137">
        <v>6.9999999999999999E-4</v>
      </c>
      <c r="BK6" s="83">
        <v>42</v>
      </c>
      <c r="BL6" s="83">
        <v>16</v>
      </c>
      <c r="BM6" s="83">
        <v>16</v>
      </c>
      <c r="BN6" s="83">
        <v>0</v>
      </c>
      <c r="BO6" s="83">
        <v>6</v>
      </c>
      <c r="BP6" s="83">
        <v>0</v>
      </c>
      <c r="BQ6" s="83">
        <v>0</v>
      </c>
      <c r="BR6" s="83">
        <v>0</v>
      </c>
      <c r="BS6" s="83">
        <v>3</v>
      </c>
      <c r="BT6" s="83">
        <v>0</v>
      </c>
      <c r="BU6" s="83">
        <v>1</v>
      </c>
      <c r="BV6" s="83">
        <v>1</v>
      </c>
      <c r="BW6" s="83">
        <v>1</v>
      </c>
      <c r="BX6" s="83">
        <v>1</v>
      </c>
      <c r="BY6" s="83">
        <v>2</v>
      </c>
      <c r="BZ6" s="83">
        <v>0</v>
      </c>
      <c r="CA6" s="83">
        <v>0</v>
      </c>
      <c r="CB6" s="83">
        <v>0</v>
      </c>
      <c r="CC6" s="83">
        <v>0</v>
      </c>
      <c r="CD6" s="83">
        <v>0</v>
      </c>
      <c r="CE6" s="83">
        <v>0</v>
      </c>
      <c r="CF6" s="83">
        <v>0</v>
      </c>
      <c r="CG6" s="83">
        <v>0</v>
      </c>
      <c r="CH6" s="83">
        <v>0</v>
      </c>
      <c r="CI6" s="83">
        <v>0</v>
      </c>
      <c r="CJ6" s="83">
        <v>0</v>
      </c>
      <c r="CK6" s="83">
        <v>1</v>
      </c>
      <c r="CL6" s="824">
        <f>SUM(BN6:CK6)</f>
        <v>16</v>
      </c>
      <c r="CM6" s="824">
        <f>SUM(BN6:CK6)-CL6</f>
        <v>0</v>
      </c>
      <c r="CN6" s="580">
        <v>86.11</v>
      </c>
      <c r="CO6" s="198" t="s">
        <v>1003</v>
      </c>
      <c r="CP6" s="198" t="s">
        <v>1004</v>
      </c>
      <c r="CQ6" s="137">
        <v>0.18390000000000001</v>
      </c>
      <c r="CR6" s="580">
        <v>468.19</v>
      </c>
      <c r="CS6" s="137" t="s">
        <v>1005</v>
      </c>
      <c r="CT6" s="198" t="s">
        <v>470</v>
      </c>
      <c r="CU6" s="198" t="s">
        <v>470</v>
      </c>
      <c r="CV6" s="198" t="s">
        <v>470</v>
      </c>
      <c r="CW6" s="198" t="s">
        <v>470</v>
      </c>
      <c r="CX6" s="83" t="s">
        <v>470</v>
      </c>
      <c r="CY6" s="83" t="s">
        <v>470</v>
      </c>
      <c r="CZ6" s="83">
        <v>1</v>
      </c>
      <c r="DA6" s="198" t="s">
        <v>479</v>
      </c>
      <c r="DB6" s="198" t="s">
        <v>1006</v>
      </c>
      <c r="DC6" s="83">
        <v>2734</v>
      </c>
      <c r="DD6" s="198" t="s">
        <v>479</v>
      </c>
      <c r="DE6" s="198" t="s">
        <v>1007</v>
      </c>
      <c r="DF6" s="83">
        <v>4381</v>
      </c>
      <c r="DG6" s="83" t="s">
        <v>470</v>
      </c>
      <c r="DH6" s="83" t="s">
        <v>470</v>
      </c>
      <c r="DI6" s="83" t="s">
        <v>470</v>
      </c>
      <c r="DJ6" s="83" t="s">
        <v>470</v>
      </c>
      <c r="DK6" s="83" t="s">
        <v>470</v>
      </c>
      <c r="DL6" s="83" t="s">
        <v>470</v>
      </c>
      <c r="DM6" s="198" t="s">
        <v>470</v>
      </c>
      <c r="DN6" s="198" t="s">
        <v>470</v>
      </c>
      <c r="DO6" s="83" t="s">
        <v>470</v>
      </c>
      <c r="DP6" s="198" t="s">
        <v>479</v>
      </c>
      <c r="DQ6" s="549" t="s">
        <v>1008</v>
      </c>
      <c r="DR6" s="83">
        <v>20</v>
      </c>
      <c r="DS6" s="198" t="s">
        <v>470</v>
      </c>
      <c r="DT6" s="198" t="s">
        <v>470</v>
      </c>
      <c r="DU6" s="83" t="s">
        <v>470</v>
      </c>
      <c r="DV6" s="198" t="s">
        <v>470</v>
      </c>
      <c r="DW6" s="198" t="s">
        <v>470</v>
      </c>
      <c r="DX6" s="83" t="s">
        <v>470</v>
      </c>
      <c r="DY6" s="198" t="s">
        <v>470</v>
      </c>
      <c r="DZ6" s="198" t="s">
        <v>470</v>
      </c>
      <c r="EA6" s="83" t="s">
        <v>470</v>
      </c>
      <c r="EB6" s="198" t="s">
        <v>479</v>
      </c>
      <c r="EC6" s="198" t="s">
        <v>1007</v>
      </c>
      <c r="ED6" s="83">
        <v>4381</v>
      </c>
      <c r="EE6" s="83" t="s">
        <v>470</v>
      </c>
      <c r="EF6" s="83" t="s">
        <v>470</v>
      </c>
      <c r="EG6" s="83" t="s">
        <v>470</v>
      </c>
      <c r="EH6" s="198" t="s">
        <v>470</v>
      </c>
      <c r="EI6" s="198" t="s">
        <v>470</v>
      </c>
      <c r="EJ6" s="83" t="s">
        <v>470</v>
      </c>
      <c r="EK6" s="198" t="s">
        <v>470</v>
      </c>
      <c r="EL6" s="198" t="s">
        <v>470</v>
      </c>
      <c r="EM6" s="83" t="s">
        <v>470</v>
      </c>
      <c r="EN6" s="198" t="s">
        <v>470</v>
      </c>
      <c r="EO6" s="198" t="s">
        <v>470</v>
      </c>
      <c r="EP6" s="83" t="s">
        <v>470</v>
      </c>
      <c r="EQ6" s="83" t="s">
        <v>479</v>
      </c>
      <c r="ER6" s="83" t="s">
        <v>1009</v>
      </c>
      <c r="ES6" s="83">
        <v>13</v>
      </c>
      <c r="ET6" s="198" t="s">
        <v>470</v>
      </c>
      <c r="EU6" s="198" t="s">
        <v>470</v>
      </c>
      <c r="EV6" s="83" t="s">
        <v>470</v>
      </c>
      <c r="EW6" s="198" t="s">
        <v>1010</v>
      </c>
      <c r="EX6" s="198" t="s">
        <v>1011</v>
      </c>
      <c r="EY6" s="505">
        <v>16</v>
      </c>
      <c r="EZ6" s="198" t="s">
        <v>470</v>
      </c>
      <c r="FA6" s="198" t="s">
        <v>470</v>
      </c>
      <c r="FB6" s="549" t="s">
        <v>1012</v>
      </c>
      <c r="FC6" s="549" t="s">
        <v>1013</v>
      </c>
      <c r="FD6" s="198" t="s">
        <v>470</v>
      </c>
      <c r="FE6" s="198" t="s">
        <v>1014</v>
      </c>
      <c r="FF6" s="198" t="s">
        <v>470</v>
      </c>
      <c r="FG6" s="198" t="s">
        <v>1015</v>
      </c>
      <c r="FH6" s="198">
        <v>3</v>
      </c>
      <c r="FI6" s="198">
        <v>27</v>
      </c>
      <c r="FJ6" s="198" t="s">
        <v>1016</v>
      </c>
      <c r="FK6" s="198" t="s">
        <v>1017</v>
      </c>
      <c r="FL6" s="198" t="s">
        <v>1018</v>
      </c>
      <c r="FM6" s="198" t="s">
        <v>470</v>
      </c>
      <c r="FN6" s="198" t="s">
        <v>470</v>
      </c>
      <c r="FO6" s="198" t="s">
        <v>470</v>
      </c>
    </row>
    <row r="7" spans="5:171" ht="104" customHeight="1" x14ac:dyDescent="0.2">
      <c r="E7" s="94" t="s">
        <v>9302</v>
      </c>
      <c r="F7" s="94" t="s">
        <v>9120</v>
      </c>
      <c r="G7" s="198" t="s">
        <v>299</v>
      </c>
      <c r="H7" s="198" t="s">
        <v>377</v>
      </c>
      <c r="I7" s="198"/>
      <c r="J7" s="198" t="s">
        <v>1019</v>
      </c>
      <c r="K7" s="198" t="s">
        <v>1019</v>
      </c>
      <c r="L7" s="578">
        <v>2018</v>
      </c>
      <c r="M7" s="822" t="s">
        <v>1020</v>
      </c>
      <c r="N7" s="822" t="s">
        <v>554</v>
      </c>
      <c r="O7" s="198" t="s">
        <v>1021</v>
      </c>
      <c r="P7" s="198" t="s">
        <v>1022</v>
      </c>
      <c r="Q7" s="198" t="s">
        <v>1023</v>
      </c>
      <c r="R7" s="198" t="s">
        <v>656</v>
      </c>
      <c r="S7" s="198" t="s">
        <v>656</v>
      </c>
      <c r="T7" s="198" t="s">
        <v>656</v>
      </c>
      <c r="U7" s="198" t="s">
        <v>656</v>
      </c>
      <c r="V7" s="198" t="s">
        <v>656</v>
      </c>
      <c r="W7" s="198" t="s">
        <v>656</v>
      </c>
      <c r="X7" s="198" t="s">
        <v>1024</v>
      </c>
      <c r="Y7" s="198" t="s">
        <v>1025</v>
      </c>
      <c r="Z7" s="198"/>
      <c r="AA7" s="198"/>
      <c r="AB7" s="198"/>
      <c r="AC7" s="198"/>
      <c r="AD7" s="198"/>
      <c r="AE7" s="198"/>
      <c r="AF7" s="198"/>
      <c r="AG7" s="198"/>
      <c r="AH7" s="198" t="s">
        <v>1026</v>
      </c>
      <c r="AI7" s="198" t="s">
        <v>1026</v>
      </c>
      <c r="AJ7" s="198" t="s">
        <v>633</v>
      </c>
      <c r="AK7" s="198" t="s">
        <v>1027</v>
      </c>
      <c r="AL7" s="580">
        <f t="shared" ref="AL7:AL71" si="0">SUM(AN7,AQ7,AT7,AV7,AX7,AZ7)</f>
        <v>4.4118500000000003</v>
      </c>
      <c r="AM7" s="504">
        <v>4.4118500000000003</v>
      </c>
      <c r="AN7" s="516">
        <v>2.6388500000000001</v>
      </c>
      <c r="AO7" s="137">
        <f>AN7/AL7</f>
        <v>0.59812776952978908</v>
      </c>
      <c r="AP7" s="825">
        <v>8.3895921384368496E-5</v>
      </c>
      <c r="AQ7" s="504">
        <v>0.755</v>
      </c>
      <c r="AR7" s="137">
        <f>AQ7/AL7</f>
        <v>0.17113002481952014</v>
      </c>
      <c r="AS7" s="137"/>
      <c r="AT7" s="520">
        <v>0.39300000000000002</v>
      </c>
      <c r="AU7" s="137">
        <f>AT7/$AN$6</f>
        <v>2.9438202247191014E-2</v>
      </c>
      <c r="AV7" s="520">
        <v>0.40899999999999997</v>
      </c>
      <c r="AW7" s="137">
        <f>AV7/$AN$6</f>
        <v>3.0636704119850186E-2</v>
      </c>
      <c r="AX7" s="520">
        <v>0.216</v>
      </c>
      <c r="AY7" s="137">
        <f>AX7/$AN$6</f>
        <v>1.6179775280898877E-2</v>
      </c>
      <c r="AZ7" s="520"/>
      <c r="BA7" s="137" t="s">
        <v>656</v>
      </c>
      <c r="BB7" s="198" t="s">
        <v>656</v>
      </c>
      <c r="BC7" s="198" t="s">
        <v>656</v>
      </c>
      <c r="BD7" s="198" t="s">
        <v>656</v>
      </c>
      <c r="BE7" s="198" t="s">
        <v>479</v>
      </c>
      <c r="BF7" s="198" t="s">
        <v>1028</v>
      </c>
      <c r="BG7" s="198" t="s">
        <v>1029</v>
      </c>
      <c r="BH7" s="198" t="s">
        <v>656</v>
      </c>
      <c r="BI7" s="137" t="s">
        <v>1030</v>
      </c>
      <c r="BJ7" s="137">
        <v>7.8999999999999996E-5</v>
      </c>
      <c r="BK7" s="83">
        <v>13</v>
      </c>
      <c r="BL7" s="83">
        <v>8</v>
      </c>
      <c r="BM7" s="83">
        <v>6</v>
      </c>
      <c r="BN7" s="83" t="s">
        <v>656</v>
      </c>
      <c r="BO7" s="83" t="s">
        <v>656</v>
      </c>
      <c r="BP7" s="83" t="s">
        <v>656</v>
      </c>
      <c r="BQ7" s="83" t="s">
        <v>656</v>
      </c>
      <c r="BR7" s="83" t="s">
        <v>656</v>
      </c>
      <c r="BS7" s="83">
        <v>1</v>
      </c>
      <c r="BT7" s="83" t="s">
        <v>656</v>
      </c>
      <c r="BU7" s="83" t="s">
        <v>656</v>
      </c>
      <c r="BV7" s="83" t="s">
        <v>656</v>
      </c>
      <c r="BW7" s="83" t="s">
        <v>656</v>
      </c>
      <c r="BX7" s="83">
        <v>2</v>
      </c>
      <c r="BY7" s="83">
        <v>3</v>
      </c>
      <c r="BZ7" s="83" t="s">
        <v>656</v>
      </c>
      <c r="CA7" s="83" t="s">
        <v>656</v>
      </c>
      <c r="CB7" s="83" t="s">
        <v>656</v>
      </c>
      <c r="CC7" s="83" t="s">
        <v>656</v>
      </c>
      <c r="CD7" s="83" t="s">
        <v>656</v>
      </c>
      <c r="CE7" s="83" t="s">
        <v>656</v>
      </c>
      <c r="CF7" s="83" t="s">
        <v>656</v>
      </c>
      <c r="CG7" s="83" t="s">
        <v>656</v>
      </c>
      <c r="CH7" s="83" t="s">
        <v>656</v>
      </c>
      <c r="CI7" s="83" t="s">
        <v>656</v>
      </c>
      <c r="CJ7" s="83" t="s">
        <v>656</v>
      </c>
      <c r="CK7" s="83"/>
      <c r="CL7" s="824">
        <f>SUM(BN7:CK7)</f>
        <v>6</v>
      </c>
      <c r="CM7" s="824">
        <f t="shared" ref="CM7:CM71" si="1">SUM(BN7:CK7)-CL7</f>
        <v>0</v>
      </c>
      <c r="CN7" s="580">
        <v>4.3529999999999998</v>
      </c>
      <c r="CO7" s="198" t="s">
        <v>1031</v>
      </c>
      <c r="CP7" s="198" t="s">
        <v>1032</v>
      </c>
      <c r="CQ7" s="137">
        <v>1.9647136880018415E-2</v>
      </c>
      <c r="CR7" s="580">
        <v>221.559</v>
      </c>
      <c r="CS7" s="137" t="s">
        <v>1032</v>
      </c>
      <c r="CT7" s="198" t="s">
        <v>470</v>
      </c>
      <c r="CU7" s="198" t="s">
        <v>656</v>
      </c>
      <c r="CV7" s="198" t="s">
        <v>656</v>
      </c>
      <c r="CW7" s="198" t="s">
        <v>656</v>
      </c>
      <c r="CX7" s="83" t="s">
        <v>656</v>
      </c>
      <c r="CY7" s="83" t="s">
        <v>656</v>
      </c>
      <c r="CZ7" s="83">
        <v>2</v>
      </c>
      <c r="DA7" s="198" t="s">
        <v>470</v>
      </c>
      <c r="DB7" s="198" t="s">
        <v>656</v>
      </c>
      <c r="DC7" s="83" t="s">
        <v>656</v>
      </c>
      <c r="DD7" s="198" t="s">
        <v>479</v>
      </c>
      <c r="DE7" s="198" t="s">
        <v>1033</v>
      </c>
      <c r="DF7" s="83">
        <v>694</v>
      </c>
      <c r="DG7" s="83" t="s">
        <v>470</v>
      </c>
      <c r="DH7" s="83" t="s">
        <v>656</v>
      </c>
      <c r="DI7" s="83" t="s">
        <v>656</v>
      </c>
      <c r="DJ7" s="83" t="s">
        <v>470</v>
      </c>
      <c r="DK7" s="83" t="s">
        <v>656</v>
      </c>
      <c r="DL7" s="83" t="s">
        <v>656</v>
      </c>
      <c r="DM7" s="198" t="s">
        <v>470</v>
      </c>
      <c r="DN7" s="198" t="s">
        <v>656</v>
      </c>
      <c r="DO7" s="83" t="s">
        <v>656</v>
      </c>
      <c r="DP7" s="198" t="s">
        <v>470</v>
      </c>
      <c r="DQ7" s="198" t="s">
        <v>656</v>
      </c>
      <c r="DR7" s="83" t="s">
        <v>656</v>
      </c>
      <c r="DS7" s="198" t="s">
        <v>470</v>
      </c>
      <c r="DT7" s="198" t="s">
        <v>656</v>
      </c>
      <c r="DU7" s="83" t="s">
        <v>656</v>
      </c>
      <c r="DV7" s="198" t="s">
        <v>656</v>
      </c>
      <c r="DW7" s="198" t="s">
        <v>656</v>
      </c>
      <c r="DX7" s="83" t="s">
        <v>656</v>
      </c>
      <c r="DY7" s="198" t="s">
        <v>470</v>
      </c>
      <c r="DZ7" s="198" t="s">
        <v>656</v>
      </c>
      <c r="EA7" s="83" t="s">
        <v>656</v>
      </c>
      <c r="EB7" s="198" t="s">
        <v>470</v>
      </c>
      <c r="EC7" s="198" t="s">
        <v>656</v>
      </c>
      <c r="ED7" s="83" t="s">
        <v>656</v>
      </c>
      <c r="EE7" s="83" t="s">
        <v>470</v>
      </c>
      <c r="EF7" s="83" t="s">
        <v>656</v>
      </c>
      <c r="EG7" s="83" t="s">
        <v>656</v>
      </c>
      <c r="EH7" s="198" t="s">
        <v>470</v>
      </c>
      <c r="EI7" s="198" t="s">
        <v>656</v>
      </c>
      <c r="EJ7" s="83" t="s">
        <v>656</v>
      </c>
      <c r="EK7" s="198" t="s">
        <v>470</v>
      </c>
      <c r="EL7" s="198" t="s">
        <v>656</v>
      </c>
      <c r="EM7" s="83" t="s">
        <v>656</v>
      </c>
      <c r="EN7" s="198" t="s">
        <v>479</v>
      </c>
      <c r="EO7" s="198" t="s">
        <v>1034</v>
      </c>
      <c r="EP7" s="83">
        <v>8</v>
      </c>
      <c r="EQ7" s="83" t="s">
        <v>470</v>
      </c>
      <c r="ER7" s="83" t="s">
        <v>656</v>
      </c>
      <c r="ES7" s="83" t="s">
        <v>656</v>
      </c>
      <c r="ET7" s="198" t="s">
        <v>470</v>
      </c>
      <c r="EU7" s="198" t="s">
        <v>656</v>
      </c>
      <c r="EV7" s="83" t="s">
        <v>656</v>
      </c>
      <c r="EW7" s="198">
        <v>100</v>
      </c>
      <c r="EX7" s="198" t="s">
        <v>656</v>
      </c>
      <c r="EY7" s="83">
        <v>13</v>
      </c>
      <c r="EZ7" s="198" t="s">
        <v>470</v>
      </c>
      <c r="FA7" s="198" t="s">
        <v>656</v>
      </c>
      <c r="FB7" s="198" t="s">
        <v>1035</v>
      </c>
      <c r="FC7" s="198" t="s">
        <v>1036</v>
      </c>
      <c r="FD7" s="198" t="s">
        <v>656</v>
      </c>
      <c r="FE7" s="198" t="s">
        <v>1037</v>
      </c>
      <c r="FF7" s="198" t="s">
        <v>656</v>
      </c>
      <c r="FG7" s="198" t="s">
        <v>656</v>
      </c>
      <c r="FH7" s="198" t="s">
        <v>656</v>
      </c>
      <c r="FI7" s="198" t="s">
        <v>656</v>
      </c>
      <c r="FJ7" s="198" t="s">
        <v>1038</v>
      </c>
      <c r="FK7" s="198" t="s">
        <v>1039</v>
      </c>
      <c r="FL7" s="198" t="s">
        <v>1040</v>
      </c>
      <c r="FM7" s="198" t="s">
        <v>1041</v>
      </c>
      <c r="FN7" s="198" t="s">
        <v>1042</v>
      </c>
      <c r="FO7" s="198" t="s">
        <v>1043</v>
      </c>
    </row>
    <row r="8" spans="5:171" ht="104" customHeight="1" x14ac:dyDescent="0.2">
      <c r="E8" s="94" t="s">
        <v>9303</v>
      </c>
      <c r="F8" s="94" t="s">
        <v>9120</v>
      </c>
      <c r="G8" s="198" t="s">
        <v>299</v>
      </c>
      <c r="H8" s="198" t="s">
        <v>377</v>
      </c>
      <c r="I8" s="198"/>
      <c r="J8" s="826" t="s">
        <v>3582</v>
      </c>
      <c r="K8" s="826" t="s">
        <v>1045</v>
      </c>
      <c r="L8" s="827">
        <v>2020</v>
      </c>
      <c r="M8" s="828" t="s">
        <v>3583</v>
      </c>
      <c r="N8" s="828" t="s">
        <v>3584</v>
      </c>
      <c r="O8" s="826" t="s">
        <v>3585</v>
      </c>
      <c r="P8" s="826" t="s">
        <v>3586</v>
      </c>
      <c r="Q8" s="826" t="s">
        <v>3587</v>
      </c>
      <c r="R8" s="826"/>
      <c r="S8" s="826"/>
      <c r="T8" s="826"/>
      <c r="U8" s="826"/>
      <c r="V8" s="826"/>
      <c r="W8" s="826"/>
      <c r="X8" s="826"/>
      <c r="Y8" s="826"/>
      <c r="Z8" s="826"/>
      <c r="AA8" s="826"/>
      <c r="AB8" s="826"/>
      <c r="AC8" s="826"/>
      <c r="AD8" s="826"/>
      <c r="AE8" s="826"/>
      <c r="AF8" s="826"/>
      <c r="AG8" s="826"/>
      <c r="AH8" s="826" t="s">
        <v>3588</v>
      </c>
      <c r="AI8" s="826" t="s">
        <v>3588</v>
      </c>
      <c r="AJ8" s="826" t="s">
        <v>477</v>
      </c>
      <c r="AK8" s="826" t="s">
        <v>3589</v>
      </c>
      <c r="AL8" s="580">
        <f t="shared" si="0"/>
        <v>3.407</v>
      </c>
      <c r="AM8" s="504">
        <v>3.407</v>
      </c>
      <c r="AN8" s="829">
        <v>1.7000000000000001E-2</v>
      </c>
      <c r="AO8" s="830">
        <v>4.8999999999999998E-3</v>
      </c>
      <c r="AP8" s="831">
        <v>9.9999999999999995E-7</v>
      </c>
      <c r="AQ8" s="504">
        <v>1.1879999999999999</v>
      </c>
      <c r="AR8" s="137">
        <v>0.34870000000000001</v>
      </c>
      <c r="AS8" s="137"/>
      <c r="AT8" s="520">
        <v>0</v>
      </c>
      <c r="AU8" s="137">
        <v>0</v>
      </c>
      <c r="AV8" s="520">
        <v>0.56000000000000005</v>
      </c>
      <c r="AW8" s="137">
        <v>0.16439999999999999</v>
      </c>
      <c r="AX8" s="520"/>
      <c r="AY8" s="137" t="s">
        <v>656</v>
      </c>
      <c r="AZ8" s="520">
        <v>1.6419999999999999</v>
      </c>
      <c r="BA8" s="830">
        <v>0.48199999999999998</v>
      </c>
      <c r="BB8" s="826" t="s">
        <v>2458</v>
      </c>
      <c r="BC8" s="826" t="s">
        <v>875</v>
      </c>
      <c r="BD8" s="826" t="s">
        <v>3588</v>
      </c>
      <c r="BE8" s="826" t="s">
        <v>479</v>
      </c>
      <c r="BF8" s="826" t="s">
        <v>3590</v>
      </c>
      <c r="BG8" s="826" t="s">
        <v>3591</v>
      </c>
      <c r="BH8" s="826">
        <v>8.4600000000000005E-3</v>
      </c>
      <c r="BI8" s="826">
        <v>2.29</v>
      </c>
      <c r="BJ8" s="830">
        <v>1E-4</v>
      </c>
      <c r="BK8" s="832"/>
      <c r="BL8" s="832">
        <v>9</v>
      </c>
      <c r="BM8" s="832">
        <v>1</v>
      </c>
      <c r="BN8" s="832"/>
      <c r="BO8" s="832"/>
      <c r="BP8" s="832">
        <v>1</v>
      </c>
      <c r="BQ8" s="832"/>
      <c r="BR8" s="832"/>
      <c r="BS8" s="832"/>
      <c r="BT8" s="832"/>
      <c r="BU8" s="832"/>
      <c r="BV8" s="832"/>
      <c r="BW8" s="832"/>
      <c r="BX8" s="832"/>
      <c r="BY8" s="832"/>
      <c r="BZ8" s="832"/>
      <c r="CA8" s="832"/>
      <c r="CB8" s="832"/>
      <c r="CC8" s="832"/>
      <c r="CD8" s="832"/>
      <c r="CE8" s="832"/>
      <c r="CF8" s="832"/>
      <c r="CG8" s="832"/>
      <c r="CH8" s="832"/>
      <c r="CI8" s="832"/>
      <c r="CJ8" s="832"/>
      <c r="CK8" s="832"/>
      <c r="CL8" s="833">
        <v>1</v>
      </c>
      <c r="CM8" s="824">
        <f t="shared" si="1"/>
        <v>0</v>
      </c>
      <c r="CN8" s="582">
        <v>1.425</v>
      </c>
      <c r="CO8" s="826" t="s">
        <v>3592</v>
      </c>
      <c r="CP8" s="826"/>
      <c r="CQ8" s="830">
        <v>6.4000000000000003E-3</v>
      </c>
      <c r="CR8" s="582">
        <v>221.6</v>
      </c>
      <c r="CS8" s="830" t="s">
        <v>1032</v>
      </c>
      <c r="CT8" s="826" t="s">
        <v>470</v>
      </c>
      <c r="CU8" s="826" t="s">
        <v>656</v>
      </c>
      <c r="CV8" s="826" t="s">
        <v>656</v>
      </c>
      <c r="CW8" s="826" t="s">
        <v>656</v>
      </c>
      <c r="CX8" s="832" t="s">
        <v>656</v>
      </c>
      <c r="CY8" s="832" t="s">
        <v>656</v>
      </c>
      <c r="CZ8" s="832" t="s">
        <v>656</v>
      </c>
      <c r="DA8" s="826" t="s">
        <v>479</v>
      </c>
      <c r="DB8" s="826" t="s">
        <v>640</v>
      </c>
      <c r="DC8" s="832"/>
      <c r="DD8" s="826" t="s">
        <v>479</v>
      </c>
      <c r="DE8" s="826" t="s">
        <v>640</v>
      </c>
      <c r="DF8" s="832"/>
      <c r="DG8" s="832" t="s">
        <v>470</v>
      </c>
      <c r="DH8" s="832"/>
      <c r="DI8" s="832"/>
      <c r="DJ8" s="832" t="s">
        <v>470</v>
      </c>
      <c r="DK8" s="832"/>
      <c r="DL8" s="832"/>
      <c r="DM8" s="826" t="s">
        <v>470</v>
      </c>
      <c r="DN8" s="826"/>
      <c r="DO8" s="832"/>
      <c r="DP8" s="826" t="s">
        <v>470</v>
      </c>
      <c r="DQ8" s="826"/>
      <c r="DR8" s="832"/>
      <c r="DS8" s="826" t="s">
        <v>470</v>
      </c>
      <c r="DT8" s="826"/>
      <c r="DU8" s="832"/>
      <c r="DV8" s="826" t="s">
        <v>470</v>
      </c>
      <c r="DW8" s="826"/>
      <c r="DX8" s="832"/>
      <c r="DY8" s="826" t="s">
        <v>470</v>
      </c>
      <c r="DZ8" s="826"/>
      <c r="EA8" s="832"/>
      <c r="EB8" s="826" t="s">
        <v>470</v>
      </c>
      <c r="EC8" s="826"/>
      <c r="ED8" s="832"/>
      <c r="EE8" s="832" t="s">
        <v>470</v>
      </c>
      <c r="EF8" s="832"/>
      <c r="EG8" s="832"/>
      <c r="EH8" s="826" t="s">
        <v>470</v>
      </c>
      <c r="EI8" s="826"/>
      <c r="EJ8" s="832"/>
      <c r="EK8" s="826" t="s">
        <v>470</v>
      </c>
      <c r="EL8" s="826"/>
      <c r="EM8" s="832"/>
      <c r="EN8" s="826" t="s">
        <v>470</v>
      </c>
      <c r="EO8" s="826"/>
      <c r="EP8" s="832"/>
      <c r="EQ8" s="832" t="s">
        <v>479</v>
      </c>
      <c r="ER8" s="832" t="s">
        <v>920</v>
      </c>
      <c r="ES8" s="832">
        <v>6</v>
      </c>
      <c r="ET8" s="826"/>
      <c r="EU8" s="826"/>
      <c r="EV8" s="832"/>
      <c r="EW8" s="826" t="s">
        <v>3593</v>
      </c>
      <c r="EX8" s="826" t="s">
        <v>3593</v>
      </c>
      <c r="EY8" s="832">
        <v>9</v>
      </c>
      <c r="EZ8" s="826" t="s">
        <v>470</v>
      </c>
      <c r="FA8" s="826" t="s">
        <v>656</v>
      </c>
      <c r="FB8" s="826"/>
      <c r="FC8" s="826"/>
      <c r="FD8" s="826"/>
      <c r="FE8" s="826"/>
      <c r="FF8" s="826"/>
      <c r="FG8" s="826" t="s">
        <v>656</v>
      </c>
      <c r="FH8" s="826" t="s">
        <v>656</v>
      </c>
      <c r="FI8" s="826" t="s">
        <v>656</v>
      </c>
      <c r="FJ8" s="826" t="s">
        <v>3594</v>
      </c>
      <c r="FK8" s="826" t="s">
        <v>3595</v>
      </c>
      <c r="FL8" s="826" t="s">
        <v>3596</v>
      </c>
      <c r="FM8" s="826" t="s">
        <v>1041</v>
      </c>
      <c r="FN8" s="826" t="s">
        <v>1042</v>
      </c>
      <c r="FO8" s="826" t="s">
        <v>1043</v>
      </c>
    </row>
    <row r="9" spans="5:171" ht="104" customHeight="1" x14ac:dyDescent="0.2">
      <c r="E9" s="94" t="s">
        <v>9304</v>
      </c>
      <c r="F9" s="94" t="s">
        <v>9120</v>
      </c>
      <c r="G9" s="198" t="s">
        <v>299</v>
      </c>
      <c r="H9" s="198" t="s">
        <v>377</v>
      </c>
      <c r="I9" s="198"/>
      <c r="J9" s="198" t="s">
        <v>3597</v>
      </c>
      <c r="K9" s="198" t="s">
        <v>3597</v>
      </c>
      <c r="L9" s="578">
        <v>2017</v>
      </c>
      <c r="M9" s="822" t="s">
        <v>1020</v>
      </c>
      <c r="N9" s="822" t="s">
        <v>554</v>
      </c>
      <c r="O9" s="198" t="s">
        <v>3598</v>
      </c>
      <c r="P9" s="198" t="s">
        <v>3599</v>
      </c>
      <c r="Q9" s="198" t="s">
        <v>1023</v>
      </c>
      <c r="R9" s="198" t="s">
        <v>656</v>
      </c>
      <c r="S9" s="198" t="s">
        <v>656</v>
      </c>
      <c r="T9" s="198" t="s">
        <v>656</v>
      </c>
      <c r="U9" s="198" t="s">
        <v>656</v>
      </c>
      <c r="V9" s="198" t="s">
        <v>656</v>
      </c>
      <c r="W9" s="198" t="s">
        <v>656</v>
      </c>
      <c r="X9" s="198" t="s">
        <v>656</v>
      </c>
      <c r="Y9" s="198" t="s">
        <v>656</v>
      </c>
      <c r="Z9" s="198"/>
      <c r="AA9" s="198"/>
      <c r="AB9" s="198"/>
      <c r="AC9" s="198"/>
      <c r="AD9" s="198"/>
      <c r="AE9" s="198"/>
      <c r="AF9" s="198"/>
      <c r="AG9" s="198"/>
      <c r="AH9" s="198" t="s">
        <v>3600</v>
      </c>
      <c r="AI9" s="198" t="s">
        <v>3600</v>
      </c>
      <c r="AJ9" s="198" t="s">
        <v>633</v>
      </c>
      <c r="AK9" s="198" t="s">
        <v>1027</v>
      </c>
      <c r="AL9" s="580">
        <f t="shared" si="0"/>
        <v>62.279591919999994</v>
      </c>
      <c r="AM9" s="504">
        <v>62.279591919999994</v>
      </c>
      <c r="AN9" s="516">
        <v>0.58559192000000004</v>
      </c>
      <c r="AO9" s="137">
        <f>AN9/AL9</f>
        <v>9.4026293677744455E-3</v>
      </c>
      <c r="AP9" s="825">
        <v>1.8630469719923001E-5</v>
      </c>
      <c r="AQ9" s="504">
        <v>0.59099999999999997</v>
      </c>
      <c r="AR9" s="137">
        <f>AQ9/AL9</f>
        <v>9.489464875735815E-3</v>
      </c>
      <c r="AS9" s="137"/>
      <c r="AT9" s="520">
        <v>3.129</v>
      </c>
      <c r="AU9" s="137">
        <f>AT9/$AN$6</f>
        <v>0.23438202247191012</v>
      </c>
      <c r="AV9" s="520">
        <v>0</v>
      </c>
      <c r="AW9" s="137">
        <f>AV9/$AN$6</f>
        <v>0</v>
      </c>
      <c r="AX9" s="520"/>
      <c r="AY9" s="137">
        <f>AX9/$AN$6</f>
        <v>0</v>
      </c>
      <c r="AZ9" s="520">
        <v>57.973999999999997</v>
      </c>
      <c r="BA9" s="137">
        <f>AZ9/$AN$6</f>
        <v>4.3426217228464417</v>
      </c>
      <c r="BB9" s="198" t="s">
        <v>3601</v>
      </c>
      <c r="BC9" s="198" t="s">
        <v>847</v>
      </c>
      <c r="BD9" s="198" t="s">
        <v>3602</v>
      </c>
      <c r="BE9" s="198" t="s">
        <v>479</v>
      </c>
      <c r="BF9" s="198" t="s">
        <v>3603</v>
      </c>
      <c r="BG9" s="198" t="s">
        <v>656</v>
      </c>
      <c r="BH9" s="198" t="s">
        <v>656</v>
      </c>
      <c r="BI9" s="137" t="s">
        <v>3604</v>
      </c>
      <c r="BJ9" s="137">
        <v>5.7999999999999996E-3</v>
      </c>
      <c r="BK9" s="83">
        <v>45</v>
      </c>
      <c r="BL9" s="83">
        <v>30</v>
      </c>
      <c r="BM9" s="83">
        <v>21</v>
      </c>
      <c r="BN9" s="83" t="s">
        <v>656</v>
      </c>
      <c r="BO9" s="83" t="s">
        <v>656</v>
      </c>
      <c r="BP9" s="83" t="s">
        <v>656</v>
      </c>
      <c r="BQ9" s="83" t="s">
        <v>656</v>
      </c>
      <c r="BR9" s="83" t="s">
        <v>656</v>
      </c>
      <c r="BS9" s="83">
        <v>2</v>
      </c>
      <c r="BT9" s="83" t="s">
        <v>656</v>
      </c>
      <c r="BU9" s="83" t="s">
        <v>656</v>
      </c>
      <c r="BV9" s="83">
        <v>2</v>
      </c>
      <c r="BW9" s="83">
        <v>6</v>
      </c>
      <c r="BX9" s="83">
        <v>7</v>
      </c>
      <c r="BY9" s="83">
        <v>4</v>
      </c>
      <c r="BZ9" s="83" t="s">
        <v>656</v>
      </c>
      <c r="CA9" s="83" t="s">
        <v>656</v>
      </c>
      <c r="CB9" s="83" t="s">
        <v>656</v>
      </c>
      <c r="CC9" s="83" t="s">
        <v>656</v>
      </c>
      <c r="CD9" s="83" t="s">
        <v>656</v>
      </c>
      <c r="CE9" s="83" t="s">
        <v>656</v>
      </c>
      <c r="CF9" s="83" t="s">
        <v>656</v>
      </c>
      <c r="CG9" s="83" t="s">
        <v>656</v>
      </c>
      <c r="CH9" s="83" t="s">
        <v>656</v>
      </c>
      <c r="CI9" s="83" t="s">
        <v>656</v>
      </c>
      <c r="CJ9" s="83" t="s">
        <v>656</v>
      </c>
      <c r="CK9" s="83" t="s">
        <v>656</v>
      </c>
      <c r="CL9" s="824">
        <f t="shared" ref="CL9:CL46" si="2">SUM(BN9:CK9)</f>
        <v>21</v>
      </c>
      <c r="CM9" s="824">
        <f t="shared" si="1"/>
        <v>0</v>
      </c>
      <c r="CN9" s="580">
        <v>120.508</v>
      </c>
      <c r="CO9" s="198" t="s">
        <v>1031</v>
      </c>
      <c r="CP9" s="198" t="s">
        <v>1032</v>
      </c>
      <c r="CQ9" s="137">
        <v>0.54</v>
      </c>
      <c r="CR9" s="580">
        <v>221.559</v>
      </c>
      <c r="CS9" s="137" t="s">
        <v>1032</v>
      </c>
      <c r="CT9" s="198" t="s">
        <v>470</v>
      </c>
      <c r="CU9" s="198" t="s">
        <v>656</v>
      </c>
      <c r="CV9" s="198" t="s">
        <v>656</v>
      </c>
      <c r="CW9" s="198" t="s">
        <v>656</v>
      </c>
      <c r="CX9" s="83" t="s">
        <v>656</v>
      </c>
      <c r="CY9" s="83" t="s">
        <v>656</v>
      </c>
      <c r="CZ9" s="83" t="s">
        <v>656</v>
      </c>
      <c r="DA9" s="198" t="s">
        <v>656</v>
      </c>
      <c r="DB9" s="198" t="s">
        <v>656</v>
      </c>
      <c r="DC9" s="83" t="s">
        <v>656</v>
      </c>
      <c r="DD9" s="198" t="s">
        <v>479</v>
      </c>
      <c r="DE9" s="198" t="s">
        <v>3605</v>
      </c>
      <c r="DF9" s="83">
        <v>500</v>
      </c>
      <c r="DG9" s="83" t="s">
        <v>470</v>
      </c>
      <c r="DH9" s="83" t="s">
        <v>656</v>
      </c>
      <c r="DI9" s="83" t="s">
        <v>656</v>
      </c>
      <c r="DJ9" s="83" t="s">
        <v>470</v>
      </c>
      <c r="DK9" s="83" t="s">
        <v>656</v>
      </c>
      <c r="DL9" s="83" t="s">
        <v>656</v>
      </c>
      <c r="DM9" s="198" t="s">
        <v>470</v>
      </c>
      <c r="DN9" s="198" t="s">
        <v>656</v>
      </c>
      <c r="DO9" s="83" t="s">
        <v>656</v>
      </c>
      <c r="DP9" s="198" t="s">
        <v>470</v>
      </c>
      <c r="DQ9" s="198" t="s">
        <v>656</v>
      </c>
      <c r="DR9" s="83" t="s">
        <v>656</v>
      </c>
      <c r="DS9" s="198" t="s">
        <v>470</v>
      </c>
      <c r="DT9" s="198" t="s">
        <v>656</v>
      </c>
      <c r="DU9" s="83" t="s">
        <v>656</v>
      </c>
      <c r="DV9" s="198" t="s">
        <v>470</v>
      </c>
      <c r="DW9" s="198" t="s">
        <v>656</v>
      </c>
      <c r="DX9" s="83" t="s">
        <v>656</v>
      </c>
      <c r="DY9" s="198" t="s">
        <v>479</v>
      </c>
      <c r="DZ9" s="198" t="s">
        <v>3606</v>
      </c>
      <c r="EA9" s="83">
        <v>18000</v>
      </c>
      <c r="EB9" s="198" t="s">
        <v>470</v>
      </c>
      <c r="EC9" s="198" t="s">
        <v>656</v>
      </c>
      <c r="ED9" s="83" t="s">
        <v>656</v>
      </c>
      <c r="EE9" s="83" t="s">
        <v>470</v>
      </c>
      <c r="EF9" s="83" t="s">
        <v>656</v>
      </c>
      <c r="EG9" s="83" t="s">
        <v>656</v>
      </c>
      <c r="EH9" s="198" t="s">
        <v>470</v>
      </c>
      <c r="EI9" s="198" t="s">
        <v>656</v>
      </c>
      <c r="EJ9" s="83" t="s">
        <v>656</v>
      </c>
      <c r="EK9" s="198" t="s">
        <v>470</v>
      </c>
      <c r="EL9" s="198" t="s">
        <v>656</v>
      </c>
      <c r="EM9" s="83" t="s">
        <v>656</v>
      </c>
      <c r="EN9" s="198" t="s">
        <v>479</v>
      </c>
      <c r="EO9" s="198" t="s">
        <v>3607</v>
      </c>
      <c r="EP9" s="83">
        <v>11</v>
      </c>
      <c r="EQ9" s="83" t="s">
        <v>470</v>
      </c>
      <c r="ER9" s="83" t="s">
        <v>656</v>
      </c>
      <c r="ES9" s="83" t="s">
        <v>656</v>
      </c>
      <c r="ET9" s="198" t="s">
        <v>470</v>
      </c>
      <c r="EU9" s="198" t="s">
        <v>656</v>
      </c>
      <c r="EV9" s="83" t="s">
        <v>656</v>
      </c>
      <c r="EW9" s="198">
        <v>100</v>
      </c>
      <c r="EX9" s="198" t="s">
        <v>656</v>
      </c>
      <c r="EY9" s="83">
        <v>11</v>
      </c>
      <c r="EZ9" s="198" t="s">
        <v>470</v>
      </c>
      <c r="FA9" s="198" t="s">
        <v>656</v>
      </c>
      <c r="FB9" s="198" t="s">
        <v>3608</v>
      </c>
      <c r="FC9" s="198" t="s">
        <v>1036</v>
      </c>
      <c r="FD9" s="198" t="s">
        <v>3609</v>
      </c>
      <c r="FE9" s="198" t="s">
        <v>656</v>
      </c>
      <c r="FF9" s="198" t="s">
        <v>656</v>
      </c>
      <c r="FG9" s="198" t="s">
        <v>656</v>
      </c>
      <c r="FH9" s="198" t="s">
        <v>656</v>
      </c>
      <c r="FI9" s="198" t="s">
        <v>656</v>
      </c>
      <c r="FJ9" s="198" t="s">
        <v>1038</v>
      </c>
      <c r="FK9" s="198" t="s">
        <v>3610</v>
      </c>
      <c r="FL9" s="198" t="s">
        <v>1040</v>
      </c>
      <c r="FM9" s="198" t="s">
        <v>1041</v>
      </c>
      <c r="FN9" s="198" t="s">
        <v>1042</v>
      </c>
      <c r="FO9" s="198" t="s">
        <v>1043</v>
      </c>
    </row>
    <row r="10" spans="5:171" ht="104" customHeight="1" x14ac:dyDescent="0.2">
      <c r="E10" s="94" t="s">
        <v>9302</v>
      </c>
      <c r="F10" s="94" t="s">
        <v>9120</v>
      </c>
      <c r="G10" s="198" t="s">
        <v>300</v>
      </c>
      <c r="H10" s="198" t="s">
        <v>378</v>
      </c>
      <c r="I10" s="198"/>
      <c r="J10" s="198" t="s">
        <v>2013</v>
      </c>
      <c r="K10" s="198" t="s">
        <v>2014</v>
      </c>
      <c r="L10" s="578">
        <v>2017</v>
      </c>
      <c r="M10" s="822">
        <v>44378</v>
      </c>
      <c r="N10" s="822">
        <v>44926</v>
      </c>
      <c r="O10" s="198" t="s">
        <v>2015</v>
      </c>
      <c r="P10" s="198" t="s">
        <v>2016</v>
      </c>
      <c r="Q10" s="549" t="s">
        <v>2017</v>
      </c>
      <c r="R10" s="198" t="s">
        <v>2018</v>
      </c>
      <c r="S10" s="549" t="s">
        <v>2019</v>
      </c>
      <c r="T10" s="198" t="s">
        <v>656</v>
      </c>
      <c r="U10" s="198" t="s">
        <v>656</v>
      </c>
      <c r="V10" s="198" t="s">
        <v>656</v>
      </c>
      <c r="W10" s="198" t="s">
        <v>656</v>
      </c>
      <c r="X10" s="198" t="s">
        <v>2020</v>
      </c>
      <c r="Y10" s="198" t="s">
        <v>2021</v>
      </c>
      <c r="Z10" s="198"/>
      <c r="AA10" s="198"/>
      <c r="AB10" s="198"/>
      <c r="AC10" s="198"/>
      <c r="AD10" s="198"/>
      <c r="AE10" s="198"/>
      <c r="AF10" s="198"/>
      <c r="AG10" s="198"/>
      <c r="AH10" s="198" t="s">
        <v>2022</v>
      </c>
      <c r="AI10" s="198" t="s">
        <v>2022</v>
      </c>
      <c r="AJ10" s="198" t="s">
        <v>615</v>
      </c>
      <c r="AK10" s="198" t="s">
        <v>2023</v>
      </c>
      <c r="AL10" s="580">
        <f t="shared" si="0"/>
        <v>500.65198315999999</v>
      </c>
      <c r="AM10" s="504">
        <v>500.65198315999999</v>
      </c>
      <c r="AN10" s="516">
        <v>366.7368199</v>
      </c>
      <c r="AO10" s="137">
        <v>0.73250000000000004</v>
      </c>
      <c r="AP10" s="137">
        <v>2.0315699999999999E-3</v>
      </c>
      <c r="AQ10" s="504">
        <v>80.900163259999999</v>
      </c>
      <c r="AR10" s="137">
        <v>0.16159999999999999</v>
      </c>
      <c r="AS10" s="137"/>
      <c r="AT10" s="520"/>
      <c r="AU10" s="137"/>
      <c r="AV10" s="520"/>
      <c r="AW10" s="137"/>
      <c r="AX10" s="520">
        <v>53.015000000000001</v>
      </c>
      <c r="AY10" s="137">
        <v>0.10589999999999999</v>
      </c>
      <c r="AZ10" s="520"/>
      <c r="BA10" s="137" t="s">
        <v>656</v>
      </c>
      <c r="BB10" s="198" t="s">
        <v>656</v>
      </c>
      <c r="BC10" s="198" t="s">
        <v>656</v>
      </c>
      <c r="BD10" s="198" t="s">
        <v>656</v>
      </c>
      <c r="BE10" s="198" t="s">
        <v>540</v>
      </c>
      <c r="BF10" s="198" t="s">
        <v>2024</v>
      </c>
      <c r="BG10" s="198" t="s">
        <v>656</v>
      </c>
      <c r="BH10" s="198" t="s">
        <v>656</v>
      </c>
      <c r="BI10" s="580">
        <v>399.56914899999998</v>
      </c>
      <c r="BJ10" s="137">
        <v>2.4114599999999998E-3</v>
      </c>
      <c r="BK10" s="83">
        <v>1421</v>
      </c>
      <c r="BL10" s="83">
        <v>524</v>
      </c>
      <c r="BM10" s="83">
        <v>410</v>
      </c>
      <c r="BN10" s="83">
        <v>23</v>
      </c>
      <c r="BO10" s="83">
        <v>85</v>
      </c>
      <c r="BP10" s="83">
        <v>52</v>
      </c>
      <c r="BQ10" s="83" t="s">
        <v>656</v>
      </c>
      <c r="BR10" s="83" t="s">
        <v>656</v>
      </c>
      <c r="BS10" s="83">
        <v>10</v>
      </c>
      <c r="BT10" s="83" t="s">
        <v>656</v>
      </c>
      <c r="BU10" s="83">
        <v>30</v>
      </c>
      <c r="BV10" s="83">
        <v>66</v>
      </c>
      <c r="BW10" s="83" t="s">
        <v>656</v>
      </c>
      <c r="BX10" s="83">
        <v>62</v>
      </c>
      <c r="BY10" s="83">
        <v>28</v>
      </c>
      <c r="BZ10" s="83">
        <v>51</v>
      </c>
      <c r="CA10" s="83" t="s">
        <v>656</v>
      </c>
      <c r="CB10" s="83" t="s">
        <v>656</v>
      </c>
      <c r="CC10" s="83" t="s">
        <v>656</v>
      </c>
      <c r="CD10" s="83" t="s">
        <v>656</v>
      </c>
      <c r="CE10" s="83" t="s">
        <v>656</v>
      </c>
      <c r="CF10" s="83" t="s">
        <v>656</v>
      </c>
      <c r="CG10" s="83" t="s">
        <v>656</v>
      </c>
      <c r="CH10" s="83" t="s">
        <v>656</v>
      </c>
      <c r="CI10" s="83" t="s">
        <v>656</v>
      </c>
      <c r="CJ10" s="83" t="s">
        <v>656</v>
      </c>
      <c r="CK10" s="83" t="s">
        <v>656</v>
      </c>
      <c r="CL10" s="824">
        <f t="shared" si="2"/>
        <v>407</v>
      </c>
      <c r="CM10" s="824">
        <f t="shared" si="1"/>
        <v>0</v>
      </c>
      <c r="CN10" s="580">
        <v>353.96199999999999</v>
      </c>
      <c r="CO10" s="198" t="s">
        <v>2025</v>
      </c>
      <c r="CP10" s="198" t="s">
        <v>656</v>
      </c>
      <c r="CQ10" s="137">
        <v>0.156</v>
      </c>
      <c r="CR10" s="580">
        <v>2268.1790000000001</v>
      </c>
      <c r="CS10" s="834" t="s">
        <v>2026</v>
      </c>
      <c r="CT10" s="198" t="s">
        <v>540</v>
      </c>
      <c r="CU10" s="198" t="s">
        <v>2027</v>
      </c>
      <c r="CV10" s="549" t="s">
        <v>2028</v>
      </c>
      <c r="CW10" s="198" t="s">
        <v>2029</v>
      </c>
      <c r="CX10" s="83">
        <v>8</v>
      </c>
      <c r="CY10" s="83" t="s">
        <v>656</v>
      </c>
      <c r="CZ10" s="83">
        <v>1</v>
      </c>
      <c r="DA10" s="198" t="s">
        <v>540</v>
      </c>
      <c r="DB10" s="198" t="s">
        <v>2030</v>
      </c>
      <c r="DC10" s="83">
        <v>82151</v>
      </c>
      <c r="DD10" s="198" t="s">
        <v>540</v>
      </c>
      <c r="DE10" s="198" t="s">
        <v>2031</v>
      </c>
      <c r="DF10" s="83">
        <v>19902</v>
      </c>
      <c r="DG10" s="83" t="s">
        <v>539</v>
      </c>
      <c r="DH10" s="83" t="s">
        <v>656</v>
      </c>
      <c r="DI10" s="83" t="s">
        <v>656</v>
      </c>
      <c r="DJ10" s="83" t="s">
        <v>539</v>
      </c>
      <c r="DK10" s="83" t="s">
        <v>656</v>
      </c>
      <c r="DL10" s="83" t="s">
        <v>656</v>
      </c>
      <c r="DM10" s="198" t="s">
        <v>539</v>
      </c>
      <c r="DN10" s="198" t="s">
        <v>656</v>
      </c>
      <c r="DO10" s="83" t="s">
        <v>656</v>
      </c>
      <c r="DP10" s="198" t="s">
        <v>540</v>
      </c>
      <c r="DQ10" s="198" t="s">
        <v>2032</v>
      </c>
      <c r="DR10" s="83">
        <v>27530</v>
      </c>
      <c r="DS10" s="198" t="s">
        <v>539</v>
      </c>
      <c r="DT10" s="198" t="s">
        <v>656</v>
      </c>
      <c r="DU10" s="83" t="s">
        <v>656</v>
      </c>
      <c r="DV10" s="198"/>
      <c r="DW10" s="198"/>
      <c r="DX10" s="83"/>
      <c r="DY10" s="198" t="s">
        <v>539</v>
      </c>
      <c r="DZ10" s="198" t="s">
        <v>656</v>
      </c>
      <c r="EA10" s="83" t="s">
        <v>656</v>
      </c>
      <c r="EB10" s="198" t="s">
        <v>540</v>
      </c>
      <c r="EC10" s="198" t="s">
        <v>2031</v>
      </c>
      <c r="ED10" s="83">
        <v>19902</v>
      </c>
      <c r="EE10" s="83" t="s">
        <v>539</v>
      </c>
      <c r="EF10" s="83" t="s">
        <v>656</v>
      </c>
      <c r="EG10" s="83" t="s">
        <v>656</v>
      </c>
      <c r="EH10" s="198" t="s">
        <v>539</v>
      </c>
      <c r="EI10" s="198" t="s">
        <v>656</v>
      </c>
      <c r="EJ10" s="83" t="s">
        <v>656</v>
      </c>
      <c r="EK10" s="198" t="s">
        <v>539</v>
      </c>
      <c r="EL10" s="198" t="s">
        <v>656</v>
      </c>
      <c r="EM10" s="83" t="s">
        <v>656</v>
      </c>
      <c r="EN10" s="198" t="s">
        <v>539</v>
      </c>
      <c r="EO10" s="198" t="s">
        <v>656</v>
      </c>
      <c r="EP10" s="83" t="s">
        <v>656</v>
      </c>
      <c r="EQ10" s="83" t="s">
        <v>540</v>
      </c>
      <c r="ER10" s="198" t="s">
        <v>1097</v>
      </c>
      <c r="ES10" s="83">
        <v>12</v>
      </c>
      <c r="ET10" s="198" t="s">
        <v>656</v>
      </c>
      <c r="EU10" s="198" t="s">
        <v>656</v>
      </c>
      <c r="EV10" s="83" t="s">
        <v>656</v>
      </c>
      <c r="EW10" s="198" t="s">
        <v>2033</v>
      </c>
      <c r="EX10" s="198" t="s">
        <v>2034</v>
      </c>
      <c r="EY10" s="505" t="s">
        <v>2035</v>
      </c>
      <c r="EZ10" s="198" t="s">
        <v>540</v>
      </c>
      <c r="FA10" s="198" t="s">
        <v>2036</v>
      </c>
      <c r="FB10" s="198" t="s">
        <v>2037</v>
      </c>
      <c r="FC10" s="198" t="s">
        <v>2038</v>
      </c>
      <c r="FD10" s="549" t="s">
        <v>2039</v>
      </c>
      <c r="FE10" s="198" t="s">
        <v>2040</v>
      </c>
      <c r="FF10" s="549" t="s">
        <v>2041</v>
      </c>
      <c r="FG10" s="198" t="s">
        <v>2042</v>
      </c>
      <c r="FH10" s="198">
        <v>39</v>
      </c>
      <c r="FI10" s="198">
        <v>1684</v>
      </c>
      <c r="FJ10" s="198" t="s">
        <v>2043</v>
      </c>
      <c r="FK10" s="198" t="s">
        <v>2044</v>
      </c>
      <c r="FL10" s="503" t="s">
        <v>2045</v>
      </c>
      <c r="FM10" s="198" t="s">
        <v>2046</v>
      </c>
      <c r="FN10" s="198" t="s">
        <v>2047</v>
      </c>
      <c r="FO10" s="549" t="s">
        <v>2048</v>
      </c>
    </row>
    <row r="11" spans="5:171" ht="104" customHeight="1" x14ac:dyDescent="0.2">
      <c r="E11" s="94" t="s">
        <v>3236</v>
      </c>
      <c r="F11" s="94" t="s">
        <v>9120</v>
      </c>
      <c r="G11" s="198" t="s">
        <v>300</v>
      </c>
      <c r="H11" s="198" t="s">
        <v>378</v>
      </c>
      <c r="I11" s="198"/>
      <c r="J11" s="198" t="s">
        <v>3191</v>
      </c>
      <c r="K11" s="198" t="s">
        <v>3192</v>
      </c>
      <c r="L11" s="578">
        <v>2020</v>
      </c>
      <c r="M11" s="835">
        <v>44440</v>
      </c>
      <c r="N11" s="836">
        <v>44925</v>
      </c>
      <c r="O11" s="198" t="s">
        <v>3193</v>
      </c>
      <c r="P11" s="198" t="s">
        <v>3194</v>
      </c>
      <c r="Q11" s="549" t="s">
        <v>3195</v>
      </c>
      <c r="R11" s="198" t="s">
        <v>2018</v>
      </c>
      <c r="S11" s="549" t="s">
        <v>2019</v>
      </c>
      <c r="T11" s="198" t="s">
        <v>656</v>
      </c>
      <c r="U11" s="198" t="s">
        <v>656</v>
      </c>
      <c r="V11" s="198" t="s">
        <v>656</v>
      </c>
      <c r="W11" s="198" t="s">
        <v>656</v>
      </c>
      <c r="X11" s="198" t="s">
        <v>3196</v>
      </c>
      <c r="Y11" s="549"/>
      <c r="Z11" s="549"/>
      <c r="AA11" s="549"/>
      <c r="AB11" s="549"/>
      <c r="AC11" s="549"/>
      <c r="AD11" s="549"/>
      <c r="AE11" s="549"/>
      <c r="AF11" s="549"/>
      <c r="AG11" s="549"/>
      <c r="AH11" s="198" t="s">
        <v>3197</v>
      </c>
      <c r="AI11" s="198" t="s">
        <v>3197</v>
      </c>
      <c r="AJ11" s="198" t="s">
        <v>3198</v>
      </c>
      <c r="AK11" s="198" t="s">
        <v>3199</v>
      </c>
      <c r="AL11" s="580">
        <f t="shared" si="0"/>
        <v>35.874516990000004</v>
      </c>
      <c r="AM11" s="504">
        <v>35.874516990000004</v>
      </c>
      <c r="AN11" s="516">
        <v>31.233975000000001</v>
      </c>
      <c r="AO11" s="137">
        <f>AN11/AL11</f>
        <v>0.87064517157698451</v>
      </c>
      <c r="AP11" s="137">
        <v>1.73E-4</v>
      </c>
      <c r="AQ11" s="504">
        <v>0.38018099999999999</v>
      </c>
      <c r="AR11" s="137">
        <f>AQ11/AL11</f>
        <v>1.0597522472733923E-2</v>
      </c>
      <c r="AS11" s="137"/>
      <c r="AT11" s="520">
        <v>0.64426700000000003</v>
      </c>
      <c r="AU11" s="137">
        <f>AT11/AL11</f>
        <v>1.7958903814080312E-2</v>
      </c>
      <c r="AV11" s="520">
        <f>1.659636+1.95645799</f>
        <v>3.61609399</v>
      </c>
      <c r="AW11" s="137">
        <f>AV11/AL11</f>
        <v>0.10079840213620113</v>
      </c>
      <c r="AX11" s="520"/>
      <c r="AY11" s="137" t="s">
        <v>656</v>
      </c>
      <c r="AZ11" s="520"/>
      <c r="BA11" s="137" t="s">
        <v>656</v>
      </c>
      <c r="BB11" s="198" t="s">
        <v>656</v>
      </c>
      <c r="BC11" s="198" t="s">
        <v>656</v>
      </c>
      <c r="BD11" s="198" t="s">
        <v>656</v>
      </c>
      <c r="BE11" s="198" t="s">
        <v>3200</v>
      </c>
      <c r="BF11" s="198" t="s">
        <v>3201</v>
      </c>
      <c r="BG11" s="198"/>
      <c r="BH11" s="198" t="s">
        <v>656</v>
      </c>
      <c r="BI11" s="520">
        <v>40</v>
      </c>
      <c r="BJ11" s="137">
        <v>2.41E-4</v>
      </c>
      <c r="BK11" s="83"/>
      <c r="BL11" s="83">
        <v>127</v>
      </c>
      <c r="BM11" s="83">
        <v>94</v>
      </c>
      <c r="BN11" s="83" t="s">
        <v>656</v>
      </c>
      <c r="BO11" s="83" t="s">
        <v>656</v>
      </c>
      <c r="BP11" s="83" t="s">
        <v>656</v>
      </c>
      <c r="BQ11" s="83" t="s">
        <v>656</v>
      </c>
      <c r="BR11" s="83" t="s">
        <v>656</v>
      </c>
      <c r="BS11" s="83" t="s">
        <v>656</v>
      </c>
      <c r="BT11" s="83" t="s">
        <v>656</v>
      </c>
      <c r="BU11" s="83" t="s">
        <v>656</v>
      </c>
      <c r="BV11" s="83" t="s">
        <v>656</v>
      </c>
      <c r="BW11" s="83" t="s">
        <v>656</v>
      </c>
      <c r="BX11" s="83" t="s">
        <v>656</v>
      </c>
      <c r="BY11" s="83" t="s">
        <v>656</v>
      </c>
      <c r="BZ11" s="83" t="s">
        <v>656</v>
      </c>
      <c r="CA11" s="83" t="s">
        <v>656</v>
      </c>
      <c r="CB11" s="83" t="s">
        <v>656</v>
      </c>
      <c r="CC11" s="83" t="s">
        <v>656</v>
      </c>
      <c r="CD11" s="83" t="s">
        <v>656</v>
      </c>
      <c r="CE11" s="83" t="s">
        <v>656</v>
      </c>
      <c r="CF11" s="83" t="s">
        <v>656</v>
      </c>
      <c r="CG11" s="83">
        <v>94</v>
      </c>
      <c r="CH11" s="83" t="s">
        <v>656</v>
      </c>
      <c r="CI11" s="83" t="s">
        <v>656</v>
      </c>
      <c r="CJ11" s="83" t="s">
        <v>656</v>
      </c>
      <c r="CK11" s="83" t="s">
        <v>656</v>
      </c>
      <c r="CL11" s="824">
        <f t="shared" si="2"/>
        <v>94</v>
      </c>
      <c r="CM11" s="824">
        <f t="shared" si="1"/>
        <v>0</v>
      </c>
      <c r="CN11" s="580"/>
      <c r="CO11" s="198"/>
      <c r="CP11" s="198"/>
      <c r="CQ11" s="137"/>
      <c r="CR11" s="580"/>
      <c r="CS11" s="137"/>
      <c r="CT11" s="198" t="s">
        <v>3200</v>
      </c>
      <c r="CU11" s="198" t="s">
        <v>3202</v>
      </c>
      <c r="CV11" s="198" t="s">
        <v>3203</v>
      </c>
      <c r="CW11" s="198" t="s">
        <v>2029</v>
      </c>
      <c r="CX11" s="83">
        <v>5</v>
      </c>
      <c r="CY11" s="83" t="s">
        <v>656</v>
      </c>
      <c r="CZ11" s="83">
        <v>4</v>
      </c>
      <c r="DA11" s="198" t="s">
        <v>539</v>
      </c>
      <c r="DB11" s="198" t="s">
        <v>656</v>
      </c>
      <c r="DC11" s="83" t="s">
        <v>656</v>
      </c>
      <c r="DD11" s="198" t="s">
        <v>539</v>
      </c>
      <c r="DE11" s="198" t="s">
        <v>656</v>
      </c>
      <c r="DF11" s="83" t="s">
        <v>656</v>
      </c>
      <c r="DG11" s="83" t="s">
        <v>539</v>
      </c>
      <c r="DH11" s="83" t="s">
        <v>656</v>
      </c>
      <c r="DI11" s="83" t="s">
        <v>656</v>
      </c>
      <c r="DJ11" s="83" t="s">
        <v>539</v>
      </c>
      <c r="DK11" s="83" t="s">
        <v>656</v>
      </c>
      <c r="DL11" s="83" t="s">
        <v>656</v>
      </c>
      <c r="DM11" s="198" t="s">
        <v>539</v>
      </c>
      <c r="DN11" s="198" t="s">
        <v>656</v>
      </c>
      <c r="DO11" s="83" t="s">
        <v>656</v>
      </c>
      <c r="DP11" s="198" t="s">
        <v>539</v>
      </c>
      <c r="DQ11" s="198" t="s">
        <v>656</v>
      </c>
      <c r="DR11" s="83" t="s">
        <v>656</v>
      </c>
      <c r="DS11" s="198" t="s">
        <v>539</v>
      </c>
      <c r="DT11" s="198" t="s">
        <v>656</v>
      </c>
      <c r="DU11" s="83" t="s">
        <v>656</v>
      </c>
      <c r="DV11" s="198" t="s">
        <v>3204</v>
      </c>
      <c r="DW11" s="198"/>
      <c r="DX11" s="83"/>
      <c r="DY11" s="198" t="s">
        <v>539</v>
      </c>
      <c r="DZ11" s="198" t="s">
        <v>656</v>
      </c>
      <c r="EA11" s="83" t="s">
        <v>656</v>
      </c>
      <c r="EB11" s="198" t="s">
        <v>539</v>
      </c>
      <c r="EC11" s="198" t="s">
        <v>656</v>
      </c>
      <c r="ED11" s="83" t="s">
        <v>656</v>
      </c>
      <c r="EE11" s="83" t="s">
        <v>539</v>
      </c>
      <c r="EF11" s="83" t="s">
        <v>656</v>
      </c>
      <c r="EG11" s="83" t="s">
        <v>656</v>
      </c>
      <c r="EH11" s="198" t="s">
        <v>539</v>
      </c>
      <c r="EI11" s="198" t="s">
        <v>656</v>
      </c>
      <c r="EJ11" s="83" t="s">
        <v>656</v>
      </c>
      <c r="EK11" s="198" t="s">
        <v>539</v>
      </c>
      <c r="EL11" s="198" t="s">
        <v>656</v>
      </c>
      <c r="EM11" s="83" t="s">
        <v>656</v>
      </c>
      <c r="EN11" s="198" t="s">
        <v>539</v>
      </c>
      <c r="EO11" s="198" t="s">
        <v>656</v>
      </c>
      <c r="EP11" s="83" t="s">
        <v>656</v>
      </c>
      <c r="EQ11" s="83" t="s">
        <v>539</v>
      </c>
      <c r="ER11" s="83" t="s">
        <v>656</v>
      </c>
      <c r="ES11" s="83" t="s">
        <v>656</v>
      </c>
      <c r="ET11" s="198" t="s">
        <v>3205</v>
      </c>
      <c r="EU11" s="198"/>
      <c r="EV11" s="83">
        <v>9</v>
      </c>
      <c r="EW11" s="837">
        <v>1</v>
      </c>
      <c r="EX11" s="198" t="s">
        <v>656</v>
      </c>
      <c r="EY11" s="505">
        <v>39</v>
      </c>
      <c r="EZ11" s="198" t="s">
        <v>3206</v>
      </c>
      <c r="FA11" s="198" t="s">
        <v>3207</v>
      </c>
      <c r="FB11" s="549" t="s">
        <v>3208</v>
      </c>
      <c r="FC11" s="198" t="s">
        <v>656</v>
      </c>
      <c r="FD11" s="549" t="s">
        <v>3209</v>
      </c>
      <c r="FE11" s="838" t="s">
        <v>3210</v>
      </c>
      <c r="FF11" s="198" t="s">
        <v>3211</v>
      </c>
      <c r="FG11" s="198" t="s">
        <v>3212</v>
      </c>
      <c r="FH11" s="198">
        <v>4</v>
      </c>
      <c r="FI11" s="198">
        <v>500</v>
      </c>
      <c r="FJ11" s="198" t="s">
        <v>3213</v>
      </c>
      <c r="FK11" s="198">
        <v>83852298621</v>
      </c>
      <c r="FL11" s="198" t="s">
        <v>3214</v>
      </c>
      <c r="FM11" s="198" t="s">
        <v>3215</v>
      </c>
      <c r="FN11" s="198">
        <v>83852291487</v>
      </c>
      <c r="FO11" s="549" t="s">
        <v>3216</v>
      </c>
    </row>
    <row r="12" spans="5:171" ht="104" customHeight="1" x14ac:dyDescent="0.2">
      <c r="E12" s="94" t="s">
        <v>9302</v>
      </c>
      <c r="F12" s="94" t="s">
        <v>9120</v>
      </c>
      <c r="G12" s="198" t="s">
        <v>301</v>
      </c>
      <c r="H12" s="97" t="s">
        <v>379</v>
      </c>
      <c r="I12" s="198"/>
      <c r="J12" s="198" t="s">
        <v>672</v>
      </c>
      <c r="K12" s="198" t="s">
        <v>673</v>
      </c>
      <c r="L12" s="578">
        <v>2018</v>
      </c>
      <c r="M12" s="822">
        <v>44593</v>
      </c>
      <c r="N12" s="822">
        <v>44926</v>
      </c>
      <c r="O12" s="198" t="s">
        <v>674</v>
      </c>
      <c r="P12" s="198" t="s">
        <v>675</v>
      </c>
      <c r="Q12" s="198" t="s">
        <v>676</v>
      </c>
      <c r="R12" s="198" t="s">
        <v>677</v>
      </c>
      <c r="S12" s="198" t="s">
        <v>676</v>
      </c>
      <c r="T12" s="198"/>
      <c r="U12" s="198"/>
      <c r="V12" s="198"/>
      <c r="W12" s="198"/>
      <c r="X12" s="198" t="s">
        <v>678</v>
      </c>
      <c r="Y12" s="198" t="s">
        <v>676</v>
      </c>
      <c r="Z12" s="198"/>
      <c r="AA12" s="198"/>
      <c r="AB12" s="198"/>
      <c r="AC12" s="198"/>
      <c r="AD12" s="198"/>
      <c r="AE12" s="198"/>
      <c r="AF12" s="198"/>
      <c r="AG12" s="198"/>
      <c r="AH12" s="198" t="s">
        <v>679</v>
      </c>
      <c r="AI12" s="198" t="s">
        <v>679</v>
      </c>
      <c r="AJ12" s="198" t="s">
        <v>680</v>
      </c>
      <c r="AK12" s="198" t="s">
        <v>681</v>
      </c>
      <c r="AL12" s="580">
        <f t="shared" si="0"/>
        <v>236.44900000000001</v>
      </c>
      <c r="AM12" s="504">
        <v>236.44900000000001</v>
      </c>
      <c r="AN12" s="516">
        <v>199.19200000000001</v>
      </c>
      <c r="AO12" s="137">
        <v>0.85399999999999998</v>
      </c>
      <c r="AP12" s="137">
        <v>1.6999999999999999E-3</v>
      </c>
      <c r="AQ12" s="504">
        <v>26.111999999999998</v>
      </c>
      <c r="AR12" s="137">
        <v>0.1119</v>
      </c>
      <c r="AS12" s="137"/>
      <c r="AT12" s="520">
        <v>2.7930000000000001</v>
      </c>
      <c r="AU12" s="137">
        <v>1.2E-2</v>
      </c>
      <c r="AV12" s="520">
        <v>5.1360000000000001</v>
      </c>
      <c r="AW12" s="137">
        <v>2.1999999999999999E-2</v>
      </c>
      <c r="AX12" s="520">
        <v>3.2160000000000002</v>
      </c>
      <c r="AY12" s="137">
        <v>1.38E-2</v>
      </c>
      <c r="AZ12" s="520" t="s">
        <v>470</v>
      </c>
      <c r="BA12" s="137"/>
      <c r="BB12" s="198"/>
      <c r="BC12" s="198"/>
      <c r="BD12" s="198"/>
      <c r="BE12" s="198" t="s">
        <v>540</v>
      </c>
      <c r="BF12" s="198" t="s">
        <v>682</v>
      </c>
      <c r="BG12" s="198"/>
      <c r="BH12" s="198">
        <v>4.5650000000000004</v>
      </c>
      <c r="BI12" s="520">
        <v>39</v>
      </c>
      <c r="BJ12" s="137">
        <v>4.0000000000000002E-4</v>
      </c>
      <c r="BK12" s="83">
        <v>244</v>
      </c>
      <c r="BL12" s="83">
        <v>244</v>
      </c>
      <c r="BM12" s="83">
        <v>132</v>
      </c>
      <c r="BN12" s="83">
        <v>2</v>
      </c>
      <c r="BO12" s="83"/>
      <c r="BP12" s="83">
        <v>14</v>
      </c>
      <c r="BQ12" s="83"/>
      <c r="BR12" s="83"/>
      <c r="BS12" s="83">
        <v>9</v>
      </c>
      <c r="BT12" s="83"/>
      <c r="BU12" s="83">
        <v>24</v>
      </c>
      <c r="BV12" s="83">
        <v>21</v>
      </c>
      <c r="BW12" s="83"/>
      <c r="BX12" s="83">
        <v>15</v>
      </c>
      <c r="BY12" s="83">
        <v>33</v>
      </c>
      <c r="BZ12" s="83">
        <v>14</v>
      </c>
      <c r="CA12" s="83"/>
      <c r="CB12" s="83"/>
      <c r="CC12" s="83"/>
      <c r="CD12" s="83"/>
      <c r="CE12" s="83"/>
      <c r="CF12" s="83"/>
      <c r="CG12" s="83"/>
      <c r="CH12" s="83"/>
      <c r="CI12" s="83"/>
      <c r="CJ12" s="83"/>
      <c r="CK12" s="83"/>
      <c r="CL12" s="824">
        <f t="shared" si="2"/>
        <v>132</v>
      </c>
      <c r="CM12" s="824">
        <f t="shared" si="1"/>
        <v>0</v>
      </c>
      <c r="CN12" s="505">
        <v>88.3</v>
      </c>
      <c r="CO12" s="198" t="s">
        <v>683</v>
      </c>
      <c r="CP12" s="198"/>
      <c r="CQ12" s="137">
        <v>0.1143</v>
      </c>
      <c r="CR12" s="505">
        <v>772.5</v>
      </c>
      <c r="CS12" s="834" t="s">
        <v>684</v>
      </c>
      <c r="CT12" s="198" t="s">
        <v>479</v>
      </c>
      <c r="CU12" s="198" t="s">
        <v>685</v>
      </c>
      <c r="CV12" s="198" t="s">
        <v>686</v>
      </c>
      <c r="CW12" s="198" t="s">
        <v>687</v>
      </c>
      <c r="CX12" s="83">
        <v>2</v>
      </c>
      <c r="CY12" s="83">
        <v>0</v>
      </c>
      <c r="CZ12" s="83">
        <v>1</v>
      </c>
      <c r="DA12" s="198" t="s">
        <v>479</v>
      </c>
      <c r="DB12" s="198" t="s">
        <v>688</v>
      </c>
      <c r="DC12" s="83">
        <v>27775</v>
      </c>
      <c r="DD12" s="198" t="s">
        <v>689</v>
      </c>
      <c r="DE12" s="198" t="s">
        <v>690</v>
      </c>
      <c r="DF12" s="83">
        <v>1898</v>
      </c>
      <c r="DG12" s="83" t="s">
        <v>470</v>
      </c>
      <c r="DH12" s="83"/>
      <c r="DI12" s="83"/>
      <c r="DJ12" s="83" t="s">
        <v>470</v>
      </c>
      <c r="DK12" s="83"/>
      <c r="DL12" s="83"/>
      <c r="DM12" s="198" t="s">
        <v>470</v>
      </c>
      <c r="DN12" s="198"/>
      <c r="DO12" s="83"/>
      <c r="DP12" s="198" t="s">
        <v>470</v>
      </c>
      <c r="DQ12" s="198"/>
      <c r="DR12" s="83"/>
      <c r="DS12" s="198" t="s">
        <v>470</v>
      </c>
      <c r="DT12" s="198"/>
      <c r="DU12" s="83"/>
      <c r="DV12" s="198"/>
      <c r="DW12" s="198"/>
      <c r="DX12" s="83"/>
      <c r="DY12" s="198" t="s">
        <v>479</v>
      </c>
      <c r="DZ12" s="198" t="s">
        <v>691</v>
      </c>
      <c r="EA12" s="83">
        <v>44076</v>
      </c>
      <c r="EB12" s="198" t="s">
        <v>479</v>
      </c>
      <c r="EC12" s="198" t="s">
        <v>690</v>
      </c>
      <c r="ED12" s="83">
        <v>2243</v>
      </c>
      <c r="EE12" s="83" t="s">
        <v>470</v>
      </c>
      <c r="EF12" s="83"/>
      <c r="EG12" s="83"/>
      <c r="EH12" s="198" t="s">
        <v>470</v>
      </c>
      <c r="EI12" s="198"/>
      <c r="EJ12" s="83"/>
      <c r="EK12" s="198" t="s">
        <v>470</v>
      </c>
      <c r="EL12" s="198"/>
      <c r="EM12" s="83"/>
      <c r="EN12" s="198" t="s">
        <v>470</v>
      </c>
      <c r="EO12" s="198"/>
      <c r="EP12" s="83"/>
      <c r="EQ12" s="83" t="s">
        <v>470</v>
      </c>
      <c r="ER12" s="83"/>
      <c r="ES12" s="83"/>
      <c r="ET12" s="198"/>
      <c r="EU12" s="198"/>
      <c r="EV12" s="83"/>
      <c r="EW12" s="198" t="s">
        <v>470</v>
      </c>
      <c r="EX12" s="198" t="s">
        <v>692</v>
      </c>
      <c r="EY12" s="83">
        <v>104</v>
      </c>
      <c r="EZ12" s="198"/>
      <c r="FA12" s="198"/>
      <c r="FB12" s="549" t="s">
        <v>693</v>
      </c>
      <c r="FC12" s="549" t="s">
        <v>694</v>
      </c>
      <c r="FD12" s="198"/>
      <c r="FE12" s="198"/>
      <c r="FF12" s="198"/>
      <c r="FG12" s="198" t="s">
        <v>695</v>
      </c>
      <c r="FH12" s="198">
        <v>3</v>
      </c>
      <c r="FI12" s="198">
        <v>130</v>
      </c>
      <c r="FJ12" s="198" t="s">
        <v>696</v>
      </c>
      <c r="FK12" s="198" t="s">
        <v>697</v>
      </c>
      <c r="FL12" s="549" t="s">
        <v>698</v>
      </c>
      <c r="FM12" s="198" t="s">
        <v>696</v>
      </c>
      <c r="FN12" s="198" t="s">
        <v>697</v>
      </c>
      <c r="FO12" s="549" t="s">
        <v>698</v>
      </c>
    </row>
    <row r="13" spans="5:171" ht="104" customHeight="1" x14ac:dyDescent="0.2">
      <c r="E13" s="94" t="s">
        <v>9302</v>
      </c>
      <c r="F13" s="94" t="s">
        <v>9120</v>
      </c>
      <c r="G13" s="198" t="s">
        <v>302</v>
      </c>
      <c r="H13" s="198" t="s">
        <v>380</v>
      </c>
      <c r="I13" s="198"/>
      <c r="J13" s="198" t="s">
        <v>3283</v>
      </c>
      <c r="K13" s="198"/>
      <c r="L13" s="578">
        <v>2022</v>
      </c>
      <c r="M13" s="822" t="s">
        <v>3284</v>
      </c>
      <c r="N13" s="822" t="s">
        <v>3285</v>
      </c>
      <c r="O13" s="198" t="s">
        <v>3286</v>
      </c>
      <c r="P13" s="198" t="s">
        <v>3287</v>
      </c>
      <c r="Q13" s="549" t="s">
        <v>3288</v>
      </c>
      <c r="R13" s="198"/>
      <c r="S13" s="198"/>
      <c r="T13" s="198"/>
      <c r="U13" s="198"/>
      <c r="V13" s="198"/>
      <c r="W13" s="198"/>
      <c r="X13" s="198" t="s">
        <v>3289</v>
      </c>
      <c r="Y13" s="549" t="s">
        <v>3290</v>
      </c>
      <c r="Z13" s="549"/>
      <c r="AA13" s="549"/>
      <c r="AB13" s="549"/>
      <c r="AC13" s="549"/>
      <c r="AD13" s="549"/>
      <c r="AE13" s="549"/>
      <c r="AF13" s="549"/>
      <c r="AG13" s="549"/>
      <c r="AH13" s="198" t="s">
        <v>3291</v>
      </c>
      <c r="AI13" s="198" t="s">
        <v>3291</v>
      </c>
      <c r="AJ13" s="198" t="s">
        <v>2328</v>
      </c>
      <c r="AK13" s="198" t="s">
        <v>3292</v>
      </c>
      <c r="AL13" s="580">
        <f t="shared" si="0"/>
        <v>38.980000000000004</v>
      </c>
      <c r="AM13" s="504">
        <v>38.980000000000004</v>
      </c>
      <c r="AN13" s="516">
        <v>30</v>
      </c>
      <c r="AO13" s="137">
        <f>AN13/AL13</f>
        <v>0.76962544894817853</v>
      </c>
      <c r="AP13" s="137">
        <f>AN13/143409.8</f>
        <v>2.0919072476218502E-4</v>
      </c>
      <c r="AQ13" s="504">
        <v>5.3419999999999996</v>
      </c>
      <c r="AR13" s="839">
        <f>AQ13/AL13</f>
        <v>0.13704463827603897</v>
      </c>
      <c r="AS13" s="839"/>
      <c r="AT13" s="520">
        <v>1.1180000000000001</v>
      </c>
      <c r="AU13" s="137">
        <f>AT13/AL13</f>
        <v>2.8681375064135452E-2</v>
      </c>
      <c r="AV13" s="520">
        <v>2.52</v>
      </c>
      <c r="AW13" s="137">
        <f>AV13/AL13</f>
        <v>6.4648537711646997E-2</v>
      </c>
      <c r="AX13" s="520"/>
      <c r="AY13" s="137"/>
      <c r="AZ13" s="520">
        <v>0</v>
      </c>
      <c r="BA13" s="137"/>
      <c r="BB13" s="198"/>
      <c r="BC13" s="198"/>
      <c r="BD13" s="198"/>
      <c r="BE13" s="198" t="s">
        <v>479</v>
      </c>
      <c r="BF13" s="198" t="s">
        <v>3293</v>
      </c>
      <c r="BG13" s="198"/>
      <c r="BH13" s="198" t="s">
        <v>3294</v>
      </c>
      <c r="BI13" s="520">
        <v>72</v>
      </c>
      <c r="BJ13" s="137"/>
      <c r="BK13" s="83"/>
      <c r="BL13" s="83">
        <v>54</v>
      </c>
      <c r="BM13" s="83">
        <v>48</v>
      </c>
      <c r="BN13" s="83">
        <v>1</v>
      </c>
      <c r="BO13" s="83">
        <v>8</v>
      </c>
      <c r="BP13" s="83">
        <v>3</v>
      </c>
      <c r="BQ13" s="83">
        <v>0</v>
      </c>
      <c r="BR13" s="83">
        <v>0</v>
      </c>
      <c r="BS13" s="83">
        <v>3</v>
      </c>
      <c r="BT13" s="83">
        <v>0</v>
      </c>
      <c r="BU13" s="83">
        <v>0</v>
      </c>
      <c r="BV13" s="83">
        <v>5</v>
      </c>
      <c r="BW13" s="83">
        <v>0</v>
      </c>
      <c r="BX13" s="83">
        <v>5</v>
      </c>
      <c r="BY13" s="83">
        <v>12</v>
      </c>
      <c r="BZ13" s="83">
        <v>2</v>
      </c>
      <c r="CA13" s="83">
        <v>0</v>
      </c>
      <c r="CB13" s="83">
        <v>0</v>
      </c>
      <c r="CC13" s="83">
        <v>1</v>
      </c>
      <c r="CD13" s="83">
        <v>1</v>
      </c>
      <c r="CE13" s="83">
        <v>0</v>
      </c>
      <c r="CF13" s="83">
        <v>0</v>
      </c>
      <c r="CG13" s="83">
        <v>0</v>
      </c>
      <c r="CH13" s="83"/>
      <c r="CI13" s="83"/>
      <c r="CJ13" s="83"/>
      <c r="CK13" s="83">
        <v>7</v>
      </c>
      <c r="CL13" s="824">
        <f t="shared" si="2"/>
        <v>48</v>
      </c>
      <c r="CM13" s="824">
        <f t="shared" si="1"/>
        <v>0</v>
      </c>
      <c r="CN13" s="580"/>
      <c r="CO13" s="198" t="s">
        <v>3296</v>
      </c>
      <c r="CP13" s="198"/>
      <c r="CQ13" s="137"/>
      <c r="CR13" s="580"/>
      <c r="CS13" s="137"/>
      <c r="CT13" s="198" t="s">
        <v>470</v>
      </c>
      <c r="CU13" s="198"/>
      <c r="CV13" s="198"/>
      <c r="CW13" s="83"/>
      <c r="CX13" s="83"/>
      <c r="CY13" s="83"/>
      <c r="CZ13" s="83"/>
      <c r="DA13" s="198" t="s">
        <v>479</v>
      </c>
      <c r="DB13" s="198" t="s">
        <v>3297</v>
      </c>
      <c r="DC13" s="83" t="s">
        <v>3298</v>
      </c>
      <c r="DD13" s="198" t="s">
        <v>479</v>
      </c>
      <c r="DE13" s="198" t="s">
        <v>3299</v>
      </c>
      <c r="DF13" s="83" t="s">
        <v>3298</v>
      </c>
      <c r="DG13" s="83" t="s">
        <v>3300</v>
      </c>
      <c r="DH13" s="83"/>
      <c r="DI13" s="83"/>
      <c r="DJ13" s="83" t="s">
        <v>873</v>
      </c>
      <c r="DK13" s="83"/>
      <c r="DL13" s="83"/>
      <c r="DM13" s="198" t="s">
        <v>470</v>
      </c>
      <c r="DN13" s="198"/>
      <c r="DO13" s="83"/>
      <c r="DP13" s="198" t="s">
        <v>470</v>
      </c>
      <c r="DQ13" s="198"/>
      <c r="DR13" s="83"/>
      <c r="DS13" s="198" t="s">
        <v>470</v>
      </c>
      <c r="DT13" s="198"/>
      <c r="DU13" s="83"/>
      <c r="DV13" s="198" t="s">
        <v>470</v>
      </c>
      <c r="DW13" s="198"/>
      <c r="DX13" s="83"/>
      <c r="DY13" s="198" t="s">
        <v>470</v>
      </c>
      <c r="DZ13" s="198"/>
      <c r="EA13" s="83"/>
      <c r="EB13" s="198" t="s">
        <v>470</v>
      </c>
      <c r="EC13" s="198"/>
      <c r="ED13" s="83"/>
      <c r="EE13" s="83" t="s">
        <v>470</v>
      </c>
      <c r="EF13" s="83"/>
      <c r="EG13" s="83"/>
      <c r="EH13" s="198" t="s">
        <v>470</v>
      </c>
      <c r="EI13" s="198"/>
      <c r="EJ13" s="83"/>
      <c r="EK13" s="198" t="s">
        <v>470</v>
      </c>
      <c r="EL13" s="198"/>
      <c r="EM13" s="83"/>
      <c r="EN13" s="198" t="s">
        <v>470</v>
      </c>
      <c r="EO13" s="198"/>
      <c r="EP13" s="83"/>
      <c r="EQ13" s="83" t="s">
        <v>479</v>
      </c>
      <c r="ER13" s="83"/>
      <c r="ES13" s="83"/>
      <c r="ET13" s="198" t="s">
        <v>470</v>
      </c>
      <c r="EU13" s="198"/>
      <c r="EV13" s="83"/>
      <c r="EW13" s="198" t="s">
        <v>3301</v>
      </c>
      <c r="EX13" s="198"/>
      <c r="EY13" s="83">
        <v>12</v>
      </c>
      <c r="EZ13" s="198" t="s">
        <v>470</v>
      </c>
      <c r="FA13" s="198"/>
      <c r="FB13" s="198" t="s">
        <v>3302</v>
      </c>
      <c r="FC13" s="840" t="s">
        <v>3303</v>
      </c>
      <c r="FD13" s="198"/>
      <c r="FE13" s="198" t="s">
        <v>3304</v>
      </c>
      <c r="FF13" s="198"/>
      <c r="FG13" s="198" t="s">
        <v>3305</v>
      </c>
      <c r="FH13" s="198">
        <v>13</v>
      </c>
      <c r="FI13" s="198">
        <v>200</v>
      </c>
      <c r="FJ13" s="198" t="s">
        <v>3306</v>
      </c>
      <c r="FK13" s="198" t="s">
        <v>3307</v>
      </c>
      <c r="FL13" s="549" t="s">
        <v>3308</v>
      </c>
      <c r="FM13" s="198" t="s">
        <v>3309</v>
      </c>
      <c r="FN13" s="198" t="s">
        <v>3310</v>
      </c>
      <c r="FO13" s="549" t="s">
        <v>3311</v>
      </c>
    </row>
    <row r="14" spans="5:171" ht="104" customHeight="1" x14ac:dyDescent="0.2">
      <c r="E14" s="94" t="s">
        <v>9302</v>
      </c>
      <c r="F14" s="94" t="s">
        <v>9121</v>
      </c>
      <c r="G14" s="97" t="s">
        <v>302</v>
      </c>
      <c r="H14" s="97" t="s">
        <v>380</v>
      </c>
      <c r="I14" s="97" t="s">
        <v>8874</v>
      </c>
      <c r="J14" s="97" t="s">
        <v>8614</v>
      </c>
      <c r="K14" s="97" t="s">
        <v>8448</v>
      </c>
      <c r="L14" s="502">
        <v>2019</v>
      </c>
      <c r="M14" s="841" t="s">
        <v>8333</v>
      </c>
      <c r="N14" s="841" t="s">
        <v>8263</v>
      </c>
      <c r="O14" s="841"/>
      <c r="P14" s="841"/>
      <c r="Q14" s="841"/>
      <c r="R14" s="841"/>
      <c r="S14" s="841"/>
      <c r="T14" s="841"/>
      <c r="U14" s="841"/>
      <c r="V14" s="841"/>
      <c r="W14" s="841"/>
      <c r="X14" s="841"/>
      <c r="Y14" s="841"/>
      <c r="Z14" s="97" t="s">
        <v>8194</v>
      </c>
      <c r="AA14" s="842" t="s">
        <v>5789</v>
      </c>
      <c r="AB14" s="97"/>
      <c r="AC14" s="842"/>
      <c r="AD14" s="97" t="s">
        <v>7574</v>
      </c>
      <c r="AE14" s="97"/>
      <c r="AF14" s="97" t="s">
        <v>656</v>
      </c>
      <c r="AG14" s="97" t="s">
        <v>656</v>
      </c>
      <c r="AH14" s="97" t="s">
        <v>7042</v>
      </c>
      <c r="AI14" s="97" t="s">
        <v>6911</v>
      </c>
      <c r="AJ14" s="97" t="s">
        <v>6756</v>
      </c>
      <c r="AK14" s="97" t="s">
        <v>6615</v>
      </c>
      <c r="AL14" s="580">
        <f t="shared" si="0"/>
        <v>8.3469999999999995</v>
      </c>
      <c r="AM14" s="504">
        <v>8.3469999999999995</v>
      </c>
      <c r="AN14" s="516"/>
      <c r="AO14" s="97"/>
      <c r="AP14" s="97"/>
      <c r="AQ14" s="504">
        <v>7.8419999999999996</v>
      </c>
      <c r="AR14" s="507">
        <v>0.94</v>
      </c>
      <c r="AS14" s="507">
        <v>5.2599999999999999E-4</v>
      </c>
      <c r="AT14" s="516">
        <v>0</v>
      </c>
      <c r="AU14" s="507">
        <v>0</v>
      </c>
      <c r="AV14" s="516">
        <v>0.505</v>
      </c>
      <c r="AW14" s="507">
        <v>6.0499999999999998E-2</v>
      </c>
      <c r="AX14" s="516">
        <v>0</v>
      </c>
      <c r="AY14" s="507">
        <v>0</v>
      </c>
      <c r="AZ14" s="516"/>
      <c r="BA14" s="507"/>
      <c r="BB14" s="507"/>
      <c r="BC14" s="507"/>
      <c r="BD14" s="507"/>
      <c r="BE14" s="507" t="s">
        <v>479</v>
      </c>
      <c r="BF14" s="507" t="s">
        <v>6337</v>
      </c>
      <c r="BG14" s="507"/>
      <c r="BH14" s="507"/>
      <c r="BI14" s="504">
        <v>10.577</v>
      </c>
      <c r="BJ14" s="507">
        <v>6.9090000000000004E-4</v>
      </c>
      <c r="BK14" s="96">
        <v>32</v>
      </c>
      <c r="BL14" s="96">
        <v>32</v>
      </c>
      <c r="BM14" s="96">
        <v>7</v>
      </c>
      <c r="BN14" s="96"/>
      <c r="BO14" s="96"/>
      <c r="BP14" s="96"/>
      <c r="BQ14" s="96"/>
      <c r="BR14" s="96"/>
      <c r="BS14" s="96"/>
      <c r="BT14" s="96">
        <v>2</v>
      </c>
      <c r="BU14" s="96">
        <v>1</v>
      </c>
      <c r="BV14" s="96">
        <v>3</v>
      </c>
      <c r="BW14" s="96"/>
      <c r="BX14" s="96"/>
      <c r="BY14" s="96"/>
      <c r="BZ14" s="96"/>
      <c r="CA14" s="96"/>
      <c r="CB14" s="96"/>
      <c r="CC14" s="96"/>
      <c r="CD14" s="96"/>
      <c r="CE14" s="96"/>
      <c r="CF14" s="96"/>
      <c r="CG14" s="96"/>
      <c r="CH14" s="97"/>
      <c r="CI14" s="97"/>
      <c r="CJ14" s="97"/>
      <c r="CK14" s="96">
        <v>1</v>
      </c>
      <c r="CL14" s="502">
        <f t="shared" si="2"/>
        <v>7</v>
      </c>
      <c r="CM14" s="824">
        <f t="shared" si="1"/>
        <v>0</v>
      </c>
      <c r="CN14" s="504">
        <v>14.478</v>
      </c>
      <c r="CO14" s="97" t="s">
        <v>6181</v>
      </c>
      <c r="CP14" s="97"/>
      <c r="CQ14" s="97" t="s">
        <v>5967</v>
      </c>
      <c r="CR14" s="97">
        <v>304.8</v>
      </c>
      <c r="CS14" s="507"/>
      <c r="CT14" s="97" t="s">
        <v>539</v>
      </c>
      <c r="CU14" s="97"/>
      <c r="CV14" s="842" t="s">
        <v>5789</v>
      </c>
      <c r="CW14" s="96">
        <v>0</v>
      </c>
      <c r="CX14" s="96">
        <v>0</v>
      </c>
      <c r="CY14" s="96">
        <v>0</v>
      </c>
      <c r="CZ14" s="97" t="s">
        <v>5739</v>
      </c>
      <c r="DA14" s="97" t="s">
        <v>470</v>
      </c>
      <c r="DB14" s="97"/>
      <c r="DC14" s="96"/>
      <c r="DD14" s="96" t="s">
        <v>470</v>
      </c>
      <c r="DE14" s="96"/>
      <c r="DF14" s="96"/>
      <c r="DG14" s="96" t="s">
        <v>470</v>
      </c>
      <c r="DH14" s="96"/>
      <c r="DI14" s="96"/>
      <c r="DJ14" s="97" t="s">
        <v>470</v>
      </c>
      <c r="DK14" s="97"/>
      <c r="DL14" s="96"/>
      <c r="DM14" s="97" t="s">
        <v>470</v>
      </c>
      <c r="DN14" s="97"/>
      <c r="DO14" s="96"/>
      <c r="DP14" s="97" t="s">
        <v>470</v>
      </c>
      <c r="DQ14" s="97"/>
      <c r="DR14" s="96"/>
      <c r="DS14" s="97" t="s">
        <v>470</v>
      </c>
      <c r="DT14" s="97"/>
      <c r="DU14" s="97"/>
      <c r="DV14" s="97" t="s">
        <v>5519</v>
      </c>
      <c r="DW14" s="97" t="s">
        <v>5489</v>
      </c>
      <c r="DX14" s="96">
        <v>22500</v>
      </c>
      <c r="DY14" s="97" t="s">
        <v>470</v>
      </c>
      <c r="DZ14" s="97"/>
      <c r="EA14" s="96"/>
      <c r="EB14" s="97" t="s">
        <v>470</v>
      </c>
      <c r="EC14" s="97"/>
      <c r="ED14" s="96"/>
      <c r="EE14" s="96" t="s">
        <v>470</v>
      </c>
      <c r="EF14" s="96"/>
      <c r="EG14" s="96"/>
      <c r="EH14" s="97" t="s">
        <v>470</v>
      </c>
      <c r="EI14" s="97"/>
      <c r="EJ14" s="96"/>
      <c r="EK14" s="97" t="s">
        <v>470</v>
      </c>
      <c r="EL14" s="97"/>
      <c r="EM14" s="96"/>
      <c r="EN14" s="97" t="s">
        <v>5368</v>
      </c>
      <c r="EO14" s="97" t="s">
        <v>5367</v>
      </c>
      <c r="EP14" s="96" t="s">
        <v>5327</v>
      </c>
      <c r="EQ14" s="97" t="s">
        <v>470</v>
      </c>
      <c r="ER14" s="97"/>
      <c r="ES14" s="97"/>
      <c r="ET14" s="96" t="s">
        <v>5253</v>
      </c>
      <c r="EU14" s="96" t="s">
        <v>5235</v>
      </c>
      <c r="EV14" s="96" t="s">
        <v>5224</v>
      </c>
      <c r="EW14" s="96"/>
      <c r="EX14" s="96"/>
      <c r="EY14" s="96"/>
      <c r="EZ14" s="97" t="s">
        <v>5221</v>
      </c>
      <c r="FA14" s="97" t="s">
        <v>5216</v>
      </c>
      <c r="FB14" s="842" t="s">
        <v>4926</v>
      </c>
      <c r="FC14" s="842" t="s">
        <v>5030</v>
      </c>
      <c r="FD14" s="842" t="s">
        <v>4926</v>
      </c>
      <c r="FE14" s="97" t="s">
        <v>4874</v>
      </c>
      <c r="FF14" s="97" t="s">
        <v>4730</v>
      </c>
      <c r="FG14" s="97" t="s">
        <v>470</v>
      </c>
      <c r="FH14" s="97"/>
      <c r="FI14" s="97"/>
      <c r="FJ14" s="97" t="s">
        <v>4568</v>
      </c>
      <c r="FK14" s="97" t="s">
        <v>4329</v>
      </c>
      <c r="FL14" s="842" t="s">
        <v>4149</v>
      </c>
      <c r="FM14" s="97" t="s">
        <v>3309</v>
      </c>
      <c r="FN14" s="97" t="s">
        <v>3310</v>
      </c>
      <c r="FO14" s="842" t="s">
        <v>3311</v>
      </c>
    </row>
    <row r="15" spans="5:171" ht="104" customHeight="1" x14ac:dyDescent="0.2">
      <c r="E15" s="94" t="s">
        <v>9305</v>
      </c>
      <c r="F15" s="94" t="s">
        <v>9121</v>
      </c>
      <c r="G15" s="97" t="s">
        <v>302</v>
      </c>
      <c r="H15" s="97" t="s">
        <v>380</v>
      </c>
      <c r="I15" s="97" t="s">
        <v>8874</v>
      </c>
      <c r="J15" s="97" t="s">
        <v>8613</v>
      </c>
      <c r="K15" s="97" t="s">
        <v>8447</v>
      </c>
      <c r="L15" s="502">
        <v>2022</v>
      </c>
      <c r="M15" s="841" t="s">
        <v>8333</v>
      </c>
      <c r="N15" s="841" t="s">
        <v>8262</v>
      </c>
      <c r="O15" s="841"/>
      <c r="P15" s="841"/>
      <c r="Q15" s="841"/>
      <c r="R15" s="841"/>
      <c r="S15" s="841"/>
      <c r="T15" s="841"/>
      <c r="U15" s="841"/>
      <c r="V15" s="841"/>
      <c r="W15" s="841"/>
      <c r="X15" s="841"/>
      <c r="Y15" s="841"/>
      <c r="Z15" s="97"/>
      <c r="AA15" s="97"/>
      <c r="AB15" s="97" t="s">
        <v>7891</v>
      </c>
      <c r="AC15" s="842" t="s">
        <v>7696</v>
      </c>
      <c r="AD15" s="97" t="s">
        <v>7573</v>
      </c>
      <c r="AE15" s="842" t="s">
        <v>7358</v>
      </c>
      <c r="AF15" s="843" t="s">
        <v>7183</v>
      </c>
      <c r="AG15" s="842" t="s">
        <v>7109</v>
      </c>
      <c r="AH15" s="97" t="s">
        <v>7042</v>
      </c>
      <c r="AI15" s="97" t="s">
        <v>6614</v>
      </c>
      <c r="AJ15" s="97" t="s">
        <v>6755</v>
      </c>
      <c r="AK15" s="97" t="s">
        <v>6614</v>
      </c>
      <c r="AL15" s="580">
        <f t="shared" si="0"/>
        <v>5.7329999999999997</v>
      </c>
      <c r="AM15" s="504">
        <v>5.7329999999999997</v>
      </c>
      <c r="AN15" s="516"/>
      <c r="AO15" s="97"/>
      <c r="AP15" s="97"/>
      <c r="AQ15" s="504">
        <v>5.7329999999999997</v>
      </c>
      <c r="AR15" s="507">
        <v>1</v>
      </c>
      <c r="AS15" s="507">
        <v>3.8499999999999998E-4</v>
      </c>
      <c r="AT15" s="516">
        <v>0</v>
      </c>
      <c r="AU15" s="507">
        <v>0</v>
      </c>
      <c r="AV15" s="516"/>
      <c r="AW15" s="504">
        <v>0</v>
      </c>
      <c r="AX15" s="516">
        <v>0</v>
      </c>
      <c r="AY15" s="507">
        <v>0</v>
      </c>
      <c r="AZ15" s="516"/>
      <c r="BA15" s="507"/>
      <c r="BB15" s="507"/>
      <c r="BC15" s="507"/>
      <c r="BD15" s="507"/>
      <c r="BE15" s="507" t="s">
        <v>479</v>
      </c>
      <c r="BF15" s="507" t="s">
        <v>6337</v>
      </c>
      <c r="BG15" s="507"/>
      <c r="BH15" s="507"/>
      <c r="BI15" s="504">
        <v>6.3967000000000001</v>
      </c>
      <c r="BJ15" s="507">
        <v>4.1800000000000002E-4</v>
      </c>
      <c r="BK15" s="96">
        <v>2</v>
      </c>
      <c r="BL15" s="96">
        <v>1</v>
      </c>
      <c r="BM15" s="96">
        <v>1</v>
      </c>
      <c r="BN15" s="96"/>
      <c r="BO15" s="96">
        <v>1</v>
      </c>
      <c r="BP15" s="96"/>
      <c r="BQ15" s="96"/>
      <c r="BR15" s="96"/>
      <c r="BS15" s="96"/>
      <c r="BT15" s="96"/>
      <c r="BU15" s="96"/>
      <c r="BV15" s="96"/>
      <c r="BW15" s="96"/>
      <c r="BX15" s="96"/>
      <c r="BY15" s="96"/>
      <c r="BZ15" s="96"/>
      <c r="CA15" s="96"/>
      <c r="CB15" s="96"/>
      <c r="CC15" s="96"/>
      <c r="CD15" s="96"/>
      <c r="CE15" s="96"/>
      <c r="CF15" s="96"/>
      <c r="CG15" s="96"/>
      <c r="CH15" s="97"/>
      <c r="CI15" s="97"/>
      <c r="CJ15" s="97"/>
      <c r="CK15" s="96"/>
      <c r="CL15" s="502">
        <f t="shared" si="2"/>
        <v>1</v>
      </c>
      <c r="CM15" s="824">
        <f t="shared" si="1"/>
        <v>0</v>
      </c>
      <c r="CN15" s="504">
        <v>0.6</v>
      </c>
      <c r="CO15" s="97" t="s">
        <v>6180</v>
      </c>
      <c r="CP15" s="97"/>
      <c r="CQ15" s="97" t="s">
        <v>5966</v>
      </c>
      <c r="CR15" s="97">
        <v>304.8</v>
      </c>
      <c r="CS15" s="507"/>
      <c r="CT15" s="97" t="s">
        <v>539</v>
      </c>
      <c r="CU15" s="97"/>
      <c r="CV15" s="842" t="s">
        <v>5788</v>
      </c>
      <c r="CW15" s="96">
        <v>0</v>
      </c>
      <c r="CX15" s="96">
        <v>0</v>
      </c>
      <c r="CY15" s="96">
        <v>0</v>
      </c>
      <c r="CZ15" s="97">
        <v>17</v>
      </c>
      <c r="DA15" s="97" t="s">
        <v>470</v>
      </c>
      <c r="DB15" s="97"/>
      <c r="DC15" s="96"/>
      <c r="DD15" s="96" t="s">
        <v>470</v>
      </c>
      <c r="DE15" s="96"/>
      <c r="DF15" s="96"/>
      <c r="DG15" s="96" t="s">
        <v>470</v>
      </c>
      <c r="DH15" s="96"/>
      <c r="DI15" s="96"/>
      <c r="DJ15" s="97" t="s">
        <v>470</v>
      </c>
      <c r="DK15" s="97"/>
      <c r="DL15" s="96"/>
      <c r="DM15" s="97" t="s">
        <v>470</v>
      </c>
      <c r="DN15" s="97"/>
      <c r="DO15" s="96"/>
      <c r="DP15" s="97" t="s">
        <v>479</v>
      </c>
      <c r="DQ15" s="97" t="s">
        <v>5542</v>
      </c>
      <c r="DR15" s="96">
        <v>2</v>
      </c>
      <c r="DS15" s="97" t="s">
        <v>470</v>
      </c>
      <c r="DT15" s="97"/>
      <c r="DU15" s="97"/>
      <c r="DV15" s="97" t="s">
        <v>470</v>
      </c>
      <c r="DW15" s="97"/>
      <c r="DX15" s="96"/>
      <c r="DY15" s="97" t="s">
        <v>470</v>
      </c>
      <c r="DZ15" s="97"/>
      <c r="EA15" s="96"/>
      <c r="EB15" s="97" t="s">
        <v>470</v>
      </c>
      <c r="EC15" s="97"/>
      <c r="ED15" s="96"/>
      <c r="EE15" s="96" t="s">
        <v>470</v>
      </c>
      <c r="EF15" s="96"/>
      <c r="EG15" s="96"/>
      <c r="EH15" s="97" t="s">
        <v>470</v>
      </c>
      <c r="EI15" s="97"/>
      <c r="EJ15" s="96"/>
      <c r="EK15" s="97" t="s">
        <v>470</v>
      </c>
      <c r="EL15" s="97"/>
      <c r="EM15" s="96"/>
      <c r="EN15" s="97" t="s">
        <v>479</v>
      </c>
      <c r="EO15" s="97" t="s">
        <v>5366</v>
      </c>
      <c r="EP15" s="96" t="s">
        <v>5326</v>
      </c>
      <c r="EQ15" s="97" t="s">
        <v>470</v>
      </c>
      <c r="ER15" s="97"/>
      <c r="ES15" s="97"/>
      <c r="ET15" s="96" t="s">
        <v>470</v>
      </c>
      <c r="EU15" s="96"/>
      <c r="EV15" s="96"/>
      <c r="EW15" s="96"/>
      <c r="EX15" s="96"/>
      <c r="EY15" s="96"/>
      <c r="EZ15" s="97" t="s">
        <v>540</v>
      </c>
      <c r="FA15" s="97" t="s">
        <v>5215</v>
      </c>
      <c r="FB15" s="842" t="s">
        <v>5188</v>
      </c>
      <c r="FC15" s="842" t="s">
        <v>5030</v>
      </c>
      <c r="FD15" s="842" t="s">
        <v>4925</v>
      </c>
      <c r="FE15" s="97" t="s">
        <v>4873</v>
      </c>
      <c r="FF15" s="97" t="s">
        <v>4729</v>
      </c>
      <c r="FG15" s="97" t="s">
        <v>470</v>
      </c>
      <c r="FH15" s="97"/>
      <c r="FI15" s="97"/>
      <c r="FJ15" s="97" t="s">
        <v>4568</v>
      </c>
      <c r="FK15" s="97" t="s">
        <v>4329</v>
      </c>
      <c r="FL15" s="842" t="s">
        <v>4149</v>
      </c>
      <c r="FM15" s="97" t="s">
        <v>3926</v>
      </c>
      <c r="FN15" s="97" t="s">
        <v>3843</v>
      </c>
      <c r="FO15" s="842" t="s">
        <v>3774</v>
      </c>
    </row>
    <row r="16" spans="5:171" ht="104" customHeight="1" x14ac:dyDescent="0.2">
      <c r="E16" s="94" t="s">
        <v>9302</v>
      </c>
      <c r="F16" s="94" t="s">
        <v>9120</v>
      </c>
      <c r="G16" s="198" t="s">
        <v>303</v>
      </c>
      <c r="H16" s="198" t="s">
        <v>381</v>
      </c>
      <c r="I16" s="198"/>
      <c r="J16" s="198" t="s">
        <v>1414</v>
      </c>
      <c r="K16" s="99" t="s">
        <v>656</v>
      </c>
      <c r="L16" s="198">
        <v>2019</v>
      </c>
      <c r="M16" s="822" t="s">
        <v>864</v>
      </c>
      <c r="N16" s="822" t="s">
        <v>1863</v>
      </c>
      <c r="O16" s="198" t="s">
        <v>1864</v>
      </c>
      <c r="P16" s="198" t="s">
        <v>1865</v>
      </c>
      <c r="Q16" s="549"/>
      <c r="R16" s="97" t="s">
        <v>656</v>
      </c>
      <c r="S16" s="99" t="s">
        <v>656</v>
      </c>
      <c r="T16" s="99" t="s">
        <v>656</v>
      </c>
      <c r="U16" s="99" t="s">
        <v>656</v>
      </c>
      <c r="V16" s="99" t="s">
        <v>656</v>
      </c>
      <c r="W16" s="99" t="s">
        <v>656</v>
      </c>
      <c r="X16" s="198" t="s">
        <v>1866</v>
      </c>
      <c r="Y16" s="549" t="s">
        <v>1867</v>
      </c>
      <c r="Z16" s="549"/>
      <c r="AA16" s="549"/>
      <c r="AB16" s="549"/>
      <c r="AC16" s="549"/>
      <c r="AD16" s="549"/>
      <c r="AE16" s="549"/>
      <c r="AF16" s="549"/>
      <c r="AG16" s="549"/>
      <c r="AH16" s="198" t="s">
        <v>1868</v>
      </c>
      <c r="AI16" s="198" t="s">
        <v>1869</v>
      </c>
      <c r="AJ16" s="198" t="s">
        <v>1870</v>
      </c>
      <c r="AK16" s="198" t="s">
        <v>1871</v>
      </c>
      <c r="AL16" s="580">
        <f t="shared" si="0"/>
        <v>27.678000000000001</v>
      </c>
      <c r="AM16" s="504">
        <v>27.678000000000001</v>
      </c>
      <c r="AN16" s="516">
        <v>25.016999999999999</v>
      </c>
      <c r="AO16" s="137">
        <v>0.90380000000000005</v>
      </c>
      <c r="AP16" s="137">
        <v>2.9999999999999997E-4</v>
      </c>
      <c r="AQ16" s="504">
        <v>1.7290000000000001</v>
      </c>
      <c r="AR16" s="137">
        <v>6.25E-2</v>
      </c>
      <c r="AS16" s="137"/>
      <c r="AT16" s="520">
        <v>0.38200000000000001</v>
      </c>
      <c r="AU16" s="137">
        <v>1.38E-2</v>
      </c>
      <c r="AV16" s="520">
        <v>0.55000000000000004</v>
      </c>
      <c r="AW16" s="137">
        <v>1.9900000000000001E-2</v>
      </c>
      <c r="AX16" s="516"/>
      <c r="AY16" s="507" t="s">
        <v>656</v>
      </c>
      <c r="AZ16" s="516"/>
      <c r="BA16" s="507" t="s">
        <v>656</v>
      </c>
      <c r="BB16" s="507" t="s">
        <v>656</v>
      </c>
      <c r="BC16" s="507" t="s">
        <v>656</v>
      </c>
      <c r="BD16" s="507" t="s">
        <v>656</v>
      </c>
      <c r="BE16" s="198" t="s">
        <v>479</v>
      </c>
      <c r="BF16" s="198" t="s">
        <v>1872</v>
      </c>
      <c r="BG16" s="549" t="s">
        <v>1867</v>
      </c>
      <c r="BH16" s="520">
        <v>0.11</v>
      </c>
      <c r="BI16" s="520">
        <v>50</v>
      </c>
      <c r="BJ16" s="137">
        <v>5.9999999999999995E-4</v>
      </c>
      <c r="BK16" s="83">
        <v>71</v>
      </c>
      <c r="BL16" s="83">
        <v>67</v>
      </c>
      <c r="BM16" s="83">
        <v>31</v>
      </c>
      <c r="BN16" s="96" t="s">
        <v>656</v>
      </c>
      <c r="BO16" s="83">
        <v>5</v>
      </c>
      <c r="BP16" s="83">
        <v>1</v>
      </c>
      <c r="BQ16" s="83">
        <v>1</v>
      </c>
      <c r="BR16" s="96" t="s">
        <v>656</v>
      </c>
      <c r="BS16" s="83">
        <v>1</v>
      </c>
      <c r="BT16" s="96" t="s">
        <v>656</v>
      </c>
      <c r="BU16" s="83">
        <v>5</v>
      </c>
      <c r="BV16" s="83">
        <v>4</v>
      </c>
      <c r="BW16" s="96" t="s">
        <v>656</v>
      </c>
      <c r="BX16" s="83">
        <v>5</v>
      </c>
      <c r="BY16" s="83">
        <v>4</v>
      </c>
      <c r="BZ16" s="83">
        <v>2</v>
      </c>
      <c r="CA16" s="83">
        <v>3</v>
      </c>
      <c r="CB16" s="96" t="s">
        <v>656</v>
      </c>
      <c r="CC16" s="96" t="s">
        <v>656</v>
      </c>
      <c r="CD16" s="96" t="s">
        <v>656</v>
      </c>
      <c r="CE16" s="96" t="s">
        <v>656</v>
      </c>
      <c r="CF16" s="96" t="s">
        <v>656</v>
      </c>
      <c r="CG16" s="96" t="s">
        <v>656</v>
      </c>
      <c r="CH16" s="96" t="s">
        <v>656</v>
      </c>
      <c r="CI16" s="96" t="s">
        <v>656</v>
      </c>
      <c r="CJ16" s="96" t="s">
        <v>656</v>
      </c>
      <c r="CK16" s="96" t="s">
        <v>656</v>
      </c>
      <c r="CL16" s="824">
        <f t="shared" si="2"/>
        <v>31</v>
      </c>
      <c r="CM16" s="824">
        <f t="shared" si="1"/>
        <v>0</v>
      </c>
      <c r="CN16" s="83"/>
      <c r="CO16" s="96" t="s">
        <v>656</v>
      </c>
      <c r="CP16" s="96" t="s">
        <v>656</v>
      </c>
      <c r="CQ16" s="96" t="s">
        <v>656</v>
      </c>
      <c r="CR16" s="581">
        <v>989.43</v>
      </c>
      <c r="CS16" s="834" t="s">
        <v>1874</v>
      </c>
      <c r="CT16" s="198" t="s">
        <v>470</v>
      </c>
      <c r="CU16" s="96" t="s">
        <v>656</v>
      </c>
      <c r="CV16" s="96" t="s">
        <v>656</v>
      </c>
      <c r="CW16" s="96" t="s">
        <v>656</v>
      </c>
      <c r="CX16" s="96" t="s">
        <v>656</v>
      </c>
      <c r="CY16" s="96" t="s">
        <v>656</v>
      </c>
      <c r="CZ16" s="83">
        <v>2</v>
      </c>
      <c r="DA16" s="198" t="s">
        <v>470</v>
      </c>
      <c r="DB16" s="96" t="s">
        <v>656</v>
      </c>
      <c r="DC16" s="96" t="s">
        <v>656</v>
      </c>
      <c r="DD16" s="198" t="s">
        <v>479</v>
      </c>
      <c r="DE16" s="198" t="s">
        <v>1875</v>
      </c>
      <c r="DF16" s="83">
        <v>2065</v>
      </c>
      <c r="DG16" s="83" t="s">
        <v>470</v>
      </c>
      <c r="DH16" s="96" t="s">
        <v>656</v>
      </c>
      <c r="DI16" s="96" t="s">
        <v>656</v>
      </c>
      <c r="DJ16" s="83" t="s">
        <v>470</v>
      </c>
      <c r="DK16" s="96" t="s">
        <v>656</v>
      </c>
      <c r="DL16" s="96" t="s">
        <v>656</v>
      </c>
      <c r="DM16" s="198" t="s">
        <v>470</v>
      </c>
      <c r="DN16" s="96" t="s">
        <v>656</v>
      </c>
      <c r="DO16" s="96" t="s">
        <v>656</v>
      </c>
      <c r="DP16" s="198" t="s">
        <v>470</v>
      </c>
      <c r="DQ16" s="96" t="s">
        <v>656</v>
      </c>
      <c r="DR16" s="96" t="s">
        <v>656</v>
      </c>
      <c r="DS16" s="198" t="s">
        <v>470</v>
      </c>
      <c r="DT16" s="96" t="s">
        <v>656</v>
      </c>
      <c r="DU16" s="96" t="s">
        <v>656</v>
      </c>
      <c r="DV16" s="96" t="s">
        <v>656</v>
      </c>
      <c r="DW16" s="96" t="s">
        <v>656</v>
      </c>
      <c r="DX16" s="96" t="s">
        <v>656</v>
      </c>
      <c r="DY16" s="198" t="s">
        <v>470</v>
      </c>
      <c r="DZ16" s="96" t="s">
        <v>656</v>
      </c>
      <c r="EA16" s="96" t="s">
        <v>656</v>
      </c>
      <c r="EB16" s="198" t="s">
        <v>479</v>
      </c>
      <c r="EC16" s="198" t="s">
        <v>1875</v>
      </c>
      <c r="ED16" s="83">
        <v>2065</v>
      </c>
      <c r="EE16" s="83" t="s">
        <v>470</v>
      </c>
      <c r="EF16" s="96" t="s">
        <v>656</v>
      </c>
      <c r="EG16" s="96" t="s">
        <v>656</v>
      </c>
      <c r="EH16" s="198" t="s">
        <v>470</v>
      </c>
      <c r="EI16" s="96" t="s">
        <v>656</v>
      </c>
      <c r="EJ16" s="96" t="s">
        <v>656</v>
      </c>
      <c r="EK16" s="198" t="s">
        <v>470</v>
      </c>
      <c r="EL16" s="96" t="s">
        <v>656</v>
      </c>
      <c r="EM16" s="96" t="s">
        <v>656</v>
      </c>
      <c r="EN16" s="96" t="s">
        <v>656</v>
      </c>
      <c r="EO16" s="96" t="s">
        <v>656</v>
      </c>
      <c r="EP16" s="96" t="s">
        <v>656</v>
      </c>
      <c r="EQ16" s="96" t="s">
        <v>656</v>
      </c>
      <c r="ER16" s="96" t="s">
        <v>656</v>
      </c>
      <c r="ES16" s="96" t="s">
        <v>656</v>
      </c>
      <c r="ET16" s="198" t="s">
        <v>1876</v>
      </c>
      <c r="EU16" s="198" t="s">
        <v>1877</v>
      </c>
      <c r="EV16" s="83">
        <v>251</v>
      </c>
      <c r="EW16" s="837">
        <v>1</v>
      </c>
      <c r="EX16" s="99" t="s">
        <v>656</v>
      </c>
      <c r="EY16" s="505">
        <v>35</v>
      </c>
      <c r="EZ16" s="198" t="s">
        <v>470</v>
      </c>
      <c r="FA16" s="96" t="s">
        <v>656</v>
      </c>
      <c r="FB16" s="549" t="s">
        <v>1878</v>
      </c>
      <c r="FC16" s="549" t="s">
        <v>1879</v>
      </c>
      <c r="FD16" s="96" t="s">
        <v>656</v>
      </c>
      <c r="FE16" s="83" t="s">
        <v>1880</v>
      </c>
      <c r="FF16" s="96" t="s">
        <v>656</v>
      </c>
      <c r="FG16" s="83" t="s">
        <v>1881</v>
      </c>
      <c r="FH16" s="83">
        <v>2</v>
      </c>
      <c r="FI16" s="83">
        <v>70</v>
      </c>
      <c r="FJ16" s="198" t="s">
        <v>1882</v>
      </c>
      <c r="FK16" s="198" t="s">
        <v>1883</v>
      </c>
      <c r="FL16" s="549" t="s">
        <v>1884</v>
      </c>
      <c r="FM16" s="96" t="s">
        <v>656</v>
      </c>
      <c r="FN16" s="96" t="s">
        <v>656</v>
      </c>
      <c r="FO16" s="96" t="s">
        <v>656</v>
      </c>
    </row>
    <row r="17" spans="5:195" ht="104" customHeight="1" x14ac:dyDescent="0.2">
      <c r="E17" s="94" t="s">
        <v>6701</v>
      </c>
      <c r="F17" s="94" t="s">
        <v>9120</v>
      </c>
      <c r="G17" s="198" t="s">
        <v>304</v>
      </c>
      <c r="H17" s="198" t="s">
        <v>382</v>
      </c>
      <c r="I17" s="198"/>
      <c r="J17" s="198" t="s">
        <v>1468</v>
      </c>
      <c r="K17" s="198" t="s">
        <v>1469</v>
      </c>
      <c r="L17" s="578">
        <v>2015</v>
      </c>
      <c r="M17" s="822">
        <v>44570</v>
      </c>
      <c r="N17" s="822">
        <v>44926</v>
      </c>
      <c r="O17" s="198" t="s">
        <v>1470</v>
      </c>
      <c r="P17" s="198" t="s">
        <v>1471</v>
      </c>
      <c r="Q17" s="198" t="s">
        <v>1472</v>
      </c>
      <c r="R17" s="198" t="s">
        <v>656</v>
      </c>
      <c r="S17" s="198" t="s">
        <v>656</v>
      </c>
      <c r="T17" s="198" t="s">
        <v>656</v>
      </c>
      <c r="U17" s="198" t="s">
        <v>656</v>
      </c>
      <c r="V17" s="198" t="s">
        <v>1473</v>
      </c>
      <c r="W17" s="549" t="s">
        <v>1474</v>
      </c>
      <c r="X17" s="198" t="s">
        <v>1475</v>
      </c>
      <c r="Y17" s="549" t="s">
        <v>1474</v>
      </c>
      <c r="Z17" s="549"/>
      <c r="AA17" s="549"/>
      <c r="AB17" s="549"/>
      <c r="AC17" s="549"/>
      <c r="AD17" s="549"/>
      <c r="AE17" s="549"/>
      <c r="AF17" s="549"/>
      <c r="AG17" s="549"/>
      <c r="AH17" s="198" t="s">
        <v>1476</v>
      </c>
      <c r="AI17" s="198" t="s">
        <v>1477</v>
      </c>
      <c r="AJ17" s="198" t="s">
        <v>504</v>
      </c>
      <c r="AK17" s="198" t="s">
        <v>1478</v>
      </c>
      <c r="AL17" s="580">
        <f t="shared" si="0"/>
        <v>256.07900000000001</v>
      </c>
      <c r="AM17" s="504">
        <v>256.07900000000001</v>
      </c>
      <c r="AN17" s="516">
        <v>224.024</v>
      </c>
      <c r="AO17" s="137">
        <f>AN17/AL17</f>
        <v>0.87482378484764467</v>
      </c>
      <c r="AP17" s="137">
        <f>AN17/295291.1</f>
        <v>7.5865476473893059E-4</v>
      </c>
      <c r="AQ17" s="504">
        <v>29.824000000000002</v>
      </c>
      <c r="AR17" s="137">
        <f t="shared" ref="AR17:AR25" si="3">AQ17/AL17</f>
        <v>0.11646405991900938</v>
      </c>
      <c r="AS17" s="137"/>
      <c r="AT17" s="520">
        <v>2.2309999999999999</v>
      </c>
      <c r="AU17" s="137">
        <f>AT17/AL17</f>
        <v>8.7121552333459581E-3</v>
      </c>
      <c r="AV17" s="520"/>
      <c r="AW17" s="137" t="s">
        <v>656</v>
      </c>
      <c r="AX17" s="520"/>
      <c r="AY17" s="137" t="s">
        <v>656</v>
      </c>
      <c r="AZ17" s="520"/>
      <c r="BA17" s="137" t="s">
        <v>656</v>
      </c>
      <c r="BB17" s="198" t="s">
        <v>656</v>
      </c>
      <c r="BC17" s="198" t="s">
        <v>656</v>
      </c>
      <c r="BD17" s="198" t="s">
        <v>656</v>
      </c>
      <c r="BE17" s="198" t="s">
        <v>540</v>
      </c>
      <c r="BF17" s="198" t="s">
        <v>1479</v>
      </c>
      <c r="BG17" s="198" t="s">
        <v>656</v>
      </c>
      <c r="BH17" s="198" t="s">
        <v>656</v>
      </c>
      <c r="BI17" s="580">
        <v>250.65299999999999</v>
      </c>
      <c r="BJ17" s="137">
        <f>BI17/285138.3</f>
        <v>8.7905763624178163E-4</v>
      </c>
      <c r="BK17" s="83"/>
      <c r="BL17" s="83"/>
      <c r="BM17" s="83">
        <v>720</v>
      </c>
      <c r="BN17" s="83">
        <v>21</v>
      </c>
      <c r="BO17" s="83">
        <v>16</v>
      </c>
      <c r="BP17" s="83">
        <v>91</v>
      </c>
      <c r="BQ17" s="83">
        <v>20</v>
      </c>
      <c r="BR17" s="83">
        <v>0</v>
      </c>
      <c r="BS17" s="83">
        <v>49</v>
      </c>
      <c r="BT17" s="83">
        <v>94</v>
      </c>
      <c r="BU17" s="83">
        <v>189</v>
      </c>
      <c r="BV17" s="83">
        <f>16+16</f>
        <v>32</v>
      </c>
      <c r="BW17" s="83">
        <v>85</v>
      </c>
      <c r="BX17" s="83">
        <v>48</v>
      </c>
      <c r="BY17" s="83">
        <v>6</v>
      </c>
      <c r="BZ17" s="83">
        <v>28</v>
      </c>
      <c r="CA17" s="83">
        <v>20</v>
      </c>
      <c r="CB17" s="83">
        <v>7</v>
      </c>
      <c r="CC17" s="83">
        <v>0</v>
      </c>
      <c r="CD17" s="83">
        <v>0</v>
      </c>
      <c r="CE17" s="83">
        <v>4</v>
      </c>
      <c r="CF17" s="83">
        <v>0</v>
      </c>
      <c r="CG17" s="83">
        <v>0</v>
      </c>
      <c r="CH17" s="83">
        <v>0</v>
      </c>
      <c r="CI17" s="83">
        <v>0</v>
      </c>
      <c r="CJ17" s="83">
        <v>0</v>
      </c>
      <c r="CK17" s="83">
        <v>10</v>
      </c>
      <c r="CL17" s="578">
        <f t="shared" si="2"/>
        <v>720</v>
      </c>
      <c r="CM17" s="824">
        <f t="shared" si="1"/>
        <v>0</v>
      </c>
      <c r="CN17" s="580"/>
      <c r="CO17" s="198" t="s">
        <v>1482</v>
      </c>
      <c r="CP17" s="198" t="s">
        <v>1482</v>
      </c>
      <c r="CQ17" s="580" t="s">
        <v>1481</v>
      </c>
      <c r="CR17" s="580">
        <v>4091.6210000000001</v>
      </c>
      <c r="CS17" s="834" t="s">
        <v>1483</v>
      </c>
      <c r="CT17" s="198" t="s">
        <v>539</v>
      </c>
      <c r="CU17" s="198" t="s">
        <v>1482</v>
      </c>
      <c r="CV17" s="198" t="s">
        <v>1482</v>
      </c>
      <c r="CW17" s="198" t="s">
        <v>1482</v>
      </c>
      <c r="CX17" s="198" t="s">
        <v>1482</v>
      </c>
      <c r="CY17" s="198" t="s">
        <v>1482</v>
      </c>
      <c r="CZ17" s="83">
        <v>2</v>
      </c>
      <c r="DA17" s="198" t="s">
        <v>539</v>
      </c>
      <c r="DB17" s="198" t="s">
        <v>656</v>
      </c>
      <c r="DC17" s="83" t="s">
        <v>656</v>
      </c>
      <c r="DD17" s="198" t="s">
        <v>540</v>
      </c>
      <c r="DE17" s="198" t="s">
        <v>1484</v>
      </c>
      <c r="DF17" s="580" t="s">
        <v>1481</v>
      </c>
      <c r="DG17" s="198" t="s">
        <v>539</v>
      </c>
      <c r="DH17" s="198" t="s">
        <v>1482</v>
      </c>
      <c r="DI17" s="198" t="s">
        <v>1482</v>
      </c>
      <c r="DJ17" s="198" t="s">
        <v>539</v>
      </c>
      <c r="DK17" s="198" t="s">
        <v>1482</v>
      </c>
      <c r="DL17" s="198" t="s">
        <v>1482</v>
      </c>
      <c r="DM17" s="198" t="s">
        <v>539</v>
      </c>
      <c r="DN17" s="198" t="s">
        <v>1482</v>
      </c>
      <c r="DO17" s="198" t="s">
        <v>1482</v>
      </c>
      <c r="DP17" s="198" t="s">
        <v>539</v>
      </c>
      <c r="DQ17" s="198" t="s">
        <v>1482</v>
      </c>
      <c r="DR17" s="198" t="s">
        <v>1482</v>
      </c>
      <c r="DS17" s="198" t="s">
        <v>539</v>
      </c>
      <c r="DT17" s="198" t="s">
        <v>1482</v>
      </c>
      <c r="DU17" s="198" t="s">
        <v>1482</v>
      </c>
      <c r="DV17" s="198" t="s">
        <v>539</v>
      </c>
      <c r="DW17" s="198" t="s">
        <v>1482</v>
      </c>
      <c r="DX17" s="198" t="s">
        <v>1482</v>
      </c>
      <c r="DY17" s="198" t="s">
        <v>539</v>
      </c>
      <c r="DZ17" s="198" t="s">
        <v>1482</v>
      </c>
      <c r="EA17" s="198" t="s">
        <v>1482</v>
      </c>
      <c r="EB17" s="198" t="s">
        <v>540</v>
      </c>
      <c r="EC17" s="198" t="s">
        <v>1485</v>
      </c>
      <c r="ED17" s="580" t="s">
        <v>1486</v>
      </c>
      <c r="EE17" s="83" t="s">
        <v>539</v>
      </c>
      <c r="EF17" s="83" t="s">
        <v>656</v>
      </c>
      <c r="EG17" s="83" t="s">
        <v>656</v>
      </c>
      <c r="EH17" s="83" t="s">
        <v>539</v>
      </c>
      <c r="EI17" s="83" t="s">
        <v>656</v>
      </c>
      <c r="EJ17" s="83" t="s">
        <v>656</v>
      </c>
      <c r="EK17" s="83" t="s">
        <v>539</v>
      </c>
      <c r="EL17" s="83" t="s">
        <v>656</v>
      </c>
      <c r="EM17" s="83" t="s">
        <v>656</v>
      </c>
      <c r="EN17" s="83" t="s">
        <v>539</v>
      </c>
      <c r="EO17" s="83" t="s">
        <v>656</v>
      </c>
      <c r="EP17" s="83" t="s">
        <v>656</v>
      </c>
      <c r="EQ17" s="83" t="s">
        <v>539</v>
      </c>
      <c r="ER17" s="83" t="s">
        <v>656</v>
      </c>
      <c r="ES17" s="83" t="s">
        <v>656</v>
      </c>
      <c r="ET17" s="83" t="s">
        <v>539</v>
      </c>
      <c r="EU17" s="83" t="s">
        <v>656</v>
      </c>
      <c r="EV17" s="83" t="s">
        <v>656</v>
      </c>
      <c r="EW17" s="837">
        <v>1</v>
      </c>
      <c r="EX17" s="198" t="s">
        <v>656</v>
      </c>
      <c r="EY17" s="505">
        <v>63</v>
      </c>
      <c r="EZ17" s="198" t="s">
        <v>539</v>
      </c>
      <c r="FA17" s="198" t="s">
        <v>1487</v>
      </c>
      <c r="FB17" s="549" t="s">
        <v>1488</v>
      </c>
      <c r="FC17" s="549" t="s">
        <v>9592</v>
      </c>
      <c r="FD17" s="844" t="s">
        <v>1489</v>
      </c>
      <c r="FE17" s="198" t="s">
        <v>1490</v>
      </c>
      <c r="FF17" s="198" t="s">
        <v>539</v>
      </c>
      <c r="FG17" s="198" t="s">
        <v>1491</v>
      </c>
      <c r="FH17" s="198">
        <v>3</v>
      </c>
      <c r="FI17" s="198">
        <v>340</v>
      </c>
      <c r="FJ17" s="198" t="s">
        <v>1492</v>
      </c>
      <c r="FK17" s="198" t="s">
        <v>1493</v>
      </c>
      <c r="FL17" s="844" t="s">
        <v>1494</v>
      </c>
      <c r="FM17" s="198" t="s">
        <v>1495</v>
      </c>
      <c r="FN17" s="198" t="s">
        <v>1496</v>
      </c>
      <c r="FO17" s="844" t="s">
        <v>1497</v>
      </c>
    </row>
    <row r="18" spans="5:195" ht="104" customHeight="1" x14ac:dyDescent="0.2">
      <c r="E18" s="94" t="s">
        <v>3236</v>
      </c>
      <c r="F18" s="94" t="s">
        <v>9120</v>
      </c>
      <c r="G18" s="198" t="s">
        <v>304</v>
      </c>
      <c r="H18" s="198" t="s">
        <v>382</v>
      </c>
      <c r="I18" s="198"/>
      <c r="J18" s="198" t="s">
        <v>3217</v>
      </c>
      <c r="K18" s="198" t="s">
        <v>3218</v>
      </c>
      <c r="L18" s="578">
        <v>2022</v>
      </c>
      <c r="M18" s="822">
        <v>44559</v>
      </c>
      <c r="N18" s="822">
        <v>44706</v>
      </c>
      <c r="O18" s="198" t="s">
        <v>3219</v>
      </c>
      <c r="P18" s="198" t="s">
        <v>3220</v>
      </c>
      <c r="Q18" s="549" t="s">
        <v>3221</v>
      </c>
      <c r="R18" s="198" t="s">
        <v>656</v>
      </c>
      <c r="S18" s="198" t="s">
        <v>656</v>
      </c>
      <c r="T18" s="198" t="s">
        <v>656</v>
      </c>
      <c r="U18" s="198" t="s">
        <v>656</v>
      </c>
      <c r="V18" s="198" t="s">
        <v>3222</v>
      </c>
      <c r="W18" s="549" t="s">
        <v>3223</v>
      </c>
      <c r="X18" s="198" t="s">
        <v>3224</v>
      </c>
      <c r="Y18" s="198" t="s">
        <v>3225</v>
      </c>
      <c r="Z18" s="198"/>
      <c r="AA18" s="198"/>
      <c r="AB18" s="198"/>
      <c r="AC18" s="198"/>
      <c r="AD18" s="198"/>
      <c r="AE18" s="198"/>
      <c r="AF18" s="198"/>
      <c r="AG18" s="198"/>
      <c r="AH18" s="198" t="s">
        <v>3226</v>
      </c>
      <c r="AI18" s="198" t="s">
        <v>3226</v>
      </c>
      <c r="AJ18" s="198" t="s">
        <v>504</v>
      </c>
      <c r="AK18" s="198" t="s">
        <v>1478</v>
      </c>
      <c r="AL18" s="580">
        <f t="shared" si="0"/>
        <v>15.981000000000002</v>
      </c>
      <c r="AM18" s="504">
        <v>15.981000000000002</v>
      </c>
      <c r="AN18" s="516">
        <v>10</v>
      </c>
      <c r="AO18" s="137">
        <f>AN18/AL18</f>
        <v>0.62574306989550088</v>
      </c>
      <c r="AP18" s="825">
        <f>AN18/295291.1</f>
        <v>3.3864887902141317E-5</v>
      </c>
      <c r="AQ18" s="504">
        <v>1.111</v>
      </c>
      <c r="AR18" s="137">
        <f t="shared" si="3"/>
        <v>6.9520055065390149E-2</v>
      </c>
      <c r="AS18" s="137"/>
      <c r="AT18" s="520">
        <v>0</v>
      </c>
      <c r="AU18" s="137">
        <v>0</v>
      </c>
      <c r="AV18" s="520">
        <v>4.87</v>
      </c>
      <c r="AW18" s="137">
        <f>AV18/AL18</f>
        <v>0.3047368750391089</v>
      </c>
      <c r="AX18" s="520"/>
      <c r="AY18" s="137">
        <v>0</v>
      </c>
      <c r="AZ18" s="520">
        <v>0</v>
      </c>
      <c r="BA18" s="137">
        <v>0</v>
      </c>
      <c r="BB18" s="198" t="s">
        <v>656</v>
      </c>
      <c r="BC18" s="198" t="s">
        <v>656</v>
      </c>
      <c r="BD18" s="198" t="s">
        <v>656</v>
      </c>
      <c r="BE18" s="198" t="s">
        <v>539</v>
      </c>
      <c r="BF18" s="198" t="s">
        <v>656</v>
      </c>
      <c r="BG18" s="198" t="s">
        <v>656</v>
      </c>
      <c r="BH18" s="198" t="s">
        <v>656</v>
      </c>
      <c r="BI18" s="845">
        <v>10</v>
      </c>
      <c r="BJ18" s="825">
        <f>BI18/285138.3</f>
        <v>3.5070700779235904E-5</v>
      </c>
      <c r="BK18" s="83">
        <v>28</v>
      </c>
      <c r="BL18" s="83">
        <v>6</v>
      </c>
      <c r="BM18" s="83">
        <v>5</v>
      </c>
      <c r="BN18" s="580" t="s">
        <v>656</v>
      </c>
      <c r="BO18" s="137" t="s">
        <v>656</v>
      </c>
      <c r="BP18" s="137" t="s">
        <v>656</v>
      </c>
      <c r="BQ18" s="137" t="s">
        <v>656</v>
      </c>
      <c r="BR18" s="580" t="s">
        <v>656</v>
      </c>
      <c r="BS18" s="137" t="s">
        <v>656</v>
      </c>
      <c r="BT18" s="137" t="s">
        <v>656</v>
      </c>
      <c r="BU18" s="137" t="s">
        <v>656</v>
      </c>
      <c r="BV18" s="580" t="s">
        <v>656</v>
      </c>
      <c r="BW18" s="137" t="s">
        <v>656</v>
      </c>
      <c r="BX18" s="137" t="s">
        <v>656</v>
      </c>
      <c r="BY18" s="137" t="s">
        <v>656</v>
      </c>
      <c r="BZ18" s="580" t="s">
        <v>656</v>
      </c>
      <c r="CA18" s="137" t="s">
        <v>656</v>
      </c>
      <c r="CB18" s="137" t="s">
        <v>656</v>
      </c>
      <c r="CC18" s="137" t="s">
        <v>656</v>
      </c>
      <c r="CD18" s="580" t="s">
        <v>656</v>
      </c>
      <c r="CE18" s="137" t="s">
        <v>656</v>
      </c>
      <c r="CF18" s="137" t="s">
        <v>656</v>
      </c>
      <c r="CG18" s="83">
        <v>5</v>
      </c>
      <c r="CH18" s="137" t="s">
        <v>656</v>
      </c>
      <c r="CI18" s="137" t="s">
        <v>656</v>
      </c>
      <c r="CJ18" s="137" t="s">
        <v>656</v>
      </c>
      <c r="CK18" s="137" t="s">
        <v>656</v>
      </c>
      <c r="CL18" s="824">
        <f t="shared" si="2"/>
        <v>5</v>
      </c>
      <c r="CM18" s="824">
        <f t="shared" si="1"/>
        <v>0</v>
      </c>
      <c r="CN18" s="580">
        <v>3.2280000000000002</v>
      </c>
      <c r="CO18" s="198" t="s">
        <v>656</v>
      </c>
      <c r="CP18" s="198" t="s">
        <v>656</v>
      </c>
      <c r="CQ18" s="137">
        <f t="shared" ref="CQ18:CQ23" si="4">CN18/CR18</f>
        <v>7.8892937542357911E-4</v>
      </c>
      <c r="CR18" s="580">
        <v>4091.6210000000001</v>
      </c>
      <c r="CS18" s="834" t="s">
        <v>1483</v>
      </c>
      <c r="CT18" s="198" t="s">
        <v>540</v>
      </c>
      <c r="CU18" s="198" t="s">
        <v>1531</v>
      </c>
      <c r="CV18" s="549" t="s">
        <v>1532</v>
      </c>
      <c r="CW18" s="198" t="s">
        <v>1533</v>
      </c>
      <c r="CX18" s="83">
        <v>2</v>
      </c>
      <c r="CY18" s="83" t="s">
        <v>656</v>
      </c>
      <c r="CZ18" s="83" t="s">
        <v>656</v>
      </c>
      <c r="DA18" s="198" t="s">
        <v>539</v>
      </c>
      <c r="DB18" s="198" t="s">
        <v>656</v>
      </c>
      <c r="DC18" s="83" t="s">
        <v>656</v>
      </c>
      <c r="DD18" s="198" t="s">
        <v>539</v>
      </c>
      <c r="DE18" s="198" t="s">
        <v>656</v>
      </c>
      <c r="DF18" s="83" t="s">
        <v>656</v>
      </c>
      <c r="DG18" s="198" t="s">
        <v>539</v>
      </c>
      <c r="DH18" s="198" t="s">
        <v>656</v>
      </c>
      <c r="DI18" s="83" t="s">
        <v>656</v>
      </c>
      <c r="DJ18" s="198" t="s">
        <v>470</v>
      </c>
      <c r="DK18" s="198" t="s">
        <v>656</v>
      </c>
      <c r="DL18" s="83" t="s">
        <v>656</v>
      </c>
      <c r="DM18" s="198" t="s">
        <v>539</v>
      </c>
      <c r="DN18" s="198" t="s">
        <v>656</v>
      </c>
      <c r="DO18" s="83" t="s">
        <v>656</v>
      </c>
      <c r="DP18" s="198" t="s">
        <v>539</v>
      </c>
      <c r="DQ18" s="198" t="s">
        <v>656</v>
      </c>
      <c r="DR18" s="83" t="s">
        <v>656</v>
      </c>
      <c r="DS18" s="198" t="s">
        <v>539</v>
      </c>
      <c r="DT18" s="198" t="s">
        <v>656</v>
      </c>
      <c r="DU18" s="83" t="s">
        <v>656</v>
      </c>
      <c r="DV18" s="198" t="s">
        <v>3227</v>
      </c>
      <c r="DW18" s="198" t="s">
        <v>3228</v>
      </c>
      <c r="DX18" s="83">
        <v>140</v>
      </c>
      <c r="DY18" s="198" t="s">
        <v>539</v>
      </c>
      <c r="DZ18" s="198" t="s">
        <v>656</v>
      </c>
      <c r="EA18" s="83" t="s">
        <v>656</v>
      </c>
      <c r="EB18" s="198" t="s">
        <v>540</v>
      </c>
      <c r="EC18" s="198" t="s">
        <v>3229</v>
      </c>
      <c r="ED18" s="83">
        <v>2877</v>
      </c>
      <c r="EE18" s="198" t="s">
        <v>539</v>
      </c>
      <c r="EF18" s="198" t="s">
        <v>656</v>
      </c>
      <c r="EG18" s="83" t="s">
        <v>656</v>
      </c>
      <c r="EH18" s="198" t="s">
        <v>539</v>
      </c>
      <c r="EI18" s="198" t="s">
        <v>656</v>
      </c>
      <c r="EJ18" s="83" t="s">
        <v>656</v>
      </c>
      <c r="EK18" s="198" t="s">
        <v>539</v>
      </c>
      <c r="EL18" s="198" t="s">
        <v>656</v>
      </c>
      <c r="EM18" s="83" t="s">
        <v>656</v>
      </c>
      <c r="EN18" s="198" t="s">
        <v>539</v>
      </c>
      <c r="EO18" s="198" t="s">
        <v>656</v>
      </c>
      <c r="EP18" s="83" t="s">
        <v>656</v>
      </c>
      <c r="EQ18" s="198" t="s">
        <v>539</v>
      </c>
      <c r="ER18" s="198" t="s">
        <v>656</v>
      </c>
      <c r="ES18" s="83" t="s">
        <v>656</v>
      </c>
      <c r="ET18" s="198" t="s">
        <v>470</v>
      </c>
      <c r="EU18" s="198" t="s">
        <v>656</v>
      </c>
      <c r="EV18" s="83" t="s">
        <v>656</v>
      </c>
      <c r="EW18" s="837">
        <v>1</v>
      </c>
      <c r="EX18" s="83" t="s">
        <v>656</v>
      </c>
      <c r="EY18" s="505">
        <v>5</v>
      </c>
      <c r="EZ18" s="198" t="s">
        <v>539</v>
      </c>
      <c r="FA18" s="83" t="s">
        <v>656</v>
      </c>
      <c r="FB18" s="198" t="s">
        <v>3230</v>
      </c>
      <c r="FC18" s="83" t="s">
        <v>656</v>
      </c>
      <c r="FD18" s="83" t="s">
        <v>656</v>
      </c>
      <c r="FE18" s="198" t="s">
        <v>3231</v>
      </c>
      <c r="FF18" s="198" t="s">
        <v>656</v>
      </c>
      <c r="FG18" s="198" t="s">
        <v>656</v>
      </c>
      <c r="FH18" s="198" t="s">
        <v>656</v>
      </c>
      <c r="FI18" s="198" t="s">
        <v>656</v>
      </c>
      <c r="FJ18" s="198" t="s">
        <v>1545</v>
      </c>
      <c r="FK18" s="198">
        <v>89273059095</v>
      </c>
      <c r="FL18" s="549" t="s">
        <v>1546</v>
      </c>
      <c r="FM18" s="198" t="s">
        <v>1495</v>
      </c>
      <c r="FN18" s="198" t="s">
        <v>1496</v>
      </c>
      <c r="FO18" s="844" t="s">
        <v>1497</v>
      </c>
    </row>
    <row r="19" spans="5:195" ht="104" customHeight="1" x14ac:dyDescent="0.2">
      <c r="E19" s="94" t="s">
        <v>9302</v>
      </c>
      <c r="F19" s="94" t="s">
        <v>9120</v>
      </c>
      <c r="G19" s="198" t="s">
        <v>304</v>
      </c>
      <c r="H19" s="198" t="s">
        <v>382</v>
      </c>
      <c r="I19" s="198"/>
      <c r="J19" s="198" t="s">
        <v>1498</v>
      </c>
      <c r="K19" s="198" t="s">
        <v>1499</v>
      </c>
      <c r="L19" s="578">
        <v>2017</v>
      </c>
      <c r="M19" s="822">
        <v>44440</v>
      </c>
      <c r="N19" s="822">
        <v>44926</v>
      </c>
      <c r="O19" s="198" t="s">
        <v>1500</v>
      </c>
      <c r="P19" s="198" t="s">
        <v>1501</v>
      </c>
      <c r="Q19" s="846" t="s">
        <v>1502</v>
      </c>
      <c r="R19" s="198" t="s">
        <v>656</v>
      </c>
      <c r="S19" s="198" t="s">
        <v>656</v>
      </c>
      <c r="T19" s="198" t="s">
        <v>656</v>
      </c>
      <c r="U19" s="198" t="s">
        <v>656</v>
      </c>
      <c r="V19" s="198" t="s">
        <v>1503</v>
      </c>
      <c r="W19" s="549" t="s">
        <v>1504</v>
      </c>
      <c r="X19" s="198" t="s">
        <v>656</v>
      </c>
      <c r="Y19" s="198" t="s">
        <v>656</v>
      </c>
      <c r="Z19" s="198"/>
      <c r="AA19" s="198"/>
      <c r="AB19" s="198"/>
      <c r="AC19" s="198"/>
      <c r="AD19" s="198"/>
      <c r="AE19" s="198"/>
      <c r="AF19" s="198"/>
      <c r="AG19" s="198"/>
      <c r="AH19" s="198" t="s">
        <v>1505</v>
      </c>
      <c r="AI19" s="198" t="s">
        <v>1505</v>
      </c>
      <c r="AJ19" s="198" t="s">
        <v>504</v>
      </c>
      <c r="AK19" s="198" t="s">
        <v>1478</v>
      </c>
      <c r="AL19" s="580">
        <f t="shared" si="0"/>
        <v>1060</v>
      </c>
      <c r="AM19" s="504">
        <v>1060</v>
      </c>
      <c r="AN19" s="516">
        <v>1000</v>
      </c>
      <c r="AO19" s="137">
        <f>AN19/AL19</f>
        <v>0.94339622641509435</v>
      </c>
      <c r="AP19" s="137">
        <f>AN19/295291.1</f>
        <v>3.3864887902141315E-3</v>
      </c>
      <c r="AQ19" s="504">
        <v>50</v>
      </c>
      <c r="AR19" s="137">
        <f t="shared" si="3"/>
        <v>4.716981132075472E-2</v>
      </c>
      <c r="AS19" s="137"/>
      <c r="AT19" s="520">
        <v>10</v>
      </c>
      <c r="AU19" s="137">
        <f>AT19/AL19</f>
        <v>9.433962264150943E-3</v>
      </c>
      <c r="AV19" s="520">
        <v>0</v>
      </c>
      <c r="AW19" s="137">
        <v>0</v>
      </c>
      <c r="AX19" s="520">
        <v>0</v>
      </c>
      <c r="AY19" s="137">
        <v>0</v>
      </c>
      <c r="AZ19" s="520">
        <v>0</v>
      </c>
      <c r="BA19" s="137">
        <v>0</v>
      </c>
      <c r="BB19" s="520" t="s">
        <v>539</v>
      </c>
      <c r="BC19" s="198" t="s">
        <v>539</v>
      </c>
      <c r="BD19" s="198" t="s">
        <v>539</v>
      </c>
      <c r="BE19" s="198" t="s">
        <v>539</v>
      </c>
      <c r="BF19" s="198" t="s">
        <v>539</v>
      </c>
      <c r="BG19" s="198" t="s">
        <v>539</v>
      </c>
      <c r="BH19" s="198" t="s">
        <v>539</v>
      </c>
      <c r="BI19" s="847">
        <v>1200</v>
      </c>
      <c r="BJ19" s="137">
        <f>BI19/285138.3</f>
        <v>4.2084840935083081E-3</v>
      </c>
      <c r="BK19" s="83">
        <v>236</v>
      </c>
      <c r="BL19" s="83">
        <v>200</v>
      </c>
      <c r="BM19" s="83">
        <v>200</v>
      </c>
      <c r="BN19" s="83">
        <v>0</v>
      </c>
      <c r="BO19" s="83">
        <v>0</v>
      </c>
      <c r="BP19" s="83">
        <v>0</v>
      </c>
      <c r="BQ19" s="83">
        <v>0</v>
      </c>
      <c r="BR19" s="83">
        <v>0</v>
      </c>
      <c r="BS19" s="83">
        <v>0</v>
      </c>
      <c r="BT19" s="83">
        <v>0</v>
      </c>
      <c r="BU19" s="83">
        <v>0</v>
      </c>
      <c r="BV19" s="83">
        <v>0</v>
      </c>
      <c r="BW19" s="83">
        <v>200</v>
      </c>
      <c r="BX19" s="83">
        <v>0</v>
      </c>
      <c r="BY19" s="83">
        <v>0</v>
      </c>
      <c r="BZ19" s="83">
        <v>0</v>
      </c>
      <c r="CA19" s="83">
        <v>0</v>
      </c>
      <c r="CB19" s="83">
        <v>0</v>
      </c>
      <c r="CC19" s="83">
        <v>0</v>
      </c>
      <c r="CD19" s="83">
        <v>0</v>
      </c>
      <c r="CE19" s="83">
        <v>0</v>
      </c>
      <c r="CF19" s="83">
        <v>0</v>
      </c>
      <c r="CG19" s="83">
        <v>0</v>
      </c>
      <c r="CH19" s="83">
        <v>0</v>
      </c>
      <c r="CI19" s="83">
        <v>0</v>
      </c>
      <c r="CJ19" s="83">
        <v>0</v>
      </c>
      <c r="CK19" s="83">
        <v>0</v>
      </c>
      <c r="CL19" s="824">
        <f t="shared" si="2"/>
        <v>200</v>
      </c>
      <c r="CM19" s="824">
        <f t="shared" si="1"/>
        <v>0</v>
      </c>
      <c r="CN19" s="580">
        <v>55.25</v>
      </c>
      <c r="CO19" s="198" t="s">
        <v>1506</v>
      </c>
      <c r="CP19" s="198" t="s">
        <v>539</v>
      </c>
      <c r="CQ19" s="137">
        <f t="shared" si="4"/>
        <v>1.3503205697692918E-2</v>
      </c>
      <c r="CR19" s="580">
        <v>4091.6210000000001</v>
      </c>
      <c r="CS19" s="549" t="s">
        <v>1507</v>
      </c>
      <c r="CT19" s="198" t="s">
        <v>539</v>
      </c>
      <c r="CU19" s="198" t="s">
        <v>1482</v>
      </c>
      <c r="CV19" s="198" t="s">
        <v>1482</v>
      </c>
      <c r="CW19" s="198" t="s">
        <v>1482</v>
      </c>
      <c r="CX19" s="198" t="s">
        <v>1482</v>
      </c>
      <c r="CY19" s="198" t="s">
        <v>1482</v>
      </c>
      <c r="CZ19" s="83">
        <v>6</v>
      </c>
      <c r="DA19" s="198" t="s">
        <v>540</v>
      </c>
      <c r="DB19" s="198" t="s">
        <v>1508</v>
      </c>
      <c r="DC19" s="83">
        <v>5780</v>
      </c>
      <c r="DD19" s="198" t="s">
        <v>540</v>
      </c>
      <c r="DE19" s="198" t="s">
        <v>1509</v>
      </c>
      <c r="DF19" s="83">
        <v>37860</v>
      </c>
      <c r="DG19" s="83" t="s">
        <v>539</v>
      </c>
      <c r="DH19" s="198" t="s">
        <v>656</v>
      </c>
      <c r="DI19" s="198" t="s">
        <v>656</v>
      </c>
      <c r="DJ19" s="83" t="s">
        <v>539</v>
      </c>
      <c r="DK19" s="198" t="s">
        <v>656</v>
      </c>
      <c r="DL19" s="198" t="s">
        <v>656</v>
      </c>
      <c r="DM19" s="83" t="s">
        <v>539</v>
      </c>
      <c r="DN19" s="198" t="s">
        <v>656</v>
      </c>
      <c r="DO19" s="198" t="s">
        <v>656</v>
      </c>
      <c r="DP19" s="83" t="s">
        <v>540</v>
      </c>
      <c r="DQ19" s="198" t="s">
        <v>1508</v>
      </c>
      <c r="DR19" s="83">
        <v>5780</v>
      </c>
      <c r="DS19" s="83" t="s">
        <v>539</v>
      </c>
      <c r="DT19" s="198" t="s">
        <v>656</v>
      </c>
      <c r="DU19" s="198" t="s">
        <v>656</v>
      </c>
      <c r="DV19" s="83" t="s">
        <v>539</v>
      </c>
      <c r="DW19" s="198" t="s">
        <v>656</v>
      </c>
      <c r="DX19" s="198" t="s">
        <v>656</v>
      </c>
      <c r="DY19" s="83" t="s">
        <v>539</v>
      </c>
      <c r="DZ19" s="198" t="s">
        <v>656</v>
      </c>
      <c r="EA19" s="198" t="s">
        <v>656</v>
      </c>
      <c r="EB19" s="198" t="s">
        <v>540</v>
      </c>
      <c r="EC19" s="198" t="s">
        <v>1509</v>
      </c>
      <c r="ED19" s="83">
        <v>25940</v>
      </c>
      <c r="EE19" s="83" t="s">
        <v>539</v>
      </c>
      <c r="EF19" s="198" t="s">
        <v>656</v>
      </c>
      <c r="EG19" s="198" t="s">
        <v>656</v>
      </c>
      <c r="EH19" s="83" t="s">
        <v>539</v>
      </c>
      <c r="EI19" s="198" t="s">
        <v>656</v>
      </c>
      <c r="EJ19" s="198" t="s">
        <v>656</v>
      </c>
      <c r="EK19" s="83" t="s">
        <v>539</v>
      </c>
      <c r="EL19" s="198" t="s">
        <v>656</v>
      </c>
      <c r="EM19" s="198" t="s">
        <v>656</v>
      </c>
      <c r="EN19" s="83" t="s">
        <v>540</v>
      </c>
      <c r="EO19" s="198" t="s">
        <v>1510</v>
      </c>
      <c r="EP19" s="198">
        <v>24</v>
      </c>
      <c r="EQ19" s="83" t="s">
        <v>539</v>
      </c>
      <c r="ER19" s="198" t="s">
        <v>656</v>
      </c>
      <c r="ES19" s="198" t="s">
        <v>656</v>
      </c>
      <c r="ET19" s="83" t="s">
        <v>539</v>
      </c>
      <c r="EU19" s="198" t="s">
        <v>656</v>
      </c>
      <c r="EV19" s="198" t="s">
        <v>656</v>
      </c>
      <c r="EW19" s="198" t="s">
        <v>540</v>
      </c>
      <c r="EX19" s="198" t="s">
        <v>656</v>
      </c>
      <c r="EY19" s="505">
        <v>29</v>
      </c>
      <c r="EZ19" s="198" t="s">
        <v>539</v>
      </c>
      <c r="FA19" s="198" t="s">
        <v>1511</v>
      </c>
      <c r="FB19" s="198" t="s">
        <v>656</v>
      </c>
      <c r="FC19" s="198" t="s">
        <v>656</v>
      </c>
      <c r="FD19" s="198" t="s">
        <v>656</v>
      </c>
      <c r="FE19" s="515" t="s">
        <v>1512</v>
      </c>
      <c r="FF19" s="198" t="s">
        <v>1513</v>
      </c>
      <c r="FG19" s="198" t="s">
        <v>1514</v>
      </c>
      <c r="FH19" s="198">
        <v>2</v>
      </c>
      <c r="FI19" s="198">
        <v>120</v>
      </c>
      <c r="FJ19" s="198" t="s">
        <v>1515</v>
      </c>
      <c r="FK19" s="198" t="s">
        <v>1516</v>
      </c>
      <c r="FL19" s="549" t="s">
        <v>1517</v>
      </c>
      <c r="FM19" s="198" t="s">
        <v>1518</v>
      </c>
      <c r="FN19" s="198" t="s">
        <v>1519</v>
      </c>
      <c r="FO19" s="549" t="s">
        <v>1497</v>
      </c>
    </row>
    <row r="20" spans="5:195" ht="104" customHeight="1" x14ac:dyDescent="0.2">
      <c r="E20" s="94" t="s">
        <v>3236</v>
      </c>
      <c r="F20" s="94" t="s">
        <v>9120</v>
      </c>
      <c r="G20" s="198" t="s">
        <v>304</v>
      </c>
      <c r="H20" s="198" t="s">
        <v>382</v>
      </c>
      <c r="I20" s="198"/>
      <c r="J20" s="198" t="s">
        <v>3232</v>
      </c>
      <c r="K20" s="198" t="s">
        <v>1482</v>
      </c>
      <c r="L20" s="578">
        <v>2022</v>
      </c>
      <c r="M20" s="822">
        <v>44559</v>
      </c>
      <c r="N20" s="822">
        <v>44706</v>
      </c>
      <c r="O20" s="198" t="s">
        <v>3233</v>
      </c>
      <c r="P20" s="198" t="s">
        <v>3220</v>
      </c>
      <c r="Q20" s="198" t="s">
        <v>3221</v>
      </c>
      <c r="R20" s="198" t="s">
        <v>656</v>
      </c>
      <c r="S20" s="198" t="s">
        <v>656</v>
      </c>
      <c r="T20" s="198" t="s">
        <v>656</v>
      </c>
      <c r="U20" s="198" t="s">
        <v>656</v>
      </c>
      <c r="V20" s="198" t="s">
        <v>3222</v>
      </c>
      <c r="W20" s="549" t="s">
        <v>3223</v>
      </c>
      <c r="X20" s="198" t="s">
        <v>3224</v>
      </c>
      <c r="Y20" s="198" t="s">
        <v>3225</v>
      </c>
      <c r="Z20" s="198"/>
      <c r="AA20" s="198"/>
      <c r="AB20" s="198"/>
      <c r="AC20" s="198"/>
      <c r="AD20" s="198"/>
      <c r="AE20" s="198"/>
      <c r="AF20" s="198"/>
      <c r="AG20" s="198"/>
      <c r="AH20" s="198" t="s">
        <v>3226</v>
      </c>
      <c r="AI20" s="198" t="s">
        <v>3226</v>
      </c>
      <c r="AJ20" s="198" t="s">
        <v>504</v>
      </c>
      <c r="AK20" s="198" t="s">
        <v>1478</v>
      </c>
      <c r="AL20" s="580">
        <f t="shared" si="0"/>
        <v>41.504999999999995</v>
      </c>
      <c r="AM20" s="504">
        <v>41.504999999999995</v>
      </c>
      <c r="AN20" s="516">
        <v>29.785</v>
      </c>
      <c r="AO20" s="137">
        <f>AN20/AL20</f>
        <v>0.71762438260450556</v>
      </c>
      <c r="AP20" s="137">
        <f>AN20/295291.1</f>
        <v>1.0086656861652791E-4</v>
      </c>
      <c r="AQ20" s="504">
        <v>3.8559999999999999</v>
      </c>
      <c r="AR20" s="137">
        <f t="shared" si="3"/>
        <v>9.2904469341043253E-2</v>
      </c>
      <c r="AS20" s="137"/>
      <c r="AT20" s="520">
        <v>0</v>
      </c>
      <c r="AU20" s="137">
        <v>0</v>
      </c>
      <c r="AV20" s="520">
        <v>7.8639999999999999</v>
      </c>
      <c r="AW20" s="137">
        <f t="shared" ref="AW20:AW25" si="5">AV20/AL20</f>
        <v>0.18947114805445128</v>
      </c>
      <c r="AX20" s="520"/>
      <c r="AY20" s="137">
        <v>0</v>
      </c>
      <c r="AZ20" s="520">
        <v>0</v>
      </c>
      <c r="BA20" s="137">
        <v>0</v>
      </c>
      <c r="BB20" s="198" t="s">
        <v>656</v>
      </c>
      <c r="BC20" s="198" t="s">
        <v>656</v>
      </c>
      <c r="BD20" s="198" t="s">
        <v>656</v>
      </c>
      <c r="BE20" s="198" t="s">
        <v>539</v>
      </c>
      <c r="BF20" s="198" t="s">
        <v>656</v>
      </c>
      <c r="BG20" s="198" t="s">
        <v>656</v>
      </c>
      <c r="BH20" s="198" t="s">
        <v>656</v>
      </c>
      <c r="BI20" s="845">
        <v>70</v>
      </c>
      <c r="BJ20" s="137">
        <f>BI20/285138.3</f>
        <v>2.4549490545465132E-4</v>
      </c>
      <c r="BK20" s="83">
        <v>381</v>
      </c>
      <c r="BL20" s="83">
        <v>90</v>
      </c>
      <c r="BM20" s="83">
        <v>60</v>
      </c>
      <c r="BN20" s="198" t="s">
        <v>656</v>
      </c>
      <c r="BO20" s="198" t="s">
        <v>656</v>
      </c>
      <c r="BP20" s="198" t="s">
        <v>656</v>
      </c>
      <c r="BQ20" s="198" t="s">
        <v>656</v>
      </c>
      <c r="BR20" s="198" t="s">
        <v>656</v>
      </c>
      <c r="BS20" s="198" t="s">
        <v>656</v>
      </c>
      <c r="BT20" s="198" t="s">
        <v>656</v>
      </c>
      <c r="BU20" s="198" t="s">
        <v>656</v>
      </c>
      <c r="BV20" s="198" t="s">
        <v>656</v>
      </c>
      <c r="BW20" s="198" t="s">
        <v>656</v>
      </c>
      <c r="BX20" s="198" t="s">
        <v>656</v>
      </c>
      <c r="BY20" s="198" t="s">
        <v>656</v>
      </c>
      <c r="BZ20" s="198" t="s">
        <v>656</v>
      </c>
      <c r="CA20" s="198" t="s">
        <v>656</v>
      </c>
      <c r="CB20" s="198" t="s">
        <v>656</v>
      </c>
      <c r="CC20" s="198" t="s">
        <v>656</v>
      </c>
      <c r="CD20" s="198" t="s">
        <v>656</v>
      </c>
      <c r="CE20" s="198" t="s">
        <v>656</v>
      </c>
      <c r="CF20" s="198" t="s">
        <v>656</v>
      </c>
      <c r="CG20" s="83">
        <v>60</v>
      </c>
      <c r="CH20" s="198" t="s">
        <v>656</v>
      </c>
      <c r="CI20" s="198" t="s">
        <v>656</v>
      </c>
      <c r="CJ20" s="198" t="s">
        <v>656</v>
      </c>
      <c r="CK20" s="198" t="s">
        <v>656</v>
      </c>
      <c r="CL20" s="824">
        <f t="shared" si="2"/>
        <v>60</v>
      </c>
      <c r="CM20" s="824">
        <f t="shared" si="1"/>
        <v>0</v>
      </c>
      <c r="CN20" s="580">
        <v>33.164000000000001</v>
      </c>
      <c r="CO20" s="198" t="s">
        <v>656</v>
      </c>
      <c r="CP20" s="198" t="s">
        <v>656</v>
      </c>
      <c r="CQ20" s="137">
        <f t="shared" si="4"/>
        <v>8.1053450453988773E-3</v>
      </c>
      <c r="CR20" s="580">
        <v>4091.6210000000001</v>
      </c>
      <c r="CS20" s="834" t="s">
        <v>1483</v>
      </c>
      <c r="CT20" s="198" t="s">
        <v>540</v>
      </c>
      <c r="CU20" s="198" t="s">
        <v>1531</v>
      </c>
      <c r="CV20" s="198" t="s">
        <v>1532</v>
      </c>
      <c r="CW20" s="198" t="s">
        <v>1533</v>
      </c>
      <c r="CX20" s="83">
        <v>2</v>
      </c>
      <c r="CY20" s="83" t="s">
        <v>656</v>
      </c>
      <c r="CZ20" s="83" t="s">
        <v>656</v>
      </c>
      <c r="DA20" s="198" t="s">
        <v>539</v>
      </c>
      <c r="DB20" s="198" t="s">
        <v>656</v>
      </c>
      <c r="DC20" s="83" t="s">
        <v>656</v>
      </c>
      <c r="DD20" s="198" t="s">
        <v>539</v>
      </c>
      <c r="DE20" s="198" t="s">
        <v>656</v>
      </c>
      <c r="DF20" s="83" t="s">
        <v>656</v>
      </c>
      <c r="DG20" s="198" t="s">
        <v>539</v>
      </c>
      <c r="DH20" s="198" t="s">
        <v>656</v>
      </c>
      <c r="DI20" s="83" t="s">
        <v>656</v>
      </c>
      <c r="DJ20" s="198" t="s">
        <v>539</v>
      </c>
      <c r="DK20" s="198" t="s">
        <v>656</v>
      </c>
      <c r="DL20" s="83" t="s">
        <v>656</v>
      </c>
      <c r="DM20" s="198" t="s">
        <v>539</v>
      </c>
      <c r="DN20" s="198" t="s">
        <v>656</v>
      </c>
      <c r="DO20" s="83" t="s">
        <v>656</v>
      </c>
      <c r="DP20" s="198" t="s">
        <v>539</v>
      </c>
      <c r="DQ20" s="198" t="s">
        <v>656</v>
      </c>
      <c r="DR20" s="83" t="s">
        <v>656</v>
      </c>
      <c r="DS20" s="198" t="s">
        <v>539</v>
      </c>
      <c r="DT20" s="198" t="s">
        <v>656</v>
      </c>
      <c r="DU20" s="83" t="s">
        <v>656</v>
      </c>
      <c r="DV20" s="198" t="s">
        <v>3227</v>
      </c>
      <c r="DW20" s="198" t="s">
        <v>3234</v>
      </c>
      <c r="DX20" s="83">
        <v>1260</v>
      </c>
      <c r="DY20" s="198" t="s">
        <v>539</v>
      </c>
      <c r="DZ20" s="198" t="s">
        <v>656</v>
      </c>
      <c r="EA20" s="83" t="s">
        <v>656</v>
      </c>
      <c r="EB20" s="198" t="s">
        <v>540</v>
      </c>
      <c r="EC20" s="198" t="s">
        <v>3229</v>
      </c>
      <c r="ED20" s="83">
        <v>30169</v>
      </c>
      <c r="EE20" s="198" t="s">
        <v>539</v>
      </c>
      <c r="EF20" s="198" t="s">
        <v>656</v>
      </c>
      <c r="EG20" s="83" t="s">
        <v>656</v>
      </c>
      <c r="EH20" s="198" t="s">
        <v>539</v>
      </c>
      <c r="EI20" s="198" t="s">
        <v>656</v>
      </c>
      <c r="EJ20" s="83" t="s">
        <v>656</v>
      </c>
      <c r="EK20" s="198" t="s">
        <v>539</v>
      </c>
      <c r="EL20" s="198" t="s">
        <v>656</v>
      </c>
      <c r="EM20" s="83" t="s">
        <v>656</v>
      </c>
      <c r="EN20" s="198" t="s">
        <v>539</v>
      </c>
      <c r="EO20" s="198" t="s">
        <v>656</v>
      </c>
      <c r="EP20" s="83" t="s">
        <v>656</v>
      </c>
      <c r="EQ20" s="198" t="s">
        <v>539</v>
      </c>
      <c r="ER20" s="198" t="s">
        <v>656</v>
      </c>
      <c r="ES20" s="83" t="s">
        <v>656</v>
      </c>
      <c r="ET20" s="198" t="s">
        <v>539</v>
      </c>
      <c r="EU20" s="198" t="s">
        <v>656</v>
      </c>
      <c r="EV20" s="83" t="s">
        <v>656</v>
      </c>
      <c r="EW20" s="837">
        <v>1</v>
      </c>
      <c r="EX20" s="83" t="s">
        <v>656</v>
      </c>
      <c r="EY20" s="505">
        <v>20</v>
      </c>
      <c r="EZ20" s="198" t="s">
        <v>539</v>
      </c>
      <c r="FA20" s="83" t="s">
        <v>656</v>
      </c>
      <c r="FB20" s="198" t="s">
        <v>3230</v>
      </c>
      <c r="FC20" s="83" t="s">
        <v>656</v>
      </c>
      <c r="FD20" s="83" t="s">
        <v>656</v>
      </c>
      <c r="FE20" s="198" t="s">
        <v>3235</v>
      </c>
      <c r="FF20" s="198" t="s">
        <v>656</v>
      </c>
      <c r="FG20" s="198" t="s">
        <v>656</v>
      </c>
      <c r="FH20" s="198" t="s">
        <v>656</v>
      </c>
      <c r="FI20" s="198" t="s">
        <v>656</v>
      </c>
      <c r="FJ20" s="198" t="s">
        <v>1545</v>
      </c>
      <c r="FK20" s="198">
        <v>89273059095</v>
      </c>
      <c r="FL20" s="549" t="s">
        <v>1546</v>
      </c>
      <c r="FM20" s="198" t="s">
        <v>1495</v>
      </c>
      <c r="FN20" s="198" t="s">
        <v>1496</v>
      </c>
      <c r="FO20" s="549" t="s">
        <v>1497</v>
      </c>
    </row>
    <row r="21" spans="5:195" ht="104" customHeight="1" x14ac:dyDescent="0.2">
      <c r="E21" s="94" t="s">
        <v>9302</v>
      </c>
      <c r="F21" s="94" t="s">
        <v>9120</v>
      </c>
      <c r="G21" s="198" t="s">
        <v>304</v>
      </c>
      <c r="H21" s="198" t="s">
        <v>382</v>
      </c>
      <c r="I21" s="198"/>
      <c r="J21" s="198" t="s">
        <v>1520</v>
      </c>
      <c r="K21" s="198" t="s">
        <v>1521</v>
      </c>
      <c r="L21" s="578">
        <v>2014</v>
      </c>
      <c r="M21" s="822" t="s">
        <v>1522</v>
      </c>
      <c r="N21" s="822" t="s">
        <v>1523</v>
      </c>
      <c r="O21" s="198" t="s">
        <v>1524</v>
      </c>
      <c r="P21" s="198" t="s">
        <v>1525</v>
      </c>
      <c r="Q21" s="549" t="s">
        <v>1526</v>
      </c>
      <c r="R21" s="198" t="s">
        <v>656</v>
      </c>
      <c r="S21" s="198" t="s">
        <v>656</v>
      </c>
      <c r="T21" s="198" t="s">
        <v>656</v>
      </c>
      <c r="U21" s="198" t="s">
        <v>656</v>
      </c>
      <c r="V21" s="198" t="s">
        <v>1527</v>
      </c>
      <c r="W21" s="549" t="s">
        <v>1504</v>
      </c>
      <c r="X21" s="198" t="s">
        <v>656</v>
      </c>
      <c r="Y21" s="198" t="s">
        <v>656</v>
      </c>
      <c r="Z21" s="198"/>
      <c r="AA21" s="198"/>
      <c r="AB21" s="198"/>
      <c r="AC21" s="198"/>
      <c r="AD21" s="198"/>
      <c r="AE21" s="198"/>
      <c r="AF21" s="198"/>
      <c r="AG21" s="198"/>
      <c r="AH21" s="198" t="s">
        <v>1528</v>
      </c>
      <c r="AI21" s="198" t="s">
        <v>1477</v>
      </c>
      <c r="AJ21" s="198" t="s">
        <v>504</v>
      </c>
      <c r="AK21" s="198" t="s">
        <v>1478</v>
      </c>
      <c r="AL21" s="580">
        <f t="shared" si="0"/>
        <v>705.88397700000007</v>
      </c>
      <c r="AM21" s="504">
        <v>705.88397700000007</v>
      </c>
      <c r="AN21" s="516">
        <v>475.53</v>
      </c>
      <c r="AO21" s="137">
        <f>AN21/AL21</f>
        <v>0.67366595006306529</v>
      </c>
      <c r="AP21" s="137">
        <f>AN21/295291.1</f>
        <v>1.6103770144105258E-3</v>
      </c>
      <c r="AQ21" s="504">
        <v>108.833055</v>
      </c>
      <c r="AR21" s="137">
        <f t="shared" si="3"/>
        <v>0.15417980652081015</v>
      </c>
      <c r="AS21" s="137"/>
      <c r="AT21" s="520">
        <v>59.087975999999998</v>
      </c>
      <c r="AU21" s="137">
        <f>AT21/AL21</f>
        <v>8.3707773409340311E-2</v>
      </c>
      <c r="AV21" s="520">
        <v>62.432946000000001</v>
      </c>
      <c r="AW21" s="137">
        <f t="shared" si="5"/>
        <v>8.8446470006784128E-2</v>
      </c>
      <c r="AX21" s="520"/>
      <c r="AY21" s="137" t="s">
        <v>656</v>
      </c>
      <c r="AZ21" s="520"/>
      <c r="BA21" s="137" t="s">
        <v>656</v>
      </c>
      <c r="BB21" s="198" t="s">
        <v>656</v>
      </c>
      <c r="BC21" s="198" t="s">
        <v>656</v>
      </c>
      <c r="BD21" s="198" t="s">
        <v>656</v>
      </c>
      <c r="BE21" s="198" t="s">
        <v>540</v>
      </c>
      <c r="BF21" s="198" t="s">
        <v>1529</v>
      </c>
      <c r="BG21" s="198" t="s">
        <v>656</v>
      </c>
      <c r="BH21" s="198" t="s">
        <v>656</v>
      </c>
      <c r="BI21" s="520">
        <v>600</v>
      </c>
      <c r="BJ21" s="137">
        <f>BI21/285138.3</f>
        <v>2.104242046754154E-3</v>
      </c>
      <c r="BK21" s="83">
        <v>1143</v>
      </c>
      <c r="BL21" s="83">
        <v>1125</v>
      </c>
      <c r="BM21" s="83">
        <v>645</v>
      </c>
      <c r="BN21" s="83">
        <v>20</v>
      </c>
      <c r="BO21" s="83">
        <v>86</v>
      </c>
      <c r="BP21" s="83">
        <v>21</v>
      </c>
      <c r="BQ21" s="83">
        <v>27</v>
      </c>
      <c r="BR21" s="83">
        <v>1</v>
      </c>
      <c r="BS21" s="83">
        <v>28</v>
      </c>
      <c r="BT21" s="83">
        <v>150</v>
      </c>
      <c r="BU21" s="83">
        <v>54</v>
      </c>
      <c r="BV21" s="83">
        <v>40</v>
      </c>
      <c r="BW21" s="83">
        <v>78</v>
      </c>
      <c r="BX21" s="83">
        <v>37</v>
      </c>
      <c r="BY21" s="83">
        <v>5</v>
      </c>
      <c r="BZ21" s="83">
        <v>97</v>
      </c>
      <c r="CA21" s="83">
        <v>1</v>
      </c>
      <c r="CB21" s="83" t="s">
        <v>656</v>
      </c>
      <c r="CC21" s="83" t="s">
        <v>656</v>
      </c>
      <c r="CD21" s="83" t="s">
        <v>656</v>
      </c>
      <c r="CE21" s="83" t="s">
        <v>656</v>
      </c>
      <c r="CF21" s="83" t="s">
        <v>656</v>
      </c>
      <c r="CG21" s="83" t="s">
        <v>656</v>
      </c>
      <c r="CH21" s="83" t="s">
        <v>656</v>
      </c>
      <c r="CI21" s="83" t="s">
        <v>656</v>
      </c>
      <c r="CJ21" s="83" t="s">
        <v>656</v>
      </c>
      <c r="CK21" s="83" t="s">
        <v>656</v>
      </c>
      <c r="CL21" s="824">
        <f t="shared" si="2"/>
        <v>645</v>
      </c>
      <c r="CM21" s="824">
        <f t="shared" si="1"/>
        <v>0</v>
      </c>
      <c r="CN21" s="580">
        <v>869.59</v>
      </c>
      <c r="CO21" s="198" t="s">
        <v>1530</v>
      </c>
      <c r="CP21" s="198" t="s">
        <v>656</v>
      </c>
      <c r="CQ21" s="137">
        <f t="shared" si="4"/>
        <v>0.21252945959559794</v>
      </c>
      <c r="CR21" s="580">
        <v>4091.6210000000001</v>
      </c>
      <c r="CS21" s="834" t="s">
        <v>1483</v>
      </c>
      <c r="CT21" s="198" t="s">
        <v>540</v>
      </c>
      <c r="CU21" s="198" t="s">
        <v>1531</v>
      </c>
      <c r="CV21" s="198" t="s">
        <v>1532</v>
      </c>
      <c r="CW21" s="198" t="s">
        <v>1533</v>
      </c>
      <c r="CX21" s="83">
        <v>3</v>
      </c>
      <c r="CY21" s="83" t="s">
        <v>656</v>
      </c>
      <c r="CZ21" s="83" t="s">
        <v>656</v>
      </c>
      <c r="DA21" s="198" t="s">
        <v>540</v>
      </c>
      <c r="DB21" s="198" t="s">
        <v>1534</v>
      </c>
      <c r="DC21" s="83">
        <v>164009</v>
      </c>
      <c r="DD21" s="198" t="s">
        <v>540</v>
      </c>
      <c r="DE21" s="198" t="s">
        <v>1535</v>
      </c>
      <c r="DF21" s="83">
        <v>212805</v>
      </c>
      <c r="DG21" s="83" t="s">
        <v>540</v>
      </c>
      <c r="DH21" s="198" t="s">
        <v>1536</v>
      </c>
      <c r="DI21" s="83">
        <v>9000</v>
      </c>
      <c r="DJ21" s="83" t="s">
        <v>539</v>
      </c>
      <c r="DK21" s="83" t="s">
        <v>656</v>
      </c>
      <c r="DL21" s="83" t="s">
        <v>656</v>
      </c>
      <c r="DM21" s="198" t="s">
        <v>539</v>
      </c>
      <c r="DN21" s="198" t="s">
        <v>656</v>
      </c>
      <c r="DO21" s="83" t="s">
        <v>656</v>
      </c>
      <c r="DP21" s="198" t="s">
        <v>1092</v>
      </c>
      <c r="DQ21" s="198" t="s">
        <v>656</v>
      </c>
      <c r="DR21" s="83" t="s">
        <v>656</v>
      </c>
      <c r="DS21" s="198" t="s">
        <v>1092</v>
      </c>
      <c r="DT21" s="198" t="s">
        <v>656</v>
      </c>
      <c r="DU21" s="83" t="s">
        <v>656</v>
      </c>
      <c r="DV21" s="198" t="s">
        <v>1092</v>
      </c>
      <c r="DW21" s="198" t="s">
        <v>656</v>
      </c>
      <c r="DX21" s="83" t="s">
        <v>656</v>
      </c>
      <c r="DY21" s="198" t="s">
        <v>1092</v>
      </c>
      <c r="DZ21" s="198" t="s">
        <v>656</v>
      </c>
      <c r="EA21" s="83" t="s">
        <v>656</v>
      </c>
      <c r="EB21" s="198" t="s">
        <v>479</v>
      </c>
      <c r="EC21" s="198" t="s">
        <v>1033</v>
      </c>
      <c r="ED21" s="83">
        <v>212805</v>
      </c>
      <c r="EE21" s="198" t="s">
        <v>540</v>
      </c>
      <c r="EF21" s="198" t="s">
        <v>1537</v>
      </c>
      <c r="EG21" s="83">
        <v>9000</v>
      </c>
      <c r="EH21" s="198" t="s">
        <v>539</v>
      </c>
      <c r="EI21" s="198" t="s">
        <v>656</v>
      </c>
      <c r="EJ21" s="83" t="s">
        <v>656</v>
      </c>
      <c r="EK21" s="198" t="s">
        <v>539</v>
      </c>
      <c r="EL21" s="198" t="s">
        <v>656</v>
      </c>
      <c r="EM21" s="83" t="s">
        <v>656</v>
      </c>
      <c r="EN21" s="198" t="s">
        <v>539</v>
      </c>
      <c r="EO21" s="198" t="s">
        <v>656</v>
      </c>
      <c r="EP21" s="83" t="s">
        <v>656</v>
      </c>
      <c r="EQ21" s="83" t="s">
        <v>540</v>
      </c>
      <c r="ER21" s="848" t="s">
        <v>9593</v>
      </c>
      <c r="ES21" s="83">
        <v>16</v>
      </c>
      <c r="ET21" s="198" t="s">
        <v>539</v>
      </c>
      <c r="EU21" s="198" t="s">
        <v>656</v>
      </c>
      <c r="EV21" s="83" t="s">
        <v>656</v>
      </c>
      <c r="EW21" s="837">
        <v>1</v>
      </c>
      <c r="EX21" s="198" t="s">
        <v>656</v>
      </c>
      <c r="EY21" s="505">
        <v>858</v>
      </c>
      <c r="EZ21" s="198" t="s">
        <v>1538</v>
      </c>
      <c r="FA21" s="198" t="s">
        <v>1539</v>
      </c>
      <c r="FB21" s="549" t="s">
        <v>1540</v>
      </c>
      <c r="FC21" s="549" t="s">
        <v>1541</v>
      </c>
      <c r="FD21" s="549" t="s">
        <v>1542</v>
      </c>
      <c r="FE21" s="198" t="s">
        <v>1543</v>
      </c>
      <c r="FF21" s="198" t="s">
        <v>470</v>
      </c>
      <c r="FG21" s="198" t="s">
        <v>1544</v>
      </c>
      <c r="FH21" s="198">
        <v>16</v>
      </c>
      <c r="FI21" s="198">
        <v>800</v>
      </c>
      <c r="FJ21" s="198" t="s">
        <v>1545</v>
      </c>
      <c r="FK21" s="198">
        <v>89273059095</v>
      </c>
      <c r="FL21" s="549" t="s">
        <v>1546</v>
      </c>
      <c r="FM21" s="198" t="s">
        <v>1495</v>
      </c>
      <c r="FN21" s="198" t="s">
        <v>1496</v>
      </c>
      <c r="FO21" s="549" t="s">
        <v>1497</v>
      </c>
    </row>
    <row r="22" spans="5:195" ht="104" customHeight="1" x14ac:dyDescent="0.2">
      <c r="E22" s="94" t="s">
        <v>9302</v>
      </c>
      <c r="F22" s="94" t="s">
        <v>9121</v>
      </c>
      <c r="G22" s="97" t="s">
        <v>304</v>
      </c>
      <c r="H22" s="97" t="s">
        <v>382</v>
      </c>
      <c r="I22" s="97" t="s">
        <v>8873</v>
      </c>
      <c r="J22" s="97" t="s">
        <v>8611</v>
      </c>
      <c r="K22" s="97" t="s">
        <v>8445</v>
      </c>
      <c r="L22" s="502">
        <v>2020</v>
      </c>
      <c r="M22" s="841">
        <v>44652</v>
      </c>
      <c r="N22" s="841">
        <v>44896</v>
      </c>
      <c r="O22" s="841"/>
      <c r="P22" s="841"/>
      <c r="Q22" s="841"/>
      <c r="R22" s="841"/>
      <c r="S22" s="841"/>
      <c r="T22" s="841"/>
      <c r="U22" s="841"/>
      <c r="V22" s="841"/>
      <c r="W22" s="841"/>
      <c r="X22" s="841"/>
      <c r="Y22" s="841"/>
      <c r="Z22" s="97" t="s">
        <v>8193</v>
      </c>
      <c r="AA22" s="849" t="s">
        <v>8013</v>
      </c>
      <c r="AB22" s="97" t="s">
        <v>656</v>
      </c>
      <c r="AC22" s="97" t="s">
        <v>656</v>
      </c>
      <c r="AD22" s="97" t="s">
        <v>656</v>
      </c>
      <c r="AE22" s="97" t="s">
        <v>656</v>
      </c>
      <c r="AF22" s="97" t="s">
        <v>656</v>
      </c>
      <c r="AG22" s="97" t="s">
        <v>656</v>
      </c>
      <c r="AH22" s="97" t="s">
        <v>7041</v>
      </c>
      <c r="AI22" s="97" t="s">
        <v>6910</v>
      </c>
      <c r="AJ22" s="97" t="s">
        <v>504</v>
      </c>
      <c r="AK22" s="97" t="s">
        <v>6428</v>
      </c>
      <c r="AL22" s="580">
        <f t="shared" si="0"/>
        <v>1.0760000000000001</v>
      </c>
      <c r="AM22" s="504">
        <v>1.0760000000000001</v>
      </c>
      <c r="AN22" s="516"/>
      <c r="AO22" s="97"/>
      <c r="AP22" s="97"/>
      <c r="AQ22" s="504">
        <v>0.53800000000000003</v>
      </c>
      <c r="AR22" s="507">
        <f t="shared" si="3"/>
        <v>0.5</v>
      </c>
      <c r="AS22" s="507">
        <f>AQ22/941.16773802</f>
        <v>5.7163030378817284E-4</v>
      </c>
      <c r="AT22" s="516">
        <v>0.26900000000000002</v>
      </c>
      <c r="AU22" s="507">
        <f>AT22/AL22</f>
        <v>0.25</v>
      </c>
      <c r="AV22" s="516">
        <v>0.26900000000000002</v>
      </c>
      <c r="AW22" s="507">
        <f t="shared" si="5"/>
        <v>0.25</v>
      </c>
      <c r="AX22" s="516"/>
      <c r="AY22" s="507" t="s">
        <v>656</v>
      </c>
      <c r="AZ22" s="516"/>
      <c r="BA22" s="507"/>
      <c r="BB22" s="507"/>
      <c r="BC22" s="507"/>
      <c r="BD22" s="507"/>
      <c r="BE22" s="507" t="s">
        <v>540</v>
      </c>
      <c r="BF22" s="507" t="s">
        <v>6335</v>
      </c>
      <c r="BG22" s="507" t="s">
        <v>656</v>
      </c>
      <c r="BH22" s="507" t="s">
        <v>539</v>
      </c>
      <c r="BI22" s="504">
        <v>0.78500000000000003</v>
      </c>
      <c r="BJ22" s="507">
        <f>BI22/888.9834612</f>
        <v>8.8303105092682238E-4</v>
      </c>
      <c r="BK22" s="96">
        <v>5</v>
      </c>
      <c r="BL22" s="96">
        <v>5</v>
      </c>
      <c r="BM22" s="96">
        <v>5</v>
      </c>
      <c r="BN22" s="507" t="s">
        <v>656</v>
      </c>
      <c r="BO22" s="507" t="s">
        <v>656</v>
      </c>
      <c r="BP22" s="507" t="s">
        <v>656</v>
      </c>
      <c r="BQ22" s="507" t="s">
        <v>656</v>
      </c>
      <c r="BR22" s="507" t="s">
        <v>656</v>
      </c>
      <c r="BS22" s="96">
        <v>1</v>
      </c>
      <c r="BT22" s="507" t="s">
        <v>656</v>
      </c>
      <c r="BU22" s="502">
        <v>1</v>
      </c>
      <c r="BV22" s="507" t="s">
        <v>656</v>
      </c>
      <c r="BW22" s="507" t="s">
        <v>656</v>
      </c>
      <c r="BX22" s="507" t="s">
        <v>656</v>
      </c>
      <c r="BY22" s="507" t="s">
        <v>656</v>
      </c>
      <c r="BZ22" s="96">
        <v>3</v>
      </c>
      <c r="CA22" s="507" t="s">
        <v>656</v>
      </c>
      <c r="CB22" s="507" t="s">
        <v>656</v>
      </c>
      <c r="CC22" s="96" t="s">
        <v>656</v>
      </c>
      <c r="CD22" s="507" t="s">
        <v>656</v>
      </c>
      <c r="CE22" s="507" t="s">
        <v>656</v>
      </c>
      <c r="CF22" s="507" t="s">
        <v>656</v>
      </c>
      <c r="CG22" s="507" t="s">
        <v>656</v>
      </c>
      <c r="CH22" s="507" t="s">
        <v>656</v>
      </c>
      <c r="CI22" s="96" t="s">
        <v>656</v>
      </c>
      <c r="CJ22" s="96" t="s">
        <v>656</v>
      </c>
      <c r="CK22" s="96" t="s">
        <v>656</v>
      </c>
      <c r="CL22" s="815">
        <f t="shared" si="2"/>
        <v>5</v>
      </c>
      <c r="CM22" s="824">
        <f t="shared" si="1"/>
        <v>0</v>
      </c>
      <c r="CN22" s="504">
        <v>3.4369999999999998</v>
      </c>
      <c r="CO22" s="97" t="s">
        <v>6179</v>
      </c>
      <c r="CP22" s="97" t="s">
        <v>656</v>
      </c>
      <c r="CQ22" s="507">
        <f t="shared" si="4"/>
        <v>0.14289871944121071</v>
      </c>
      <c r="CR22" s="504">
        <v>24.052</v>
      </c>
      <c r="CS22" s="850" t="s">
        <v>5939</v>
      </c>
      <c r="CT22" s="97" t="s">
        <v>539</v>
      </c>
      <c r="CU22" s="97" t="s">
        <v>656</v>
      </c>
      <c r="CV22" s="97" t="s">
        <v>656</v>
      </c>
      <c r="CW22" s="97" t="s">
        <v>656</v>
      </c>
      <c r="CX22" s="97" t="s">
        <v>656</v>
      </c>
      <c r="CY22" s="97" t="s">
        <v>656</v>
      </c>
      <c r="CZ22" s="97">
        <v>5</v>
      </c>
      <c r="DA22" s="97" t="s">
        <v>539</v>
      </c>
      <c r="DB22" s="97" t="s">
        <v>656</v>
      </c>
      <c r="DC22" s="96" t="s">
        <v>656</v>
      </c>
      <c r="DD22" s="97" t="s">
        <v>540</v>
      </c>
      <c r="DE22" s="97" t="s">
        <v>543</v>
      </c>
      <c r="DF22" s="96">
        <v>268</v>
      </c>
      <c r="DG22" s="96" t="s">
        <v>539</v>
      </c>
      <c r="DH22" s="96" t="s">
        <v>656</v>
      </c>
      <c r="DI22" s="96" t="s">
        <v>656</v>
      </c>
      <c r="DJ22" s="96" t="s">
        <v>539</v>
      </c>
      <c r="DK22" s="96" t="s">
        <v>656</v>
      </c>
      <c r="DL22" s="96" t="s">
        <v>656</v>
      </c>
      <c r="DM22" s="97" t="s">
        <v>539</v>
      </c>
      <c r="DN22" s="97" t="s">
        <v>656</v>
      </c>
      <c r="DO22" s="96" t="s">
        <v>656</v>
      </c>
      <c r="DP22" s="97" t="s">
        <v>539</v>
      </c>
      <c r="DQ22" s="97" t="s">
        <v>656</v>
      </c>
      <c r="DR22" s="96" t="s">
        <v>656</v>
      </c>
      <c r="DS22" s="97" t="s">
        <v>539</v>
      </c>
      <c r="DT22" s="97" t="s">
        <v>656</v>
      </c>
      <c r="DU22" s="96" t="s">
        <v>656</v>
      </c>
      <c r="DV22" s="97" t="s">
        <v>539</v>
      </c>
      <c r="DW22" s="97" t="s">
        <v>656</v>
      </c>
      <c r="DX22" s="96" t="s">
        <v>656</v>
      </c>
      <c r="DY22" s="97" t="s">
        <v>539</v>
      </c>
      <c r="DZ22" s="97" t="s">
        <v>656</v>
      </c>
      <c r="EA22" s="96" t="s">
        <v>656</v>
      </c>
      <c r="EB22" s="97" t="s">
        <v>540</v>
      </c>
      <c r="EC22" s="97" t="s">
        <v>543</v>
      </c>
      <c r="ED22" s="96">
        <v>268</v>
      </c>
      <c r="EE22" s="96" t="s">
        <v>539</v>
      </c>
      <c r="EF22" s="96" t="s">
        <v>656</v>
      </c>
      <c r="EG22" s="96" t="s">
        <v>656</v>
      </c>
      <c r="EH22" s="97" t="s">
        <v>539</v>
      </c>
      <c r="EI22" s="97" t="s">
        <v>656</v>
      </c>
      <c r="EJ22" s="96" t="s">
        <v>656</v>
      </c>
      <c r="EK22" s="97" t="s">
        <v>539</v>
      </c>
      <c r="EL22" s="97" t="s">
        <v>656</v>
      </c>
      <c r="EM22" s="96" t="s">
        <v>656</v>
      </c>
      <c r="EN22" s="97" t="s">
        <v>539</v>
      </c>
      <c r="EO22" s="97" t="s">
        <v>656</v>
      </c>
      <c r="EP22" s="96" t="s">
        <v>656</v>
      </c>
      <c r="EQ22" s="96" t="s">
        <v>540</v>
      </c>
      <c r="ER22" s="96" t="s">
        <v>749</v>
      </c>
      <c r="ES22" s="96" t="s">
        <v>656</v>
      </c>
      <c r="ET22" s="97" t="s">
        <v>539</v>
      </c>
      <c r="EU22" s="97" t="s">
        <v>656</v>
      </c>
      <c r="EV22" s="96" t="s">
        <v>656</v>
      </c>
      <c r="EW22" s="96"/>
      <c r="EX22" s="96"/>
      <c r="EY22" s="96"/>
      <c r="EZ22" s="97" t="s">
        <v>539</v>
      </c>
      <c r="FA22" s="97" t="s">
        <v>656</v>
      </c>
      <c r="FB22" s="97" t="s">
        <v>656</v>
      </c>
      <c r="FC22" s="849" t="s">
        <v>4924</v>
      </c>
      <c r="FD22" s="849" t="s">
        <v>4924</v>
      </c>
      <c r="FE22" s="97" t="s">
        <v>4872</v>
      </c>
      <c r="FF22" s="97" t="s">
        <v>4728</v>
      </c>
      <c r="FG22" s="97" t="s">
        <v>4674</v>
      </c>
      <c r="FH22" s="97">
        <v>1</v>
      </c>
      <c r="FI22" s="97">
        <v>10</v>
      </c>
      <c r="FJ22" s="97" t="s">
        <v>4567</v>
      </c>
      <c r="FK22" s="97" t="s">
        <v>4328</v>
      </c>
      <c r="FL22" s="849" t="s">
        <v>4148</v>
      </c>
      <c r="FM22" s="97" t="s">
        <v>1495</v>
      </c>
      <c r="FN22" s="97" t="s">
        <v>1496</v>
      </c>
      <c r="FO22" s="849" t="s">
        <v>1497</v>
      </c>
    </row>
    <row r="23" spans="5:195" ht="104" customHeight="1" x14ac:dyDescent="0.2">
      <c r="E23" s="94" t="s">
        <v>9302</v>
      </c>
      <c r="F23" s="94" t="s">
        <v>9121</v>
      </c>
      <c r="G23" s="97" t="s">
        <v>304</v>
      </c>
      <c r="H23" s="97" t="s">
        <v>382</v>
      </c>
      <c r="I23" s="97" t="s">
        <v>8872</v>
      </c>
      <c r="J23" s="97" t="s">
        <v>8611</v>
      </c>
      <c r="K23" s="97" t="s">
        <v>8445</v>
      </c>
      <c r="L23" s="502">
        <v>2020</v>
      </c>
      <c r="M23" s="841">
        <v>44652</v>
      </c>
      <c r="N23" s="841">
        <v>44896</v>
      </c>
      <c r="O23" s="841"/>
      <c r="P23" s="841"/>
      <c r="Q23" s="841"/>
      <c r="R23" s="841"/>
      <c r="S23" s="841"/>
      <c r="T23" s="841"/>
      <c r="U23" s="841"/>
      <c r="V23" s="841"/>
      <c r="W23" s="841"/>
      <c r="X23" s="841"/>
      <c r="Y23" s="841"/>
      <c r="Z23" s="97" t="s">
        <v>8192</v>
      </c>
      <c r="AA23" s="849" t="s">
        <v>8012</v>
      </c>
      <c r="AB23" s="97" t="s">
        <v>656</v>
      </c>
      <c r="AC23" s="97" t="s">
        <v>656</v>
      </c>
      <c r="AD23" s="97" t="s">
        <v>656</v>
      </c>
      <c r="AE23" s="97" t="s">
        <v>656</v>
      </c>
      <c r="AF23" s="97" t="s">
        <v>656</v>
      </c>
      <c r="AG23" s="97" t="s">
        <v>656</v>
      </c>
      <c r="AH23" s="97" t="s">
        <v>7040</v>
      </c>
      <c r="AI23" s="97" t="s">
        <v>6909</v>
      </c>
      <c r="AJ23" s="97" t="s">
        <v>504</v>
      </c>
      <c r="AK23" s="97" t="s">
        <v>6428</v>
      </c>
      <c r="AL23" s="580">
        <f t="shared" si="0"/>
        <v>1.988448</v>
      </c>
      <c r="AM23" s="504">
        <v>1.988448</v>
      </c>
      <c r="AN23" s="516"/>
      <c r="AO23" s="97"/>
      <c r="AP23" s="97"/>
      <c r="AQ23" s="504">
        <v>1.622115</v>
      </c>
      <c r="AR23" s="507">
        <f t="shared" si="3"/>
        <v>0.81576938396176313</v>
      </c>
      <c r="AS23" s="507">
        <f>AQ23/941.16773802</f>
        <v>1.7235131788649663E-3</v>
      </c>
      <c r="AT23" s="516">
        <v>0.15928500000000001</v>
      </c>
      <c r="AU23" s="507">
        <f>AT23/AL23</f>
        <v>8.0105187563366001E-2</v>
      </c>
      <c r="AV23" s="516">
        <v>0.20704800000000001</v>
      </c>
      <c r="AW23" s="507">
        <f t="shared" si="5"/>
        <v>0.10412542847487086</v>
      </c>
      <c r="AX23" s="516"/>
      <c r="AY23" s="507" t="s">
        <v>656</v>
      </c>
      <c r="AZ23" s="516"/>
      <c r="BA23" s="507"/>
      <c r="BB23" s="507"/>
      <c r="BC23" s="507"/>
      <c r="BD23" s="507"/>
      <c r="BE23" s="507" t="s">
        <v>540</v>
      </c>
      <c r="BF23" s="507" t="s">
        <v>6335</v>
      </c>
      <c r="BG23" s="507" t="s">
        <v>656</v>
      </c>
      <c r="BH23" s="507" t="s">
        <v>656</v>
      </c>
      <c r="BI23" s="504">
        <v>1.8</v>
      </c>
      <c r="BJ23" s="507">
        <v>6.9999999999999999E-4</v>
      </c>
      <c r="BK23" s="96">
        <v>6</v>
      </c>
      <c r="BL23" s="96">
        <v>6</v>
      </c>
      <c r="BM23" s="96">
        <v>6</v>
      </c>
      <c r="BN23" s="507" t="s">
        <v>656</v>
      </c>
      <c r="BO23" s="507" t="s">
        <v>656</v>
      </c>
      <c r="BP23" s="507" t="s">
        <v>656</v>
      </c>
      <c r="BQ23" s="507" t="s">
        <v>656</v>
      </c>
      <c r="BR23" s="507" t="s">
        <v>656</v>
      </c>
      <c r="BS23" s="96">
        <v>1</v>
      </c>
      <c r="BT23" s="507" t="s">
        <v>656</v>
      </c>
      <c r="BU23" s="507" t="s">
        <v>656</v>
      </c>
      <c r="BV23" s="507" t="s">
        <v>656</v>
      </c>
      <c r="BW23" s="96">
        <v>3</v>
      </c>
      <c r="BX23" s="502">
        <v>1</v>
      </c>
      <c r="BY23" s="507" t="s">
        <v>656</v>
      </c>
      <c r="BZ23" s="96">
        <v>1</v>
      </c>
      <c r="CA23" s="507" t="s">
        <v>656</v>
      </c>
      <c r="CB23" s="507" t="s">
        <v>656</v>
      </c>
      <c r="CC23" s="96" t="s">
        <v>656</v>
      </c>
      <c r="CD23" s="507" t="s">
        <v>656</v>
      </c>
      <c r="CE23" s="502" t="s">
        <v>656</v>
      </c>
      <c r="CF23" s="507" t="s">
        <v>656</v>
      </c>
      <c r="CG23" s="507" t="s">
        <v>656</v>
      </c>
      <c r="CH23" s="507" t="s">
        <v>656</v>
      </c>
      <c r="CI23" s="96" t="s">
        <v>656</v>
      </c>
      <c r="CJ23" s="96" t="s">
        <v>656</v>
      </c>
      <c r="CK23" s="96" t="s">
        <v>656</v>
      </c>
      <c r="CL23" s="815">
        <f t="shared" si="2"/>
        <v>6</v>
      </c>
      <c r="CM23" s="824">
        <f t="shared" si="1"/>
        <v>0</v>
      </c>
      <c r="CN23" s="504">
        <v>3.677</v>
      </c>
      <c r="CO23" s="97" t="s">
        <v>6179</v>
      </c>
      <c r="CP23" s="97" t="s">
        <v>656</v>
      </c>
      <c r="CQ23" s="507">
        <f t="shared" si="4"/>
        <v>4.5171435240353316E-2</v>
      </c>
      <c r="CR23" s="504">
        <v>81.400999999999996</v>
      </c>
      <c r="CS23" s="850" t="s">
        <v>5939</v>
      </c>
      <c r="CT23" s="97" t="s">
        <v>539</v>
      </c>
      <c r="CU23" s="97" t="s">
        <v>656</v>
      </c>
      <c r="CV23" s="97" t="s">
        <v>656</v>
      </c>
      <c r="CW23" s="97" t="s">
        <v>656</v>
      </c>
      <c r="CX23" s="97" t="s">
        <v>656</v>
      </c>
      <c r="CY23" s="96" t="s">
        <v>656</v>
      </c>
      <c r="CZ23" s="96">
        <v>5</v>
      </c>
      <c r="DA23" s="97" t="s">
        <v>539</v>
      </c>
      <c r="DB23" s="97" t="s">
        <v>656</v>
      </c>
      <c r="DC23" s="96" t="s">
        <v>656</v>
      </c>
      <c r="DD23" s="97" t="s">
        <v>540</v>
      </c>
      <c r="DE23" s="97" t="s">
        <v>543</v>
      </c>
      <c r="DF23" s="96">
        <v>768</v>
      </c>
      <c r="DG23" s="96" t="s">
        <v>539</v>
      </c>
      <c r="DH23" s="96" t="s">
        <v>656</v>
      </c>
      <c r="DI23" s="96" t="s">
        <v>656</v>
      </c>
      <c r="DJ23" s="96" t="s">
        <v>539</v>
      </c>
      <c r="DK23" s="96" t="s">
        <v>656</v>
      </c>
      <c r="DL23" s="96" t="s">
        <v>656</v>
      </c>
      <c r="DM23" s="97" t="s">
        <v>539</v>
      </c>
      <c r="DN23" s="97" t="s">
        <v>656</v>
      </c>
      <c r="DO23" s="96" t="s">
        <v>656</v>
      </c>
      <c r="DP23" s="97" t="s">
        <v>539</v>
      </c>
      <c r="DQ23" s="97" t="s">
        <v>656</v>
      </c>
      <c r="DR23" s="96" t="s">
        <v>656</v>
      </c>
      <c r="DS23" s="97" t="s">
        <v>539</v>
      </c>
      <c r="DT23" s="97" t="s">
        <v>656</v>
      </c>
      <c r="DU23" s="96" t="s">
        <v>656</v>
      </c>
      <c r="DV23" s="97" t="s">
        <v>539</v>
      </c>
      <c r="DW23" s="97" t="s">
        <v>656</v>
      </c>
      <c r="DX23" s="96" t="s">
        <v>656</v>
      </c>
      <c r="DY23" s="97" t="s">
        <v>539</v>
      </c>
      <c r="DZ23" s="97" t="s">
        <v>656</v>
      </c>
      <c r="EA23" s="96" t="s">
        <v>656</v>
      </c>
      <c r="EB23" s="97" t="s">
        <v>540</v>
      </c>
      <c r="EC23" s="97" t="s">
        <v>543</v>
      </c>
      <c r="ED23" s="96">
        <v>768</v>
      </c>
      <c r="EE23" s="96" t="s">
        <v>539</v>
      </c>
      <c r="EF23" s="96" t="s">
        <v>656</v>
      </c>
      <c r="EG23" s="96" t="s">
        <v>656</v>
      </c>
      <c r="EH23" s="97" t="s">
        <v>539</v>
      </c>
      <c r="EI23" s="97" t="s">
        <v>656</v>
      </c>
      <c r="EJ23" s="96" t="s">
        <v>656</v>
      </c>
      <c r="EK23" s="97" t="s">
        <v>539</v>
      </c>
      <c r="EL23" s="97" t="s">
        <v>656</v>
      </c>
      <c r="EM23" s="96" t="s">
        <v>656</v>
      </c>
      <c r="EN23" s="97" t="s">
        <v>539</v>
      </c>
      <c r="EO23" s="97" t="s">
        <v>656</v>
      </c>
      <c r="EP23" s="96" t="s">
        <v>656</v>
      </c>
      <c r="EQ23" s="96" t="s">
        <v>540</v>
      </c>
      <c r="ER23" s="96" t="s">
        <v>749</v>
      </c>
      <c r="ES23" s="96" t="s">
        <v>656</v>
      </c>
      <c r="ET23" s="97" t="s">
        <v>539</v>
      </c>
      <c r="EU23" s="97" t="s">
        <v>656</v>
      </c>
      <c r="EV23" s="96" t="s">
        <v>656</v>
      </c>
      <c r="EW23" s="96"/>
      <c r="EX23" s="96"/>
      <c r="EY23" s="96"/>
      <c r="EZ23" s="97" t="s">
        <v>539</v>
      </c>
      <c r="FA23" s="97" t="s">
        <v>656</v>
      </c>
      <c r="FB23" s="851" t="s">
        <v>656</v>
      </c>
      <c r="FC23" s="849" t="s">
        <v>5029</v>
      </c>
      <c r="FD23" s="851" t="s">
        <v>656</v>
      </c>
      <c r="FE23" s="97" t="s">
        <v>4871</v>
      </c>
      <c r="FF23" s="97" t="s">
        <v>656</v>
      </c>
      <c r="FG23" s="97" t="s">
        <v>656</v>
      </c>
      <c r="FH23" s="97" t="s">
        <v>656</v>
      </c>
      <c r="FI23" s="97" t="s">
        <v>656</v>
      </c>
      <c r="FJ23" s="97" t="s">
        <v>4566</v>
      </c>
      <c r="FK23" s="97" t="s">
        <v>4327</v>
      </c>
      <c r="FL23" s="849" t="s">
        <v>4147</v>
      </c>
      <c r="FM23" s="97" t="s">
        <v>1495</v>
      </c>
      <c r="FN23" s="97" t="s">
        <v>1496</v>
      </c>
      <c r="FO23" s="849" t="s">
        <v>1497</v>
      </c>
    </row>
    <row r="24" spans="5:195" ht="104" customHeight="1" x14ac:dyDescent="0.2">
      <c r="E24" s="94" t="s">
        <v>9302</v>
      </c>
      <c r="F24" s="94" t="s">
        <v>9121</v>
      </c>
      <c r="G24" s="97" t="s">
        <v>304</v>
      </c>
      <c r="H24" s="97" t="s">
        <v>382</v>
      </c>
      <c r="I24" s="97" t="s">
        <v>8871</v>
      </c>
      <c r="J24" s="97" t="s">
        <v>8612</v>
      </c>
      <c r="K24" s="97" t="s">
        <v>8446</v>
      </c>
      <c r="L24" s="502">
        <v>2022</v>
      </c>
      <c r="M24" s="841">
        <v>44732</v>
      </c>
      <c r="N24" s="841" t="s">
        <v>8261</v>
      </c>
      <c r="O24" s="841"/>
      <c r="P24" s="841"/>
      <c r="Q24" s="841"/>
      <c r="R24" s="841"/>
      <c r="S24" s="841"/>
      <c r="T24" s="841"/>
      <c r="U24" s="841"/>
      <c r="V24" s="841"/>
      <c r="W24" s="841"/>
      <c r="X24" s="841"/>
      <c r="Y24" s="841"/>
      <c r="Z24" s="97" t="s">
        <v>8191</v>
      </c>
      <c r="AA24" s="849" t="s">
        <v>8011</v>
      </c>
      <c r="AB24" s="97" t="s">
        <v>656</v>
      </c>
      <c r="AC24" s="97" t="s">
        <v>656</v>
      </c>
      <c r="AD24" s="97" t="s">
        <v>656</v>
      </c>
      <c r="AE24" s="97" t="s">
        <v>656</v>
      </c>
      <c r="AF24" s="97" t="s">
        <v>656</v>
      </c>
      <c r="AG24" s="97" t="s">
        <v>656</v>
      </c>
      <c r="AH24" s="97" t="s">
        <v>7039</v>
      </c>
      <c r="AI24" s="97" t="s">
        <v>6908</v>
      </c>
      <c r="AJ24" s="97" t="s">
        <v>504</v>
      </c>
      <c r="AK24" s="852" t="s">
        <v>6428</v>
      </c>
      <c r="AL24" s="580">
        <f t="shared" si="0"/>
        <v>0.53</v>
      </c>
      <c r="AM24" s="504">
        <v>0.53</v>
      </c>
      <c r="AN24" s="516"/>
      <c r="AO24" s="97"/>
      <c r="AP24" s="97"/>
      <c r="AQ24" s="852">
        <v>0.21</v>
      </c>
      <c r="AR24" s="507">
        <f t="shared" si="3"/>
        <v>0.39622641509433959</v>
      </c>
      <c r="AS24" s="852">
        <v>1E-3</v>
      </c>
      <c r="AT24" s="516">
        <v>0.08</v>
      </c>
      <c r="AU24" s="507">
        <f>AT24/AL24</f>
        <v>0.15094339622641509</v>
      </c>
      <c r="AV24" s="853">
        <v>0.08</v>
      </c>
      <c r="AW24" s="507">
        <f t="shared" si="5"/>
        <v>0.15094339622641509</v>
      </c>
      <c r="AX24" s="516">
        <v>0.16</v>
      </c>
      <c r="AY24" s="507">
        <f>AX24/AL24</f>
        <v>0.30188679245283018</v>
      </c>
      <c r="AZ24" s="516"/>
      <c r="BA24" s="507"/>
      <c r="BB24" s="507"/>
      <c r="BC24" s="507"/>
      <c r="BD24" s="507"/>
      <c r="BE24" s="507" t="s">
        <v>540</v>
      </c>
      <c r="BF24" s="507" t="s">
        <v>6336</v>
      </c>
      <c r="BG24" s="852" t="s">
        <v>1482</v>
      </c>
      <c r="BH24" s="504">
        <v>0.09</v>
      </c>
      <c r="BI24" s="852">
        <v>0.2</v>
      </c>
      <c r="BJ24" s="612">
        <v>0.1</v>
      </c>
      <c r="BK24" s="96">
        <v>2</v>
      </c>
      <c r="BL24" s="96">
        <v>2</v>
      </c>
      <c r="BM24" s="96">
        <v>2</v>
      </c>
      <c r="BN24" s="96" t="s">
        <v>656</v>
      </c>
      <c r="BO24" s="96" t="s">
        <v>656</v>
      </c>
      <c r="BP24" s="96" t="s">
        <v>656</v>
      </c>
      <c r="BQ24" s="96" t="s">
        <v>656</v>
      </c>
      <c r="BR24" s="96" t="s">
        <v>656</v>
      </c>
      <c r="BS24" s="96">
        <v>1</v>
      </c>
      <c r="BT24" s="96" t="s">
        <v>656</v>
      </c>
      <c r="BU24" s="96" t="s">
        <v>656</v>
      </c>
      <c r="BV24" s="96" t="s">
        <v>656</v>
      </c>
      <c r="BW24" s="96" t="s">
        <v>656</v>
      </c>
      <c r="BX24" s="96" t="s">
        <v>656</v>
      </c>
      <c r="BY24" s="96">
        <v>1</v>
      </c>
      <c r="BZ24" s="96" t="s">
        <v>656</v>
      </c>
      <c r="CA24" s="96" t="s">
        <v>656</v>
      </c>
      <c r="CB24" s="96" t="s">
        <v>656</v>
      </c>
      <c r="CC24" s="96" t="s">
        <v>656</v>
      </c>
      <c r="CD24" s="96" t="s">
        <v>656</v>
      </c>
      <c r="CE24" s="96" t="s">
        <v>656</v>
      </c>
      <c r="CF24" s="96" t="s">
        <v>656</v>
      </c>
      <c r="CG24" s="96" t="s">
        <v>656</v>
      </c>
      <c r="CH24" s="96" t="s">
        <v>656</v>
      </c>
      <c r="CI24" s="96" t="s">
        <v>656</v>
      </c>
      <c r="CJ24" s="96" t="s">
        <v>656</v>
      </c>
      <c r="CK24" s="854" t="s">
        <v>656</v>
      </c>
      <c r="CL24" s="815">
        <f t="shared" si="2"/>
        <v>2</v>
      </c>
      <c r="CM24" s="824">
        <f t="shared" si="1"/>
        <v>0</v>
      </c>
      <c r="CN24" s="97">
        <v>0.47</v>
      </c>
      <c r="CO24" s="97" t="s">
        <v>6179</v>
      </c>
      <c r="CP24" s="97" t="s">
        <v>656</v>
      </c>
      <c r="CQ24" s="504">
        <f>CN24/CR24*100</f>
        <v>1.9562141013901608</v>
      </c>
      <c r="CR24" s="852">
        <v>24.026</v>
      </c>
      <c r="CS24" s="850" t="s">
        <v>5939</v>
      </c>
      <c r="CT24" s="97" t="s">
        <v>539</v>
      </c>
      <c r="CU24" s="97" t="s">
        <v>656</v>
      </c>
      <c r="CV24" s="97" t="s">
        <v>656</v>
      </c>
      <c r="CW24" s="96" t="s">
        <v>656</v>
      </c>
      <c r="CX24" s="97" t="s">
        <v>656</v>
      </c>
      <c r="CY24" s="96" t="s">
        <v>656</v>
      </c>
      <c r="CZ24" s="97">
        <v>1</v>
      </c>
      <c r="DA24" s="97" t="s">
        <v>540</v>
      </c>
      <c r="DB24" s="96" t="s">
        <v>2415</v>
      </c>
      <c r="DC24" s="97">
        <v>20</v>
      </c>
      <c r="DD24" s="97" t="s">
        <v>540</v>
      </c>
      <c r="DE24" s="96" t="s">
        <v>5656</v>
      </c>
      <c r="DF24" s="96">
        <v>222</v>
      </c>
      <c r="DG24" s="96" t="s">
        <v>539</v>
      </c>
      <c r="DH24" s="96" t="s">
        <v>656</v>
      </c>
      <c r="DI24" s="96" t="s">
        <v>656</v>
      </c>
      <c r="DJ24" s="96" t="s">
        <v>539</v>
      </c>
      <c r="DK24" s="96" t="s">
        <v>656</v>
      </c>
      <c r="DL24" s="97" t="s">
        <v>656</v>
      </c>
      <c r="DM24" s="97" t="s">
        <v>539</v>
      </c>
      <c r="DN24" s="96" t="s">
        <v>656</v>
      </c>
      <c r="DO24" s="97" t="s">
        <v>656</v>
      </c>
      <c r="DP24" s="97" t="s">
        <v>539</v>
      </c>
      <c r="DQ24" s="96" t="s">
        <v>656</v>
      </c>
      <c r="DR24" s="97" t="s">
        <v>656</v>
      </c>
      <c r="DS24" s="97" t="s">
        <v>539</v>
      </c>
      <c r="DT24" s="96" t="s">
        <v>656</v>
      </c>
      <c r="DU24" s="97" t="s">
        <v>656</v>
      </c>
      <c r="DV24" s="97" t="s">
        <v>656</v>
      </c>
      <c r="DW24" s="96" t="s">
        <v>656</v>
      </c>
      <c r="DX24" s="97" t="s">
        <v>656</v>
      </c>
      <c r="DY24" s="97" t="s">
        <v>656</v>
      </c>
      <c r="DZ24" s="96" t="s">
        <v>656</v>
      </c>
      <c r="EA24" s="97" t="s">
        <v>656</v>
      </c>
      <c r="EB24" s="97" t="s">
        <v>540</v>
      </c>
      <c r="EC24" s="96" t="s">
        <v>5436</v>
      </c>
      <c r="ED24" s="96">
        <v>222</v>
      </c>
      <c r="EE24" s="96" t="s">
        <v>539</v>
      </c>
      <c r="EF24" s="96" t="s">
        <v>656</v>
      </c>
      <c r="EG24" s="97" t="s">
        <v>656</v>
      </c>
      <c r="EH24" s="97" t="s">
        <v>539</v>
      </c>
      <c r="EI24" s="96" t="s">
        <v>656</v>
      </c>
      <c r="EJ24" s="97"/>
      <c r="EK24" s="97" t="s">
        <v>539</v>
      </c>
      <c r="EL24" s="96" t="s">
        <v>656</v>
      </c>
      <c r="EM24" s="97" t="s">
        <v>656</v>
      </c>
      <c r="EN24" s="97" t="s">
        <v>539</v>
      </c>
      <c r="EO24" s="96" t="s">
        <v>656</v>
      </c>
      <c r="EP24" s="96" t="s">
        <v>656</v>
      </c>
      <c r="EQ24" s="96" t="s">
        <v>539</v>
      </c>
      <c r="ER24" s="96" t="s">
        <v>656</v>
      </c>
      <c r="ES24" s="97" t="s">
        <v>656</v>
      </c>
      <c r="ET24" s="97" t="s">
        <v>656</v>
      </c>
      <c r="EU24" s="96" t="s">
        <v>656</v>
      </c>
      <c r="EV24" s="97" t="s">
        <v>656</v>
      </c>
      <c r="EW24" s="97"/>
      <c r="EX24" s="97"/>
      <c r="EY24" s="97"/>
      <c r="EZ24" s="97" t="s">
        <v>539</v>
      </c>
      <c r="FA24" s="97" t="s">
        <v>656</v>
      </c>
      <c r="FB24" s="849" t="s">
        <v>656</v>
      </c>
      <c r="FC24" s="849" t="s">
        <v>5028</v>
      </c>
      <c r="FD24" s="97" t="s">
        <v>656</v>
      </c>
      <c r="FE24" s="97" t="s">
        <v>656</v>
      </c>
      <c r="FF24" s="97" t="s">
        <v>656</v>
      </c>
      <c r="FG24" s="97" t="s">
        <v>656</v>
      </c>
      <c r="FH24" s="97" t="s">
        <v>656</v>
      </c>
      <c r="FI24" s="97" t="s">
        <v>656</v>
      </c>
      <c r="FJ24" s="97" t="s">
        <v>4565</v>
      </c>
      <c r="FK24" s="97" t="s">
        <v>4326</v>
      </c>
      <c r="FL24" s="97" t="s">
        <v>4146</v>
      </c>
      <c r="FM24" s="97" t="s">
        <v>1495</v>
      </c>
      <c r="FN24" s="97" t="s">
        <v>1496</v>
      </c>
      <c r="FO24" s="849" t="s">
        <v>1497</v>
      </c>
    </row>
    <row r="25" spans="5:195" ht="104" customHeight="1" x14ac:dyDescent="0.2">
      <c r="E25" s="94" t="s">
        <v>9302</v>
      </c>
      <c r="F25" s="94" t="s">
        <v>9121</v>
      </c>
      <c r="G25" s="97" t="s">
        <v>304</v>
      </c>
      <c r="H25" s="97" t="s">
        <v>382</v>
      </c>
      <c r="I25" s="97" t="s">
        <v>8870</v>
      </c>
      <c r="J25" s="97" t="s">
        <v>8611</v>
      </c>
      <c r="K25" s="97" t="s">
        <v>8445</v>
      </c>
      <c r="L25" s="502">
        <v>2021</v>
      </c>
      <c r="M25" s="841">
        <v>44652</v>
      </c>
      <c r="N25" s="841">
        <v>44896</v>
      </c>
      <c r="O25" s="841"/>
      <c r="P25" s="841"/>
      <c r="Q25" s="841"/>
      <c r="R25" s="841"/>
      <c r="S25" s="841"/>
      <c r="T25" s="841"/>
      <c r="U25" s="841"/>
      <c r="V25" s="841"/>
      <c r="W25" s="841"/>
      <c r="X25" s="841"/>
      <c r="Y25" s="841"/>
      <c r="Z25" s="97" t="s">
        <v>8190</v>
      </c>
      <c r="AA25" s="849" t="s">
        <v>8010</v>
      </c>
      <c r="AB25" s="97" t="s">
        <v>656</v>
      </c>
      <c r="AC25" s="97" t="s">
        <v>656</v>
      </c>
      <c r="AD25" s="97" t="s">
        <v>656</v>
      </c>
      <c r="AE25" s="97" t="s">
        <v>656</v>
      </c>
      <c r="AF25" s="97" t="s">
        <v>656</v>
      </c>
      <c r="AG25" s="97" t="s">
        <v>656</v>
      </c>
      <c r="AH25" s="97" t="s">
        <v>7038</v>
      </c>
      <c r="AI25" s="97" t="s">
        <v>6907</v>
      </c>
      <c r="AJ25" s="97" t="s">
        <v>504</v>
      </c>
      <c r="AK25" s="97" t="s">
        <v>6428</v>
      </c>
      <c r="AL25" s="580">
        <f t="shared" si="0"/>
        <v>0.33100000000000002</v>
      </c>
      <c r="AM25" s="504">
        <v>0.33100000000000002</v>
      </c>
      <c r="AN25" s="516"/>
      <c r="AO25" s="97"/>
      <c r="AP25" s="97"/>
      <c r="AQ25" s="504">
        <v>0.23699999999999999</v>
      </c>
      <c r="AR25" s="507">
        <f t="shared" si="3"/>
        <v>0.71601208459214494</v>
      </c>
      <c r="AS25" s="507">
        <f>AQ25/941.16773802</f>
        <v>2.5181483642713187E-4</v>
      </c>
      <c r="AT25" s="516">
        <v>0.03</v>
      </c>
      <c r="AU25" s="507">
        <f>AT25/AL25</f>
        <v>9.0634441087613288E-2</v>
      </c>
      <c r="AV25" s="516">
        <v>6.4000000000000001E-2</v>
      </c>
      <c r="AW25" s="507">
        <f t="shared" si="5"/>
        <v>0.19335347432024169</v>
      </c>
      <c r="AX25" s="516"/>
      <c r="AY25" s="97" t="s">
        <v>656</v>
      </c>
      <c r="AZ25" s="516"/>
      <c r="BA25" s="97"/>
      <c r="BB25" s="97"/>
      <c r="BC25" s="97"/>
      <c r="BD25" s="97"/>
      <c r="BE25" s="507" t="s">
        <v>540</v>
      </c>
      <c r="BF25" s="507" t="s">
        <v>6335</v>
      </c>
      <c r="BG25" s="507" t="s">
        <v>656</v>
      </c>
      <c r="BH25" s="852" t="s">
        <v>656</v>
      </c>
      <c r="BI25" s="504" t="s">
        <v>656</v>
      </c>
      <c r="BJ25" s="507" t="s">
        <v>656</v>
      </c>
      <c r="BK25" s="96">
        <v>2</v>
      </c>
      <c r="BL25" s="96">
        <v>2</v>
      </c>
      <c r="BM25" s="96">
        <v>2</v>
      </c>
      <c r="BN25" s="96" t="s">
        <v>656</v>
      </c>
      <c r="BO25" s="96" t="s">
        <v>656</v>
      </c>
      <c r="BP25" s="96" t="s">
        <v>656</v>
      </c>
      <c r="BQ25" s="96" t="s">
        <v>656</v>
      </c>
      <c r="BR25" s="96" t="s">
        <v>656</v>
      </c>
      <c r="BS25" s="96" t="s">
        <v>656</v>
      </c>
      <c r="BT25" s="96" t="s">
        <v>656</v>
      </c>
      <c r="BU25" s="96" t="s">
        <v>656</v>
      </c>
      <c r="BV25" s="96" t="s">
        <v>656</v>
      </c>
      <c r="BW25" s="96" t="s">
        <v>656</v>
      </c>
      <c r="BX25" s="96" t="s">
        <v>656</v>
      </c>
      <c r="BY25" s="96" t="s">
        <v>656</v>
      </c>
      <c r="BZ25" s="96">
        <v>2</v>
      </c>
      <c r="CA25" s="96" t="s">
        <v>656</v>
      </c>
      <c r="CB25" s="96" t="s">
        <v>656</v>
      </c>
      <c r="CC25" s="96" t="s">
        <v>656</v>
      </c>
      <c r="CD25" s="96" t="s">
        <v>656</v>
      </c>
      <c r="CE25" s="96" t="s">
        <v>656</v>
      </c>
      <c r="CF25" s="96" t="s">
        <v>656</v>
      </c>
      <c r="CG25" s="96" t="s">
        <v>656</v>
      </c>
      <c r="CH25" s="96" t="s">
        <v>656</v>
      </c>
      <c r="CI25" s="96" t="s">
        <v>656</v>
      </c>
      <c r="CJ25" s="96" t="s">
        <v>656</v>
      </c>
      <c r="CK25" s="96" t="s">
        <v>656</v>
      </c>
      <c r="CL25" s="815">
        <f t="shared" si="2"/>
        <v>2</v>
      </c>
      <c r="CM25" s="824">
        <f t="shared" si="1"/>
        <v>0</v>
      </c>
      <c r="CN25" s="504">
        <v>0.157</v>
      </c>
      <c r="CO25" s="97" t="s">
        <v>6179</v>
      </c>
      <c r="CP25" s="97"/>
      <c r="CQ25" s="507">
        <f>CN25/CR25</f>
        <v>9.1614635000291759E-3</v>
      </c>
      <c r="CR25" s="504">
        <v>17.137</v>
      </c>
      <c r="CS25" s="850" t="s">
        <v>5939</v>
      </c>
      <c r="CT25" s="97" t="s">
        <v>539</v>
      </c>
      <c r="CU25" s="96" t="s">
        <v>656</v>
      </c>
      <c r="CV25" s="96" t="s">
        <v>656</v>
      </c>
      <c r="CW25" s="96" t="s">
        <v>656</v>
      </c>
      <c r="CX25" s="96" t="s">
        <v>656</v>
      </c>
      <c r="CY25" s="97" t="s">
        <v>656</v>
      </c>
      <c r="CZ25" s="97">
        <v>1</v>
      </c>
      <c r="DA25" s="97" t="s">
        <v>539</v>
      </c>
      <c r="DB25" s="97" t="s">
        <v>656</v>
      </c>
      <c r="DC25" s="96" t="s">
        <v>656</v>
      </c>
      <c r="DD25" s="97" t="s">
        <v>540</v>
      </c>
      <c r="DE25" s="97" t="s">
        <v>543</v>
      </c>
      <c r="DF25" s="96">
        <v>157</v>
      </c>
      <c r="DG25" s="96" t="s">
        <v>539</v>
      </c>
      <c r="DH25" s="96" t="s">
        <v>656</v>
      </c>
      <c r="DI25" s="96" t="s">
        <v>656</v>
      </c>
      <c r="DJ25" s="96" t="s">
        <v>539</v>
      </c>
      <c r="DK25" s="96" t="s">
        <v>656</v>
      </c>
      <c r="DL25" s="96" t="s">
        <v>656</v>
      </c>
      <c r="DM25" s="97" t="s">
        <v>539</v>
      </c>
      <c r="DN25" s="97" t="s">
        <v>656</v>
      </c>
      <c r="DO25" s="96" t="s">
        <v>656</v>
      </c>
      <c r="DP25" s="97" t="s">
        <v>539</v>
      </c>
      <c r="DQ25" s="97" t="s">
        <v>656</v>
      </c>
      <c r="DR25" s="96" t="s">
        <v>656</v>
      </c>
      <c r="DS25" s="97" t="s">
        <v>539</v>
      </c>
      <c r="DT25" s="97" t="s">
        <v>656</v>
      </c>
      <c r="DU25" s="96" t="s">
        <v>656</v>
      </c>
      <c r="DV25" s="97" t="s">
        <v>539</v>
      </c>
      <c r="DW25" s="97" t="s">
        <v>656</v>
      </c>
      <c r="DX25" s="96" t="s">
        <v>656</v>
      </c>
      <c r="DY25" s="97" t="s">
        <v>539</v>
      </c>
      <c r="DZ25" s="97" t="s">
        <v>656</v>
      </c>
      <c r="EA25" s="96" t="s">
        <v>656</v>
      </c>
      <c r="EB25" s="97" t="s">
        <v>540</v>
      </c>
      <c r="EC25" s="97" t="s">
        <v>543</v>
      </c>
      <c r="ED25" s="96">
        <v>157</v>
      </c>
      <c r="EE25" s="96" t="s">
        <v>539</v>
      </c>
      <c r="EF25" s="96" t="s">
        <v>656</v>
      </c>
      <c r="EG25" s="96" t="s">
        <v>656</v>
      </c>
      <c r="EH25" s="97" t="s">
        <v>539</v>
      </c>
      <c r="EI25" s="97" t="s">
        <v>656</v>
      </c>
      <c r="EJ25" s="96" t="s">
        <v>656</v>
      </c>
      <c r="EK25" s="97" t="s">
        <v>539</v>
      </c>
      <c r="EL25" s="97" t="s">
        <v>656</v>
      </c>
      <c r="EM25" s="96" t="s">
        <v>656</v>
      </c>
      <c r="EN25" s="97" t="s">
        <v>539</v>
      </c>
      <c r="EO25" s="97" t="s">
        <v>656</v>
      </c>
      <c r="EP25" s="96" t="s">
        <v>656</v>
      </c>
      <c r="EQ25" s="96" t="s">
        <v>540</v>
      </c>
      <c r="ER25" s="96" t="s">
        <v>749</v>
      </c>
      <c r="ES25" s="97" t="s">
        <v>656</v>
      </c>
      <c r="ET25" s="97" t="s">
        <v>539</v>
      </c>
      <c r="EU25" s="97" t="s">
        <v>656</v>
      </c>
      <c r="EV25" s="96" t="s">
        <v>656</v>
      </c>
      <c r="EW25" s="96"/>
      <c r="EX25" s="96"/>
      <c r="EY25" s="96"/>
      <c r="EZ25" s="97" t="s">
        <v>539</v>
      </c>
      <c r="FA25" s="97" t="s">
        <v>656</v>
      </c>
      <c r="FB25" s="97" t="s">
        <v>656</v>
      </c>
      <c r="FC25" s="849" t="s">
        <v>5027</v>
      </c>
      <c r="FD25" s="97" t="s">
        <v>656</v>
      </c>
      <c r="FE25" s="97" t="s">
        <v>4870</v>
      </c>
      <c r="FF25" s="97" t="s">
        <v>4728</v>
      </c>
      <c r="FG25" s="97" t="s">
        <v>4673</v>
      </c>
      <c r="FH25" s="97">
        <v>6</v>
      </c>
      <c r="FI25" s="97">
        <v>77</v>
      </c>
      <c r="FJ25" s="97" t="s">
        <v>4564</v>
      </c>
      <c r="FK25" s="97" t="s">
        <v>4325</v>
      </c>
      <c r="FL25" s="849" t="s">
        <v>4145</v>
      </c>
      <c r="FM25" s="97" t="s">
        <v>1495</v>
      </c>
      <c r="FN25" s="97" t="s">
        <v>1496</v>
      </c>
      <c r="FO25" s="849" t="s">
        <v>1497</v>
      </c>
    </row>
    <row r="26" spans="5:195" ht="104" customHeight="1" x14ac:dyDescent="0.2">
      <c r="E26" s="94" t="s">
        <v>9302</v>
      </c>
      <c r="F26" s="94" t="s">
        <v>9120</v>
      </c>
      <c r="G26" s="198" t="s">
        <v>305</v>
      </c>
      <c r="H26" s="198" t="s">
        <v>383</v>
      </c>
      <c r="I26" s="198"/>
      <c r="J26" s="198" t="s">
        <v>1885</v>
      </c>
      <c r="K26" s="198" t="s">
        <v>1886</v>
      </c>
      <c r="L26" s="578" t="s">
        <v>1887</v>
      </c>
      <c r="M26" s="822" t="s">
        <v>1888</v>
      </c>
      <c r="N26" s="822" t="s">
        <v>1889</v>
      </c>
      <c r="O26" s="198" t="s">
        <v>1890</v>
      </c>
      <c r="P26" s="822" t="s">
        <v>1890</v>
      </c>
      <c r="Q26" s="198" t="s">
        <v>1890</v>
      </c>
      <c r="R26" s="198" t="s">
        <v>1891</v>
      </c>
      <c r="S26" s="503" t="s">
        <v>1892</v>
      </c>
      <c r="T26" s="198" t="s">
        <v>1893</v>
      </c>
      <c r="U26" s="198" t="s">
        <v>1894</v>
      </c>
      <c r="V26" s="198" t="s">
        <v>656</v>
      </c>
      <c r="W26" s="198" t="s">
        <v>656</v>
      </c>
      <c r="X26" s="198" t="s">
        <v>1895</v>
      </c>
      <c r="Y26" s="198" t="s">
        <v>1896</v>
      </c>
      <c r="Z26" s="198"/>
      <c r="AA26" s="198"/>
      <c r="AB26" s="198"/>
      <c r="AC26" s="198"/>
      <c r="AD26" s="198"/>
      <c r="AE26" s="198"/>
      <c r="AF26" s="198"/>
      <c r="AG26" s="198"/>
      <c r="AH26" s="198" t="s">
        <v>1897</v>
      </c>
      <c r="AI26" s="198" t="s">
        <v>1897</v>
      </c>
      <c r="AJ26" s="198" t="s">
        <v>504</v>
      </c>
      <c r="AK26" s="198" t="s">
        <v>1898</v>
      </c>
      <c r="AL26" s="580">
        <f t="shared" si="0"/>
        <v>2237.502</v>
      </c>
      <c r="AM26" s="504">
        <v>2237.502</v>
      </c>
      <c r="AN26" s="516">
        <v>2125.627</v>
      </c>
      <c r="AO26" s="137">
        <v>0.94272699999999998</v>
      </c>
      <c r="AP26" s="137">
        <f>AN26/169378.765</f>
        <v>1.2549548345095089E-2</v>
      </c>
      <c r="AQ26" s="504">
        <v>111.875</v>
      </c>
      <c r="AR26" s="137">
        <v>5.7227E-2</v>
      </c>
      <c r="AS26" s="137"/>
      <c r="AT26" s="520"/>
      <c r="AU26" s="137">
        <v>0</v>
      </c>
      <c r="AV26" s="520" t="s">
        <v>656</v>
      </c>
      <c r="AW26" s="137">
        <v>0</v>
      </c>
      <c r="AX26" s="520"/>
      <c r="AY26" s="137">
        <v>0</v>
      </c>
      <c r="AZ26" s="520">
        <v>0</v>
      </c>
      <c r="BA26" s="137">
        <v>0</v>
      </c>
      <c r="BB26" s="198" t="s">
        <v>1899</v>
      </c>
      <c r="BC26" s="198" t="s">
        <v>1899</v>
      </c>
      <c r="BD26" s="198" t="s">
        <v>1899</v>
      </c>
      <c r="BE26" s="198" t="s">
        <v>470</v>
      </c>
      <c r="BF26" s="198" t="s">
        <v>873</v>
      </c>
      <c r="BG26" s="198" t="s">
        <v>470</v>
      </c>
      <c r="BH26" s="823">
        <v>0</v>
      </c>
      <c r="BI26" s="520">
        <v>350</v>
      </c>
      <c r="BJ26" s="137">
        <f>BI26/158846.797</f>
        <v>2.2033809092165705E-3</v>
      </c>
      <c r="BK26" s="83">
        <v>1455</v>
      </c>
      <c r="BL26" s="83">
        <v>1346</v>
      </c>
      <c r="BM26" s="83">
        <v>830</v>
      </c>
      <c r="BN26" s="83">
        <f>12+7</f>
        <v>19</v>
      </c>
      <c r="BO26" s="83">
        <f>157+59+2+6-1</f>
        <v>223</v>
      </c>
      <c r="BP26" s="83">
        <v>63</v>
      </c>
      <c r="BQ26" s="83">
        <v>0</v>
      </c>
      <c r="BR26" s="83">
        <v>0</v>
      </c>
      <c r="BS26" s="83">
        <v>20</v>
      </c>
      <c r="BT26" s="83">
        <v>0</v>
      </c>
      <c r="BU26" s="83">
        <v>0</v>
      </c>
      <c r="BV26" s="83">
        <f>153+4+2</f>
        <v>159</v>
      </c>
      <c r="BW26" s="83">
        <f>55</f>
        <v>55</v>
      </c>
      <c r="BX26" s="83">
        <f>152</f>
        <v>152</v>
      </c>
      <c r="BY26" s="83">
        <f>64+13+10+1</f>
        <v>88</v>
      </c>
      <c r="BZ26" s="83">
        <f>14</f>
        <v>14</v>
      </c>
      <c r="CA26" s="83">
        <f>2</f>
        <v>2</v>
      </c>
      <c r="CB26" s="83">
        <f>1</f>
        <v>1</v>
      </c>
      <c r="CC26" s="83">
        <f>4</f>
        <v>4</v>
      </c>
      <c r="CD26" s="83">
        <v>0</v>
      </c>
      <c r="CE26" s="83">
        <v>0</v>
      </c>
      <c r="CF26" s="83">
        <f>1</f>
        <v>1</v>
      </c>
      <c r="CG26" s="83">
        <v>0</v>
      </c>
      <c r="CH26" s="83">
        <v>0</v>
      </c>
      <c r="CI26" s="83">
        <v>0</v>
      </c>
      <c r="CJ26" s="83">
        <v>0</v>
      </c>
      <c r="CK26" s="83">
        <f>11+8+2+6+1+1</f>
        <v>29</v>
      </c>
      <c r="CL26" s="824">
        <f t="shared" si="2"/>
        <v>830</v>
      </c>
      <c r="CM26" s="824">
        <f t="shared" si="1"/>
        <v>0</v>
      </c>
      <c r="CN26" s="505">
        <v>725</v>
      </c>
      <c r="CO26" s="198" t="s">
        <v>1900</v>
      </c>
      <c r="CP26" s="549" t="s">
        <v>1901</v>
      </c>
      <c r="CQ26" s="137">
        <f>CN26/CR26</f>
        <v>0.47186205226799688</v>
      </c>
      <c r="CR26" s="580">
        <v>1536.4659999999999</v>
      </c>
      <c r="CS26" s="855" t="s">
        <v>1902</v>
      </c>
      <c r="CT26" s="198" t="s">
        <v>470</v>
      </c>
      <c r="CU26" s="198" t="s">
        <v>470</v>
      </c>
      <c r="CV26" s="198" t="s">
        <v>470</v>
      </c>
      <c r="CW26" s="198" t="s">
        <v>470</v>
      </c>
      <c r="CX26" s="198">
        <v>0</v>
      </c>
      <c r="CY26" s="198">
        <v>0</v>
      </c>
      <c r="CZ26" s="83">
        <v>5</v>
      </c>
      <c r="DA26" s="198" t="s">
        <v>479</v>
      </c>
      <c r="DB26" s="198" t="s">
        <v>1903</v>
      </c>
      <c r="DC26" s="83">
        <v>24460</v>
      </c>
      <c r="DD26" s="198" t="s">
        <v>479</v>
      </c>
      <c r="DE26" s="198" t="s">
        <v>1904</v>
      </c>
      <c r="DF26" s="83">
        <v>48920</v>
      </c>
      <c r="DG26" s="83" t="s">
        <v>479</v>
      </c>
      <c r="DH26" s="83" t="s">
        <v>1903</v>
      </c>
      <c r="DI26" s="83">
        <v>5800</v>
      </c>
      <c r="DJ26" s="83" t="s">
        <v>479</v>
      </c>
      <c r="DK26" s="83" t="s">
        <v>1903</v>
      </c>
      <c r="DL26" s="83">
        <v>630</v>
      </c>
      <c r="DM26" s="198" t="s">
        <v>470</v>
      </c>
      <c r="DN26" s="198" t="s">
        <v>656</v>
      </c>
      <c r="DO26" s="83">
        <v>0</v>
      </c>
      <c r="DP26" s="198" t="s">
        <v>470</v>
      </c>
      <c r="DQ26" s="198" t="s">
        <v>656</v>
      </c>
      <c r="DR26" s="83">
        <v>0</v>
      </c>
      <c r="DS26" s="198" t="s">
        <v>479</v>
      </c>
      <c r="DT26" s="198" t="s">
        <v>1903</v>
      </c>
      <c r="DU26" s="83">
        <v>5725</v>
      </c>
      <c r="DV26" s="198" t="s">
        <v>470</v>
      </c>
      <c r="DW26" s="198" t="s">
        <v>656</v>
      </c>
      <c r="DX26" s="83">
        <v>0</v>
      </c>
      <c r="DY26" s="198" t="s">
        <v>470</v>
      </c>
      <c r="DZ26" s="198" t="s">
        <v>656</v>
      </c>
      <c r="EA26" s="83">
        <v>0</v>
      </c>
      <c r="EB26" s="198" t="s">
        <v>479</v>
      </c>
      <c r="EC26" s="198" t="s">
        <v>1903</v>
      </c>
      <c r="ED26" s="83">
        <v>29652</v>
      </c>
      <c r="EE26" s="83" t="s">
        <v>479</v>
      </c>
      <c r="EF26" s="83" t="s">
        <v>1905</v>
      </c>
      <c r="EG26" s="83">
        <v>5800</v>
      </c>
      <c r="EH26" s="198" t="s">
        <v>470</v>
      </c>
      <c r="EI26" s="198" t="s">
        <v>656</v>
      </c>
      <c r="EJ26" s="83">
        <v>0</v>
      </c>
      <c r="EK26" s="198" t="s">
        <v>470</v>
      </c>
      <c r="EL26" s="198" t="s">
        <v>656</v>
      </c>
      <c r="EM26" s="83">
        <v>0</v>
      </c>
      <c r="EN26" s="198" t="s">
        <v>479</v>
      </c>
      <c r="EO26" s="198" t="s">
        <v>1906</v>
      </c>
      <c r="EP26" s="83">
        <v>396</v>
      </c>
      <c r="EQ26" s="83" t="s">
        <v>479</v>
      </c>
      <c r="ER26" s="83" t="s">
        <v>1907</v>
      </c>
      <c r="ES26" s="83">
        <v>70</v>
      </c>
      <c r="ET26" s="198" t="s">
        <v>470</v>
      </c>
      <c r="EU26" s="198" t="s">
        <v>656</v>
      </c>
      <c r="EV26" s="83">
        <v>0</v>
      </c>
      <c r="EW26" s="837">
        <v>1</v>
      </c>
      <c r="EX26" s="198" t="s">
        <v>656</v>
      </c>
      <c r="EY26" s="505">
        <v>22</v>
      </c>
      <c r="EZ26" s="198" t="s">
        <v>470</v>
      </c>
      <c r="FA26" s="198" t="s">
        <v>470</v>
      </c>
      <c r="FB26" s="198" t="s">
        <v>1908</v>
      </c>
      <c r="FC26" s="198" t="s">
        <v>470</v>
      </c>
      <c r="FD26" s="834" t="s">
        <v>1908</v>
      </c>
      <c r="FE26" s="198" t="s">
        <v>1909</v>
      </c>
      <c r="FF26" s="198" t="s">
        <v>470</v>
      </c>
      <c r="FG26" s="198" t="s">
        <v>1910</v>
      </c>
      <c r="FH26" s="198">
        <v>88</v>
      </c>
      <c r="FI26" s="198">
        <v>1584</v>
      </c>
      <c r="FJ26" s="198" t="s">
        <v>1911</v>
      </c>
      <c r="FK26" s="198" t="s">
        <v>1912</v>
      </c>
      <c r="FL26" s="549" t="s">
        <v>1913</v>
      </c>
      <c r="FM26" s="198" t="s">
        <v>1914</v>
      </c>
      <c r="FN26" s="198" t="s">
        <v>1915</v>
      </c>
      <c r="FO26" s="549" t="s">
        <v>1916</v>
      </c>
    </row>
    <row r="27" spans="5:195" ht="104" customHeight="1" x14ac:dyDescent="0.2">
      <c r="E27" s="94" t="s">
        <v>9306</v>
      </c>
      <c r="F27" s="94" t="s">
        <v>9120</v>
      </c>
      <c r="G27" s="198" t="s">
        <v>305</v>
      </c>
      <c r="H27" s="198" t="s">
        <v>383</v>
      </c>
      <c r="I27" s="198"/>
      <c r="J27" s="198" t="s">
        <v>1917</v>
      </c>
      <c r="K27" s="198" t="s">
        <v>1918</v>
      </c>
      <c r="L27" s="578">
        <v>2019</v>
      </c>
      <c r="M27" s="822" t="s">
        <v>1919</v>
      </c>
      <c r="N27" s="822" t="s">
        <v>1920</v>
      </c>
      <c r="O27" s="198" t="s">
        <v>1921</v>
      </c>
      <c r="P27" s="198" t="s">
        <v>1922</v>
      </c>
      <c r="Q27" s="503" t="s">
        <v>1923</v>
      </c>
      <c r="R27" s="198" t="s">
        <v>1924</v>
      </c>
      <c r="S27" s="198" t="s">
        <v>1924</v>
      </c>
      <c r="T27" s="198" t="s">
        <v>1925</v>
      </c>
      <c r="U27" s="198" t="s">
        <v>1926</v>
      </c>
      <c r="V27" s="198" t="s">
        <v>1927</v>
      </c>
      <c r="W27" s="503" t="s">
        <v>1928</v>
      </c>
      <c r="X27" s="198" t="s">
        <v>1929</v>
      </c>
      <c r="Y27" s="198" t="s">
        <v>1930</v>
      </c>
      <c r="Z27" s="198"/>
      <c r="AA27" s="198"/>
      <c r="AB27" s="198"/>
      <c r="AC27" s="198"/>
      <c r="AD27" s="198"/>
      <c r="AE27" s="198"/>
      <c r="AF27" s="198"/>
      <c r="AG27" s="198"/>
      <c r="AH27" s="198" t="s">
        <v>1931</v>
      </c>
      <c r="AI27" s="198" t="s">
        <v>1931</v>
      </c>
      <c r="AJ27" s="198" t="s">
        <v>477</v>
      </c>
      <c r="AK27" s="198" t="s">
        <v>1090</v>
      </c>
      <c r="AL27" s="580">
        <f t="shared" si="0"/>
        <v>13.638</v>
      </c>
      <c r="AM27" s="504">
        <v>13.638</v>
      </c>
      <c r="AN27" s="516">
        <v>10.244</v>
      </c>
      <c r="AO27" s="580">
        <v>0.75</v>
      </c>
      <c r="AP27" s="580">
        <v>2.9999999999999997E-4</v>
      </c>
      <c r="AQ27" s="504">
        <v>3.3940000000000001</v>
      </c>
      <c r="AR27" s="580">
        <v>0.25</v>
      </c>
      <c r="AS27" s="580"/>
      <c r="AT27" s="520">
        <v>0</v>
      </c>
      <c r="AU27" s="137">
        <v>0</v>
      </c>
      <c r="AV27" s="520">
        <v>0</v>
      </c>
      <c r="AW27" s="137">
        <v>0</v>
      </c>
      <c r="AX27" s="520"/>
      <c r="AY27" s="137">
        <v>0</v>
      </c>
      <c r="AZ27" s="520">
        <v>0</v>
      </c>
      <c r="BA27" s="137">
        <v>0</v>
      </c>
      <c r="BB27" s="198" t="s">
        <v>1932</v>
      </c>
      <c r="BC27" s="198" t="s">
        <v>1930</v>
      </c>
      <c r="BD27" s="198" t="s">
        <v>1930</v>
      </c>
      <c r="BE27" s="198" t="s">
        <v>479</v>
      </c>
      <c r="BF27" s="198" t="s">
        <v>1933</v>
      </c>
      <c r="BG27" s="198" t="s">
        <v>1924</v>
      </c>
      <c r="BH27" s="198">
        <v>0</v>
      </c>
      <c r="BI27" s="198" t="s">
        <v>1934</v>
      </c>
      <c r="BJ27" s="137">
        <v>0</v>
      </c>
      <c r="BK27" s="83">
        <v>175</v>
      </c>
      <c r="BL27" s="83">
        <v>175</v>
      </c>
      <c r="BM27" s="83">
        <v>47</v>
      </c>
      <c r="BN27" s="83">
        <v>0</v>
      </c>
      <c r="BO27" s="83">
        <v>2</v>
      </c>
      <c r="BP27" s="83">
        <v>0</v>
      </c>
      <c r="BQ27" s="83">
        <v>1</v>
      </c>
      <c r="BR27" s="83">
        <v>5</v>
      </c>
      <c r="BS27" s="83">
        <v>11</v>
      </c>
      <c r="BT27" s="83">
        <v>0</v>
      </c>
      <c r="BU27" s="83">
        <v>3</v>
      </c>
      <c r="BV27" s="83">
        <v>6</v>
      </c>
      <c r="BW27" s="83">
        <v>1</v>
      </c>
      <c r="BX27" s="83">
        <v>5</v>
      </c>
      <c r="BY27" s="83">
        <v>11</v>
      </c>
      <c r="BZ27" s="83">
        <v>1</v>
      </c>
      <c r="CA27" s="83">
        <v>0</v>
      </c>
      <c r="CB27" s="83">
        <v>0</v>
      </c>
      <c r="CC27" s="83">
        <v>0</v>
      </c>
      <c r="CD27" s="83">
        <v>0</v>
      </c>
      <c r="CE27" s="83">
        <v>0</v>
      </c>
      <c r="CF27" s="83">
        <v>0</v>
      </c>
      <c r="CG27" s="83">
        <v>0</v>
      </c>
      <c r="CH27" s="83">
        <v>0</v>
      </c>
      <c r="CI27" s="83">
        <v>0</v>
      </c>
      <c r="CJ27" s="83">
        <v>1</v>
      </c>
      <c r="CK27" s="83"/>
      <c r="CL27" s="824">
        <f t="shared" si="2"/>
        <v>47</v>
      </c>
      <c r="CM27" s="824">
        <f t="shared" si="1"/>
        <v>0</v>
      </c>
      <c r="CN27" s="520">
        <v>2.3450000000000002</v>
      </c>
      <c r="CO27" s="198" t="s">
        <v>1935</v>
      </c>
      <c r="CP27" s="198" t="s">
        <v>1924</v>
      </c>
      <c r="CQ27" s="137" t="s">
        <v>1936</v>
      </c>
      <c r="CR27" s="580">
        <v>1536.4659999999999</v>
      </c>
      <c r="CS27" s="855" t="s">
        <v>1937</v>
      </c>
      <c r="CT27" s="198" t="s">
        <v>873</v>
      </c>
      <c r="CU27" s="198" t="s">
        <v>1924</v>
      </c>
      <c r="CV27" s="198" t="s">
        <v>1930</v>
      </c>
      <c r="CW27" s="198" t="s">
        <v>1930</v>
      </c>
      <c r="CX27" s="83">
        <v>0</v>
      </c>
      <c r="CY27" s="83">
        <v>0</v>
      </c>
      <c r="CZ27" s="83">
        <v>2</v>
      </c>
      <c r="DA27" s="198" t="s">
        <v>873</v>
      </c>
      <c r="DB27" s="198" t="s">
        <v>1930</v>
      </c>
      <c r="DC27" s="83">
        <v>0</v>
      </c>
      <c r="DD27" s="198" t="s">
        <v>873</v>
      </c>
      <c r="DE27" s="198" t="s">
        <v>1930</v>
      </c>
      <c r="DF27" s="83">
        <v>0</v>
      </c>
      <c r="DG27" s="83" t="s">
        <v>873</v>
      </c>
      <c r="DH27" s="83" t="s">
        <v>1930</v>
      </c>
      <c r="DI27" s="83">
        <v>0</v>
      </c>
      <c r="DJ27" s="83" t="s">
        <v>479</v>
      </c>
      <c r="DK27" s="83" t="s">
        <v>1930</v>
      </c>
      <c r="DL27" s="83">
        <v>525</v>
      </c>
      <c r="DM27" s="198" t="s">
        <v>873</v>
      </c>
      <c r="DN27" s="198" t="s">
        <v>1930</v>
      </c>
      <c r="DO27" s="83">
        <v>0</v>
      </c>
      <c r="DP27" s="198" t="s">
        <v>873</v>
      </c>
      <c r="DQ27" s="198" t="s">
        <v>1930</v>
      </c>
      <c r="DR27" s="83">
        <v>0</v>
      </c>
      <c r="DS27" s="198" t="s">
        <v>873</v>
      </c>
      <c r="DT27" s="198" t="s">
        <v>1930</v>
      </c>
      <c r="DU27" s="83">
        <v>0</v>
      </c>
      <c r="DV27" s="198" t="s">
        <v>1930</v>
      </c>
      <c r="DW27" s="198" t="s">
        <v>1930</v>
      </c>
      <c r="DX27" s="83">
        <v>0</v>
      </c>
      <c r="DY27" s="198" t="s">
        <v>873</v>
      </c>
      <c r="DZ27" s="198" t="s">
        <v>1924</v>
      </c>
      <c r="EA27" s="83">
        <v>0</v>
      </c>
      <c r="EB27" s="198" t="s">
        <v>873</v>
      </c>
      <c r="EC27" s="198" t="s">
        <v>1930</v>
      </c>
      <c r="ED27" s="83">
        <v>0</v>
      </c>
      <c r="EE27" s="83" t="s">
        <v>873</v>
      </c>
      <c r="EF27" s="83" t="s">
        <v>1930</v>
      </c>
      <c r="EG27" s="83">
        <v>0</v>
      </c>
      <c r="EH27" s="198" t="s">
        <v>470</v>
      </c>
      <c r="EI27" s="198" t="s">
        <v>1930</v>
      </c>
      <c r="EJ27" s="83">
        <v>0</v>
      </c>
      <c r="EK27" s="198" t="s">
        <v>873</v>
      </c>
      <c r="EL27" s="198" t="s">
        <v>1930</v>
      </c>
      <c r="EM27" s="83">
        <v>0</v>
      </c>
      <c r="EN27" s="198" t="s">
        <v>479</v>
      </c>
      <c r="EO27" s="198" t="s">
        <v>1938</v>
      </c>
      <c r="EP27" s="83">
        <v>10</v>
      </c>
      <c r="EQ27" s="83" t="s">
        <v>470</v>
      </c>
      <c r="ER27" s="83" t="s">
        <v>1930</v>
      </c>
      <c r="ES27" s="83">
        <v>0</v>
      </c>
      <c r="ET27" s="198" t="s">
        <v>1930</v>
      </c>
      <c r="EU27" s="198" t="s">
        <v>1930</v>
      </c>
      <c r="EV27" s="83">
        <v>0</v>
      </c>
      <c r="EW27" s="837">
        <v>1</v>
      </c>
      <c r="EX27" s="198" t="s">
        <v>873</v>
      </c>
      <c r="EY27" s="505">
        <v>22</v>
      </c>
      <c r="EZ27" s="198" t="s">
        <v>873</v>
      </c>
      <c r="FA27" s="198" t="s">
        <v>873</v>
      </c>
      <c r="FB27" s="198" t="s">
        <v>1939</v>
      </c>
      <c r="FC27" s="198" t="s">
        <v>1940</v>
      </c>
      <c r="FD27" s="198" t="s">
        <v>470</v>
      </c>
      <c r="FE27" s="198" t="s">
        <v>1941</v>
      </c>
      <c r="FF27" s="198" t="s">
        <v>1930</v>
      </c>
      <c r="FG27" s="198" t="s">
        <v>1942</v>
      </c>
      <c r="FH27" s="198" t="s">
        <v>1943</v>
      </c>
      <c r="FI27" s="198">
        <v>1252</v>
      </c>
      <c r="FJ27" s="198" t="s">
        <v>1944</v>
      </c>
      <c r="FK27" s="198" t="s">
        <v>1945</v>
      </c>
      <c r="FL27" s="198" t="s">
        <v>1946</v>
      </c>
      <c r="FM27" s="198" t="s">
        <v>1914</v>
      </c>
      <c r="FN27" s="198" t="s">
        <v>1947</v>
      </c>
      <c r="FO27" s="503" t="s">
        <v>1916</v>
      </c>
    </row>
    <row r="28" spans="5:195" ht="104" customHeight="1" x14ac:dyDescent="0.2">
      <c r="E28" s="94" t="s">
        <v>9307</v>
      </c>
      <c r="F28" s="94" t="s">
        <v>9120</v>
      </c>
      <c r="G28" s="198" t="s">
        <v>305</v>
      </c>
      <c r="H28" s="198" t="s">
        <v>383</v>
      </c>
      <c r="I28" s="198"/>
      <c r="J28" s="198" t="s">
        <v>1917</v>
      </c>
      <c r="K28" s="198" t="s">
        <v>1948</v>
      </c>
      <c r="L28" s="578">
        <v>2018</v>
      </c>
      <c r="M28" s="822" t="s">
        <v>1919</v>
      </c>
      <c r="N28" s="822" t="s">
        <v>1949</v>
      </c>
      <c r="O28" s="198" t="s">
        <v>1950</v>
      </c>
      <c r="P28" s="198" t="s">
        <v>1951</v>
      </c>
      <c r="Q28" s="198" t="s">
        <v>1952</v>
      </c>
      <c r="R28" s="198" t="s">
        <v>1924</v>
      </c>
      <c r="S28" s="198" t="s">
        <v>1924</v>
      </c>
      <c r="T28" s="198" t="s">
        <v>1925</v>
      </c>
      <c r="U28" s="198" t="s">
        <v>1926</v>
      </c>
      <c r="V28" s="198" t="s">
        <v>1953</v>
      </c>
      <c r="W28" s="198" t="s">
        <v>1928</v>
      </c>
      <c r="X28" s="198" t="s">
        <v>1929</v>
      </c>
      <c r="Y28" s="198" t="s">
        <v>1929</v>
      </c>
      <c r="Z28" s="198"/>
      <c r="AA28" s="198"/>
      <c r="AB28" s="198"/>
      <c r="AC28" s="198"/>
      <c r="AD28" s="198"/>
      <c r="AE28" s="198"/>
      <c r="AF28" s="198"/>
      <c r="AG28" s="198"/>
      <c r="AH28" s="198" t="s">
        <v>1931</v>
      </c>
      <c r="AI28" s="198" t="s">
        <v>1931</v>
      </c>
      <c r="AJ28" s="198" t="s">
        <v>477</v>
      </c>
      <c r="AK28" s="198" t="s">
        <v>1090</v>
      </c>
      <c r="AL28" s="580">
        <f t="shared" si="0"/>
        <v>51.43</v>
      </c>
      <c r="AM28" s="504">
        <v>51.43</v>
      </c>
      <c r="AN28" s="516">
        <v>38.618000000000002</v>
      </c>
      <c r="AO28" s="137">
        <v>0.75</v>
      </c>
      <c r="AP28" s="137">
        <v>2.9999999999999997E-4</v>
      </c>
      <c r="AQ28" s="504">
        <v>12.811999999999999</v>
      </c>
      <c r="AR28" s="137">
        <v>0.25</v>
      </c>
      <c r="AS28" s="137"/>
      <c r="AT28" s="520">
        <v>0</v>
      </c>
      <c r="AU28" s="137">
        <v>0</v>
      </c>
      <c r="AV28" s="520">
        <v>0</v>
      </c>
      <c r="AW28" s="137">
        <v>0</v>
      </c>
      <c r="AX28" s="520"/>
      <c r="AY28" s="137">
        <v>0</v>
      </c>
      <c r="AZ28" s="520">
        <v>0</v>
      </c>
      <c r="BA28" s="137">
        <v>0</v>
      </c>
      <c r="BB28" s="198" t="s">
        <v>1929</v>
      </c>
      <c r="BC28" s="198" t="s">
        <v>1929</v>
      </c>
      <c r="BD28" s="198" t="s">
        <v>1929</v>
      </c>
      <c r="BE28" s="198" t="s">
        <v>479</v>
      </c>
      <c r="BF28" s="198" t="s">
        <v>1933</v>
      </c>
      <c r="BG28" s="198" t="s">
        <v>1924</v>
      </c>
      <c r="BH28" s="198">
        <v>0</v>
      </c>
      <c r="BI28" s="198">
        <v>0</v>
      </c>
      <c r="BJ28" s="137">
        <v>0</v>
      </c>
      <c r="BK28" s="83">
        <v>408</v>
      </c>
      <c r="BL28" s="83">
        <v>408</v>
      </c>
      <c r="BM28" s="83">
        <v>101</v>
      </c>
      <c r="BN28" s="83">
        <v>0</v>
      </c>
      <c r="BO28" s="83">
        <v>6</v>
      </c>
      <c r="BP28" s="83">
        <v>0</v>
      </c>
      <c r="BQ28" s="83">
        <v>1</v>
      </c>
      <c r="BR28" s="83">
        <v>0</v>
      </c>
      <c r="BS28" s="83">
        <v>9</v>
      </c>
      <c r="BT28" s="83">
        <v>0</v>
      </c>
      <c r="BU28" s="83">
        <v>9</v>
      </c>
      <c r="BV28" s="83">
        <v>24</v>
      </c>
      <c r="BW28" s="83">
        <v>6</v>
      </c>
      <c r="BX28" s="83">
        <v>16</v>
      </c>
      <c r="BY28" s="83">
        <v>25</v>
      </c>
      <c r="BZ28" s="83">
        <v>4</v>
      </c>
      <c r="CA28" s="83">
        <v>0</v>
      </c>
      <c r="CB28" s="83">
        <v>0</v>
      </c>
      <c r="CC28" s="83">
        <v>0</v>
      </c>
      <c r="CD28" s="83">
        <v>1</v>
      </c>
      <c r="CE28" s="83">
        <v>0</v>
      </c>
      <c r="CF28" s="83">
        <v>0</v>
      </c>
      <c r="CG28" s="83">
        <v>0</v>
      </c>
      <c r="CH28" s="83">
        <v>0</v>
      </c>
      <c r="CI28" s="83">
        <v>0</v>
      </c>
      <c r="CJ28" s="83">
        <v>0</v>
      </c>
      <c r="CK28" s="83">
        <v>0</v>
      </c>
      <c r="CL28" s="824">
        <f t="shared" si="2"/>
        <v>101</v>
      </c>
      <c r="CM28" s="824">
        <f t="shared" si="1"/>
        <v>0</v>
      </c>
      <c r="CN28" s="580">
        <v>10.11</v>
      </c>
      <c r="CO28" s="198" t="s">
        <v>1935</v>
      </c>
      <c r="CP28" s="198" t="s">
        <v>1924</v>
      </c>
      <c r="CQ28" s="137">
        <v>6.6E-3</v>
      </c>
      <c r="CR28" s="580">
        <v>1536.4659999999999</v>
      </c>
      <c r="CS28" s="855" t="s">
        <v>1937</v>
      </c>
      <c r="CT28" s="198" t="s">
        <v>470</v>
      </c>
      <c r="CU28" s="198" t="s">
        <v>1930</v>
      </c>
      <c r="CV28" s="198" t="s">
        <v>1924</v>
      </c>
      <c r="CW28" s="198" t="s">
        <v>1924</v>
      </c>
      <c r="CX28" s="83">
        <v>0</v>
      </c>
      <c r="CY28" s="83">
        <v>0</v>
      </c>
      <c r="CZ28" s="83">
        <v>2</v>
      </c>
      <c r="DA28" s="198" t="s">
        <v>470</v>
      </c>
      <c r="DB28" s="198" t="s">
        <v>1924</v>
      </c>
      <c r="DC28" s="83">
        <v>0</v>
      </c>
      <c r="DD28" s="198" t="s">
        <v>470</v>
      </c>
      <c r="DE28" s="198" t="s">
        <v>1924</v>
      </c>
      <c r="DF28" s="83">
        <v>0</v>
      </c>
      <c r="DG28" s="83" t="s">
        <v>470</v>
      </c>
      <c r="DH28" s="83" t="s">
        <v>1924</v>
      </c>
      <c r="DI28" s="83">
        <v>0</v>
      </c>
      <c r="DJ28" s="83" t="s">
        <v>479</v>
      </c>
      <c r="DK28" s="83" t="s">
        <v>1924</v>
      </c>
      <c r="DL28" s="83">
        <v>3040</v>
      </c>
      <c r="DM28" s="198" t="s">
        <v>470</v>
      </c>
      <c r="DN28" s="198" t="s">
        <v>1930</v>
      </c>
      <c r="DO28" s="83">
        <v>0</v>
      </c>
      <c r="DP28" s="198" t="s">
        <v>470</v>
      </c>
      <c r="DQ28" s="198" t="s">
        <v>1924</v>
      </c>
      <c r="DR28" s="83">
        <v>0</v>
      </c>
      <c r="DS28" s="198" t="s">
        <v>470</v>
      </c>
      <c r="DT28" s="198" t="s">
        <v>1924</v>
      </c>
      <c r="DU28" s="83">
        <v>0</v>
      </c>
      <c r="DV28" s="198" t="s">
        <v>1924</v>
      </c>
      <c r="DW28" s="198" t="s">
        <v>1924</v>
      </c>
      <c r="DX28" s="83">
        <v>0</v>
      </c>
      <c r="DY28" s="198" t="s">
        <v>470</v>
      </c>
      <c r="DZ28" s="198" t="s">
        <v>1924</v>
      </c>
      <c r="EA28" s="83">
        <v>0</v>
      </c>
      <c r="EB28" s="198" t="s">
        <v>470</v>
      </c>
      <c r="EC28" s="198" t="s">
        <v>1924</v>
      </c>
      <c r="ED28" s="83">
        <v>0</v>
      </c>
      <c r="EE28" s="83" t="s">
        <v>470</v>
      </c>
      <c r="EF28" s="83" t="s">
        <v>1924</v>
      </c>
      <c r="EG28" s="83">
        <v>0</v>
      </c>
      <c r="EH28" s="198" t="s">
        <v>470</v>
      </c>
      <c r="EI28" s="198" t="s">
        <v>1924</v>
      </c>
      <c r="EJ28" s="83">
        <v>0</v>
      </c>
      <c r="EK28" s="198" t="s">
        <v>470</v>
      </c>
      <c r="EL28" s="198" t="s">
        <v>1924</v>
      </c>
      <c r="EM28" s="83">
        <v>0</v>
      </c>
      <c r="EN28" s="198" t="s">
        <v>479</v>
      </c>
      <c r="EO28" s="198" t="s">
        <v>1938</v>
      </c>
      <c r="EP28" s="83">
        <v>10</v>
      </c>
      <c r="EQ28" s="83" t="s">
        <v>470</v>
      </c>
      <c r="ER28" s="83" t="s">
        <v>1924</v>
      </c>
      <c r="ES28" s="83">
        <v>0</v>
      </c>
      <c r="ET28" s="198" t="s">
        <v>1924</v>
      </c>
      <c r="EU28" s="198" t="s">
        <v>1924</v>
      </c>
      <c r="EV28" s="83">
        <v>0</v>
      </c>
      <c r="EW28" s="837">
        <v>1</v>
      </c>
      <c r="EX28" s="198" t="s">
        <v>656</v>
      </c>
      <c r="EY28" s="505">
        <v>22</v>
      </c>
      <c r="EZ28" s="198" t="s">
        <v>470</v>
      </c>
      <c r="FA28" s="198" t="s">
        <v>1929</v>
      </c>
      <c r="FB28" s="503" t="s">
        <v>1939</v>
      </c>
      <c r="FC28" s="503" t="s">
        <v>1940</v>
      </c>
      <c r="FD28" s="198" t="s">
        <v>1924</v>
      </c>
      <c r="FE28" s="198" t="s">
        <v>1954</v>
      </c>
      <c r="FF28" s="198" t="s">
        <v>1929</v>
      </c>
      <c r="FG28" s="198" t="s">
        <v>1955</v>
      </c>
      <c r="FH28" s="198">
        <v>53</v>
      </c>
      <c r="FI28" s="198">
        <v>1252</v>
      </c>
      <c r="FJ28" s="198" t="s">
        <v>1944</v>
      </c>
      <c r="FK28" s="198" t="s">
        <v>1945</v>
      </c>
      <c r="FL28" s="503" t="s">
        <v>1946</v>
      </c>
      <c r="FM28" s="198" t="s">
        <v>1914</v>
      </c>
      <c r="FN28" s="198" t="s">
        <v>1947</v>
      </c>
      <c r="FO28" s="503" t="s">
        <v>1916</v>
      </c>
    </row>
    <row r="29" spans="5:195" ht="104" customHeight="1" x14ac:dyDescent="0.2">
      <c r="E29" s="94" t="s">
        <v>9307</v>
      </c>
      <c r="F29" s="94" t="s">
        <v>9121</v>
      </c>
      <c r="G29" s="97" t="s">
        <v>305</v>
      </c>
      <c r="H29" s="97" t="s">
        <v>383</v>
      </c>
      <c r="I29" s="97" t="s">
        <v>8869</v>
      </c>
      <c r="J29" s="97" t="s">
        <v>8610</v>
      </c>
      <c r="K29" s="97" t="s">
        <v>1924</v>
      </c>
      <c r="L29" s="502">
        <v>2021</v>
      </c>
      <c r="M29" s="841">
        <v>44562</v>
      </c>
      <c r="N29" s="841">
        <v>44926</v>
      </c>
      <c r="O29" s="841"/>
      <c r="P29" s="841"/>
      <c r="Q29" s="841"/>
      <c r="R29" s="841"/>
      <c r="S29" s="841"/>
      <c r="T29" s="841"/>
      <c r="U29" s="841"/>
      <c r="V29" s="841"/>
      <c r="W29" s="841"/>
      <c r="X29" s="841"/>
      <c r="Y29" s="841"/>
      <c r="Z29" s="97" t="s">
        <v>8189</v>
      </c>
      <c r="AA29" s="97" t="s">
        <v>8009</v>
      </c>
      <c r="AB29" s="97" t="s">
        <v>470</v>
      </c>
      <c r="AC29" s="97" t="s">
        <v>1924</v>
      </c>
      <c r="AD29" s="97" t="s">
        <v>7572</v>
      </c>
      <c r="AE29" s="851" t="s">
        <v>7357</v>
      </c>
      <c r="AF29" s="97" t="s">
        <v>7182</v>
      </c>
      <c r="AG29" s="851" t="s">
        <v>7108</v>
      </c>
      <c r="AH29" s="97" t="s">
        <v>6906</v>
      </c>
      <c r="AI29" s="97" t="s">
        <v>6906</v>
      </c>
      <c r="AJ29" s="97" t="s">
        <v>615</v>
      </c>
      <c r="AK29" s="97" t="s">
        <v>6613</v>
      </c>
      <c r="AL29" s="580">
        <f t="shared" si="0"/>
        <v>0.4</v>
      </c>
      <c r="AM29" s="504">
        <v>0.4</v>
      </c>
      <c r="AN29" s="516"/>
      <c r="AO29" s="97"/>
      <c r="AP29" s="97"/>
      <c r="AQ29" s="504">
        <v>0.4</v>
      </c>
      <c r="AR29" s="507">
        <v>1</v>
      </c>
      <c r="AS29" s="507">
        <f>(0.4/660.761)</f>
        <v>6.0536260463314273E-4</v>
      </c>
      <c r="AT29" s="516">
        <v>0</v>
      </c>
      <c r="AU29" s="507">
        <v>0</v>
      </c>
      <c r="AV29" s="516">
        <v>0</v>
      </c>
      <c r="AW29" s="507">
        <v>0</v>
      </c>
      <c r="AX29" s="516"/>
      <c r="AY29" s="507">
        <v>0</v>
      </c>
      <c r="AZ29" s="516"/>
      <c r="BA29" s="507"/>
      <c r="BB29" s="507"/>
      <c r="BC29" s="507"/>
      <c r="BD29" s="507"/>
      <c r="BE29" s="507" t="s">
        <v>470</v>
      </c>
      <c r="BF29" s="507" t="s">
        <v>1924</v>
      </c>
      <c r="BG29" s="507" t="s">
        <v>1924</v>
      </c>
      <c r="BH29" s="852">
        <v>0</v>
      </c>
      <c r="BI29" s="504">
        <v>0.4</v>
      </c>
      <c r="BJ29" s="507">
        <f>0.4/639.816</f>
        <v>6.2517973917501277E-4</v>
      </c>
      <c r="BK29" s="96">
        <v>21</v>
      </c>
      <c r="BL29" s="96">
        <v>12</v>
      </c>
      <c r="BM29" s="96">
        <v>4</v>
      </c>
      <c r="BN29" s="96"/>
      <c r="BO29" s="96"/>
      <c r="BP29" s="96"/>
      <c r="BQ29" s="96"/>
      <c r="BR29" s="96"/>
      <c r="BS29" s="96"/>
      <c r="BT29" s="96"/>
      <c r="BU29" s="96"/>
      <c r="BV29" s="96"/>
      <c r="BW29" s="96"/>
      <c r="BX29" s="96"/>
      <c r="BY29" s="96">
        <v>4</v>
      </c>
      <c r="BZ29" s="96"/>
      <c r="CA29" s="96"/>
      <c r="CB29" s="96"/>
      <c r="CC29" s="96"/>
      <c r="CD29" s="96"/>
      <c r="CE29" s="96"/>
      <c r="CF29" s="96"/>
      <c r="CG29" s="96"/>
      <c r="CH29" s="96"/>
      <c r="CI29" s="96"/>
      <c r="CJ29" s="96"/>
      <c r="CK29" s="96"/>
      <c r="CL29" s="815">
        <f t="shared" si="2"/>
        <v>4</v>
      </c>
      <c r="CM29" s="824">
        <f t="shared" si="1"/>
        <v>0</v>
      </c>
      <c r="CN29" s="504">
        <v>4.4189999999999996</v>
      </c>
      <c r="CO29" s="97" t="s">
        <v>9594</v>
      </c>
      <c r="CP29" s="97" t="s">
        <v>1924</v>
      </c>
      <c r="CQ29" s="97" t="s">
        <v>5965</v>
      </c>
      <c r="CR29" s="504">
        <v>21.164999999999999</v>
      </c>
      <c r="CS29" s="507" t="s">
        <v>5938</v>
      </c>
      <c r="CT29" s="97" t="s">
        <v>470</v>
      </c>
      <c r="CU29" s="97" t="s">
        <v>1924</v>
      </c>
      <c r="CV29" s="97" t="s">
        <v>1924</v>
      </c>
      <c r="CW29" s="97" t="s">
        <v>1924</v>
      </c>
      <c r="CX29" s="96">
        <v>0</v>
      </c>
      <c r="CY29" s="96">
        <v>0</v>
      </c>
      <c r="CZ29" s="96">
        <v>2</v>
      </c>
      <c r="DA29" s="97" t="s">
        <v>470</v>
      </c>
      <c r="DB29" s="97" t="s">
        <v>1924</v>
      </c>
      <c r="DC29" s="96">
        <v>0</v>
      </c>
      <c r="DD29" s="97" t="s">
        <v>470</v>
      </c>
      <c r="DE29" s="97" t="s">
        <v>1924</v>
      </c>
      <c r="DF29" s="96">
        <v>0</v>
      </c>
      <c r="DG29" s="96" t="s">
        <v>479</v>
      </c>
      <c r="DH29" s="96" t="s">
        <v>5578</v>
      </c>
      <c r="DI29" s="96">
        <v>140</v>
      </c>
      <c r="DJ29" s="97" t="s">
        <v>470</v>
      </c>
      <c r="DK29" s="97" t="s">
        <v>1924</v>
      </c>
      <c r="DL29" s="96">
        <v>0</v>
      </c>
      <c r="DM29" s="97" t="s">
        <v>470</v>
      </c>
      <c r="DN29" s="97" t="s">
        <v>1924</v>
      </c>
      <c r="DO29" s="96">
        <v>0</v>
      </c>
      <c r="DP29" s="97" t="s">
        <v>470</v>
      </c>
      <c r="DQ29" s="97" t="s">
        <v>1924</v>
      </c>
      <c r="DR29" s="96">
        <v>0</v>
      </c>
      <c r="DS29" s="97" t="s">
        <v>470</v>
      </c>
      <c r="DT29" s="97" t="s">
        <v>1924</v>
      </c>
      <c r="DU29" s="96">
        <v>0</v>
      </c>
      <c r="DV29" s="97" t="s">
        <v>470</v>
      </c>
      <c r="DW29" s="97" t="s">
        <v>1924</v>
      </c>
      <c r="DX29" s="96">
        <v>0</v>
      </c>
      <c r="DY29" s="97" t="s">
        <v>470</v>
      </c>
      <c r="DZ29" s="97" t="s">
        <v>1924</v>
      </c>
      <c r="EA29" s="96">
        <v>0</v>
      </c>
      <c r="EB29" s="97" t="s">
        <v>470</v>
      </c>
      <c r="EC29" s="97" t="s">
        <v>1924</v>
      </c>
      <c r="ED29" s="96">
        <v>0</v>
      </c>
      <c r="EE29" s="97" t="s">
        <v>470</v>
      </c>
      <c r="EF29" s="97" t="s">
        <v>1924</v>
      </c>
      <c r="EG29" s="96">
        <v>0</v>
      </c>
      <c r="EH29" s="97" t="s">
        <v>470</v>
      </c>
      <c r="EI29" s="97" t="s">
        <v>1924</v>
      </c>
      <c r="EJ29" s="96">
        <v>0</v>
      </c>
      <c r="EK29" s="97" t="s">
        <v>470</v>
      </c>
      <c r="EL29" s="97" t="s">
        <v>1924</v>
      </c>
      <c r="EM29" s="96">
        <v>0</v>
      </c>
      <c r="EN29" s="97" t="s">
        <v>479</v>
      </c>
      <c r="EO29" s="97" t="s">
        <v>5365</v>
      </c>
      <c r="EP29" s="96">
        <v>11</v>
      </c>
      <c r="EQ29" s="97" t="s">
        <v>470</v>
      </c>
      <c r="ER29" s="97" t="s">
        <v>1924</v>
      </c>
      <c r="ES29" s="96">
        <v>0</v>
      </c>
      <c r="ET29" s="97" t="s">
        <v>470</v>
      </c>
      <c r="EU29" s="97" t="s">
        <v>1924</v>
      </c>
      <c r="EV29" s="96">
        <v>0</v>
      </c>
      <c r="EW29" s="96"/>
      <c r="EX29" s="96"/>
      <c r="EY29" s="96"/>
      <c r="EZ29" s="97" t="s">
        <v>470</v>
      </c>
      <c r="FA29" s="97" t="s">
        <v>1924</v>
      </c>
      <c r="FB29" s="851" t="s">
        <v>5187</v>
      </c>
      <c r="FC29" s="851" t="s">
        <v>5026</v>
      </c>
      <c r="FD29" s="97" t="s">
        <v>470</v>
      </c>
      <c r="FE29" s="97" t="s">
        <v>4869</v>
      </c>
      <c r="FF29" s="97" t="s">
        <v>1924</v>
      </c>
      <c r="FG29" s="97" t="s">
        <v>4672</v>
      </c>
      <c r="FH29" s="97">
        <v>3</v>
      </c>
      <c r="FI29" s="97">
        <v>56</v>
      </c>
      <c r="FJ29" s="97" t="s">
        <v>4563</v>
      </c>
      <c r="FK29" s="97" t="s">
        <v>4324</v>
      </c>
      <c r="FL29" s="851" t="s">
        <v>4144</v>
      </c>
      <c r="FM29" s="97" t="s">
        <v>3925</v>
      </c>
      <c r="FN29" s="97" t="s">
        <v>1947</v>
      </c>
      <c r="FO29" s="851" t="s">
        <v>1916</v>
      </c>
    </row>
    <row r="30" spans="5:195" ht="104" customHeight="1" x14ac:dyDescent="0.2">
      <c r="E30" s="94" t="s">
        <v>9307</v>
      </c>
      <c r="F30" s="94" t="s">
        <v>9121</v>
      </c>
      <c r="G30" s="97" t="s">
        <v>305</v>
      </c>
      <c r="H30" s="97" t="s">
        <v>383</v>
      </c>
      <c r="I30" s="198" t="s">
        <v>9452</v>
      </c>
      <c r="J30" s="198" t="s">
        <v>9453</v>
      </c>
      <c r="K30" s="198" t="s">
        <v>9453</v>
      </c>
      <c r="L30" s="578">
        <v>2021</v>
      </c>
      <c r="M30" s="822" t="s">
        <v>9454</v>
      </c>
      <c r="N30" s="822" t="s">
        <v>472</v>
      </c>
      <c r="O30" s="822"/>
      <c r="P30" s="822"/>
      <c r="Q30" s="822"/>
      <c r="R30" s="822"/>
      <c r="S30" s="822"/>
      <c r="T30" s="822"/>
      <c r="U30" s="822"/>
      <c r="V30" s="822"/>
      <c r="W30" s="822"/>
      <c r="X30" s="822"/>
      <c r="Y30" s="822"/>
      <c r="Z30" s="198" t="s">
        <v>9455</v>
      </c>
      <c r="AA30" s="856" t="s">
        <v>9456</v>
      </c>
      <c r="AB30" s="198" t="s">
        <v>1924</v>
      </c>
      <c r="AC30" s="198" t="s">
        <v>1924</v>
      </c>
      <c r="AD30" s="198" t="s">
        <v>7495</v>
      </c>
      <c r="AE30" s="198" t="s">
        <v>7495</v>
      </c>
      <c r="AF30" s="198" t="s">
        <v>479</v>
      </c>
      <c r="AG30" s="856" t="s">
        <v>9457</v>
      </c>
      <c r="AH30" s="198" t="s">
        <v>9458</v>
      </c>
      <c r="AI30" s="198" t="s">
        <v>9458</v>
      </c>
      <c r="AJ30" s="198" t="s">
        <v>2328</v>
      </c>
      <c r="AK30" s="198" t="s">
        <v>9459</v>
      </c>
      <c r="AL30" s="580">
        <f>SUM(AQ30,AT30,AW30,AY30,BF30,BH30)</f>
        <v>19.814</v>
      </c>
      <c r="AM30" s="580">
        <v>19.814</v>
      </c>
      <c r="AN30" s="580"/>
      <c r="AO30" s="580"/>
      <c r="AP30" s="580"/>
      <c r="AQ30" s="580">
        <v>19.814</v>
      </c>
      <c r="AR30" s="137">
        <v>1</v>
      </c>
      <c r="AS30" s="137">
        <f>(19.814/3245.511)</f>
        <v>6.10504786457356E-3</v>
      </c>
      <c r="AT30" s="580">
        <v>0</v>
      </c>
      <c r="AU30" s="137">
        <v>0</v>
      </c>
      <c r="AV30" s="580">
        <v>0</v>
      </c>
      <c r="AW30" s="137">
        <v>0</v>
      </c>
      <c r="AX30" s="137">
        <v>0</v>
      </c>
      <c r="AY30" s="137">
        <v>0</v>
      </c>
      <c r="AZ30" s="137"/>
      <c r="BA30" s="137"/>
      <c r="BB30" s="137"/>
      <c r="BC30" s="137"/>
      <c r="BD30" s="137"/>
      <c r="BE30" s="137" t="s">
        <v>479</v>
      </c>
      <c r="BF30" s="137" t="s">
        <v>9460</v>
      </c>
      <c r="BG30" s="137" t="s">
        <v>1924</v>
      </c>
      <c r="BH30" s="823" t="s">
        <v>489</v>
      </c>
      <c r="BI30" s="580">
        <v>19.899999999999999</v>
      </c>
      <c r="BJ30" s="137">
        <f>19.9/3497.891</f>
        <v>5.6891424003778267E-3</v>
      </c>
      <c r="BK30" s="83">
        <v>154</v>
      </c>
      <c r="BL30" s="83">
        <v>154</v>
      </c>
      <c r="BM30" s="83">
        <v>154</v>
      </c>
      <c r="BN30" s="83"/>
      <c r="BO30" s="83"/>
      <c r="BP30" s="83"/>
      <c r="BQ30" s="83"/>
      <c r="BR30" s="83"/>
      <c r="BS30" s="83"/>
      <c r="BT30" s="83"/>
      <c r="BU30" s="83">
        <v>1</v>
      </c>
      <c r="BV30" s="83">
        <v>2</v>
      </c>
      <c r="BW30" s="83"/>
      <c r="BX30" s="83">
        <v>90</v>
      </c>
      <c r="BY30" s="83">
        <v>61</v>
      </c>
      <c r="BZ30" s="83"/>
      <c r="CA30" s="83"/>
      <c r="CB30" s="83"/>
      <c r="CC30" s="83"/>
      <c r="CD30" s="83"/>
      <c r="CE30" s="83"/>
      <c r="CF30" s="83"/>
      <c r="CG30" s="83"/>
      <c r="CH30" s="83"/>
      <c r="CI30" s="83"/>
      <c r="CJ30" s="83"/>
      <c r="CK30" s="83"/>
      <c r="CL30" s="857">
        <f>SUM(BN30:CK30)</f>
        <v>154</v>
      </c>
      <c r="CM30" s="824">
        <f t="shared" si="1"/>
        <v>0</v>
      </c>
      <c r="CN30" s="580">
        <v>62</v>
      </c>
      <c r="CO30" s="198" t="s">
        <v>9461</v>
      </c>
      <c r="CP30" s="198" t="s">
        <v>1924</v>
      </c>
      <c r="CQ30" s="586">
        <f>CN30/CR30*100</f>
        <v>32.348107374846741</v>
      </c>
      <c r="CR30" s="580">
        <v>191.66499999999999</v>
      </c>
      <c r="CS30" s="858" t="s">
        <v>9462</v>
      </c>
      <c r="CT30" s="198" t="s">
        <v>470</v>
      </c>
      <c r="CU30" s="198" t="s">
        <v>470</v>
      </c>
      <c r="CV30" s="198" t="s">
        <v>1924</v>
      </c>
      <c r="CW30" s="198" t="s">
        <v>1924</v>
      </c>
      <c r="CX30" s="83">
        <v>0</v>
      </c>
      <c r="CY30" s="83">
        <v>0</v>
      </c>
      <c r="CZ30" s="83">
        <v>2</v>
      </c>
      <c r="DA30" s="198" t="s">
        <v>470</v>
      </c>
      <c r="DB30" s="198" t="s">
        <v>1924</v>
      </c>
      <c r="DC30" s="83">
        <v>0</v>
      </c>
      <c r="DD30" s="198" t="s">
        <v>470</v>
      </c>
      <c r="DE30" s="198" t="s">
        <v>1924</v>
      </c>
      <c r="DF30" s="83">
        <v>0</v>
      </c>
      <c r="DG30" s="198" t="s">
        <v>479</v>
      </c>
      <c r="DH30" s="198" t="s">
        <v>9463</v>
      </c>
      <c r="DI30" s="83" t="s">
        <v>9464</v>
      </c>
      <c r="DJ30" s="198" t="s">
        <v>470</v>
      </c>
      <c r="DK30" s="198" t="s">
        <v>1924</v>
      </c>
      <c r="DL30" s="83">
        <v>0</v>
      </c>
      <c r="DM30" s="198" t="s">
        <v>470</v>
      </c>
      <c r="DN30" s="198" t="s">
        <v>1924</v>
      </c>
      <c r="DO30" s="83">
        <v>0</v>
      </c>
      <c r="DP30" s="198" t="s">
        <v>470</v>
      </c>
      <c r="DQ30" s="198" t="s">
        <v>1924</v>
      </c>
      <c r="DR30" s="83">
        <v>0</v>
      </c>
      <c r="DS30" s="198" t="s">
        <v>470</v>
      </c>
      <c r="DT30" s="198" t="s">
        <v>1924</v>
      </c>
      <c r="DU30" s="83">
        <v>0</v>
      </c>
      <c r="DV30" s="198" t="s">
        <v>470</v>
      </c>
      <c r="DW30" s="198" t="s">
        <v>1924</v>
      </c>
      <c r="DX30" s="83">
        <v>0</v>
      </c>
      <c r="DY30" s="198" t="s">
        <v>470</v>
      </c>
      <c r="DZ30" s="198" t="s">
        <v>1924</v>
      </c>
      <c r="EA30" s="83">
        <v>0</v>
      </c>
      <c r="EB30" s="198" t="s">
        <v>470</v>
      </c>
      <c r="EC30" s="198" t="s">
        <v>1924</v>
      </c>
      <c r="ED30" s="83">
        <v>0</v>
      </c>
      <c r="EE30" s="198" t="s">
        <v>470</v>
      </c>
      <c r="EF30" s="198" t="s">
        <v>1924</v>
      </c>
      <c r="EG30" s="83">
        <v>0</v>
      </c>
      <c r="EH30" s="198" t="s">
        <v>470</v>
      </c>
      <c r="EI30" s="198" t="s">
        <v>1924</v>
      </c>
      <c r="EJ30" s="83">
        <v>0</v>
      </c>
      <c r="EK30" s="198" t="s">
        <v>470</v>
      </c>
      <c r="EL30" s="198" t="s">
        <v>1924</v>
      </c>
      <c r="EM30" s="83">
        <v>0</v>
      </c>
      <c r="EN30" s="198" t="s">
        <v>470</v>
      </c>
      <c r="EO30" s="198" t="s">
        <v>1924</v>
      </c>
      <c r="EP30" s="83">
        <v>0</v>
      </c>
      <c r="EQ30" s="198" t="s">
        <v>479</v>
      </c>
      <c r="ER30" s="198" t="s">
        <v>640</v>
      </c>
      <c r="ES30" s="83">
        <v>9</v>
      </c>
      <c r="ET30" s="198" t="s">
        <v>470</v>
      </c>
      <c r="EU30" s="198" t="s">
        <v>1924</v>
      </c>
      <c r="EV30" s="83">
        <v>0</v>
      </c>
      <c r="EW30" s="83"/>
      <c r="EX30" s="83"/>
      <c r="EY30" s="83"/>
      <c r="EZ30" s="198" t="s">
        <v>470</v>
      </c>
      <c r="FA30" s="198" t="s">
        <v>470</v>
      </c>
      <c r="FB30" s="198" t="s">
        <v>9465</v>
      </c>
      <c r="FC30" s="856" t="s">
        <v>9466</v>
      </c>
      <c r="FD30" s="198" t="s">
        <v>470</v>
      </c>
      <c r="FE30" s="198" t="s">
        <v>9467</v>
      </c>
      <c r="FF30" s="198" t="s">
        <v>1924</v>
      </c>
      <c r="FG30" s="198" t="s">
        <v>9468</v>
      </c>
      <c r="FH30" s="198">
        <v>2</v>
      </c>
      <c r="FI30" s="198">
        <v>123</v>
      </c>
      <c r="FJ30" s="198" t="s">
        <v>9469</v>
      </c>
      <c r="FK30" s="198" t="s">
        <v>9470</v>
      </c>
      <c r="FL30" s="856" t="s">
        <v>9471</v>
      </c>
      <c r="FM30" s="198" t="s">
        <v>3925</v>
      </c>
      <c r="FN30" s="198" t="s">
        <v>1947</v>
      </c>
      <c r="FO30" s="856" t="s">
        <v>1916</v>
      </c>
      <c r="FP30" s="97"/>
      <c r="FQ30" s="96"/>
      <c r="FR30" s="97"/>
      <c r="FS30" s="97"/>
      <c r="FT30" s="96"/>
      <c r="FU30" s="96"/>
      <c r="FV30" s="96"/>
      <c r="FW30" s="96"/>
      <c r="FX30" s="97"/>
      <c r="FY30" s="97"/>
      <c r="FZ30" s="851"/>
      <c r="GA30" s="851"/>
      <c r="GB30" s="97"/>
      <c r="GC30" s="97"/>
      <c r="GD30" s="97"/>
      <c r="GE30" s="97"/>
      <c r="GF30" s="97"/>
      <c r="GG30" s="97"/>
      <c r="GH30" s="97"/>
      <c r="GI30" s="97"/>
      <c r="GJ30" s="851"/>
      <c r="GK30" s="97"/>
      <c r="GL30" s="97"/>
      <c r="GM30" s="851"/>
    </row>
    <row r="31" spans="5:195" ht="104" customHeight="1" x14ac:dyDescent="0.2">
      <c r="E31" s="94" t="s">
        <v>9305</v>
      </c>
      <c r="F31" s="94" t="s">
        <v>9121</v>
      </c>
      <c r="G31" s="97" t="s">
        <v>305</v>
      </c>
      <c r="H31" s="97" t="s">
        <v>383</v>
      </c>
      <c r="I31" s="97" t="s">
        <v>8868</v>
      </c>
      <c r="J31" s="97" t="s">
        <v>8444</v>
      </c>
      <c r="K31" s="97" t="s">
        <v>8444</v>
      </c>
      <c r="L31" s="502" t="s">
        <v>8337</v>
      </c>
      <c r="M31" s="841">
        <v>44593</v>
      </c>
      <c r="N31" s="841">
        <v>44896</v>
      </c>
      <c r="O31" s="841"/>
      <c r="P31" s="841"/>
      <c r="Q31" s="841"/>
      <c r="R31" s="841"/>
      <c r="S31" s="841"/>
      <c r="T31" s="841"/>
      <c r="U31" s="841"/>
      <c r="V31" s="841"/>
      <c r="W31" s="841"/>
      <c r="X31" s="841"/>
      <c r="Y31" s="841"/>
      <c r="Z31" s="97" t="s">
        <v>8188</v>
      </c>
      <c r="AA31" s="97" t="s">
        <v>8008</v>
      </c>
      <c r="AB31" s="97" t="s">
        <v>470</v>
      </c>
      <c r="AC31" s="97" t="s">
        <v>1924</v>
      </c>
      <c r="AD31" s="97" t="s">
        <v>7356</v>
      </c>
      <c r="AE31" s="97" t="s">
        <v>7356</v>
      </c>
      <c r="AF31" s="97" t="s">
        <v>7181</v>
      </c>
      <c r="AG31" s="97" t="s">
        <v>7107</v>
      </c>
      <c r="AH31" s="97" t="s">
        <v>6905</v>
      </c>
      <c r="AI31" s="97" t="s">
        <v>6905</v>
      </c>
      <c r="AJ31" s="97" t="s">
        <v>633</v>
      </c>
      <c r="AK31" s="97" t="s">
        <v>6612</v>
      </c>
      <c r="AL31" s="580">
        <f t="shared" si="0"/>
        <v>1.6579999999999999</v>
      </c>
      <c r="AM31" s="504">
        <v>1.6579999999999999</v>
      </c>
      <c r="AN31" s="516"/>
      <c r="AO31" s="97"/>
      <c r="AP31" s="97"/>
      <c r="AQ31" s="504">
        <f>0.05+0.2+1+0.202+0.035+0.171</f>
        <v>1.6579999999999999</v>
      </c>
      <c r="AR31" s="507">
        <v>1</v>
      </c>
      <c r="AS31" s="507">
        <f>1.658/789.8</f>
        <v>2.0992656368700939E-3</v>
      </c>
      <c r="AT31" s="516">
        <v>0</v>
      </c>
      <c r="AU31" s="507">
        <v>0</v>
      </c>
      <c r="AV31" s="516">
        <v>0</v>
      </c>
      <c r="AW31" s="507">
        <v>0</v>
      </c>
      <c r="AX31" s="516"/>
      <c r="AY31" s="507">
        <v>0</v>
      </c>
      <c r="AZ31" s="516"/>
      <c r="BA31" s="507"/>
      <c r="BB31" s="507"/>
      <c r="BC31" s="507"/>
      <c r="BD31" s="507"/>
      <c r="BE31" s="507" t="s">
        <v>470</v>
      </c>
      <c r="BF31" s="507" t="s">
        <v>1924</v>
      </c>
      <c r="BG31" s="507" t="s">
        <v>1924</v>
      </c>
      <c r="BH31" s="852">
        <v>0</v>
      </c>
      <c r="BI31" s="504">
        <v>1.7350000000000001</v>
      </c>
      <c r="BJ31" s="507">
        <f>1.735/792.75</f>
        <v>2.1885840428886786E-3</v>
      </c>
      <c r="BK31" s="96">
        <v>6</v>
      </c>
      <c r="BL31" s="96">
        <v>6</v>
      </c>
      <c r="BM31" s="96">
        <v>6</v>
      </c>
      <c r="BN31" s="96">
        <v>1</v>
      </c>
      <c r="BO31" s="96"/>
      <c r="BP31" s="96"/>
      <c r="BQ31" s="96"/>
      <c r="BR31" s="96"/>
      <c r="BS31" s="96">
        <v>1</v>
      </c>
      <c r="BT31" s="96"/>
      <c r="BU31" s="96"/>
      <c r="BV31" s="96"/>
      <c r="BW31" s="96"/>
      <c r="BX31" s="96">
        <v>1</v>
      </c>
      <c r="BY31" s="96">
        <v>2</v>
      </c>
      <c r="BZ31" s="96"/>
      <c r="CA31" s="96"/>
      <c r="CB31" s="96"/>
      <c r="CC31" s="96"/>
      <c r="CD31" s="96"/>
      <c r="CE31" s="96">
        <v>1</v>
      </c>
      <c r="CF31" s="96"/>
      <c r="CG31" s="96"/>
      <c r="CH31" s="96"/>
      <c r="CI31" s="96"/>
      <c r="CJ31" s="96"/>
      <c r="CK31" s="96"/>
      <c r="CL31" s="815">
        <f t="shared" si="2"/>
        <v>6</v>
      </c>
      <c r="CM31" s="824">
        <f t="shared" si="1"/>
        <v>0</v>
      </c>
      <c r="CN31" s="504">
        <f>0.988+0.599+0.736+1.16+0.317+0.593</f>
        <v>4.3929999999999998</v>
      </c>
      <c r="CO31" s="97" t="s">
        <v>6177</v>
      </c>
      <c r="CP31" s="97"/>
      <c r="CQ31" s="516">
        <f>4.393/29.092*100</f>
        <v>15.100371236078647</v>
      </c>
      <c r="CR31" s="504">
        <v>29.091999999999999</v>
      </c>
      <c r="CS31" s="851" t="s">
        <v>5936</v>
      </c>
      <c r="CT31" s="97" t="s">
        <v>470</v>
      </c>
      <c r="CU31" s="97" t="s">
        <v>1924</v>
      </c>
      <c r="CV31" s="97" t="s">
        <v>1924</v>
      </c>
      <c r="CW31" s="97" t="s">
        <v>1924</v>
      </c>
      <c r="CX31" s="96">
        <v>0</v>
      </c>
      <c r="CY31" s="96">
        <v>0</v>
      </c>
      <c r="CZ31" s="96">
        <v>1</v>
      </c>
      <c r="DA31" s="97" t="s">
        <v>479</v>
      </c>
      <c r="DB31" s="97" t="s">
        <v>5698</v>
      </c>
      <c r="DC31" s="96">
        <v>80</v>
      </c>
      <c r="DD31" s="97" t="s">
        <v>470</v>
      </c>
      <c r="DE31" s="97" t="s">
        <v>1924</v>
      </c>
      <c r="DF31" s="97">
        <v>0</v>
      </c>
      <c r="DG31" s="96" t="s">
        <v>479</v>
      </c>
      <c r="DH31" s="96" t="s">
        <v>5577</v>
      </c>
      <c r="DI31" s="96">
        <v>482</v>
      </c>
      <c r="DJ31" s="97" t="s">
        <v>470</v>
      </c>
      <c r="DK31" s="97" t="s">
        <v>1924</v>
      </c>
      <c r="DL31" s="97">
        <v>0</v>
      </c>
      <c r="DM31" s="97" t="s">
        <v>470</v>
      </c>
      <c r="DN31" s="97" t="s">
        <v>1924</v>
      </c>
      <c r="DO31" s="97">
        <v>0</v>
      </c>
      <c r="DP31" s="97" t="s">
        <v>470</v>
      </c>
      <c r="DQ31" s="97" t="s">
        <v>1924</v>
      </c>
      <c r="DR31" s="97">
        <v>0</v>
      </c>
      <c r="DS31" s="97" t="s">
        <v>470</v>
      </c>
      <c r="DT31" s="97" t="s">
        <v>1924</v>
      </c>
      <c r="DU31" s="97">
        <v>0</v>
      </c>
      <c r="DV31" s="97" t="s">
        <v>470</v>
      </c>
      <c r="DW31" s="97" t="s">
        <v>1924</v>
      </c>
      <c r="DX31" s="97">
        <v>0</v>
      </c>
      <c r="DY31" s="97" t="s">
        <v>470</v>
      </c>
      <c r="DZ31" s="97" t="s">
        <v>1924</v>
      </c>
      <c r="EA31" s="97">
        <v>0</v>
      </c>
      <c r="EB31" s="97" t="s">
        <v>479</v>
      </c>
      <c r="EC31" s="97" t="s">
        <v>640</v>
      </c>
      <c r="ED31" s="96">
        <v>313</v>
      </c>
      <c r="EE31" s="96" t="s">
        <v>479</v>
      </c>
      <c r="EF31" s="96" t="s">
        <v>640</v>
      </c>
      <c r="EG31" s="96">
        <v>167</v>
      </c>
      <c r="EH31" s="97" t="s">
        <v>470</v>
      </c>
      <c r="EI31" s="97" t="s">
        <v>1924</v>
      </c>
      <c r="EJ31" s="97">
        <v>0</v>
      </c>
      <c r="EK31" s="97" t="s">
        <v>470</v>
      </c>
      <c r="EL31" s="97" t="s">
        <v>1924</v>
      </c>
      <c r="EM31" s="97">
        <v>0</v>
      </c>
      <c r="EN31" s="97" t="s">
        <v>479</v>
      </c>
      <c r="EO31" s="97" t="s">
        <v>640</v>
      </c>
      <c r="EP31" s="96">
        <v>14</v>
      </c>
      <c r="EQ31" s="97" t="s">
        <v>470</v>
      </c>
      <c r="ER31" s="97" t="s">
        <v>1924</v>
      </c>
      <c r="ES31" s="97">
        <v>0</v>
      </c>
      <c r="ET31" s="97" t="s">
        <v>470</v>
      </c>
      <c r="EU31" s="97" t="s">
        <v>1924</v>
      </c>
      <c r="EV31" s="97">
        <v>0</v>
      </c>
      <c r="EW31" s="97"/>
      <c r="EX31" s="97"/>
      <c r="EY31" s="97"/>
      <c r="EZ31" s="97" t="s">
        <v>470</v>
      </c>
      <c r="FA31" s="97" t="s">
        <v>1924</v>
      </c>
      <c r="FB31" s="851" t="s">
        <v>5186</v>
      </c>
      <c r="FC31" s="97" t="s">
        <v>5025</v>
      </c>
      <c r="FD31" s="97" t="s">
        <v>1924</v>
      </c>
      <c r="FE31" s="97" t="s">
        <v>4868</v>
      </c>
      <c r="FF31" s="97" t="s">
        <v>1924</v>
      </c>
      <c r="FG31" s="97" t="s">
        <v>4671</v>
      </c>
      <c r="FH31" s="97">
        <v>1</v>
      </c>
      <c r="FI31" s="97">
        <v>94</v>
      </c>
      <c r="FJ31" s="97" t="s">
        <v>4562</v>
      </c>
      <c r="FK31" s="97" t="s">
        <v>4323</v>
      </c>
      <c r="FL31" s="851" t="s">
        <v>4143</v>
      </c>
      <c r="FM31" s="97" t="s">
        <v>3925</v>
      </c>
      <c r="FN31" s="97" t="s">
        <v>1947</v>
      </c>
      <c r="FO31" s="851" t="s">
        <v>1916</v>
      </c>
    </row>
    <row r="32" spans="5:195" ht="104" customHeight="1" x14ac:dyDescent="0.2">
      <c r="E32" s="94" t="s">
        <v>9307</v>
      </c>
      <c r="F32" s="94" t="s">
        <v>9121</v>
      </c>
      <c r="G32" s="97" t="s">
        <v>305</v>
      </c>
      <c r="H32" s="97" t="s">
        <v>383</v>
      </c>
      <c r="I32" s="97" t="s">
        <v>8868</v>
      </c>
      <c r="J32" s="97" t="s">
        <v>8609</v>
      </c>
      <c r="K32" s="97" t="s">
        <v>8443</v>
      </c>
      <c r="L32" s="502" t="s">
        <v>8337</v>
      </c>
      <c r="M32" s="841">
        <v>44593</v>
      </c>
      <c r="N32" s="841" t="s">
        <v>8240</v>
      </c>
      <c r="O32" s="841"/>
      <c r="P32" s="841"/>
      <c r="Q32" s="841"/>
      <c r="R32" s="841"/>
      <c r="S32" s="841"/>
      <c r="T32" s="841"/>
      <c r="U32" s="841"/>
      <c r="V32" s="841"/>
      <c r="W32" s="841"/>
      <c r="X32" s="841"/>
      <c r="Y32" s="841"/>
      <c r="Z32" s="97" t="s">
        <v>8187</v>
      </c>
      <c r="AA32" s="849" t="s">
        <v>8007</v>
      </c>
      <c r="AB32" s="97" t="s">
        <v>470</v>
      </c>
      <c r="AC32" s="97" t="s">
        <v>1924</v>
      </c>
      <c r="AD32" s="97" t="s">
        <v>7571</v>
      </c>
      <c r="AE32" s="849" t="s">
        <v>7355</v>
      </c>
      <c r="AF32" s="97" t="s">
        <v>7181</v>
      </c>
      <c r="AG32" s="97" t="s">
        <v>7107</v>
      </c>
      <c r="AH32" s="97" t="s">
        <v>6905</v>
      </c>
      <c r="AI32" s="97" t="s">
        <v>6905</v>
      </c>
      <c r="AJ32" s="97" t="s">
        <v>633</v>
      </c>
      <c r="AK32" s="97" t="s">
        <v>6611</v>
      </c>
      <c r="AL32" s="580">
        <f t="shared" si="0"/>
        <v>0.4975</v>
      </c>
      <c r="AM32" s="504">
        <v>0.4975</v>
      </c>
      <c r="AN32" s="516"/>
      <c r="AO32" s="97"/>
      <c r="AP32" s="97"/>
      <c r="AQ32" s="504">
        <v>0.4975</v>
      </c>
      <c r="AR32" s="507">
        <f>0.498/0.498*100%</f>
        <v>1</v>
      </c>
      <c r="AS32" s="507">
        <f>0.498/789.802</f>
        <v>6.3053778035507626E-4</v>
      </c>
      <c r="AT32" s="516">
        <v>0</v>
      </c>
      <c r="AU32" s="507">
        <v>0</v>
      </c>
      <c r="AV32" s="516">
        <v>0</v>
      </c>
      <c r="AW32" s="507">
        <v>0</v>
      </c>
      <c r="AX32" s="516"/>
      <c r="AY32" s="507">
        <v>0</v>
      </c>
      <c r="AZ32" s="516"/>
      <c r="BA32" s="507"/>
      <c r="BB32" s="507"/>
      <c r="BC32" s="507"/>
      <c r="BD32" s="507"/>
      <c r="BE32" s="507" t="s">
        <v>470</v>
      </c>
      <c r="BF32" s="507" t="s">
        <v>1924</v>
      </c>
      <c r="BG32" s="507" t="s">
        <v>1924</v>
      </c>
      <c r="BH32" s="852">
        <v>0</v>
      </c>
      <c r="BI32" s="504">
        <v>0.50900000000000001</v>
      </c>
      <c r="BJ32" s="507">
        <f>0.509/792.751</f>
        <v>6.4206793810414619E-4</v>
      </c>
      <c r="BK32" s="96">
        <v>24</v>
      </c>
      <c r="BL32" s="96">
        <v>24</v>
      </c>
      <c r="BM32" s="96">
        <v>5</v>
      </c>
      <c r="BN32" s="96"/>
      <c r="BO32" s="96"/>
      <c r="BP32" s="96"/>
      <c r="BQ32" s="96"/>
      <c r="BR32" s="96"/>
      <c r="BS32" s="96"/>
      <c r="BT32" s="96"/>
      <c r="BU32" s="96"/>
      <c r="BV32" s="96"/>
      <c r="BW32" s="96"/>
      <c r="BX32" s="96"/>
      <c r="BY32" s="96">
        <v>5</v>
      </c>
      <c r="BZ32" s="96"/>
      <c r="CA32" s="96"/>
      <c r="CB32" s="96"/>
      <c r="CC32" s="96"/>
      <c r="CD32" s="96"/>
      <c r="CE32" s="96"/>
      <c r="CF32" s="96"/>
      <c r="CG32" s="96"/>
      <c r="CH32" s="96"/>
      <c r="CI32" s="96"/>
      <c r="CJ32" s="96"/>
      <c r="CK32" s="96"/>
      <c r="CL32" s="815">
        <f t="shared" si="2"/>
        <v>5</v>
      </c>
      <c r="CM32" s="824">
        <f t="shared" si="1"/>
        <v>0</v>
      </c>
      <c r="CN32" s="504">
        <v>0.81100000000000005</v>
      </c>
      <c r="CO32" s="97" t="s">
        <v>6178</v>
      </c>
      <c r="CP32" s="97" t="s">
        <v>1924</v>
      </c>
      <c r="CQ32" s="516">
        <f>0.811/29.092*100</f>
        <v>2.7877079609514648</v>
      </c>
      <c r="CR32" s="504">
        <v>29.091999999999999</v>
      </c>
      <c r="CS32" s="849" t="s">
        <v>5936</v>
      </c>
      <c r="CT32" s="97" t="s">
        <v>470</v>
      </c>
      <c r="CU32" s="97" t="s">
        <v>1924</v>
      </c>
      <c r="CV32" s="97" t="s">
        <v>1924</v>
      </c>
      <c r="CW32" s="97" t="s">
        <v>1924</v>
      </c>
      <c r="CX32" s="96">
        <v>0</v>
      </c>
      <c r="CY32" s="96">
        <v>0</v>
      </c>
      <c r="CZ32" s="96">
        <v>3</v>
      </c>
      <c r="DA32" s="97" t="s">
        <v>470</v>
      </c>
      <c r="DB32" s="97" t="s">
        <v>1924</v>
      </c>
      <c r="DC32" s="96">
        <v>0</v>
      </c>
      <c r="DD32" s="97" t="s">
        <v>470</v>
      </c>
      <c r="DE32" s="97" t="s">
        <v>1924</v>
      </c>
      <c r="DF32" s="96">
        <v>0</v>
      </c>
      <c r="DG32" s="96" t="s">
        <v>479</v>
      </c>
      <c r="DH32" s="96" t="s">
        <v>1365</v>
      </c>
      <c r="DI32" s="96">
        <v>203</v>
      </c>
      <c r="DJ32" s="97" t="s">
        <v>470</v>
      </c>
      <c r="DK32" s="97" t="s">
        <v>1924</v>
      </c>
      <c r="DL32" s="96">
        <v>0</v>
      </c>
      <c r="DM32" s="97" t="s">
        <v>470</v>
      </c>
      <c r="DN32" s="97" t="s">
        <v>1924</v>
      </c>
      <c r="DO32" s="96">
        <v>0</v>
      </c>
      <c r="DP32" s="97" t="s">
        <v>470</v>
      </c>
      <c r="DQ32" s="97" t="s">
        <v>1924</v>
      </c>
      <c r="DR32" s="96">
        <v>0</v>
      </c>
      <c r="DS32" s="97" t="s">
        <v>470</v>
      </c>
      <c r="DT32" s="97" t="s">
        <v>1924</v>
      </c>
      <c r="DU32" s="96">
        <v>0</v>
      </c>
      <c r="DV32" s="97" t="s">
        <v>470</v>
      </c>
      <c r="DW32" s="97" t="s">
        <v>1924</v>
      </c>
      <c r="DX32" s="96">
        <v>0</v>
      </c>
      <c r="DY32" s="97" t="s">
        <v>470</v>
      </c>
      <c r="DZ32" s="97" t="s">
        <v>1924</v>
      </c>
      <c r="EA32" s="96">
        <v>0</v>
      </c>
      <c r="EB32" s="97" t="s">
        <v>470</v>
      </c>
      <c r="EC32" s="97" t="s">
        <v>1924</v>
      </c>
      <c r="ED32" s="96">
        <v>0</v>
      </c>
      <c r="EE32" s="97" t="s">
        <v>470</v>
      </c>
      <c r="EF32" s="97" t="s">
        <v>1924</v>
      </c>
      <c r="EG32" s="96">
        <v>0</v>
      </c>
      <c r="EH32" s="97" t="s">
        <v>470</v>
      </c>
      <c r="EI32" s="97" t="s">
        <v>1924</v>
      </c>
      <c r="EJ32" s="96">
        <v>0</v>
      </c>
      <c r="EK32" s="97" t="s">
        <v>470</v>
      </c>
      <c r="EL32" s="97" t="s">
        <v>1924</v>
      </c>
      <c r="EM32" s="96">
        <v>0</v>
      </c>
      <c r="EN32" s="97" t="s">
        <v>479</v>
      </c>
      <c r="EO32" s="97" t="s">
        <v>640</v>
      </c>
      <c r="EP32" s="96">
        <v>8</v>
      </c>
      <c r="EQ32" s="97" t="s">
        <v>470</v>
      </c>
      <c r="ER32" s="97" t="s">
        <v>1924</v>
      </c>
      <c r="ES32" s="96">
        <v>0</v>
      </c>
      <c r="ET32" s="97" t="s">
        <v>470</v>
      </c>
      <c r="EU32" s="97" t="s">
        <v>1924</v>
      </c>
      <c r="EV32" s="96">
        <v>0</v>
      </c>
      <c r="EW32" s="96"/>
      <c r="EX32" s="96"/>
      <c r="EY32" s="96"/>
      <c r="EZ32" s="97" t="s">
        <v>470</v>
      </c>
      <c r="FA32" s="97" t="s">
        <v>1924</v>
      </c>
      <c r="FB32" s="849" t="s">
        <v>5186</v>
      </c>
      <c r="FC32" s="849" t="s">
        <v>5024</v>
      </c>
      <c r="FD32" s="97" t="s">
        <v>1924</v>
      </c>
      <c r="FE32" s="97" t="s">
        <v>4868</v>
      </c>
      <c r="FF32" s="97" t="s">
        <v>1924</v>
      </c>
      <c r="FG32" s="97" t="s">
        <v>4670</v>
      </c>
      <c r="FH32" s="97">
        <v>2</v>
      </c>
      <c r="FI32" s="97">
        <v>48</v>
      </c>
      <c r="FJ32" s="97" t="s">
        <v>4561</v>
      </c>
      <c r="FK32" s="97" t="s">
        <v>4322</v>
      </c>
      <c r="FL32" s="849" t="s">
        <v>4142</v>
      </c>
      <c r="FM32" s="97" t="s">
        <v>3925</v>
      </c>
      <c r="FN32" s="97" t="s">
        <v>1947</v>
      </c>
      <c r="FO32" s="849" t="s">
        <v>1916</v>
      </c>
    </row>
    <row r="33" spans="5:171" ht="104" customHeight="1" x14ac:dyDescent="0.2">
      <c r="E33" s="94" t="s">
        <v>9306</v>
      </c>
      <c r="F33" s="94" t="s">
        <v>9121</v>
      </c>
      <c r="G33" s="97" t="s">
        <v>305</v>
      </c>
      <c r="H33" s="97" t="s">
        <v>383</v>
      </c>
      <c r="I33" s="97" t="s">
        <v>8868</v>
      </c>
      <c r="J33" s="97" t="s">
        <v>8608</v>
      </c>
      <c r="K33" s="97" t="s">
        <v>8442</v>
      </c>
      <c r="L33" s="502" t="s">
        <v>8337</v>
      </c>
      <c r="M33" s="841" t="s">
        <v>8332</v>
      </c>
      <c r="N33" s="841">
        <v>44866</v>
      </c>
      <c r="O33" s="841"/>
      <c r="P33" s="841"/>
      <c r="Q33" s="841"/>
      <c r="R33" s="841"/>
      <c r="S33" s="841"/>
      <c r="T33" s="841"/>
      <c r="U33" s="841"/>
      <c r="V33" s="841"/>
      <c r="W33" s="841"/>
      <c r="X33" s="841"/>
      <c r="Y33" s="841"/>
      <c r="Z33" s="97" t="s">
        <v>8186</v>
      </c>
      <c r="AA33" s="849" t="s">
        <v>8006</v>
      </c>
      <c r="AB33" s="97" t="s">
        <v>470</v>
      </c>
      <c r="AC33" s="97" t="s">
        <v>470</v>
      </c>
      <c r="AD33" s="97" t="s">
        <v>7571</v>
      </c>
      <c r="AE33" s="849" t="s">
        <v>7355</v>
      </c>
      <c r="AF33" s="97" t="s">
        <v>7181</v>
      </c>
      <c r="AG33" s="97" t="s">
        <v>7107</v>
      </c>
      <c r="AH33" s="97" t="s">
        <v>6905</v>
      </c>
      <c r="AI33" s="97" t="s">
        <v>6905</v>
      </c>
      <c r="AJ33" s="97" t="s">
        <v>633</v>
      </c>
      <c r="AK33" s="97" t="s">
        <v>6610</v>
      </c>
      <c r="AL33" s="580">
        <f t="shared" si="0"/>
        <v>0.32400000000000001</v>
      </c>
      <c r="AM33" s="504">
        <v>0.32400000000000001</v>
      </c>
      <c r="AN33" s="516"/>
      <c r="AO33" s="97"/>
      <c r="AP33" s="97"/>
      <c r="AQ33" s="504">
        <v>0.32400000000000001</v>
      </c>
      <c r="AR33" s="507">
        <f>0.324/0.324*100%</f>
        <v>1</v>
      </c>
      <c r="AS33" s="507">
        <f>0.324/789.802</f>
        <v>4.1022939926715809E-4</v>
      </c>
      <c r="AT33" s="516">
        <v>0</v>
      </c>
      <c r="AU33" s="507">
        <v>0</v>
      </c>
      <c r="AV33" s="516">
        <v>0</v>
      </c>
      <c r="AW33" s="507">
        <v>0</v>
      </c>
      <c r="AX33" s="516"/>
      <c r="AY33" s="507">
        <v>0</v>
      </c>
      <c r="AZ33" s="516"/>
      <c r="BA33" s="507"/>
      <c r="BB33" s="507"/>
      <c r="BC33" s="507"/>
      <c r="BD33" s="507"/>
      <c r="BE33" s="507" t="s">
        <v>470</v>
      </c>
      <c r="BF33" s="507" t="s">
        <v>1924</v>
      </c>
      <c r="BG33" s="507" t="s">
        <v>1924</v>
      </c>
      <c r="BH33" s="852">
        <v>0</v>
      </c>
      <c r="BI33" s="504">
        <v>0.35</v>
      </c>
      <c r="BJ33" s="507">
        <f>0.35/792.75</f>
        <v>4.4150110375275933E-4</v>
      </c>
      <c r="BK33" s="96">
        <v>12</v>
      </c>
      <c r="BL33" s="96">
        <v>12</v>
      </c>
      <c r="BM33" s="96">
        <v>6</v>
      </c>
      <c r="BN33" s="96"/>
      <c r="BO33" s="96"/>
      <c r="BP33" s="96"/>
      <c r="BQ33" s="96"/>
      <c r="BR33" s="96"/>
      <c r="BS33" s="96"/>
      <c r="BT33" s="96"/>
      <c r="BU33" s="96"/>
      <c r="BV33" s="96"/>
      <c r="BW33" s="96"/>
      <c r="BX33" s="96"/>
      <c r="BY33" s="96">
        <v>6</v>
      </c>
      <c r="BZ33" s="96"/>
      <c r="CA33" s="96"/>
      <c r="CB33" s="96"/>
      <c r="CC33" s="96"/>
      <c r="CD33" s="96"/>
      <c r="CE33" s="96"/>
      <c r="CF33" s="96"/>
      <c r="CG33" s="96"/>
      <c r="CH33" s="96"/>
      <c r="CI33" s="96"/>
      <c r="CJ33" s="96"/>
      <c r="CK33" s="96"/>
      <c r="CL33" s="815">
        <f t="shared" si="2"/>
        <v>6</v>
      </c>
      <c r="CM33" s="824">
        <f t="shared" si="1"/>
        <v>0</v>
      </c>
      <c r="CN33" s="504">
        <v>4.1500000000000004</v>
      </c>
      <c r="CO33" s="97" t="s">
        <v>6177</v>
      </c>
      <c r="CP33" s="97" t="s">
        <v>1924</v>
      </c>
      <c r="CQ33" s="516">
        <f>4.15/29.092*100</f>
        <v>14.265090059122784</v>
      </c>
      <c r="CR33" s="504">
        <v>29.091999999999999</v>
      </c>
      <c r="CS33" s="849" t="s">
        <v>5936</v>
      </c>
      <c r="CT33" s="97" t="s">
        <v>470</v>
      </c>
      <c r="CU33" s="97" t="s">
        <v>1924</v>
      </c>
      <c r="CV33" s="97" t="s">
        <v>1924</v>
      </c>
      <c r="CW33" s="97" t="s">
        <v>1924</v>
      </c>
      <c r="CX33" s="96">
        <v>0</v>
      </c>
      <c r="CY33" s="96">
        <v>0</v>
      </c>
      <c r="CZ33" s="96">
        <v>3</v>
      </c>
      <c r="DA33" s="97" t="s">
        <v>470</v>
      </c>
      <c r="DB33" s="97" t="s">
        <v>1924</v>
      </c>
      <c r="DC33" s="96">
        <v>0</v>
      </c>
      <c r="DD33" s="97" t="s">
        <v>470</v>
      </c>
      <c r="DE33" s="97" t="s">
        <v>1924</v>
      </c>
      <c r="DF33" s="96">
        <v>0</v>
      </c>
      <c r="DG33" s="97" t="s">
        <v>470</v>
      </c>
      <c r="DH33" s="97" t="s">
        <v>1924</v>
      </c>
      <c r="DI33" s="96">
        <v>0</v>
      </c>
      <c r="DJ33" s="96" t="s">
        <v>479</v>
      </c>
      <c r="DK33" s="96" t="s">
        <v>5552</v>
      </c>
      <c r="DL33" s="96">
        <v>60</v>
      </c>
      <c r="DM33" s="97" t="s">
        <v>470</v>
      </c>
      <c r="DN33" s="97" t="s">
        <v>1924</v>
      </c>
      <c r="DO33" s="96">
        <v>0</v>
      </c>
      <c r="DP33" s="97" t="s">
        <v>470</v>
      </c>
      <c r="DQ33" s="97" t="s">
        <v>1924</v>
      </c>
      <c r="DR33" s="96">
        <v>0</v>
      </c>
      <c r="DS33" s="97" t="s">
        <v>470</v>
      </c>
      <c r="DT33" s="97" t="s">
        <v>1924</v>
      </c>
      <c r="DU33" s="96">
        <v>0</v>
      </c>
      <c r="DV33" s="97" t="s">
        <v>470</v>
      </c>
      <c r="DW33" s="97" t="s">
        <v>1924</v>
      </c>
      <c r="DX33" s="96">
        <v>0</v>
      </c>
      <c r="DY33" s="97" t="s">
        <v>470</v>
      </c>
      <c r="DZ33" s="97" t="s">
        <v>1924</v>
      </c>
      <c r="EA33" s="96">
        <v>0</v>
      </c>
      <c r="EB33" s="97" t="s">
        <v>470</v>
      </c>
      <c r="EC33" s="97" t="s">
        <v>1924</v>
      </c>
      <c r="ED33" s="96">
        <v>0</v>
      </c>
      <c r="EE33" s="97" t="s">
        <v>470</v>
      </c>
      <c r="EF33" s="97" t="s">
        <v>1924</v>
      </c>
      <c r="EG33" s="96">
        <v>0</v>
      </c>
      <c r="EH33" s="97" t="s">
        <v>470</v>
      </c>
      <c r="EI33" s="97" t="s">
        <v>1924</v>
      </c>
      <c r="EJ33" s="96">
        <v>0</v>
      </c>
      <c r="EK33" s="97" t="s">
        <v>470</v>
      </c>
      <c r="EL33" s="97" t="s">
        <v>1924</v>
      </c>
      <c r="EM33" s="96">
        <v>0</v>
      </c>
      <c r="EN33" s="97" t="s">
        <v>479</v>
      </c>
      <c r="EO33" s="97" t="s">
        <v>640</v>
      </c>
      <c r="EP33" s="96">
        <v>8</v>
      </c>
      <c r="EQ33" s="97" t="s">
        <v>470</v>
      </c>
      <c r="ER33" s="97" t="s">
        <v>1924</v>
      </c>
      <c r="ES33" s="96">
        <v>0</v>
      </c>
      <c r="ET33" s="97" t="s">
        <v>470</v>
      </c>
      <c r="EU33" s="97" t="s">
        <v>1924</v>
      </c>
      <c r="EV33" s="96">
        <v>0</v>
      </c>
      <c r="EW33" s="96"/>
      <c r="EX33" s="96"/>
      <c r="EY33" s="96"/>
      <c r="EZ33" s="97" t="s">
        <v>470</v>
      </c>
      <c r="FA33" s="97" t="s">
        <v>1924</v>
      </c>
      <c r="FB33" s="849" t="s">
        <v>5186</v>
      </c>
      <c r="FC33" s="849" t="s">
        <v>5023</v>
      </c>
      <c r="FD33" s="97" t="s">
        <v>1924</v>
      </c>
      <c r="FE33" s="97" t="s">
        <v>4868</v>
      </c>
      <c r="FF33" s="97" t="s">
        <v>1924</v>
      </c>
      <c r="FG33" s="97" t="s">
        <v>4669</v>
      </c>
      <c r="FH33" s="97">
        <v>2</v>
      </c>
      <c r="FI33" s="97">
        <v>12</v>
      </c>
      <c r="FJ33" s="97" t="s">
        <v>4561</v>
      </c>
      <c r="FK33" s="97" t="s">
        <v>4322</v>
      </c>
      <c r="FL33" s="849" t="s">
        <v>4142</v>
      </c>
      <c r="FM33" s="97" t="s">
        <v>3925</v>
      </c>
      <c r="FN33" s="97" t="s">
        <v>1947</v>
      </c>
      <c r="FO33" s="849" t="s">
        <v>1916</v>
      </c>
    </row>
    <row r="34" spans="5:171" ht="104" customHeight="1" x14ac:dyDescent="0.2">
      <c r="E34" s="94" t="s">
        <v>9307</v>
      </c>
      <c r="F34" s="94" t="s">
        <v>9121</v>
      </c>
      <c r="G34" s="97" t="s">
        <v>305</v>
      </c>
      <c r="H34" s="97" t="s">
        <v>383</v>
      </c>
      <c r="I34" s="97" t="s">
        <v>8867</v>
      </c>
      <c r="J34" s="97" t="s">
        <v>8607</v>
      </c>
      <c r="K34" s="97" t="s">
        <v>8441</v>
      </c>
      <c r="L34" s="502">
        <v>2022</v>
      </c>
      <c r="M34" s="841" t="s">
        <v>8331</v>
      </c>
      <c r="N34" s="841" t="s">
        <v>554</v>
      </c>
      <c r="O34" s="841"/>
      <c r="P34" s="841"/>
      <c r="Q34" s="841"/>
      <c r="R34" s="841"/>
      <c r="S34" s="841"/>
      <c r="T34" s="841"/>
      <c r="U34" s="841"/>
      <c r="V34" s="841"/>
      <c r="W34" s="841"/>
      <c r="X34" s="841"/>
      <c r="Y34" s="841"/>
      <c r="Z34" s="97" t="s">
        <v>8185</v>
      </c>
      <c r="AA34" s="849" t="s">
        <v>8005</v>
      </c>
      <c r="AB34" s="97" t="s">
        <v>470</v>
      </c>
      <c r="AC34" s="97" t="s">
        <v>470</v>
      </c>
      <c r="AD34" s="97" t="s">
        <v>470</v>
      </c>
      <c r="AE34" s="97" t="s">
        <v>470</v>
      </c>
      <c r="AF34" s="97" t="s">
        <v>7180</v>
      </c>
      <c r="AG34" s="849" t="s">
        <v>7106</v>
      </c>
      <c r="AH34" s="97" t="s">
        <v>7037</v>
      </c>
      <c r="AI34" s="97" t="s">
        <v>6904</v>
      </c>
      <c r="AJ34" s="97" t="s">
        <v>6754</v>
      </c>
      <c r="AK34" s="97" t="s">
        <v>6609</v>
      </c>
      <c r="AL34" s="580">
        <f t="shared" si="0"/>
        <v>3.8671720000000001</v>
      </c>
      <c r="AM34" s="504">
        <v>3.8671720000000001</v>
      </c>
      <c r="AN34" s="516"/>
      <c r="AO34" s="97"/>
      <c r="AP34" s="97"/>
      <c r="AQ34" s="504">
        <v>3.2872140000000001</v>
      </c>
      <c r="AR34" s="507">
        <f>AQ34/AL34*100%</f>
        <v>0.85003046153623374</v>
      </c>
      <c r="AS34" s="507">
        <f>3.287/3156.793</f>
        <v>1.0412466069203777E-3</v>
      </c>
      <c r="AT34" s="516">
        <v>0.57995799999999997</v>
      </c>
      <c r="AU34" s="507">
        <f>AT34/AL34*100%</f>
        <v>0.14996953846376629</v>
      </c>
      <c r="AV34" s="516">
        <v>0</v>
      </c>
      <c r="AW34" s="507">
        <v>0</v>
      </c>
      <c r="AX34" s="516"/>
      <c r="AY34" s="507">
        <v>0</v>
      </c>
      <c r="AZ34" s="516"/>
      <c r="BA34" s="507"/>
      <c r="BB34" s="507"/>
      <c r="BC34" s="507"/>
      <c r="BD34" s="507"/>
      <c r="BE34" s="507" t="s">
        <v>470</v>
      </c>
      <c r="BF34" s="507" t="s">
        <v>1924</v>
      </c>
      <c r="BG34" s="507" t="s">
        <v>1924</v>
      </c>
      <c r="BH34" s="852">
        <v>0</v>
      </c>
      <c r="BI34" s="504">
        <v>5.5</v>
      </c>
      <c r="BJ34" s="507">
        <f>BI34/3293.9*100%</f>
        <v>1.6697531801208294E-3</v>
      </c>
      <c r="BK34" s="96">
        <v>26</v>
      </c>
      <c r="BL34" s="96">
        <v>26</v>
      </c>
      <c r="BM34" s="96">
        <v>19</v>
      </c>
      <c r="BN34" s="96"/>
      <c r="BO34" s="96"/>
      <c r="BP34" s="96"/>
      <c r="BQ34" s="96"/>
      <c r="BR34" s="96"/>
      <c r="BS34" s="96"/>
      <c r="BT34" s="96"/>
      <c r="BU34" s="96"/>
      <c r="BV34" s="96">
        <v>1</v>
      </c>
      <c r="BW34" s="96"/>
      <c r="BX34" s="96">
        <v>11</v>
      </c>
      <c r="BY34" s="96">
        <v>6</v>
      </c>
      <c r="BZ34" s="96">
        <v>1</v>
      </c>
      <c r="CA34" s="96"/>
      <c r="CB34" s="96"/>
      <c r="CC34" s="96"/>
      <c r="CD34" s="96"/>
      <c r="CE34" s="96"/>
      <c r="CF34" s="96"/>
      <c r="CG34" s="96"/>
      <c r="CH34" s="96"/>
      <c r="CI34" s="96"/>
      <c r="CJ34" s="96"/>
      <c r="CK34" s="96"/>
      <c r="CL34" s="815">
        <f t="shared" si="2"/>
        <v>19</v>
      </c>
      <c r="CM34" s="824">
        <f t="shared" si="1"/>
        <v>0</v>
      </c>
      <c r="CN34" s="504">
        <v>16.8</v>
      </c>
      <c r="CO34" s="97" t="s">
        <v>6176</v>
      </c>
      <c r="CP34" s="97" t="s">
        <v>1924</v>
      </c>
      <c r="CQ34" s="516">
        <f>CN34/CR34*100</f>
        <v>14.672360940079127</v>
      </c>
      <c r="CR34" s="504">
        <v>114.501</v>
      </c>
      <c r="CS34" s="850" t="s">
        <v>5937</v>
      </c>
      <c r="CT34" s="97" t="s">
        <v>470</v>
      </c>
      <c r="CU34" s="97" t="s">
        <v>1924</v>
      </c>
      <c r="CV34" s="97" t="s">
        <v>1924</v>
      </c>
      <c r="CW34" s="97" t="s">
        <v>1924</v>
      </c>
      <c r="CX34" s="96">
        <v>0</v>
      </c>
      <c r="CY34" s="96">
        <v>0</v>
      </c>
      <c r="CZ34" s="96">
        <v>9</v>
      </c>
      <c r="DA34" s="97" t="s">
        <v>470</v>
      </c>
      <c r="DB34" s="97" t="s">
        <v>1924</v>
      </c>
      <c r="DC34" s="96">
        <v>0</v>
      </c>
      <c r="DD34" s="97" t="s">
        <v>479</v>
      </c>
      <c r="DE34" s="97" t="s">
        <v>640</v>
      </c>
      <c r="DF34" s="96">
        <v>3800</v>
      </c>
      <c r="DG34" s="97" t="s">
        <v>470</v>
      </c>
      <c r="DH34" s="97" t="s">
        <v>1924</v>
      </c>
      <c r="DI34" s="96">
        <v>0</v>
      </c>
      <c r="DJ34" s="97" t="s">
        <v>470</v>
      </c>
      <c r="DK34" s="97" t="s">
        <v>1924</v>
      </c>
      <c r="DL34" s="96">
        <v>0</v>
      </c>
      <c r="DM34" s="97" t="s">
        <v>470</v>
      </c>
      <c r="DN34" s="97" t="s">
        <v>1924</v>
      </c>
      <c r="DO34" s="96">
        <v>0</v>
      </c>
      <c r="DP34" s="97" t="s">
        <v>470</v>
      </c>
      <c r="DQ34" s="97" t="s">
        <v>1924</v>
      </c>
      <c r="DR34" s="96">
        <v>0</v>
      </c>
      <c r="DS34" s="97" t="s">
        <v>470</v>
      </c>
      <c r="DT34" s="97" t="s">
        <v>1924</v>
      </c>
      <c r="DU34" s="96">
        <v>0</v>
      </c>
      <c r="DV34" s="97" t="s">
        <v>470</v>
      </c>
      <c r="DW34" s="97" t="s">
        <v>1924</v>
      </c>
      <c r="DX34" s="96">
        <v>0</v>
      </c>
      <c r="DY34" s="97" t="s">
        <v>470</v>
      </c>
      <c r="DZ34" s="97" t="s">
        <v>1924</v>
      </c>
      <c r="EA34" s="96">
        <v>0</v>
      </c>
      <c r="EB34" s="97" t="s">
        <v>470</v>
      </c>
      <c r="EC34" s="97" t="s">
        <v>1924</v>
      </c>
      <c r="ED34" s="96">
        <v>0</v>
      </c>
      <c r="EE34" s="97" t="s">
        <v>470</v>
      </c>
      <c r="EF34" s="97" t="s">
        <v>1924</v>
      </c>
      <c r="EG34" s="96">
        <v>0</v>
      </c>
      <c r="EH34" s="97" t="s">
        <v>470</v>
      </c>
      <c r="EI34" s="97" t="s">
        <v>1924</v>
      </c>
      <c r="EJ34" s="96">
        <v>0</v>
      </c>
      <c r="EK34" s="97" t="s">
        <v>470</v>
      </c>
      <c r="EL34" s="97" t="s">
        <v>1924</v>
      </c>
      <c r="EM34" s="96">
        <v>0</v>
      </c>
      <c r="EN34" s="97" t="s">
        <v>470</v>
      </c>
      <c r="EO34" s="97" t="s">
        <v>1924</v>
      </c>
      <c r="EP34" s="96">
        <v>0</v>
      </c>
      <c r="EQ34" s="96" t="s">
        <v>479</v>
      </c>
      <c r="ER34" s="96" t="s">
        <v>640</v>
      </c>
      <c r="ES34" s="96">
        <v>9</v>
      </c>
      <c r="ET34" s="97" t="s">
        <v>470</v>
      </c>
      <c r="EU34" s="97" t="s">
        <v>1924</v>
      </c>
      <c r="EV34" s="96">
        <v>0</v>
      </c>
      <c r="EW34" s="96"/>
      <c r="EX34" s="96"/>
      <c r="EY34" s="96"/>
      <c r="EZ34" s="97" t="s">
        <v>470</v>
      </c>
      <c r="FA34" s="97" t="s">
        <v>1924</v>
      </c>
      <c r="FB34" s="97" t="s">
        <v>470</v>
      </c>
      <c r="FC34" s="849" t="s">
        <v>5022</v>
      </c>
      <c r="FD34" s="97" t="s">
        <v>470</v>
      </c>
      <c r="FE34" s="97" t="s">
        <v>4867</v>
      </c>
      <c r="FF34" s="97" t="s">
        <v>1924</v>
      </c>
      <c r="FG34" s="97" t="s">
        <v>470</v>
      </c>
      <c r="FH34" s="97">
        <v>0</v>
      </c>
      <c r="FI34" s="97">
        <v>0</v>
      </c>
      <c r="FJ34" s="97" t="s">
        <v>4560</v>
      </c>
      <c r="FK34" s="97" t="s">
        <v>4321</v>
      </c>
      <c r="FL34" s="849" t="s">
        <v>4141</v>
      </c>
      <c r="FM34" s="97" t="s">
        <v>3925</v>
      </c>
      <c r="FN34" s="97" t="s">
        <v>1947</v>
      </c>
      <c r="FO34" s="849" t="s">
        <v>1916</v>
      </c>
    </row>
    <row r="35" spans="5:171" ht="104" customHeight="1" x14ac:dyDescent="0.2">
      <c r="E35" s="94" t="s">
        <v>9307</v>
      </c>
      <c r="F35" s="94" t="s">
        <v>9121</v>
      </c>
      <c r="G35" s="97" t="s">
        <v>305</v>
      </c>
      <c r="H35" s="97" t="s">
        <v>383</v>
      </c>
      <c r="I35" s="859" t="s">
        <v>8866</v>
      </c>
      <c r="J35" s="859" t="s">
        <v>8606</v>
      </c>
      <c r="K35" s="859" t="s">
        <v>8440</v>
      </c>
      <c r="L35" s="860" t="s">
        <v>8337</v>
      </c>
      <c r="M35" s="861">
        <v>44562</v>
      </c>
      <c r="N35" s="861">
        <v>46022</v>
      </c>
      <c r="O35" s="861"/>
      <c r="P35" s="861"/>
      <c r="Q35" s="861"/>
      <c r="R35" s="861"/>
      <c r="S35" s="861"/>
      <c r="T35" s="861"/>
      <c r="U35" s="861"/>
      <c r="V35" s="861"/>
      <c r="W35" s="861"/>
      <c r="X35" s="861"/>
      <c r="Y35" s="861"/>
      <c r="Z35" s="859" t="s">
        <v>7570</v>
      </c>
      <c r="AA35" s="514" t="s">
        <v>7354</v>
      </c>
      <c r="AB35" s="859" t="s">
        <v>470</v>
      </c>
      <c r="AC35" s="859" t="s">
        <v>470</v>
      </c>
      <c r="AD35" s="859" t="s">
        <v>7570</v>
      </c>
      <c r="AE35" s="514" t="s">
        <v>7354</v>
      </c>
      <c r="AF35" s="859" t="s">
        <v>470</v>
      </c>
      <c r="AG35" s="859" t="s">
        <v>470</v>
      </c>
      <c r="AH35" s="859" t="s">
        <v>6903</v>
      </c>
      <c r="AI35" s="859" t="s">
        <v>6903</v>
      </c>
      <c r="AJ35" s="859" t="s">
        <v>6691</v>
      </c>
      <c r="AK35" s="859" t="s">
        <v>6608</v>
      </c>
      <c r="AL35" s="580">
        <f t="shared" si="0"/>
        <v>0.32700000000000007</v>
      </c>
      <c r="AM35" s="504">
        <v>0.32700000000000007</v>
      </c>
      <c r="AN35" s="862"/>
      <c r="AO35" s="863"/>
      <c r="AP35" s="863"/>
      <c r="AQ35" s="864">
        <v>0.30000000000000004</v>
      </c>
      <c r="AR35" s="865">
        <v>0.91739999999999999</v>
      </c>
      <c r="AS35" s="865">
        <f>AQ35/670.194</f>
        <v>4.476315813033242E-4</v>
      </c>
      <c r="AT35" s="862">
        <v>2.7E-2</v>
      </c>
      <c r="AU35" s="865">
        <v>8.2599999999999993E-2</v>
      </c>
      <c r="AV35" s="862">
        <v>0</v>
      </c>
      <c r="AW35" s="865">
        <v>0</v>
      </c>
      <c r="AX35" s="862"/>
      <c r="AY35" s="865">
        <v>0</v>
      </c>
      <c r="AZ35" s="862"/>
      <c r="BA35" s="866"/>
      <c r="BB35" s="866"/>
      <c r="BC35" s="866"/>
      <c r="BD35" s="866"/>
      <c r="BE35" s="866" t="s">
        <v>470</v>
      </c>
      <c r="BF35" s="866" t="s">
        <v>1924</v>
      </c>
      <c r="BG35" s="866" t="s">
        <v>1924</v>
      </c>
      <c r="BH35" s="867">
        <v>0</v>
      </c>
      <c r="BI35" s="868">
        <v>0.30000000000000004</v>
      </c>
      <c r="BJ35" s="866">
        <f>BI35/680.761</f>
        <v>4.4068329413700266E-4</v>
      </c>
      <c r="BK35" s="869">
        <v>2</v>
      </c>
      <c r="BL35" s="869">
        <v>2</v>
      </c>
      <c r="BM35" s="869">
        <v>2</v>
      </c>
      <c r="BN35" s="869"/>
      <c r="BO35" s="869"/>
      <c r="BP35" s="869"/>
      <c r="BQ35" s="869"/>
      <c r="BR35" s="869"/>
      <c r="BS35" s="869"/>
      <c r="BT35" s="869"/>
      <c r="BU35" s="869"/>
      <c r="BV35" s="869">
        <v>1</v>
      </c>
      <c r="BW35" s="869"/>
      <c r="BX35" s="869"/>
      <c r="BY35" s="869">
        <v>1</v>
      </c>
      <c r="BZ35" s="869"/>
      <c r="CA35" s="869"/>
      <c r="CB35" s="869"/>
      <c r="CC35" s="869"/>
      <c r="CD35" s="869"/>
      <c r="CE35" s="869"/>
      <c r="CF35" s="869"/>
      <c r="CG35" s="869"/>
      <c r="CH35" s="869"/>
      <c r="CI35" s="869"/>
      <c r="CJ35" s="869"/>
      <c r="CK35" s="869"/>
      <c r="CL35" s="870">
        <f t="shared" si="2"/>
        <v>2</v>
      </c>
      <c r="CM35" s="824">
        <f t="shared" si="1"/>
        <v>0</v>
      </c>
      <c r="CN35" s="868">
        <v>1.26</v>
      </c>
      <c r="CO35" s="859" t="s">
        <v>6175</v>
      </c>
      <c r="CP35" s="859" t="s">
        <v>1924</v>
      </c>
      <c r="CQ35" s="859">
        <v>5.6</v>
      </c>
      <c r="CR35" s="868">
        <v>22.646999999999998</v>
      </c>
      <c r="CS35" s="866" t="s">
        <v>5936</v>
      </c>
      <c r="CT35" s="859" t="s">
        <v>470</v>
      </c>
      <c r="CU35" s="859" t="s">
        <v>1924</v>
      </c>
      <c r="CV35" s="859" t="s">
        <v>1924</v>
      </c>
      <c r="CW35" s="859" t="s">
        <v>1924</v>
      </c>
      <c r="CX35" s="869">
        <v>0</v>
      </c>
      <c r="CY35" s="869">
        <v>0</v>
      </c>
      <c r="CZ35" s="869">
        <v>1</v>
      </c>
      <c r="DA35" s="859" t="s">
        <v>470</v>
      </c>
      <c r="DB35" s="859" t="s">
        <v>1924</v>
      </c>
      <c r="DC35" s="869">
        <v>0</v>
      </c>
      <c r="DD35" s="859" t="s">
        <v>479</v>
      </c>
      <c r="DE35" s="859" t="s">
        <v>2533</v>
      </c>
      <c r="DF35" s="869">
        <v>80</v>
      </c>
      <c r="DG35" s="859" t="s">
        <v>470</v>
      </c>
      <c r="DH35" s="859" t="s">
        <v>1924</v>
      </c>
      <c r="DI35" s="869">
        <v>0</v>
      </c>
      <c r="DJ35" s="859" t="s">
        <v>470</v>
      </c>
      <c r="DK35" s="859" t="s">
        <v>1924</v>
      </c>
      <c r="DL35" s="869">
        <v>0</v>
      </c>
      <c r="DM35" s="859" t="s">
        <v>470</v>
      </c>
      <c r="DN35" s="859" t="s">
        <v>1924</v>
      </c>
      <c r="DO35" s="869">
        <v>0</v>
      </c>
      <c r="DP35" s="859" t="s">
        <v>470</v>
      </c>
      <c r="DQ35" s="859" t="s">
        <v>1924</v>
      </c>
      <c r="DR35" s="869">
        <v>0</v>
      </c>
      <c r="DS35" s="859" t="s">
        <v>470</v>
      </c>
      <c r="DT35" s="859" t="s">
        <v>1924</v>
      </c>
      <c r="DU35" s="869">
        <v>0</v>
      </c>
      <c r="DV35" s="859" t="s">
        <v>470</v>
      </c>
      <c r="DW35" s="859" t="s">
        <v>1924</v>
      </c>
      <c r="DX35" s="869">
        <v>0</v>
      </c>
      <c r="DY35" s="859" t="s">
        <v>470</v>
      </c>
      <c r="DZ35" s="859" t="s">
        <v>1924</v>
      </c>
      <c r="EA35" s="869">
        <v>0</v>
      </c>
      <c r="EB35" s="859" t="s">
        <v>479</v>
      </c>
      <c r="EC35" s="859" t="s">
        <v>2533</v>
      </c>
      <c r="ED35" s="869">
        <v>80</v>
      </c>
      <c r="EE35" s="859" t="s">
        <v>470</v>
      </c>
      <c r="EF35" s="859" t="s">
        <v>1924</v>
      </c>
      <c r="EG35" s="869">
        <v>0</v>
      </c>
      <c r="EH35" s="859" t="s">
        <v>470</v>
      </c>
      <c r="EI35" s="859" t="s">
        <v>1924</v>
      </c>
      <c r="EJ35" s="869">
        <v>0</v>
      </c>
      <c r="EK35" s="859" t="s">
        <v>470</v>
      </c>
      <c r="EL35" s="859" t="s">
        <v>1924</v>
      </c>
      <c r="EM35" s="869">
        <v>0</v>
      </c>
      <c r="EN35" s="859" t="s">
        <v>470</v>
      </c>
      <c r="EO35" s="859" t="s">
        <v>1924</v>
      </c>
      <c r="EP35" s="869">
        <v>0</v>
      </c>
      <c r="EQ35" s="859" t="s">
        <v>470</v>
      </c>
      <c r="ER35" s="859" t="s">
        <v>1924</v>
      </c>
      <c r="ES35" s="869">
        <v>0</v>
      </c>
      <c r="ET35" s="859" t="s">
        <v>470</v>
      </c>
      <c r="EU35" s="859" t="s">
        <v>1924</v>
      </c>
      <c r="EV35" s="869">
        <v>0</v>
      </c>
      <c r="EW35" s="869"/>
      <c r="EX35" s="869"/>
      <c r="EY35" s="869"/>
      <c r="EZ35" s="859" t="s">
        <v>470</v>
      </c>
      <c r="FA35" s="859" t="s">
        <v>1924</v>
      </c>
      <c r="FB35" s="859" t="s">
        <v>1924</v>
      </c>
      <c r="FC35" s="859" t="s">
        <v>1924</v>
      </c>
      <c r="FD35" s="859" t="s">
        <v>1924</v>
      </c>
      <c r="FE35" s="859" t="s">
        <v>4866</v>
      </c>
      <c r="FF35" s="859" t="s">
        <v>1924</v>
      </c>
      <c r="FG35" s="859" t="s">
        <v>1750</v>
      </c>
      <c r="FH35" s="859">
        <v>0</v>
      </c>
      <c r="FI35" s="859">
        <v>0</v>
      </c>
      <c r="FJ35" s="859" t="s">
        <v>4559</v>
      </c>
      <c r="FK35" s="859" t="s">
        <v>4320</v>
      </c>
      <c r="FL35" s="871" t="s">
        <v>4140</v>
      </c>
      <c r="FM35" s="97" t="s">
        <v>3925</v>
      </c>
      <c r="FN35" s="97" t="s">
        <v>1947</v>
      </c>
      <c r="FO35" s="849" t="s">
        <v>1916</v>
      </c>
    </row>
    <row r="36" spans="5:171" ht="104" customHeight="1" x14ac:dyDescent="0.2">
      <c r="E36" s="94" t="s">
        <v>9307</v>
      </c>
      <c r="F36" s="94" t="s">
        <v>9121</v>
      </c>
      <c r="G36" s="97" t="s">
        <v>305</v>
      </c>
      <c r="H36" s="97" t="s">
        <v>383</v>
      </c>
      <c r="I36" s="97" t="s">
        <v>8865</v>
      </c>
      <c r="J36" s="97" t="s">
        <v>8439</v>
      </c>
      <c r="K36" s="97" t="s">
        <v>8439</v>
      </c>
      <c r="L36" s="502">
        <v>2022</v>
      </c>
      <c r="M36" s="841">
        <v>44706</v>
      </c>
      <c r="N36" s="841">
        <v>44814</v>
      </c>
      <c r="O36" s="841"/>
      <c r="P36" s="841"/>
      <c r="Q36" s="841"/>
      <c r="R36" s="841"/>
      <c r="S36" s="841"/>
      <c r="T36" s="841"/>
      <c r="U36" s="841"/>
      <c r="V36" s="841"/>
      <c r="W36" s="841"/>
      <c r="X36" s="841"/>
      <c r="Y36" s="841"/>
      <c r="Z36" s="97" t="s">
        <v>8184</v>
      </c>
      <c r="AA36" s="872" t="s">
        <v>7695</v>
      </c>
      <c r="AB36" s="97" t="s">
        <v>7890</v>
      </c>
      <c r="AC36" s="872" t="s">
        <v>7695</v>
      </c>
      <c r="AD36" s="97" t="s">
        <v>7569</v>
      </c>
      <c r="AE36" s="872" t="s">
        <v>7353</v>
      </c>
      <c r="AF36" s="97" t="s">
        <v>7179</v>
      </c>
      <c r="AG36" s="872" t="s">
        <v>7105</v>
      </c>
      <c r="AH36" s="97" t="s">
        <v>6902</v>
      </c>
      <c r="AI36" s="97" t="s">
        <v>6902</v>
      </c>
      <c r="AJ36" s="97" t="s">
        <v>6731</v>
      </c>
      <c r="AK36" s="97" t="s">
        <v>6607</v>
      </c>
      <c r="AL36" s="580">
        <f t="shared" si="0"/>
        <v>0.45</v>
      </c>
      <c r="AM36" s="504">
        <v>0.45</v>
      </c>
      <c r="AN36" s="516"/>
      <c r="AO36" s="97"/>
      <c r="AP36" s="97"/>
      <c r="AQ36" s="504">
        <v>0.45</v>
      </c>
      <c r="AR36" s="507">
        <v>1</v>
      </c>
      <c r="AS36" s="507">
        <f>AQ36/1304.2</f>
        <v>3.4503910443183563E-4</v>
      </c>
      <c r="AT36" s="516">
        <v>0</v>
      </c>
      <c r="AU36" s="507">
        <v>0</v>
      </c>
      <c r="AV36" s="516">
        <v>0</v>
      </c>
      <c r="AW36" s="507">
        <v>0</v>
      </c>
      <c r="AX36" s="516"/>
      <c r="AY36" s="507">
        <v>0</v>
      </c>
      <c r="AZ36" s="516"/>
      <c r="BA36" s="507"/>
      <c r="BB36" s="507"/>
      <c r="BC36" s="507"/>
      <c r="BD36" s="507"/>
      <c r="BE36" s="507" t="s">
        <v>470</v>
      </c>
      <c r="BF36" s="507" t="s">
        <v>1924</v>
      </c>
      <c r="BG36" s="507" t="s">
        <v>1924</v>
      </c>
      <c r="BH36" s="852">
        <v>0</v>
      </c>
      <c r="BI36" s="504">
        <v>0.45</v>
      </c>
      <c r="BJ36" s="507">
        <f>BI36/1392.549</f>
        <v>3.2314841344900614E-4</v>
      </c>
      <c r="BK36" s="96">
        <v>0</v>
      </c>
      <c r="BL36" s="96">
        <v>0</v>
      </c>
      <c r="BM36" s="96">
        <v>6</v>
      </c>
      <c r="BN36" s="96"/>
      <c r="BO36" s="96"/>
      <c r="BP36" s="96"/>
      <c r="BQ36" s="96"/>
      <c r="BR36" s="96"/>
      <c r="BS36" s="96">
        <v>1</v>
      </c>
      <c r="BT36" s="96"/>
      <c r="BU36" s="96"/>
      <c r="BV36" s="96"/>
      <c r="BW36" s="96">
        <v>4</v>
      </c>
      <c r="BX36" s="96">
        <v>1</v>
      </c>
      <c r="BY36" s="96"/>
      <c r="BZ36" s="96"/>
      <c r="CA36" s="96"/>
      <c r="CB36" s="96"/>
      <c r="CC36" s="96"/>
      <c r="CD36" s="96"/>
      <c r="CE36" s="96"/>
      <c r="CF36" s="96"/>
      <c r="CG36" s="96"/>
      <c r="CH36" s="96"/>
      <c r="CI36" s="96"/>
      <c r="CJ36" s="96"/>
      <c r="CK36" s="96"/>
      <c r="CL36" s="815">
        <f t="shared" si="2"/>
        <v>6</v>
      </c>
      <c r="CM36" s="824">
        <f t="shared" si="1"/>
        <v>0</v>
      </c>
      <c r="CN36" s="504">
        <v>10.096</v>
      </c>
      <c r="CO36" s="97" t="s">
        <v>6174</v>
      </c>
      <c r="CP36" s="97" t="s">
        <v>470</v>
      </c>
      <c r="CQ36" s="97">
        <v>17.600000000000001</v>
      </c>
      <c r="CR36" s="504">
        <v>57.271999999999998</v>
      </c>
      <c r="CS36" s="507" t="s">
        <v>5935</v>
      </c>
      <c r="CT36" s="97" t="s">
        <v>470</v>
      </c>
      <c r="CU36" s="97"/>
      <c r="CV36" s="872" t="s">
        <v>5787</v>
      </c>
      <c r="CW36" s="97" t="s">
        <v>5766</v>
      </c>
      <c r="CX36" s="96">
        <v>0</v>
      </c>
      <c r="CY36" s="96" t="s">
        <v>5749</v>
      </c>
      <c r="CZ36" s="96">
        <v>18</v>
      </c>
      <c r="DA36" s="97" t="s">
        <v>470</v>
      </c>
      <c r="DB36" s="96" t="s">
        <v>1924</v>
      </c>
      <c r="DC36" s="97">
        <v>0</v>
      </c>
      <c r="DD36" s="96" t="s">
        <v>470</v>
      </c>
      <c r="DE36" s="97" t="s">
        <v>1924</v>
      </c>
      <c r="DF36" s="96">
        <v>0</v>
      </c>
      <c r="DG36" s="97" t="s">
        <v>470</v>
      </c>
      <c r="DH36" s="96" t="s">
        <v>1924</v>
      </c>
      <c r="DI36" s="97">
        <v>0</v>
      </c>
      <c r="DJ36" s="96" t="s">
        <v>470</v>
      </c>
      <c r="DK36" s="97" t="s">
        <v>1924</v>
      </c>
      <c r="DL36" s="96">
        <v>0</v>
      </c>
      <c r="DM36" s="96" t="s">
        <v>470</v>
      </c>
      <c r="DN36" s="97" t="s">
        <v>1924</v>
      </c>
      <c r="DO36" s="96">
        <v>0</v>
      </c>
      <c r="DP36" s="96" t="s">
        <v>470</v>
      </c>
      <c r="DQ36" s="97" t="s">
        <v>1924</v>
      </c>
      <c r="DR36" s="96">
        <v>0</v>
      </c>
      <c r="DS36" s="96" t="s">
        <v>470</v>
      </c>
      <c r="DT36" s="97" t="s">
        <v>1924</v>
      </c>
      <c r="DU36" s="96">
        <v>0</v>
      </c>
      <c r="DV36" s="97" t="s">
        <v>5518</v>
      </c>
      <c r="DW36" s="97" t="s">
        <v>5488</v>
      </c>
      <c r="DX36" s="96">
        <v>32</v>
      </c>
      <c r="DY36" s="96" t="s">
        <v>470</v>
      </c>
      <c r="DZ36" s="97" t="s">
        <v>1924</v>
      </c>
      <c r="EA36" s="96">
        <v>0</v>
      </c>
      <c r="EB36" s="96" t="s">
        <v>470</v>
      </c>
      <c r="EC36" s="97" t="s">
        <v>1924</v>
      </c>
      <c r="ED36" s="96">
        <v>0</v>
      </c>
      <c r="EE36" s="96" t="s">
        <v>470</v>
      </c>
      <c r="EF36" s="97" t="s">
        <v>1924</v>
      </c>
      <c r="EG36" s="96">
        <v>0</v>
      </c>
      <c r="EH36" s="96" t="s">
        <v>470</v>
      </c>
      <c r="EI36" s="97" t="s">
        <v>1924</v>
      </c>
      <c r="EJ36" s="96">
        <v>0</v>
      </c>
      <c r="EK36" s="96" t="s">
        <v>470</v>
      </c>
      <c r="EL36" s="97" t="s">
        <v>1924</v>
      </c>
      <c r="EM36" s="96">
        <v>0</v>
      </c>
      <c r="EN36" s="97" t="s">
        <v>479</v>
      </c>
      <c r="EO36" s="97" t="s">
        <v>5364</v>
      </c>
      <c r="EP36" s="96">
        <v>8</v>
      </c>
      <c r="EQ36" s="96" t="s">
        <v>470</v>
      </c>
      <c r="ER36" s="97" t="s">
        <v>1924</v>
      </c>
      <c r="ES36" s="96">
        <v>0</v>
      </c>
      <c r="ET36" s="96" t="s">
        <v>470</v>
      </c>
      <c r="EU36" s="97" t="s">
        <v>1924</v>
      </c>
      <c r="EV36" s="96">
        <v>0</v>
      </c>
      <c r="EW36" s="96"/>
      <c r="EX36" s="96"/>
      <c r="EY36" s="96"/>
      <c r="EZ36" s="97" t="s">
        <v>479</v>
      </c>
      <c r="FA36" s="97" t="s">
        <v>5214</v>
      </c>
      <c r="FB36" s="872" t="s">
        <v>5185</v>
      </c>
      <c r="FC36" s="872" t="s">
        <v>4865</v>
      </c>
      <c r="FD36" s="97" t="s">
        <v>470</v>
      </c>
      <c r="FE36" s="872" t="s">
        <v>4865</v>
      </c>
      <c r="FF36" s="97" t="s">
        <v>470</v>
      </c>
      <c r="FG36" s="97" t="s">
        <v>4668</v>
      </c>
      <c r="FH36" s="97">
        <v>1</v>
      </c>
      <c r="FI36" s="97">
        <v>150</v>
      </c>
      <c r="FJ36" s="97" t="s">
        <v>4558</v>
      </c>
      <c r="FK36" s="97" t="s">
        <v>4319</v>
      </c>
      <c r="FL36" s="872" t="s">
        <v>4139</v>
      </c>
      <c r="FM36" s="97" t="s">
        <v>3925</v>
      </c>
      <c r="FN36" s="97" t="s">
        <v>1947</v>
      </c>
      <c r="FO36" s="849" t="s">
        <v>1916</v>
      </c>
    </row>
    <row r="37" spans="5:171" ht="104" customHeight="1" x14ac:dyDescent="0.2">
      <c r="E37" s="94" t="s">
        <v>9302</v>
      </c>
      <c r="F37" s="94" t="s">
        <v>9120</v>
      </c>
      <c r="G37" s="198" t="s">
        <v>306</v>
      </c>
      <c r="H37" s="198" t="s">
        <v>384</v>
      </c>
      <c r="I37" s="198"/>
      <c r="J37" s="198" t="s">
        <v>526</v>
      </c>
      <c r="K37" s="198" t="s">
        <v>526</v>
      </c>
      <c r="L37" s="578" t="s">
        <v>527</v>
      </c>
      <c r="M37" s="822" t="s">
        <v>528</v>
      </c>
      <c r="N37" s="822" t="s">
        <v>472</v>
      </c>
      <c r="O37" s="198" t="s">
        <v>529</v>
      </c>
      <c r="P37" s="198" t="s">
        <v>530</v>
      </c>
      <c r="Q37" s="198" t="s">
        <v>531</v>
      </c>
      <c r="R37" s="198" t="s">
        <v>470</v>
      </c>
      <c r="S37" s="198"/>
      <c r="T37" s="198" t="s">
        <v>470</v>
      </c>
      <c r="U37" s="198"/>
      <c r="V37" s="198" t="s">
        <v>470</v>
      </c>
      <c r="W37" s="198"/>
      <c r="X37" s="198" t="s">
        <v>532</v>
      </c>
      <c r="Y37" s="198" t="s">
        <v>533</v>
      </c>
      <c r="Z37" s="198"/>
      <c r="AA37" s="198"/>
      <c r="AB37" s="198"/>
      <c r="AC37" s="198"/>
      <c r="AD37" s="198"/>
      <c r="AE37" s="198"/>
      <c r="AF37" s="198"/>
      <c r="AG37" s="198"/>
      <c r="AH37" s="198" t="s">
        <v>534</v>
      </c>
      <c r="AI37" s="198" t="s">
        <v>534</v>
      </c>
      <c r="AJ37" s="198" t="s">
        <v>477</v>
      </c>
      <c r="AK37" s="198" t="s">
        <v>535</v>
      </c>
      <c r="AL37" s="580">
        <f t="shared" si="0"/>
        <v>155.47900000000001</v>
      </c>
      <c r="AM37" s="504">
        <v>155.47900000000001</v>
      </c>
      <c r="AN37" s="516">
        <v>137.4</v>
      </c>
      <c r="AO37" s="137">
        <v>0.88400000000000001</v>
      </c>
      <c r="AP37" s="137">
        <v>1.5E-3</v>
      </c>
      <c r="AQ37" s="504">
        <v>10.1</v>
      </c>
      <c r="AR37" s="137">
        <v>6.5000000000000002E-2</v>
      </c>
      <c r="AS37" s="137"/>
      <c r="AT37" s="520">
        <v>7.9</v>
      </c>
      <c r="AU37" s="137">
        <v>5.0999999999999997E-2</v>
      </c>
      <c r="AV37" s="520"/>
      <c r="AW37" s="137"/>
      <c r="AX37" s="520">
        <v>7.9000000000000001E-2</v>
      </c>
      <c r="AY37" s="137">
        <v>5.0999999999999997E-2</v>
      </c>
      <c r="AZ37" s="520">
        <v>0</v>
      </c>
      <c r="BA37" s="137">
        <v>0</v>
      </c>
      <c r="BB37" s="198" t="s">
        <v>470</v>
      </c>
      <c r="BC37" s="198" t="s">
        <v>470</v>
      </c>
      <c r="BD37" s="198" t="s">
        <v>470</v>
      </c>
      <c r="BE37" s="198" t="s">
        <v>470</v>
      </c>
      <c r="BF37" s="198" t="s">
        <v>470</v>
      </c>
      <c r="BG37" s="198" t="s">
        <v>470</v>
      </c>
      <c r="BH37" s="198">
        <v>0</v>
      </c>
      <c r="BI37" s="137">
        <v>1.5</v>
      </c>
      <c r="BJ37" s="137">
        <v>1.5E-3</v>
      </c>
      <c r="BK37" s="83">
        <v>246</v>
      </c>
      <c r="BL37" s="83">
        <v>233</v>
      </c>
      <c r="BM37" s="83">
        <v>125</v>
      </c>
      <c r="BN37" s="83"/>
      <c r="BO37" s="83"/>
      <c r="BP37" s="83">
        <v>11</v>
      </c>
      <c r="BQ37" s="83"/>
      <c r="BR37" s="83"/>
      <c r="BS37" s="83">
        <v>44</v>
      </c>
      <c r="BT37" s="83"/>
      <c r="BU37" s="83"/>
      <c r="BV37" s="83"/>
      <c r="BW37" s="83"/>
      <c r="BX37" s="83">
        <v>47</v>
      </c>
      <c r="BY37" s="83">
        <v>21</v>
      </c>
      <c r="BZ37" s="83"/>
      <c r="CA37" s="83"/>
      <c r="CB37" s="83"/>
      <c r="CC37" s="83"/>
      <c r="CD37" s="83"/>
      <c r="CE37" s="83"/>
      <c r="CF37" s="83"/>
      <c r="CG37" s="83"/>
      <c r="CH37" s="83"/>
      <c r="CI37" s="83"/>
      <c r="CJ37" s="83"/>
      <c r="CK37" s="83">
        <v>2</v>
      </c>
      <c r="CL37" s="824">
        <f t="shared" si="2"/>
        <v>125</v>
      </c>
      <c r="CM37" s="824">
        <f t="shared" si="1"/>
        <v>0</v>
      </c>
      <c r="CN37" s="580">
        <v>300</v>
      </c>
      <c r="CO37" s="198" t="s">
        <v>536</v>
      </c>
      <c r="CP37" s="198" t="s">
        <v>537</v>
      </c>
      <c r="CQ37" s="137">
        <v>0.25679999999999997</v>
      </c>
      <c r="CR37" s="580">
        <v>1168</v>
      </c>
      <c r="CS37" s="873" t="s">
        <v>538</v>
      </c>
      <c r="CT37" s="198" t="s">
        <v>539</v>
      </c>
      <c r="CU37" s="198"/>
      <c r="CV37" s="198"/>
      <c r="CW37" s="198"/>
      <c r="CX37" s="83"/>
      <c r="CY37" s="83"/>
      <c r="CZ37" s="83"/>
      <c r="DA37" s="198" t="s">
        <v>539</v>
      </c>
      <c r="DB37" s="198"/>
      <c r="DC37" s="83"/>
      <c r="DD37" s="198" t="s">
        <v>540</v>
      </c>
      <c r="DE37" s="198" t="s">
        <v>541</v>
      </c>
      <c r="DF37" s="83">
        <v>25600</v>
      </c>
      <c r="DG37" s="83" t="s">
        <v>540</v>
      </c>
      <c r="DH37" s="83" t="s">
        <v>542</v>
      </c>
      <c r="DI37" s="83">
        <v>2560</v>
      </c>
      <c r="DJ37" s="83" t="s">
        <v>539</v>
      </c>
      <c r="DK37" s="83"/>
      <c r="DL37" s="83"/>
      <c r="DM37" s="198" t="s">
        <v>539</v>
      </c>
      <c r="DN37" s="198"/>
      <c r="DO37" s="83"/>
      <c r="DP37" s="198" t="s">
        <v>539</v>
      </c>
      <c r="DQ37" s="198"/>
      <c r="DR37" s="83"/>
      <c r="DS37" s="198" t="s">
        <v>539</v>
      </c>
      <c r="DT37" s="198"/>
      <c r="DU37" s="83"/>
      <c r="DV37" s="198" t="s">
        <v>539</v>
      </c>
      <c r="DW37" s="198"/>
      <c r="DX37" s="83"/>
      <c r="DY37" s="198" t="s">
        <v>539</v>
      </c>
      <c r="DZ37" s="198"/>
      <c r="EA37" s="83"/>
      <c r="EB37" s="198" t="s">
        <v>540</v>
      </c>
      <c r="EC37" s="198" t="s">
        <v>543</v>
      </c>
      <c r="ED37" s="83">
        <v>22000</v>
      </c>
      <c r="EE37" s="83" t="s">
        <v>539</v>
      </c>
      <c r="EF37" s="83"/>
      <c r="EG37" s="83"/>
      <c r="EH37" s="198" t="s">
        <v>539</v>
      </c>
      <c r="EI37" s="198"/>
      <c r="EJ37" s="83"/>
      <c r="EK37" s="198" t="s">
        <v>539</v>
      </c>
      <c r="EL37" s="198"/>
      <c r="EM37" s="83"/>
      <c r="EN37" s="198" t="s">
        <v>539</v>
      </c>
      <c r="EO37" s="198"/>
      <c r="EP37" s="83"/>
      <c r="EQ37" s="83" t="s">
        <v>539</v>
      </c>
      <c r="ER37" s="83"/>
      <c r="ES37" s="83"/>
      <c r="ET37" s="198" t="s">
        <v>539</v>
      </c>
      <c r="EU37" s="198"/>
      <c r="EV37" s="83"/>
      <c r="EW37" s="837">
        <v>1</v>
      </c>
      <c r="EX37" s="198"/>
      <c r="EY37" s="505">
        <v>76</v>
      </c>
      <c r="EZ37" s="198" t="s">
        <v>539</v>
      </c>
      <c r="FA37" s="198"/>
      <c r="FB37" s="198"/>
      <c r="FC37" s="198"/>
      <c r="FD37" s="198"/>
      <c r="FE37" s="198" t="s">
        <v>544</v>
      </c>
      <c r="FF37" s="198"/>
      <c r="FG37" s="198" t="s">
        <v>539</v>
      </c>
      <c r="FH37" s="198"/>
      <c r="FI37" s="198"/>
      <c r="FJ37" s="198" t="s">
        <v>545</v>
      </c>
      <c r="FK37" s="198" t="s">
        <v>546</v>
      </c>
      <c r="FL37" s="844" t="s">
        <v>547</v>
      </c>
      <c r="FM37" s="198" t="s">
        <v>548</v>
      </c>
      <c r="FN37" s="198" t="s">
        <v>549</v>
      </c>
      <c r="FO37" s="844" t="s">
        <v>550</v>
      </c>
    </row>
    <row r="38" spans="5:171" ht="104" customHeight="1" x14ac:dyDescent="0.2">
      <c r="E38" s="94" t="s">
        <v>9302</v>
      </c>
      <c r="F38" s="94" t="s">
        <v>9121</v>
      </c>
      <c r="G38" s="97" t="s">
        <v>306</v>
      </c>
      <c r="H38" s="97" t="s">
        <v>384</v>
      </c>
      <c r="I38" s="97" t="s">
        <v>8864</v>
      </c>
      <c r="J38" s="97" t="s">
        <v>8605</v>
      </c>
      <c r="K38" s="97" t="s">
        <v>656</v>
      </c>
      <c r="L38" s="502">
        <v>2017</v>
      </c>
      <c r="M38" s="841" t="s">
        <v>8330</v>
      </c>
      <c r="N38" s="841" t="s">
        <v>8260</v>
      </c>
      <c r="O38" s="841"/>
      <c r="P38" s="841"/>
      <c r="Q38" s="841"/>
      <c r="R38" s="841"/>
      <c r="S38" s="841"/>
      <c r="T38" s="841"/>
      <c r="U38" s="841"/>
      <c r="V38" s="841"/>
      <c r="W38" s="841"/>
      <c r="X38" s="841"/>
      <c r="Y38" s="841"/>
      <c r="Z38" s="97" t="s">
        <v>8183</v>
      </c>
      <c r="AA38" s="97"/>
      <c r="AB38" s="97"/>
      <c r="AC38" s="97"/>
      <c r="AD38" s="97" t="s">
        <v>7568</v>
      </c>
      <c r="AE38" s="97"/>
      <c r="AF38" s="97"/>
      <c r="AG38" s="97"/>
      <c r="AH38" s="97" t="s">
        <v>6901</v>
      </c>
      <c r="AI38" s="97" t="s">
        <v>6901</v>
      </c>
      <c r="AJ38" s="97" t="s">
        <v>6753</v>
      </c>
      <c r="AK38" s="97" t="s">
        <v>6606</v>
      </c>
      <c r="AL38" s="580">
        <f t="shared" si="0"/>
        <v>0.95012600000000003</v>
      </c>
      <c r="AM38" s="504">
        <v>0.95012600000000003</v>
      </c>
      <c r="AN38" s="516"/>
      <c r="AO38" s="97"/>
      <c r="AP38" s="97"/>
      <c r="AQ38" s="504">
        <v>0.59152000000000005</v>
      </c>
      <c r="AR38" s="507">
        <f>AQ38/AL38</f>
        <v>0.62257005912899976</v>
      </c>
      <c r="AS38" s="507">
        <f>AL38/687.2559918</f>
        <v>1.3824921300598838E-3</v>
      </c>
      <c r="AT38" s="516">
        <v>5.3865999999999997E-2</v>
      </c>
      <c r="AU38" s="507">
        <f>AT38/AL38</f>
        <v>5.6693533278744081E-2</v>
      </c>
      <c r="AV38" s="516">
        <v>7.4740000000000001E-2</v>
      </c>
      <c r="AW38" s="507">
        <f>AV38/AL38</f>
        <v>7.8663250979343791E-2</v>
      </c>
      <c r="AX38" s="516">
        <v>0.23</v>
      </c>
      <c r="AY38" s="507">
        <f>AX38/AL38</f>
        <v>0.2420731566129124</v>
      </c>
      <c r="AZ38" s="516"/>
      <c r="BA38" s="507"/>
      <c r="BB38" s="507"/>
      <c r="BC38" s="507"/>
      <c r="BD38" s="507"/>
      <c r="BE38" s="507" t="s">
        <v>470</v>
      </c>
      <c r="BF38" s="507"/>
      <c r="BG38" s="507"/>
      <c r="BH38" s="852">
        <v>0</v>
      </c>
      <c r="BI38" s="504">
        <v>0.6</v>
      </c>
      <c r="BJ38" s="507">
        <f>BI38/646.62800405</f>
        <v>9.2789052784915502E-4</v>
      </c>
      <c r="BK38" s="96"/>
      <c r="BL38" s="96"/>
      <c r="BM38" s="96">
        <v>4</v>
      </c>
      <c r="BN38" s="96"/>
      <c r="BO38" s="96"/>
      <c r="BP38" s="96"/>
      <c r="BQ38" s="96"/>
      <c r="BR38" s="96"/>
      <c r="BS38" s="96"/>
      <c r="BT38" s="96"/>
      <c r="BU38" s="96">
        <v>1</v>
      </c>
      <c r="BV38" s="96">
        <v>2</v>
      </c>
      <c r="BW38" s="96"/>
      <c r="BX38" s="96"/>
      <c r="BY38" s="96"/>
      <c r="BZ38" s="96">
        <v>1</v>
      </c>
      <c r="CA38" s="96"/>
      <c r="CB38" s="96"/>
      <c r="CC38" s="96"/>
      <c r="CD38" s="96"/>
      <c r="CE38" s="96"/>
      <c r="CF38" s="96"/>
      <c r="CG38" s="96"/>
      <c r="CH38" s="96"/>
      <c r="CI38" s="96"/>
      <c r="CJ38" s="96"/>
      <c r="CK38" s="96"/>
      <c r="CL38" s="815">
        <f t="shared" si="2"/>
        <v>4</v>
      </c>
      <c r="CM38" s="824">
        <f t="shared" si="1"/>
        <v>0</v>
      </c>
      <c r="CN38" s="96">
        <v>3.6</v>
      </c>
      <c r="CO38" s="96" t="s">
        <v>6173</v>
      </c>
      <c r="CP38" s="96" t="s">
        <v>5934</v>
      </c>
      <c r="CQ38" s="96" t="s">
        <v>5964</v>
      </c>
      <c r="CR38" s="96">
        <v>28.542000000000002</v>
      </c>
      <c r="CS38" s="96" t="s">
        <v>5934</v>
      </c>
      <c r="CT38" s="96" t="s">
        <v>470</v>
      </c>
      <c r="CU38" s="96"/>
      <c r="CV38" s="96"/>
      <c r="CW38" s="96"/>
      <c r="CX38" s="96"/>
      <c r="CY38" s="96"/>
      <c r="CZ38" s="96"/>
      <c r="DA38" s="96" t="s">
        <v>479</v>
      </c>
      <c r="DB38" s="96" t="s">
        <v>1876</v>
      </c>
      <c r="DC38" s="96" t="s">
        <v>5582</v>
      </c>
      <c r="DD38" s="96" t="s">
        <v>479</v>
      </c>
      <c r="DE38" s="96" t="s">
        <v>5655</v>
      </c>
      <c r="DF38" s="96" t="s">
        <v>5582</v>
      </c>
      <c r="DG38" s="96" t="s">
        <v>470</v>
      </c>
      <c r="DH38" s="96"/>
      <c r="DI38" s="96"/>
      <c r="DJ38" s="96" t="s">
        <v>470</v>
      </c>
      <c r="DK38" s="96"/>
      <c r="DL38" s="96"/>
      <c r="DM38" s="96" t="s">
        <v>470</v>
      </c>
      <c r="DN38" s="96"/>
      <c r="DO38" s="96"/>
      <c r="DP38" s="96" t="s">
        <v>470</v>
      </c>
      <c r="DQ38" s="96"/>
      <c r="DR38" s="96"/>
      <c r="DS38" s="96" t="s">
        <v>470</v>
      </c>
      <c r="DT38" s="96"/>
      <c r="DU38" s="96"/>
      <c r="DV38" s="96" t="s">
        <v>470</v>
      </c>
      <c r="DW38" s="96"/>
      <c r="DX38" s="96"/>
      <c r="DY38" s="96" t="s">
        <v>470</v>
      </c>
      <c r="DZ38" s="96"/>
      <c r="EA38" s="96"/>
      <c r="EB38" s="96" t="s">
        <v>470</v>
      </c>
      <c r="EC38" s="96"/>
      <c r="ED38" s="96"/>
      <c r="EE38" s="96" t="s">
        <v>470</v>
      </c>
      <c r="EF38" s="96"/>
      <c r="EG38" s="96"/>
      <c r="EH38" s="96" t="s">
        <v>470</v>
      </c>
      <c r="EI38" s="96"/>
      <c r="EJ38" s="96"/>
      <c r="EK38" s="96" t="s">
        <v>470</v>
      </c>
      <c r="EL38" s="96"/>
      <c r="EM38" s="96"/>
      <c r="EN38" s="96" t="s">
        <v>470</v>
      </c>
      <c r="EO38" s="96"/>
      <c r="EP38" s="96"/>
      <c r="EQ38" s="96" t="s">
        <v>470</v>
      </c>
      <c r="ER38" s="96"/>
      <c r="ES38" s="96"/>
      <c r="ET38" s="96" t="s">
        <v>470</v>
      </c>
      <c r="EU38" s="96"/>
      <c r="EV38" s="96"/>
      <c r="EW38" s="96"/>
      <c r="EX38" s="96"/>
      <c r="EY38" s="96"/>
      <c r="EZ38" s="96" t="s">
        <v>470</v>
      </c>
      <c r="FA38" s="96"/>
      <c r="FB38" s="96"/>
      <c r="FC38" s="96"/>
      <c r="FD38" s="96"/>
      <c r="FE38" s="96" t="s">
        <v>4864</v>
      </c>
      <c r="FF38" s="96"/>
      <c r="FG38" s="96" t="s">
        <v>470</v>
      </c>
      <c r="FH38" s="96"/>
      <c r="FI38" s="96"/>
      <c r="FJ38" s="96" t="s">
        <v>4557</v>
      </c>
      <c r="FK38" s="96" t="s">
        <v>4318</v>
      </c>
      <c r="FL38" s="96"/>
      <c r="FM38" s="96"/>
      <c r="FN38" s="96"/>
      <c r="FO38" s="96"/>
    </row>
    <row r="39" spans="5:171" ht="104" customHeight="1" x14ac:dyDescent="0.2">
      <c r="E39" s="94" t="s">
        <v>9307</v>
      </c>
      <c r="F39" s="94" t="s">
        <v>9120</v>
      </c>
      <c r="G39" s="198" t="s">
        <v>307</v>
      </c>
      <c r="H39" s="97" t="s">
        <v>385</v>
      </c>
      <c r="I39" s="198"/>
      <c r="J39" s="198" t="s">
        <v>3611</v>
      </c>
      <c r="K39" s="198" t="s">
        <v>3612</v>
      </c>
      <c r="L39" s="578">
        <v>2014</v>
      </c>
      <c r="M39" s="822" t="s">
        <v>3613</v>
      </c>
      <c r="N39" s="822" t="s">
        <v>993</v>
      </c>
      <c r="O39" s="198" t="s">
        <v>3614</v>
      </c>
      <c r="P39" s="198" t="s">
        <v>3615</v>
      </c>
      <c r="Q39" s="198" t="s">
        <v>3616</v>
      </c>
      <c r="R39" s="198" t="s">
        <v>470</v>
      </c>
      <c r="S39" s="198"/>
      <c r="T39" s="198" t="s">
        <v>470</v>
      </c>
      <c r="U39" s="198"/>
      <c r="V39" s="198" t="s">
        <v>470</v>
      </c>
      <c r="W39" s="198"/>
      <c r="X39" s="198" t="s">
        <v>3617</v>
      </c>
      <c r="Y39" s="198" t="s">
        <v>3618</v>
      </c>
      <c r="Z39" s="198"/>
      <c r="AA39" s="198"/>
      <c r="AB39" s="198"/>
      <c r="AC39" s="198"/>
      <c r="AD39" s="198"/>
      <c r="AE39" s="198"/>
      <c r="AF39" s="198"/>
      <c r="AG39" s="198"/>
      <c r="AH39" s="198" t="s">
        <v>3619</v>
      </c>
      <c r="AI39" s="198" t="s">
        <v>3620</v>
      </c>
      <c r="AJ39" s="198" t="s">
        <v>2328</v>
      </c>
      <c r="AK39" s="198" t="s">
        <v>3621</v>
      </c>
      <c r="AL39" s="580">
        <f t="shared" si="0"/>
        <v>70</v>
      </c>
      <c r="AM39" s="504">
        <v>70</v>
      </c>
      <c r="AN39" s="516">
        <v>70</v>
      </c>
      <c r="AO39" s="137">
        <v>1</v>
      </c>
      <c r="AP39" s="137">
        <v>5.9999999999999995E-4</v>
      </c>
      <c r="AQ39" s="504">
        <v>0</v>
      </c>
      <c r="AR39" s="137">
        <v>0</v>
      </c>
      <c r="AS39" s="137"/>
      <c r="AT39" s="520">
        <v>0</v>
      </c>
      <c r="AU39" s="137">
        <v>0</v>
      </c>
      <c r="AV39" s="520">
        <v>0</v>
      </c>
      <c r="AW39" s="137">
        <v>0</v>
      </c>
      <c r="AX39" s="520"/>
      <c r="AY39" s="137">
        <v>0</v>
      </c>
      <c r="AZ39" s="520">
        <v>0</v>
      </c>
      <c r="BA39" s="137">
        <v>0</v>
      </c>
      <c r="BB39" s="198" t="s">
        <v>470</v>
      </c>
      <c r="BC39" s="198" t="s">
        <v>470</v>
      </c>
      <c r="BD39" s="198" t="s">
        <v>470</v>
      </c>
      <c r="BE39" s="198" t="s">
        <v>470</v>
      </c>
      <c r="BF39" s="198"/>
      <c r="BG39" s="198"/>
      <c r="BH39" s="198"/>
      <c r="BI39" s="520">
        <v>70</v>
      </c>
      <c r="BJ39" s="137">
        <v>5.9999999999999995E-4</v>
      </c>
      <c r="BK39" s="83">
        <v>1351</v>
      </c>
      <c r="BL39" s="83">
        <v>1351</v>
      </c>
      <c r="BM39" s="83">
        <v>1070</v>
      </c>
      <c r="BN39" s="83"/>
      <c r="BO39" s="83"/>
      <c r="BP39" s="83">
        <v>9</v>
      </c>
      <c r="BQ39" s="83"/>
      <c r="BR39" s="83"/>
      <c r="BS39" s="83"/>
      <c r="BT39" s="83"/>
      <c r="BU39" s="83"/>
      <c r="BV39" s="83">
        <v>294</v>
      </c>
      <c r="BW39" s="83">
        <v>625</v>
      </c>
      <c r="BX39" s="83">
        <v>142</v>
      </c>
      <c r="BY39" s="83"/>
      <c r="BZ39" s="83"/>
      <c r="CA39" s="83"/>
      <c r="CB39" s="83"/>
      <c r="CC39" s="83"/>
      <c r="CD39" s="83"/>
      <c r="CE39" s="83"/>
      <c r="CF39" s="83"/>
      <c r="CG39" s="83"/>
      <c r="CH39" s="83"/>
      <c r="CI39" s="83"/>
      <c r="CJ39" s="83"/>
      <c r="CK39" s="83"/>
      <c r="CL39" s="824">
        <f t="shared" si="2"/>
        <v>1070</v>
      </c>
      <c r="CM39" s="824">
        <f t="shared" si="1"/>
        <v>0</v>
      </c>
      <c r="CN39" s="580">
        <v>260</v>
      </c>
      <c r="CO39" s="198" t="s">
        <v>3623</v>
      </c>
      <c r="CP39" s="198"/>
      <c r="CQ39" s="137">
        <v>0.2646</v>
      </c>
      <c r="CR39" s="580">
        <v>982.6</v>
      </c>
      <c r="CS39" s="137" t="s">
        <v>3624</v>
      </c>
      <c r="CT39" s="198" t="s">
        <v>479</v>
      </c>
      <c r="CU39" s="198" t="s">
        <v>3625</v>
      </c>
      <c r="CV39" s="198"/>
      <c r="CW39" s="198" t="s">
        <v>3626</v>
      </c>
      <c r="CX39" s="83">
        <v>5</v>
      </c>
      <c r="CY39" s="83">
        <v>0</v>
      </c>
      <c r="CZ39" s="83">
        <v>6</v>
      </c>
      <c r="DA39" s="198" t="s">
        <v>470</v>
      </c>
      <c r="DB39" s="198"/>
      <c r="DC39" s="83"/>
      <c r="DD39" s="198" t="s">
        <v>470</v>
      </c>
      <c r="DE39" s="198"/>
      <c r="DF39" s="83"/>
      <c r="DG39" s="83" t="s">
        <v>470</v>
      </c>
      <c r="DH39" s="83"/>
      <c r="DI39" s="83"/>
      <c r="DJ39" s="83" t="s">
        <v>470</v>
      </c>
      <c r="DK39" s="83"/>
      <c r="DL39" s="83"/>
      <c r="DM39" s="198" t="s">
        <v>470</v>
      </c>
      <c r="DN39" s="198"/>
      <c r="DO39" s="83"/>
      <c r="DP39" s="198" t="s">
        <v>470</v>
      </c>
      <c r="DQ39" s="198"/>
      <c r="DR39" s="83"/>
      <c r="DS39" s="198" t="s">
        <v>470</v>
      </c>
      <c r="DT39" s="198"/>
      <c r="DU39" s="83"/>
      <c r="DV39" s="198" t="s">
        <v>3627</v>
      </c>
      <c r="DW39" s="198" t="s">
        <v>3628</v>
      </c>
      <c r="DX39" s="83">
        <v>1351</v>
      </c>
      <c r="DY39" s="198" t="s">
        <v>470</v>
      </c>
      <c r="DZ39" s="198"/>
      <c r="EA39" s="83"/>
      <c r="EB39" s="198" t="s">
        <v>470</v>
      </c>
      <c r="EC39" s="198"/>
      <c r="ED39" s="83"/>
      <c r="EE39" s="83" t="s">
        <v>470</v>
      </c>
      <c r="EF39" s="83"/>
      <c r="EG39" s="83"/>
      <c r="EH39" s="198" t="s">
        <v>470</v>
      </c>
      <c r="EI39" s="198"/>
      <c r="EJ39" s="83"/>
      <c r="EK39" s="198" t="s">
        <v>470</v>
      </c>
      <c r="EL39" s="198"/>
      <c r="EM39" s="83"/>
      <c r="EN39" s="198" t="s">
        <v>479</v>
      </c>
      <c r="EO39" s="198" t="s">
        <v>3628</v>
      </c>
      <c r="EP39" s="83" t="s">
        <v>3629</v>
      </c>
      <c r="EQ39" s="83" t="s">
        <v>470</v>
      </c>
      <c r="ER39" s="83"/>
      <c r="ES39" s="83"/>
      <c r="ET39" s="198"/>
      <c r="EU39" s="198"/>
      <c r="EV39" s="83"/>
      <c r="EW39" s="137">
        <v>1</v>
      </c>
      <c r="EX39" s="198"/>
      <c r="EY39" s="505">
        <v>248</v>
      </c>
      <c r="EZ39" s="198" t="s">
        <v>470</v>
      </c>
      <c r="FA39" s="198"/>
      <c r="FB39" s="198" t="s">
        <v>3630</v>
      </c>
      <c r="FC39" s="198"/>
      <c r="FD39" s="198"/>
      <c r="FE39" s="198"/>
      <c r="FF39" s="198"/>
      <c r="FG39" s="198"/>
      <c r="FH39" s="198"/>
      <c r="FI39" s="198"/>
      <c r="FJ39" s="198" t="s">
        <v>3631</v>
      </c>
      <c r="FK39" s="198" t="s">
        <v>3632</v>
      </c>
      <c r="FL39" s="549" t="s">
        <v>3633</v>
      </c>
      <c r="FM39" s="198"/>
      <c r="FN39" s="198"/>
      <c r="FO39" s="198"/>
    </row>
    <row r="40" spans="5:171" ht="104" customHeight="1" x14ac:dyDescent="0.2">
      <c r="E40" s="94" t="s">
        <v>9304</v>
      </c>
      <c r="F40" s="94" t="s">
        <v>9120</v>
      </c>
      <c r="G40" s="198" t="s">
        <v>308</v>
      </c>
      <c r="H40" s="198" t="s">
        <v>386</v>
      </c>
      <c r="I40" s="198"/>
      <c r="J40" s="198" t="s">
        <v>840</v>
      </c>
      <c r="K40" s="198" t="s">
        <v>840</v>
      </c>
      <c r="L40" s="578">
        <v>2017</v>
      </c>
      <c r="M40" s="822">
        <v>44562</v>
      </c>
      <c r="N40" s="822">
        <v>44926</v>
      </c>
      <c r="O40" s="198" t="s">
        <v>841</v>
      </c>
      <c r="P40" s="198" t="s">
        <v>842</v>
      </c>
      <c r="Q40" s="844" t="s">
        <v>843</v>
      </c>
      <c r="R40" s="198"/>
      <c r="S40" s="198"/>
      <c r="T40" s="198"/>
      <c r="U40" s="198"/>
      <c r="V40" s="198"/>
      <c r="W40" s="198"/>
      <c r="X40" s="198"/>
      <c r="Y40" s="198"/>
      <c r="Z40" s="198"/>
      <c r="AA40" s="198"/>
      <c r="AB40" s="198"/>
      <c r="AC40" s="198"/>
      <c r="AD40" s="198"/>
      <c r="AE40" s="198"/>
      <c r="AF40" s="198"/>
      <c r="AG40" s="198"/>
      <c r="AH40" s="198" t="s">
        <v>844</v>
      </c>
      <c r="AI40" s="198" t="s">
        <v>844</v>
      </c>
      <c r="AJ40" s="198" t="s">
        <v>504</v>
      </c>
      <c r="AK40" s="198" t="s">
        <v>845</v>
      </c>
      <c r="AL40" s="580">
        <f t="shared" si="0"/>
        <v>852</v>
      </c>
      <c r="AM40" s="504">
        <v>852</v>
      </c>
      <c r="AN40" s="516">
        <v>227.7</v>
      </c>
      <c r="AO40" s="137">
        <f>AN40/AL40</f>
        <v>0.26725352112676054</v>
      </c>
      <c r="AP40" s="137">
        <v>1.9E-3</v>
      </c>
      <c r="AQ40" s="504">
        <v>52.2</v>
      </c>
      <c r="AR40" s="137">
        <f>AQ40/AL40</f>
        <v>6.1267605633802819E-2</v>
      </c>
      <c r="AS40" s="137"/>
      <c r="AT40" s="520">
        <f>8.2+4.7</f>
        <v>12.899999999999999</v>
      </c>
      <c r="AU40" s="137">
        <f>AT40/AL40</f>
        <v>1.5140845070422534E-2</v>
      </c>
      <c r="AV40" s="520"/>
      <c r="AW40" s="137"/>
      <c r="AX40" s="520"/>
      <c r="AY40" s="137"/>
      <c r="AZ40" s="520">
        <v>559.20000000000005</v>
      </c>
      <c r="BA40" s="137">
        <f>AZ40/AL40</f>
        <v>0.6563380281690141</v>
      </c>
      <c r="BB40" s="198" t="s">
        <v>846</v>
      </c>
      <c r="BC40" s="198" t="s">
        <v>847</v>
      </c>
      <c r="BD40" s="198" t="s">
        <v>848</v>
      </c>
      <c r="BE40" s="198" t="s">
        <v>470</v>
      </c>
      <c r="BF40" s="198"/>
      <c r="BG40" s="198"/>
      <c r="BH40" s="198"/>
      <c r="BI40" s="580">
        <v>995.1</v>
      </c>
      <c r="BJ40" s="137">
        <v>8.5000000000000006E-3</v>
      </c>
      <c r="BK40" s="83">
        <v>132</v>
      </c>
      <c r="BL40" s="83">
        <v>132</v>
      </c>
      <c r="BM40" s="83">
        <v>132</v>
      </c>
      <c r="BN40" s="83"/>
      <c r="BO40" s="83"/>
      <c r="BP40" s="83"/>
      <c r="BQ40" s="83"/>
      <c r="BR40" s="83"/>
      <c r="BS40" s="83"/>
      <c r="BT40" s="83"/>
      <c r="BU40" s="83"/>
      <c r="BV40" s="83"/>
      <c r="BW40" s="83">
        <v>89</v>
      </c>
      <c r="BX40" s="83"/>
      <c r="BY40" s="83">
        <v>43</v>
      </c>
      <c r="BZ40" s="83"/>
      <c r="CA40" s="83"/>
      <c r="CB40" s="83"/>
      <c r="CC40" s="83"/>
      <c r="CD40" s="83"/>
      <c r="CE40" s="83"/>
      <c r="CF40" s="83"/>
      <c r="CG40" s="83"/>
      <c r="CH40" s="83"/>
      <c r="CI40" s="83"/>
      <c r="CJ40" s="83"/>
      <c r="CK40" s="83"/>
      <c r="CL40" s="824">
        <f t="shared" si="2"/>
        <v>132</v>
      </c>
      <c r="CM40" s="824">
        <f t="shared" si="1"/>
        <v>0</v>
      </c>
      <c r="CN40" s="580">
        <v>1048.3900000000001</v>
      </c>
      <c r="CO40" s="198" t="s">
        <v>849</v>
      </c>
      <c r="CP40" s="198"/>
      <c r="CQ40" s="137">
        <v>0.79200000000000004</v>
      </c>
      <c r="CR40" s="580">
        <v>1323.6590000000001</v>
      </c>
      <c r="CS40" s="873" t="s">
        <v>850</v>
      </c>
      <c r="CT40" s="198"/>
      <c r="CU40" s="198"/>
      <c r="CV40" s="198"/>
      <c r="CW40" s="198"/>
      <c r="CX40" s="83"/>
      <c r="CY40" s="83">
        <v>761</v>
      </c>
      <c r="CZ40" s="83">
        <v>5</v>
      </c>
      <c r="DA40" s="198" t="s">
        <v>479</v>
      </c>
      <c r="DB40" s="198" t="s">
        <v>851</v>
      </c>
      <c r="DC40" s="83">
        <v>21928</v>
      </c>
      <c r="DD40" s="198" t="s">
        <v>479</v>
      </c>
      <c r="DE40" s="198" t="s">
        <v>852</v>
      </c>
      <c r="DF40" s="83">
        <v>20680</v>
      </c>
      <c r="DG40" s="83"/>
      <c r="DH40" s="83"/>
      <c r="DI40" s="83"/>
      <c r="DJ40" s="83"/>
      <c r="DK40" s="83"/>
      <c r="DL40" s="83"/>
      <c r="DM40" s="198"/>
      <c r="DN40" s="198"/>
      <c r="DO40" s="83"/>
      <c r="DP40" s="198"/>
      <c r="DQ40" s="198"/>
      <c r="DR40" s="83"/>
      <c r="DS40" s="198"/>
      <c r="DT40" s="198"/>
      <c r="DU40" s="83"/>
      <c r="DV40" s="198"/>
      <c r="DW40" s="198"/>
      <c r="DX40" s="83"/>
      <c r="DY40" s="198" t="s">
        <v>479</v>
      </c>
      <c r="DZ40" s="198" t="s">
        <v>853</v>
      </c>
      <c r="EA40" s="83">
        <v>98362</v>
      </c>
      <c r="EB40" s="198"/>
      <c r="EC40" s="198"/>
      <c r="ED40" s="83"/>
      <c r="EE40" s="83"/>
      <c r="EF40" s="83"/>
      <c r="EG40" s="83"/>
      <c r="EH40" s="198"/>
      <c r="EI40" s="198"/>
      <c r="EJ40" s="83"/>
      <c r="EK40" s="198"/>
      <c r="EL40" s="198"/>
      <c r="EM40" s="83"/>
      <c r="EN40" s="198"/>
      <c r="EO40" s="198"/>
      <c r="EP40" s="83"/>
      <c r="EQ40" s="83"/>
      <c r="ER40" s="83"/>
      <c r="ES40" s="83"/>
      <c r="ET40" s="198"/>
      <c r="EU40" s="198"/>
      <c r="EV40" s="83"/>
      <c r="EW40" s="198" t="s">
        <v>854</v>
      </c>
      <c r="EX40" s="198" t="s">
        <v>855</v>
      </c>
      <c r="EY40" s="578">
        <v>31</v>
      </c>
      <c r="EZ40" s="198" t="s">
        <v>470</v>
      </c>
      <c r="FA40" s="198"/>
      <c r="FB40" s="844" t="s">
        <v>856</v>
      </c>
      <c r="FC40" s="198"/>
      <c r="FD40" s="198"/>
      <c r="FE40" s="198"/>
      <c r="FF40" s="198"/>
      <c r="FG40" s="198"/>
      <c r="FH40" s="198"/>
      <c r="FI40" s="198"/>
      <c r="FJ40" s="198" t="s">
        <v>857</v>
      </c>
      <c r="FK40" s="198" t="s">
        <v>858</v>
      </c>
      <c r="FL40" s="844" t="s">
        <v>859</v>
      </c>
      <c r="FM40" s="198" t="s">
        <v>860</v>
      </c>
      <c r="FN40" s="198" t="s">
        <v>861</v>
      </c>
      <c r="FO40" s="844" t="s">
        <v>862</v>
      </c>
    </row>
    <row r="41" spans="5:171" ht="104" customHeight="1" x14ac:dyDescent="0.2">
      <c r="E41" s="94" t="s">
        <v>9303</v>
      </c>
      <c r="F41" s="94" t="s">
        <v>9120</v>
      </c>
      <c r="G41" s="198" t="s">
        <v>308</v>
      </c>
      <c r="H41" s="198" t="s">
        <v>386</v>
      </c>
      <c r="I41" s="198"/>
      <c r="J41" s="198" t="s">
        <v>863</v>
      </c>
      <c r="K41" s="198" t="s">
        <v>539</v>
      </c>
      <c r="L41" s="578">
        <v>2015</v>
      </c>
      <c r="M41" s="822" t="s">
        <v>864</v>
      </c>
      <c r="N41" s="822" t="s">
        <v>865</v>
      </c>
      <c r="O41" s="198" t="s">
        <v>866</v>
      </c>
      <c r="P41" s="198" t="s">
        <v>867</v>
      </c>
      <c r="Q41" s="838" t="s">
        <v>868</v>
      </c>
      <c r="R41" s="198" t="s">
        <v>539</v>
      </c>
      <c r="S41" s="198"/>
      <c r="T41" s="198" t="s">
        <v>539</v>
      </c>
      <c r="U41" s="198"/>
      <c r="V41" s="198" t="s">
        <v>539</v>
      </c>
      <c r="W41" s="198"/>
      <c r="X41" s="198" t="s">
        <v>869</v>
      </c>
      <c r="Y41" s="549" t="s">
        <v>870</v>
      </c>
      <c r="Z41" s="549"/>
      <c r="AA41" s="549"/>
      <c r="AB41" s="549"/>
      <c r="AC41" s="549"/>
      <c r="AD41" s="549"/>
      <c r="AE41" s="549"/>
      <c r="AF41" s="549"/>
      <c r="AG41" s="549"/>
      <c r="AH41" s="198" t="s">
        <v>871</v>
      </c>
      <c r="AI41" s="198" t="s">
        <v>871</v>
      </c>
      <c r="AJ41" s="198" t="s">
        <v>504</v>
      </c>
      <c r="AK41" s="198" t="s">
        <v>872</v>
      </c>
      <c r="AL41" s="580">
        <f t="shared" si="0"/>
        <v>82.090999999999994</v>
      </c>
      <c r="AM41" s="504">
        <v>82.090999999999994</v>
      </c>
      <c r="AN41" s="516">
        <v>52.982999999999997</v>
      </c>
      <c r="AO41" s="137">
        <f>AN41/AL41</f>
        <v>0.64541788990266902</v>
      </c>
      <c r="AP41" s="137">
        <v>6.9999999999999999E-4</v>
      </c>
      <c r="AQ41" s="504">
        <v>3.032</v>
      </c>
      <c r="AR41" s="137">
        <f>AQ41/AL41</f>
        <v>3.6934621334860099E-2</v>
      </c>
      <c r="AS41" s="137"/>
      <c r="AT41" s="520">
        <v>8.0649999999999995</v>
      </c>
      <c r="AU41" s="137">
        <f>AT41/AL41</f>
        <v>9.8244630958326737E-2</v>
      </c>
      <c r="AV41" s="520">
        <v>13.743</v>
      </c>
      <c r="AW41" s="137">
        <f>AV41/AL41</f>
        <v>0.16741177473779101</v>
      </c>
      <c r="AX41" s="520"/>
      <c r="AY41" s="137"/>
      <c r="AZ41" s="520">
        <v>4.2679999999999998</v>
      </c>
      <c r="BA41" s="137">
        <f>AZ41/AL41</f>
        <v>5.1991083066353194E-2</v>
      </c>
      <c r="BB41" s="198" t="s">
        <v>874</v>
      </c>
      <c r="BC41" s="198" t="s">
        <v>875</v>
      </c>
      <c r="BD41" s="198" t="s">
        <v>871</v>
      </c>
      <c r="BE41" s="198" t="s">
        <v>540</v>
      </c>
      <c r="BF41" s="198" t="s">
        <v>876</v>
      </c>
      <c r="BG41" s="198"/>
      <c r="BH41" s="198" t="s">
        <v>877</v>
      </c>
      <c r="BI41" s="823">
        <v>22.512</v>
      </c>
      <c r="BJ41" s="137">
        <v>2.0000000000000001E-4</v>
      </c>
      <c r="BK41" s="83">
        <v>47</v>
      </c>
      <c r="BL41" s="83">
        <v>47</v>
      </c>
      <c r="BM41" s="83">
        <v>47</v>
      </c>
      <c r="BN41" s="83"/>
      <c r="BO41" s="83">
        <v>10</v>
      </c>
      <c r="BP41" s="83">
        <v>2</v>
      </c>
      <c r="BQ41" s="83"/>
      <c r="BR41" s="83"/>
      <c r="BS41" s="83"/>
      <c r="BT41" s="83"/>
      <c r="BU41" s="83"/>
      <c r="BV41" s="83"/>
      <c r="BW41" s="83"/>
      <c r="BX41" s="83">
        <v>10</v>
      </c>
      <c r="BY41" s="83">
        <v>11</v>
      </c>
      <c r="BZ41" s="83"/>
      <c r="CA41" s="83">
        <v>14</v>
      </c>
      <c r="CB41" s="83"/>
      <c r="CC41" s="83"/>
      <c r="CD41" s="83"/>
      <c r="CE41" s="83"/>
      <c r="CF41" s="83"/>
      <c r="CG41" s="83"/>
      <c r="CH41" s="83"/>
      <c r="CI41" s="83"/>
      <c r="CJ41" s="83"/>
      <c r="CK41" s="83"/>
      <c r="CL41" s="824">
        <f t="shared" si="2"/>
        <v>47</v>
      </c>
      <c r="CM41" s="824">
        <f t="shared" si="1"/>
        <v>0</v>
      </c>
      <c r="CN41" s="580">
        <v>30.655999999999999</v>
      </c>
      <c r="CO41" s="198" t="s">
        <v>878</v>
      </c>
      <c r="CP41" s="198"/>
      <c r="CQ41" s="137">
        <f>CN41/CR41</f>
        <v>2.316004348552006E-2</v>
      </c>
      <c r="CR41" s="580">
        <v>1323.6590000000001</v>
      </c>
      <c r="CS41" s="834" t="s">
        <v>850</v>
      </c>
      <c r="CT41" s="198" t="s">
        <v>539</v>
      </c>
      <c r="CU41" s="198"/>
      <c r="CV41" s="198"/>
      <c r="CW41" s="198"/>
      <c r="CX41" s="83"/>
      <c r="CY41" s="83"/>
      <c r="CZ41" s="83">
        <v>1</v>
      </c>
      <c r="DA41" s="198" t="s">
        <v>539</v>
      </c>
      <c r="DB41" s="198"/>
      <c r="DC41" s="83"/>
      <c r="DD41" s="198" t="s">
        <v>539</v>
      </c>
      <c r="DE41" s="198"/>
      <c r="DF41" s="83"/>
      <c r="DG41" s="83" t="s">
        <v>539</v>
      </c>
      <c r="DH41" s="83"/>
      <c r="DI41" s="83"/>
      <c r="DJ41" s="83" t="s">
        <v>539</v>
      </c>
      <c r="DK41" s="83"/>
      <c r="DL41" s="83"/>
      <c r="DM41" s="198" t="s">
        <v>539</v>
      </c>
      <c r="DN41" s="198"/>
      <c r="DO41" s="83"/>
      <c r="DP41" s="198" t="s">
        <v>539</v>
      </c>
      <c r="DQ41" s="198"/>
      <c r="DR41" s="83"/>
      <c r="DS41" s="198" t="s">
        <v>539</v>
      </c>
      <c r="DT41" s="198"/>
      <c r="DU41" s="83"/>
      <c r="DV41" s="198" t="s">
        <v>879</v>
      </c>
      <c r="DW41" s="198" t="s">
        <v>880</v>
      </c>
      <c r="DX41" s="83">
        <v>28724</v>
      </c>
      <c r="DY41" s="198" t="s">
        <v>539</v>
      </c>
      <c r="DZ41" s="198"/>
      <c r="EA41" s="83"/>
      <c r="EB41" s="198" t="s">
        <v>540</v>
      </c>
      <c r="EC41" s="83" t="s">
        <v>880</v>
      </c>
      <c r="ED41" s="83">
        <v>28724</v>
      </c>
      <c r="EE41" s="83" t="s">
        <v>539</v>
      </c>
      <c r="EF41" s="83"/>
      <c r="EG41" s="83"/>
      <c r="EH41" s="198" t="s">
        <v>539</v>
      </c>
      <c r="EI41" s="198"/>
      <c r="EJ41" s="83"/>
      <c r="EK41" s="198" t="s">
        <v>539</v>
      </c>
      <c r="EL41" s="198"/>
      <c r="EM41" s="83"/>
      <c r="EN41" s="198" t="s">
        <v>539</v>
      </c>
      <c r="EO41" s="198"/>
      <c r="EP41" s="83"/>
      <c r="EQ41" s="83" t="s">
        <v>539</v>
      </c>
      <c r="ER41" s="83"/>
      <c r="ES41" s="83"/>
      <c r="ET41" s="198"/>
      <c r="EU41" s="198"/>
      <c r="EV41" s="83"/>
      <c r="EW41" s="198" t="s">
        <v>881</v>
      </c>
      <c r="EX41" s="198" t="s">
        <v>882</v>
      </c>
      <c r="EY41" s="83">
        <v>30</v>
      </c>
      <c r="EZ41" s="198" t="s">
        <v>539</v>
      </c>
      <c r="FA41" s="198"/>
      <c r="FB41" s="549" t="s">
        <v>870</v>
      </c>
      <c r="FC41" s="198"/>
      <c r="FD41" s="198"/>
      <c r="FE41" s="198" t="s">
        <v>883</v>
      </c>
      <c r="FF41" s="198"/>
      <c r="FG41" s="198" t="s">
        <v>539</v>
      </c>
      <c r="FH41" s="198"/>
      <c r="FI41" s="198"/>
      <c r="FJ41" s="198" t="s">
        <v>884</v>
      </c>
      <c r="FK41" s="198" t="s">
        <v>885</v>
      </c>
      <c r="FL41" s="549" t="s">
        <v>886</v>
      </c>
      <c r="FM41" s="198" t="s">
        <v>887</v>
      </c>
      <c r="FN41" s="198" t="s">
        <v>888</v>
      </c>
      <c r="FO41" s="198" t="s">
        <v>889</v>
      </c>
    </row>
    <row r="42" spans="5:171" ht="104" customHeight="1" x14ac:dyDescent="0.2">
      <c r="E42" s="94" t="s">
        <v>9308</v>
      </c>
      <c r="F42" s="94" t="s">
        <v>9120</v>
      </c>
      <c r="G42" s="198" t="s">
        <v>308</v>
      </c>
      <c r="H42" s="198" t="s">
        <v>386</v>
      </c>
      <c r="I42" s="198"/>
      <c r="J42" s="198" t="s">
        <v>890</v>
      </c>
      <c r="K42" s="198" t="s">
        <v>891</v>
      </c>
      <c r="L42" s="578">
        <v>2013</v>
      </c>
      <c r="M42" s="822" t="s">
        <v>578</v>
      </c>
      <c r="N42" s="822" t="s">
        <v>892</v>
      </c>
      <c r="O42" s="198" t="s">
        <v>893</v>
      </c>
      <c r="P42" s="198" t="s">
        <v>894</v>
      </c>
      <c r="Q42" s="844" t="s">
        <v>895</v>
      </c>
      <c r="R42" s="198"/>
      <c r="S42" s="198"/>
      <c r="T42" s="198" t="s">
        <v>896</v>
      </c>
      <c r="U42" s="198" t="s">
        <v>897</v>
      </c>
      <c r="V42" s="198" t="s">
        <v>898</v>
      </c>
      <c r="W42" s="198"/>
      <c r="X42" s="198"/>
      <c r="Y42" s="198"/>
      <c r="Z42" s="198"/>
      <c r="AA42" s="198"/>
      <c r="AB42" s="198"/>
      <c r="AC42" s="198"/>
      <c r="AD42" s="198"/>
      <c r="AE42" s="198"/>
      <c r="AF42" s="198"/>
      <c r="AG42" s="198"/>
      <c r="AH42" s="198" t="s">
        <v>899</v>
      </c>
      <c r="AI42" s="198" t="s">
        <v>899</v>
      </c>
      <c r="AJ42" s="198" t="s">
        <v>900</v>
      </c>
      <c r="AK42" s="198" t="s">
        <v>901</v>
      </c>
      <c r="AL42" s="580">
        <f t="shared" si="0"/>
        <v>167.43259999999998</v>
      </c>
      <c r="AM42" s="504">
        <v>167.43259999999998</v>
      </c>
      <c r="AN42" s="516">
        <v>83.7166</v>
      </c>
      <c r="AO42" s="137">
        <v>0.5</v>
      </c>
      <c r="AP42" s="137">
        <v>6.9999999999999999E-4</v>
      </c>
      <c r="AQ42" s="504"/>
      <c r="AR42" s="137"/>
      <c r="AS42" s="137"/>
      <c r="AT42" s="520">
        <v>65.025999999999996</v>
      </c>
      <c r="AU42" s="137">
        <v>0.38800000000000001</v>
      </c>
      <c r="AV42" s="520">
        <v>18.690000000000001</v>
      </c>
      <c r="AW42" s="137">
        <v>0.112</v>
      </c>
      <c r="AX42" s="520"/>
      <c r="AY42" s="137"/>
      <c r="AZ42" s="520"/>
      <c r="BA42" s="137"/>
      <c r="BB42" s="198"/>
      <c r="BC42" s="198"/>
      <c r="BD42" s="198"/>
      <c r="BE42" s="198" t="s">
        <v>470</v>
      </c>
      <c r="BF42" s="198"/>
      <c r="BG42" s="198"/>
      <c r="BH42" s="198"/>
      <c r="BI42" s="198">
        <v>80.03</v>
      </c>
      <c r="BJ42" s="137">
        <v>6.9999999999999999E-4</v>
      </c>
      <c r="BK42" s="83">
        <v>225</v>
      </c>
      <c r="BL42" s="83">
        <v>225</v>
      </c>
      <c r="BM42" s="83" t="s">
        <v>902</v>
      </c>
      <c r="BN42" s="83">
        <v>17</v>
      </c>
      <c r="BO42" s="83">
        <v>43</v>
      </c>
      <c r="BP42" s="83">
        <v>18</v>
      </c>
      <c r="BQ42" s="83"/>
      <c r="BR42" s="83"/>
      <c r="BS42" s="83">
        <v>13</v>
      </c>
      <c r="BT42" s="83"/>
      <c r="BU42" s="83"/>
      <c r="BV42" s="83">
        <v>4</v>
      </c>
      <c r="BW42" s="83"/>
      <c r="BX42" s="83">
        <v>35</v>
      </c>
      <c r="BY42" s="83">
        <v>54</v>
      </c>
      <c r="BZ42" s="83">
        <v>12</v>
      </c>
      <c r="CA42" s="83">
        <v>6</v>
      </c>
      <c r="CB42" s="83"/>
      <c r="CC42" s="83"/>
      <c r="CD42" s="83">
        <v>14</v>
      </c>
      <c r="CE42" s="83">
        <v>2</v>
      </c>
      <c r="CF42" s="83"/>
      <c r="CG42" s="83"/>
      <c r="CH42" s="83"/>
      <c r="CI42" s="83"/>
      <c r="CJ42" s="83"/>
      <c r="CK42" s="83">
        <v>7</v>
      </c>
      <c r="CL42" s="824">
        <f t="shared" si="2"/>
        <v>225</v>
      </c>
      <c r="CM42" s="824">
        <f t="shared" si="1"/>
        <v>0</v>
      </c>
      <c r="CN42" s="580">
        <v>475.12700000000001</v>
      </c>
      <c r="CO42" s="198" t="s">
        <v>903</v>
      </c>
      <c r="CP42" s="198"/>
      <c r="CQ42" s="137">
        <v>0.36099999999999999</v>
      </c>
      <c r="CR42" s="580">
        <v>1323.6590000000001</v>
      </c>
      <c r="CS42" s="873" t="s">
        <v>850</v>
      </c>
      <c r="CT42" s="198" t="s">
        <v>470</v>
      </c>
      <c r="CU42" s="198"/>
      <c r="CV42" s="198"/>
      <c r="CW42" s="198"/>
      <c r="CX42" s="83"/>
      <c r="CY42" s="83"/>
      <c r="CZ42" s="83">
        <v>3</v>
      </c>
      <c r="DA42" s="198"/>
      <c r="DB42" s="198"/>
      <c r="DC42" s="83"/>
      <c r="DD42" s="198" t="s">
        <v>479</v>
      </c>
      <c r="DE42" s="198" t="s">
        <v>904</v>
      </c>
      <c r="DF42" s="83">
        <v>6842</v>
      </c>
      <c r="DG42" s="83"/>
      <c r="DH42" s="83"/>
      <c r="DI42" s="83"/>
      <c r="DJ42" s="83"/>
      <c r="DK42" s="83"/>
      <c r="DL42" s="83"/>
      <c r="DM42" s="198"/>
      <c r="DN42" s="198"/>
      <c r="DO42" s="83"/>
      <c r="DP42" s="198"/>
      <c r="DQ42" s="198"/>
      <c r="DR42" s="83"/>
      <c r="DS42" s="198"/>
      <c r="DT42" s="198"/>
      <c r="DU42" s="83"/>
      <c r="DV42" s="198"/>
      <c r="DW42" s="198"/>
      <c r="DX42" s="83"/>
      <c r="DY42" s="198" t="s">
        <v>470</v>
      </c>
      <c r="DZ42" s="198"/>
      <c r="EA42" s="83"/>
      <c r="EB42" s="198" t="s">
        <v>479</v>
      </c>
      <c r="EC42" s="198" t="s">
        <v>905</v>
      </c>
      <c r="ED42" s="83">
        <v>6842</v>
      </c>
      <c r="EE42" s="83"/>
      <c r="EF42" s="83"/>
      <c r="EG42" s="83"/>
      <c r="EH42" s="198"/>
      <c r="EI42" s="198"/>
      <c r="EJ42" s="83"/>
      <c r="EK42" s="198"/>
      <c r="EL42" s="198"/>
      <c r="EM42" s="83"/>
      <c r="EN42" s="198"/>
      <c r="EO42" s="198"/>
      <c r="EP42" s="83"/>
      <c r="EQ42" s="83"/>
      <c r="ER42" s="83"/>
      <c r="ES42" s="83"/>
      <c r="ET42" s="198"/>
      <c r="EU42" s="198"/>
      <c r="EV42" s="83"/>
      <c r="EW42" s="837">
        <v>1</v>
      </c>
      <c r="EX42" s="198"/>
      <c r="EY42" s="505">
        <v>80</v>
      </c>
      <c r="EZ42" s="198" t="s">
        <v>470</v>
      </c>
      <c r="FA42" s="198"/>
      <c r="FB42" s="844" t="s">
        <v>895</v>
      </c>
      <c r="FC42" s="198"/>
      <c r="FD42" s="198"/>
      <c r="FE42" s="198"/>
      <c r="FF42" s="198"/>
      <c r="FG42" s="198" t="s">
        <v>470</v>
      </c>
      <c r="FH42" s="198"/>
      <c r="FI42" s="198"/>
      <c r="FJ42" s="198" t="s">
        <v>906</v>
      </c>
      <c r="FK42" s="198" t="s">
        <v>907</v>
      </c>
      <c r="FL42" s="844" t="s">
        <v>908</v>
      </c>
      <c r="FM42" s="198"/>
      <c r="FN42" s="198"/>
      <c r="FO42" s="198"/>
    </row>
    <row r="43" spans="5:171" ht="104" customHeight="1" x14ac:dyDescent="0.2">
      <c r="E43" s="94" t="s">
        <v>9308</v>
      </c>
      <c r="F43" s="94" t="s">
        <v>9121</v>
      </c>
      <c r="G43" s="97" t="s">
        <v>308</v>
      </c>
      <c r="H43" s="97" t="s">
        <v>386</v>
      </c>
      <c r="I43" s="97" t="s">
        <v>8863</v>
      </c>
      <c r="J43" s="97" t="s">
        <v>8604</v>
      </c>
      <c r="K43" s="97" t="s">
        <v>656</v>
      </c>
      <c r="L43" s="502">
        <v>2019</v>
      </c>
      <c r="M43" s="841" t="s">
        <v>8329</v>
      </c>
      <c r="N43" s="841" t="s">
        <v>8259</v>
      </c>
      <c r="O43" s="841"/>
      <c r="P43" s="841"/>
      <c r="Q43" s="841"/>
      <c r="R43" s="841"/>
      <c r="S43" s="841"/>
      <c r="T43" s="841"/>
      <c r="U43" s="841"/>
      <c r="V43" s="841"/>
      <c r="W43" s="841"/>
      <c r="X43" s="841"/>
      <c r="Y43" s="841"/>
      <c r="Z43" s="97" t="s">
        <v>8182</v>
      </c>
      <c r="AA43" s="506" t="s">
        <v>8004</v>
      </c>
      <c r="AB43" s="97"/>
      <c r="AC43" s="97"/>
      <c r="AD43" s="97"/>
      <c r="AE43" s="97"/>
      <c r="AF43" s="97"/>
      <c r="AG43" s="97"/>
      <c r="AH43" s="97" t="s">
        <v>7036</v>
      </c>
      <c r="AI43" s="97" t="s">
        <v>6900</v>
      </c>
      <c r="AJ43" s="97" t="s">
        <v>6752</v>
      </c>
      <c r="AK43" s="97" t="s">
        <v>6605</v>
      </c>
      <c r="AL43" s="580">
        <f t="shared" si="0"/>
        <v>0.36</v>
      </c>
      <c r="AM43" s="504">
        <v>0.36</v>
      </c>
      <c r="AN43" s="516"/>
      <c r="AO43" s="97"/>
      <c r="AP43" s="97"/>
      <c r="AQ43" s="504">
        <v>0.36</v>
      </c>
      <c r="AR43" s="507">
        <v>1</v>
      </c>
      <c r="AS43" s="507">
        <v>2.0000000000000001E-4</v>
      </c>
      <c r="AT43" s="516">
        <v>0</v>
      </c>
      <c r="AU43" s="507">
        <v>0</v>
      </c>
      <c r="AV43" s="516">
        <v>0</v>
      </c>
      <c r="AW43" s="507">
        <v>0</v>
      </c>
      <c r="AX43" s="516"/>
      <c r="AY43" s="507">
        <v>0</v>
      </c>
      <c r="AZ43" s="516"/>
      <c r="BA43" s="507"/>
      <c r="BB43" s="507"/>
      <c r="BC43" s="507"/>
      <c r="BD43" s="507"/>
      <c r="BE43" s="507" t="s">
        <v>470</v>
      </c>
      <c r="BF43" s="507"/>
      <c r="BG43" s="507"/>
      <c r="BH43" s="852"/>
      <c r="BI43" s="504">
        <v>0</v>
      </c>
      <c r="BJ43" s="507">
        <v>0</v>
      </c>
      <c r="BK43" s="96">
        <v>4</v>
      </c>
      <c r="BL43" s="96">
        <v>4</v>
      </c>
      <c r="BM43" s="96">
        <v>4</v>
      </c>
      <c r="BN43" s="96">
        <v>1</v>
      </c>
      <c r="BO43" s="96"/>
      <c r="BP43" s="96">
        <v>2</v>
      </c>
      <c r="BQ43" s="96"/>
      <c r="BR43" s="96"/>
      <c r="BS43" s="96"/>
      <c r="BT43" s="96"/>
      <c r="BU43" s="96"/>
      <c r="BV43" s="96"/>
      <c r="BW43" s="96"/>
      <c r="BX43" s="96"/>
      <c r="BY43" s="96">
        <v>1</v>
      </c>
      <c r="BZ43" s="96"/>
      <c r="CA43" s="96"/>
      <c r="CB43" s="96"/>
      <c r="CC43" s="96"/>
      <c r="CD43" s="96"/>
      <c r="CE43" s="96"/>
      <c r="CF43" s="96"/>
      <c r="CG43" s="96"/>
      <c r="CH43" s="96"/>
      <c r="CI43" s="96"/>
      <c r="CJ43" s="96"/>
      <c r="CK43" s="96"/>
      <c r="CL43" s="815">
        <f t="shared" si="2"/>
        <v>4</v>
      </c>
      <c r="CM43" s="824">
        <f t="shared" si="1"/>
        <v>0</v>
      </c>
      <c r="CN43" s="504">
        <v>1.1659999999999999</v>
      </c>
      <c r="CO43" s="97" t="s">
        <v>6172</v>
      </c>
      <c r="CP43" s="97"/>
      <c r="CQ43" s="97"/>
      <c r="CR43" s="504">
        <v>35.731000000000002</v>
      </c>
      <c r="CS43" s="507" t="s">
        <v>5933</v>
      </c>
      <c r="CT43" s="97" t="s">
        <v>470</v>
      </c>
      <c r="CU43" s="97"/>
      <c r="CV43" s="97"/>
      <c r="CW43" s="97"/>
      <c r="CX43" s="96"/>
      <c r="CY43" s="96"/>
      <c r="CZ43" s="96">
        <v>3</v>
      </c>
      <c r="DA43" s="97" t="s">
        <v>470</v>
      </c>
      <c r="DB43" s="97"/>
      <c r="DC43" s="96"/>
      <c r="DD43" s="97" t="s">
        <v>479</v>
      </c>
      <c r="DE43" s="97" t="s">
        <v>726</v>
      </c>
      <c r="DF43" s="96">
        <v>28</v>
      </c>
      <c r="DG43" s="96" t="s">
        <v>470</v>
      </c>
      <c r="DH43" s="96"/>
      <c r="DI43" s="96"/>
      <c r="DJ43" s="96" t="s">
        <v>470</v>
      </c>
      <c r="DK43" s="96"/>
      <c r="DL43" s="96"/>
      <c r="DM43" s="97" t="s">
        <v>470</v>
      </c>
      <c r="DN43" s="97"/>
      <c r="DO43" s="96"/>
      <c r="DP43" s="97" t="s">
        <v>470</v>
      </c>
      <c r="DQ43" s="97"/>
      <c r="DR43" s="96"/>
      <c r="DS43" s="97" t="s">
        <v>470</v>
      </c>
      <c r="DT43" s="97"/>
      <c r="DU43" s="96"/>
      <c r="DV43" s="97"/>
      <c r="DW43" s="97"/>
      <c r="DX43" s="96"/>
      <c r="DY43" s="97" t="s">
        <v>470</v>
      </c>
      <c r="DZ43" s="97"/>
      <c r="EA43" s="96"/>
      <c r="EB43" s="97" t="s">
        <v>479</v>
      </c>
      <c r="EC43" s="97" t="s">
        <v>726</v>
      </c>
      <c r="ED43" s="96">
        <v>28</v>
      </c>
      <c r="EE43" s="96" t="s">
        <v>470</v>
      </c>
      <c r="EF43" s="96"/>
      <c r="EG43" s="96"/>
      <c r="EH43" s="97" t="s">
        <v>470</v>
      </c>
      <c r="EI43" s="97"/>
      <c r="EJ43" s="96"/>
      <c r="EK43" s="97" t="s">
        <v>470</v>
      </c>
      <c r="EL43" s="97"/>
      <c r="EM43" s="96"/>
      <c r="EN43" s="97" t="s">
        <v>470</v>
      </c>
      <c r="EO43" s="97"/>
      <c r="EP43" s="96"/>
      <c r="EQ43" s="96" t="s">
        <v>470</v>
      </c>
      <c r="ER43" s="96"/>
      <c r="ES43" s="96"/>
      <c r="ET43" s="97"/>
      <c r="EU43" s="97"/>
      <c r="EV43" s="96"/>
      <c r="EW43" s="96"/>
      <c r="EX43" s="96"/>
      <c r="EY43" s="96"/>
      <c r="EZ43" s="97" t="s">
        <v>470</v>
      </c>
      <c r="FA43" s="97"/>
      <c r="FB43" s="97"/>
      <c r="FC43" s="97"/>
      <c r="FD43" s="97"/>
      <c r="FE43" s="97"/>
      <c r="FF43" s="97"/>
      <c r="FG43" s="97"/>
      <c r="FH43" s="97"/>
      <c r="FI43" s="97"/>
      <c r="FJ43" s="97" t="s">
        <v>4556</v>
      </c>
      <c r="FK43" s="97" t="s">
        <v>4317</v>
      </c>
      <c r="FL43" s="506" t="s">
        <v>4138</v>
      </c>
      <c r="FM43" s="97" t="s">
        <v>906</v>
      </c>
      <c r="FN43" s="97" t="s">
        <v>907</v>
      </c>
      <c r="FO43" s="506" t="s">
        <v>908</v>
      </c>
    </row>
    <row r="44" spans="5:171" ht="104" customHeight="1" x14ac:dyDescent="0.2">
      <c r="E44" s="94" t="s">
        <v>9305</v>
      </c>
      <c r="F44" s="94" t="s">
        <v>9121</v>
      </c>
      <c r="G44" s="97" t="s">
        <v>308</v>
      </c>
      <c r="H44" s="97" t="s">
        <v>386</v>
      </c>
      <c r="I44" s="97" t="s">
        <v>8862</v>
      </c>
      <c r="J44" s="97" t="s">
        <v>8603</v>
      </c>
      <c r="K44" s="97" t="s">
        <v>5242</v>
      </c>
      <c r="L44" s="502">
        <v>2022</v>
      </c>
      <c r="M44" s="841" t="s">
        <v>8328</v>
      </c>
      <c r="N44" s="841" t="s">
        <v>8258</v>
      </c>
      <c r="O44" s="841"/>
      <c r="P44" s="841"/>
      <c r="Q44" s="841"/>
      <c r="R44" s="841"/>
      <c r="S44" s="841"/>
      <c r="T44" s="841"/>
      <c r="U44" s="841"/>
      <c r="V44" s="841"/>
      <c r="W44" s="841"/>
      <c r="X44" s="841"/>
      <c r="Y44" s="841"/>
      <c r="Z44" s="97" t="s">
        <v>8181</v>
      </c>
      <c r="AA44" s="506" t="s">
        <v>8003</v>
      </c>
      <c r="AB44" s="97" t="s">
        <v>7889</v>
      </c>
      <c r="AC44" s="506" t="s">
        <v>7694</v>
      </c>
      <c r="AD44" s="97" t="s">
        <v>7567</v>
      </c>
      <c r="AE44" s="506" t="s">
        <v>7352</v>
      </c>
      <c r="AF44" s="97"/>
      <c r="AG44" s="97"/>
      <c r="AH44" s="97" t="s">
        <v>7035</v>
      </c>
      <c r="AI44" s="97" t="s">
        <v>6899</v>
      </c>
      <c r="AJ44" s="97" t="s">
        <v>6751</v>
      </c>
      <c r="AK44" s="97" t="s">
        <v>6604</v>
      </c>
      <c r="AL44" s="580">
        <f t="shared" si="0"/>
        <v>0.204788</v>
      </c>
      <c r="AM44" s="504">
        <v>0.204788</v>
      </c>
      <c r="AN44" s="516"/>
      <c r="AO44" s="97"/>
      <c r="AP44" s="97"/>
      <c r="AQ44" s="504">
        <v>0.19864299999999999</v>
      </c>
      <c r="AR44" s="507">
        <v>0.97</v>
      </c>
      <c r="AS44" s="507">
        <v>2.0000000000000001E-4</v>
      </c>
      <c r="AT44" s="516">
        <v>6.1450000000000003E-3</v>
      </c>
      <c r="AU44" s="507">
        <v>0.03</v>
      </c>
      <c r="AV44" s="516">
        <v>0</v>
      </c>
      <c r="AW44" s="507">
        <v>0</v>
      </c>
      <c r="AX44" s="516"/>
      <c r="AY44" s="507"/>
      <c r="AZ44" s="516"/>
      <c r="BA44" s="507"/>
      <c r="BB44" s="507"/>
      <c r="BC44" s="507"/>
      <c r="BD44" s="507"/>
      <c r="BE44" s="507" t="s">
        <v>470</v>
      </c>
      <c r="BF44" s="507"/>
      <c r="BG44" s="507"/>
      <c r="BH44" s="852"/>
      <c r="BI44" s="504">
        <v>0</v>
      </c>
      <c r="BJ44" s="507">
        <v>0</v>
      </c>
      <c r="BK44" s="96">
        <v>1</v>
      </c>
      <c r="BL44" s="96">
        <v>1</v>
      </c>
      <c r="BM44" s="96">
        <v>1</v>
      </c>
      <c r="BN44" s="96"/>
      <c r="BO44" s="96">
        <v>1</v>
      </c>
      <c r="BP44" s="96"/>
      <c r="BQ44" s="96"/>
      <c r="BR44" s="96"/>
      <c r="BS44" s="96"/>
      <c r="BT44" s="96"/>
      <c r="BU44" s="96"/>
      <c r="BV44" s="96"/>
      <c r="BW44" s="96"/>
      <c r="BX44" s="96"/>
      <c r="BY44" s="96"/>
      <c r="BZ44" s="96"/>
      <c r="CA44" s="96"/>
      <c r="CB44" s="96"/>
      <c r="CC44" s="96"/>
      <c r="CD44" s="96"/>
      <c r="CE44" s="96"/>
      <c r="CF44" s="96"/>
      <c r="CG44" s="96"/>
      <c r="CH44" s="96"/>
      <c r="CI44" s="96"/>
      <c r="CJ44" s="96"/>
      <c r="CK44" s="96"/>
      <c r="CL44" s="815">
        <f t="shared" si="2"/>
        <v>1</v>
      </c>
      <c r="CM44" s="824">
        <f t="shared" si="1"/>
        <v>0</v>
      </c>
      <c r="CN44" s="504">
        <v>0.15</v>
      </c>
      <c r="CO44" s="97" t="s">
        <v>6171</v>
      </c>
      <c r="CP44" s="97" t="s">
        <v>6004</v>
      </c>
      <c r="CQ44" s="97">
        <v>3.3</v>
      </c>
      <c r="CR44" s="504">
        <v>4.5369999999999999</v>
      </c>
      <c r="CS44" s="874" t="s">
        <v>850</v>
      </c>
      <c r="CT44" s="97" t="s">
        <v>470</v>
      </c>
      <c r="CU44" s="97"/>
      <c r="CV44" s="97"/>
      <c r="CW44" s="97"/>
      <c r="CX44" s="96"/>
      <c r="CY44" s="96"/>
      <c r="CZ44" s="96">
        <v>2</v>
      </c>
      <c r="DA44" s="97" t="s">
        <v>5738</v>
      </c>
      <c r="DB44" s="97"/>
      <c r="DC44" s="96"/>
      <c r="DD44" s="97" t="s">
        <v>479</v>
      </c>
      <c r="DE44" s="97" t="s">
        <v>5435</v>
      </c>
      <c r="DF44" s="96">
        <v>15</v>
      </c>
      <c r="DG44" s="96"/>
      <c r="DH44" s="96"/>
      <c r="DI44" s="96"/>
      <c r="DJ44" s="96"/>
      <c r="DK44" s="96"/>
      <c r="DL44" s="96"/>
      <c r="DM44" s="97"/>
      <c r="DN44" s="97"/>
      <c r="DO44" s="96"/>
      <c r="DP44" s="97"/>
      <c r="DQ44" s="97"/>
      <c r="DR44" s="96"/>
      <c r="DS44" s="97"/>
      <c r="DT44" s="97"/>
      <c r="DU44" s="96"/>
      <c r="DV44" s="97"/>
      <c r="DW44" s="97"/>
      <c r="DX44" s="96"/>
      <c r="DY44" s="97"/>
      <c r="DZ44" s="97"/>
      <c r="EA44" s="96"/>
      <c r="EB44" s="97" t="s">
        <v>689</v>
      </c>
      <c r="EC44" s="97" t="s">
        <v>5435</v>
      </c>
      <c r="ED44" s="96">
        <v>15</v>
      </c>
      <c r="EE44" s="96"/>
      <c r="EF44" s="96"/>
      <c r="EG44" s="96"/>
      <c r="EH44" s="97"/>
      <c r="EI44" s="97"/>
      <c r="EJ44" s="96"/>
      <c r="EK44" s="97"/>
      <c r="EL44" s="97"/>
      <c r="EM44" s="96"/>
      <c r="EN44" s="97"/>
      <c r="EO44" s="97"/>
      <c r="EP44" s="96"/>
      <c r="EQ44" s="96"/>
      <c r="ER44" s="96"/>
      <c r="ES44" s="96"/>
      <c r="ET44" s="97"/>
      <c r="EU44" s="97"/>
      <c r="EV44" s="96"/>
      <c r="EW44" s="96"/>
      <c r="EX44" s="96"/>
      <c r="EY44" s="96"/>
      <c r="EZ44" s="97" t="s">
        <v>470</v>
      </c>
      <c r="FA44" s="97"/>
      <c r="FB44" s="97"/>
      <c r="FC44" s="97"/>
      <c r="FD44" s="97"/>
      <c r="FE44" s="97"/>
      <c r="FF44" s="97"/>
      <c r="FG44" s="97"/>
      <c r="FH44" s="97"/>
      <c r="FI44" s="97"/>
      <c r="FJ44" s="97" t="s">
        <v>4555</v>
      </c>
      <c r="FK44" s="97">
        <v>84923521037</v>
      </c>
      <c r="FL44" s="97" t="s">
        <v>4137</v>
      </c>
      <c r="FM44" s="97" t="s">
        <v>906</v>
      </c>
      <c r="FN44" s="97" t="s">
        <v>907</v>
      </c>
      <c r="FO44" s="506" t="s">
        <v>908</v>
      </c>
    </row>
    <row r="45" spans="5:171" ht="104" customHeight="1" x14ac:dyDescent="0.2">
      <c r="E45" s="94" t="s">
        <v>9305</v>
      </c>
      <c r="F45" s="94" t="s">
        <v>9121</v>
      </c>
      <c r="G45" s="97" t="s">
        <v>308</v>
      </c>
      <c r="H45" s="97" t="s">
        <v>386</v>
      </c>
      <c r="I45" s="97" t="s">
        <v>8861</v>
      </c>
      <c r="J45" s="97" t="s">
        <v>8602</v>
      </c>
      <c r="K45" s="97" t="s">
        <v>8438</v>
      </c>
      <c r="L45" s="502">
        <v>2022</v>
      </c>
      <c r="M45" s="841">
        <v>44601</v>
      </c>
      <c r="N45" s="841">
        <v>44909</v>
      </c>
      <c r="O45" s="841"/>
      <c r="P45" s="841"/>
      <c r="Q45" s="841"/>
      <c r="R45" s="841"/>
      <c r="S45" s="841"/>
      <c r="T45" s="841"/>
      <c r="U45" s="841"/>
      <c r="V45" s="841"/>
      <c r="W45" s="841"/>
      <c r="X45" s="841"/>
      <c r="Y45" s="841"/>
      <c r="Z45" s="97" t="s">
        <v>8180</v>
      </c>
      <c r="AA45" s="849" t="s">
        <v>8002</v>
      </c>
      <c r="AB45" s="97" t="s">
        <v>7888</v>
      </c>
      <c r="AC45" s="849" t="s">
        <v>7693</v>
      </c>
      <c r="AD45" s="97" t="s">
        <v>7566</v>
      </c>
      <c r="AE45" s="849" t="s">
        <v>7351</v>
      </c>
      <c r="AF45" s="97"/>
      <c r="AG45" s="97"/>
      <c r="AH45" s="97" t="s">
        <v>6603</v>
      </c>
      <c r="AI45" s="97" t="s">
        <v>6603</v>
      </c>
      <c r="AJ45" s="97" t="s">
        <v>6750</v>
      </c>
      <c r="AK45" s="97" t="s">
        <v>6603</v>
      </c>
      <c r="AL45" s="580">
        <f t="shared" si="0"/>
        <v>0.49031639999999999</v>
      </c>
      <c r="AM45" s="504">
        <v>0.49031639999999999</v>
      </c>
      <c r="AN45" s="516"/>
      <c r="AO45" s="97"/>
      <c r="AP45" s="97"/>
      <c r="AQ45" s="504">
        <v>0.49031639999999999</v>
      </c>
      <c r="AR45" s="507">
        <v>1</v>
      </c>
      <c r="AS45" s="507">
        <v>1.7000000000000001E-4</v>
      </c>
      <c r="AT45" s="516">
        <v>0</v>
      </c>
      <c r="AU45" s="507">
        <v>0</v>
      </c>
      <c r="AV45" s="516">
        <v>0</v>
      </c>
      <c r="AW45" s="507">
        <v>0</v>
      </c>
      <c r="AX45" s="516"/>
      <c r="AY45" s="507">
        <v>0</v>
      </c>
      <c r="AZ45" s="516"/>
      <c r="BA45" s="507"/>
      <c r="BB45" s="507"/>
      <c r="BC45" s="507"/>
      <c r="BD45" s="507"/>
      <c r="BE45" s="507" t="s">
        <v>479</v>
      </c>
      <c r="BF45" s="507" t="s">
        <v>956</v>
      </c>
      <c r="BG45" s="507"/>
      <c r="BH45" s="852">
        <v>0</v>
      </c>
      <c r="BI45" s="504">
        <v>0</v>
      </c>
      <c r="BJ45" s="507">
        <v>0</v>
      </c>
      <c r="BK45" s="96">
        <v>1</v>
      </c>
      <c r="BL45" s="96">
        <v>1</v>
      </c>
      <c r="BM45" s="96">
        <v>1</v>
      </c>
      <c r="BN45" s="96">
        <v>1</v>
      </c>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815">
        <f t="shared" si="2"/>
        <v>1</v>
      </c>
      <c r="CM45" s="824">
        <f t="shared" si="1"/>
        <v>0</v>
      </c>
      <c r="CN45" s="504">
        <v>1.2</v>
      </c>
      <c r="CO45" s="97" t="s">
        <v>6170</v>
      </c>
      <c r="CP45" s="97"/>
      <c r="CQ45" s="97">
        <v>3.66</v>
      </c>
      <c r="CR45" s="504">
        <v>32.773000000000003</v>
      </c>
      <c r="CS45" s="850" t="s">
        <v>1902</v>
      </c>
      <c r="CT45" s="97" t="s">
        <v>539</v>
      </c>
      <c r="CU45" s="97"/>
      <c r="CV45" s="97"/>
      <c r="CW45" s="97"/>
      <c r="CX45" s="96"/>
      <c r="CY45" s="96" t="s">
        <v>5748</v>
      </c>
      <c r="CZ45" s="96">
        <v>1</v>
      </c>
      <c r="DA45" s="97" t="s">
        <v>540</v>
      </c>
      <c r="DB45" s="849" t="s">
        <v>5736</v>
      </c>
      <c r="DC45" s="96"/>
      <c r="DD45" s="97" t="s">
        <v>470</v>
      </c>
      <c r="DE45" s="97"/>
      <c r="DF45" s="96"/>
      <c r="DG45" s="96" t="s">
        <v>540</v>
      </c>
      <c r="DH45" s="96" t="s">
        <v>5576</v>
      </c>
      <c r="DI45" s="96">
        <v>65</v>
      </c>
      <c r="DJ45" s="96" t="s">
        <v>539</v>
      </c>
      <c r="DK45" s="96"/>
      <c r="DL45" s="96"/>
      <c r="DM45" s="97" t="s">
        <v>539</v>
      </c>
      <c r="DN45" s="97"/>
      <c r="DO45" s="96"/>
      <c r="DP45" s="97" t="s">
        <v>539</v>
      </c>
      <c r="DQ45" s="97"/>
      <c r="DR45" s="96"/>
      <c r="DS45" s="97" t="s">
        <v>540</v>
      </c>
      <c r="DT45" s="97"/>
      <c r="DU45" s="96"/>
      <c r="DV45" s="97"/>
      <c r="DW45" s="97"/>
      <c r="DX45" s="96"/>
      <c r="DY45" s="97" t="s">
        <v>539</v>
      </c>
      <c r="DZ45" s="97"/>
      <c r="EA45" s="96"/>
      <c r="EB45" s="97" t="s">
        <v>539</v>
      </c>
      <c r="EC45" s="97"/>
      <c r="ED45" s="96"/>
      <c r="EE45" s="96" t="s">
        <v>539</v>
      </c>
      <c r="EF45" s="96"/>
      <c r="EG45" s="96"/>
      <c r="EH45" s="97" t="s">
        <v>539</v>
      </c>
      <c r="EI45" s="97"/>
      <c r="EJ45" s="96"/>
      <c r="EK45" s="97" t="s">
        <v>539</v>
      </c>
      <c r="EL45" s="97"/>
      <c r="EM45" s="96"/>
      <c r="EN45" s="97" t="s">
        <v>539</v>
      </c>
      <c r="EO45" s="97"/>
      <c r="EP45" s="96"/>
      <c r="EQ45" s="96" t="s">
        <v>539</v>
      </c>
      <c r="ER45" s="96"/>
      <c r="ES45" s="96"/>
      <c r="ET45" s="97" t="s">
        <v>470</v>
      </c>
      <c r="EU45" s="97"/>
      <c r="EV45" s="96"/>
      <c r="EW45" s="96"/>
      <c r="EX45" s="96"/>
      <c r="EY45" s="96"/>
      <c r="EZ45" s="97" t="s">
        <v>539</v>
      </c>
      <c r="FA45" s="97" t="s">
        <v>5213</v>
      </c>
      <c r="FB45" s="849" t="s">
        <v>5184</v>
      </c>
      <c r="FC45" s="849" t="s">
        <v>5021</v>
      </c>
      <c r="FD45" s="97"/>
      <c r="FE45" s="849" t="s">
        <v>4863</v>
      </c>
      <c r="FF45" s="97"/>
      <c r="FG45" s="97"/>
      <c r="FH45" s="97"/>
      <c r="FI45" s="97"/>
      <c r="FJ45" s="97" t="s">
        <v>4554</v>
      </c>
      <c r="FK45" s="97" t="s">
        <v>4316</v>
      </c>
      <c r="FL45" s="849" t="s">
        <v>4136</v>
      </c>
      <c r="FM45" s="97" t="s">
        <v>906</v>
      </c>
      <c r="FN45" s="97" t="s">
        <v>907</v>
      </c>
      <c r="FO45" s="506" t="s">
        <v>908</v>
      </c>
    </row>
    <row r="46" spans="5:171" ht="104" customHeight="1" x14ac:dyDescent="0.2">
      <c r="E46" s="94" t="s">
        <v>3236</v>
      </c>
      <c r="F46" s="94" t="s">
        <v>9120</v>
      </c>
      <c r="G46" s="198" t="s">
        <v>309</v>
      </c>
      <c r="H46" s="198" t="s">
        <v>387</v>
      </c>
      <c r="I46" s="198"/>
      <c r="J46" s="198" t="s">
        <v>1785</v>
      </c>
      <c r="K46" s="198" t="s">
        <v>1786</v>
      </c>
      <c r="L46" s="578">
        <v>2022</v>
      </c>
      <c r="M46" s="822">
        <v>44790</v>
      </c>
      <c r="N46" s="822">
        <v>45627</v>
      </c>
      <c r="O46" s="198" t="s">
        <v>1787</v>
      </c>
      <c r="P46" s="198" t="s">
        <v>1788</v>
      </c>
      <c r="Q46" s="198"/>
      <c r="R46" s="198"/>
      <c r="S46" s="198"/>
      <c r="T46" s="198"/>
      <c r="U46" s="198"/>
      <c r="V46" s="198"/>
      <c r="W46" s="198"/>
      <c r="X46" s="198" t="s">
        <v>1789</v>
      </c>
      <c r="Y46" s="549" t="s">
        <v>1790</v>
      </c>
      <c r="Z46" s="549"/>
      <c r="AA46" s="549"/>
      <c r="AB46" s="549"/>
      <c r="AC46" s="549"/>
      <c r="AD46" s="549"/>
      <c r="AE46" s="549"/>
      <c r="AF46" s="549"/>
      <c r="AG46" s="549"/>
      <c r="AH46" s="198" t="s">
        <v>1791</v>
      </c>
      <c r="AI46" s="198" t="s">
        <v>1791</v>
      </c>
      <c r="AJ46" s="198" t="s">
        <v>1792</v>
      </c>
      <c r="AK46" s="198" t="s">
        <v>1793</v>
      </c>
      <c r="AL46" s="580">
        <f t="shared" si="0"/>
        <v>0</v>
      </c>
      <c r="AM46" s="504">
        <v>0</v>
      </c>
      <c r="AN46" s="516"/>
      <c r="AO46" s="137"/>
      <c r="AP46" s="137"/>
      <c r="AQ46" s="504"/>
      <c r="AR46" s="137"/>
      <c r="AS46" s="137"/>
      <c r="AT46" s="520"/>
      <c r="AU46" s="137"/>
      <c r="AV46" s="520"/>
      <c r="AW46" s="137"/>
      <c r="AX46" s="520"/>
      <c r="AY46" s="137"/>
      <c r="AZ46" s="520"/>
      <c r="BA46" s="137"/>
      <c r="BB46" s="198"/>
      <c r="BC46" s="198"/>
      <c r="BD46" s="198"/>
      <c r="BE46" s="198"/>
      <c r="BF46" s="198"/>
      <c r="BG46" s="198"/>
      <c r="BH46" s="198"/>
      <c r="BI46" s="580">
        <v>12.8</v>
      </c>
      <c r="BJ46" s="137">
        <f>BI46/160426</f>
        <v>7.978756560657251E-5</v>
      </c>
      <c r="BK46" s="83">
        <v>47</v>
      </c>
      <c r="BL46" s="83">
        <v>47</v>
      </c>
      <c r="BM46" s="83">
        <v>47</v>
      </c>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24">
        <f t="shared" si="2"/>
        <v>0</v>
      </c>
      <c r="CM46" s="824">
        <f t="shared" si="1"/>
        <v>0</v>
      </c>
      <c r="CN46" s="580"/>
      <c r="CO46" s="198"/>
      <c r="CP46" s="549"/>
      <c r="CQ46" s="137"/>
      <c r="CR46" s="580"/>
      <c r="CS46" s="834"/>
      <c r="CT46" s="198"/>
      <c r="CU46" s="198"/>
      <c r="CV46" s="198"/>
      <c r="CW46" s="83"/>
      <c r="CX46" s="83"/>
      <c r="CY46" s="83"/>
      <c r="CZ46" s="83">
        <v>13</v>
      </c>
      <c r="DA46" s="198"/>
      <c r="DB46" s="198"/>
      <c r="DC46" s="83"/>
      <c r="DD46" s="198" t="s">
        <v>1794</v>
      </c>
      <c r="DE46" s="198" t="s">
        <v>1795</v>
      </c>
      <c r="DF46" s="83">
        <v>1445</v>
      </c>
      <c r="DG46" s="83"/>
      <c r="DH46" s="83"/>
      <c r="DI46" s="83"/>
      <c r="DJ46" s="83"/>
      <c r="DK46" s="83"/>
      <c r="DL46" s="83"/>
      <c r="DM46" s="198"/>
      <c r="DN46" s="198"/>
      <c r="DO46" s="83"/>
      <c r="DP46" s="198"/>
      <c r="DQ46" s="198"/>
      <c r="DR46" s="83"/>
      <c r="DS46" s="198"/>
      <c r="DT46" s="198"/>
      <c r="DU46" s="83"/>
      <c r="DV46" s="198"/>
      <c r="DW46" s="198"/>
      <c r="DX46" s="83"/>
      <c r="DY46" s="198"/>
      <c r="DZ46" s="198"/>
      <c r="EA46" s="83"/>
      <c r="EB46" s="198" t="s">
        <v>479</v>
      </c>
      <c r="EC46" s="198" t="s">
        <v>9595</v>
      </c>
      <c r="ED46" s="83" t="s">
        <v>1796</v>
      </c>
      <c r="EE46" s="83"/>
      <c r="EF46" s="83"/>
      <c r="EG46" s="83"/>
      <c r="EH46" s="198"/>
      <c r="EI46" s="198"/>
      <c r="EJ46" s="83"/>
      <c r="EK46" s="198"/>
      <c r="EL46" s="198"/>
      <c r="EM46" s="83"/>
      <c r="EN46" s="198"/>
      <c r="EO46" s="198"/>
      <c r="EP46" s="83"/>
      <c r="EQ46" s="83"/>
      <c r="ER46" s="83"/>
      <c r="ES46" s="83"/>
      <c r="ET46" s="198"/>
      <c r="EU46" s="198"/>
      <c r="EV46" s="83"/>
      <c r="EW46" s="837">
        <v>1</v>
      </c>
      <c r="EX46" s="198"/>
      <c r="EY46" s="505">
        <v>38</v>
      </c>
      <c r="EZ46" s="198"/>
      <c r="FA46" s="198"/>
      <c r="FB46" s="549" t="s">
        <v>1797</v>
      </c>
      <c r="FC46" s="198"/>
      <c r="FD46" s="198"/>
      <c r="FE46" s="198"/>
      <c r="FF46" s="198" t="s">
        <v>1798</v>
      </c>
      <c r="FG46" s="198" t="s">
        <v>1799</v>
      </c>
      <c r="FH46" s="198">
        <v>1</v>
      </c>
      <c r="FI46" s="198">
        <v>235</v>
      </c>
      <c r="FJ46" s="198" t="s">
        <v>1800</v>
      </c>
      <c r="FK46" s="198" t="s">
        <v>1801</v>
      </c>
      <c r="FL46" s="549" t="s">
        <v>1802</v>
      </c>
      <c r="FM46" s="198" t="s">
        <v>1800</v>
      </c>
      <c r="FN46" s="198" t="s">
        <v>1801</v>
      </c>
      <c r="FO46" s="549" t="s">
        <v>1802</v>
      </c>
    </row>
    <row r="47" spans="5:171" ht="104" customHeight="1" x14ac:dyDescent="0.2">
      <c r="E47" s="94" t="s">
        <v>9302</v>
      </c>
      <c r="F47" s="94" t="s">
        <v>9120</v>
      </c>
      <c r="G47" s="198" t="s">
        <v>309</v>
      </c>
      <c r="H47" s="198" t="s">
        <v>387</v>
      </c>
      <c r="I47" s="198"/>
      <c r="J47" s="198" t="s">
        <v>1854</v>
      </c>
      <c r="K47" s="198" t="s">
        <v>1855</v>
      </c>
      <c r="L47" s="578">
        <v>2019</v>
      </c>
      <c r="M47" s="822">
        <v>44663</v>
      </c>
      <c r="N47" s="822">
        <v>45627</v>
      </c>
      <c r="O47" s="198" t="s">
        <v>1787</v>
      </c>
      <c r="P47" s="198" t="s">
        <v>1788</v>
      </c>
      <c r="Q47" s="198"/>
      <c r="R47" s="198"/>
      <c r="S47" s="198"/>
      <c r="T47" s="198"/>
      <c r="U47" s="198"/>
      <c r="V47" s="198"/>
      <c r="W47" s="198"/>
      <c r="X47" s="198" t="s">
        <v>1856</v>
      </c>
      <c r="Y47" s="549" t="s">
        <v>1857</v>
      </c>
      <c r="Z47" s="549"/>
      <c r="AA47" s="549"/>
      <c r="AB47" s="549"/>
      <c r="AC47" s="549"/>
      <c r="AD47" s="549"/>
      <c r="AE47" s="549"/>
      <c r="AF47" s="549"/>
      <c r="AG47" s="549"/>
      <c r="AH47" s="198" t="s">
        <v>1791</v>
      </c>
      <c r="AI47" s="198" t="s">
        <v>1791</v>
      </c>
      <c r="AJ47" s="198" t="s">
        <v>1792</v>
      </c>
      <c r="AK47" s="198" t="s">
        <v>1793</v>
      </c>
      <c r="AL47" s="580">
        <f t="shared" si="0"/>
        <v>0</v>
      </c>
      <c r="AM47" s="504">
        <v>0</v>
      </c>
      <c r="AN47" s="516"/>
      <c r="AO47" s="137"/>
      <c r="AP47" s="137"/>
      <c r="AQ47" s="504"/>
      <c r="AR47" s="137"/>
      <c r="AS47" s="137"/>
      <c r="AT47" s="520"/>
      <c r="AU47" s="137"/>
      <c r="AV47" s="520"/>
      <c r="AW47" s="137"/>
      <c r="AX47" s="520"/>
      <c r="AY47" s="137"/>
      <c r="AZ47" s="520"/>
      <c r="BA47" s="137"/>
      <c r="BB47" s="198"/>
      <c r="BC47" s="198"/>
      <c r="BD47" s="198"/>
      <c r="BE47" s="198"/>
      <c r="BF47" s="198"/>
      <c r="BG47" s="198"/>
      <c r="BH47" s="198"/>
      <c r="BI47" s="580">
        <v>318.39999999999998</v>
      </c>
      <c r="BJ47" s="137">
        <f>BI47/160426</f>
        <v>1.9847156944634908E-3</v>
      </c>
      <c r="BK47" s="83">
        <f>405+527</f>
        <v>932</v>
      </c>
      <c r="BL47" s="83">
        <f>526+387</f>
        <v>913</v>
      </c>
      <c r="BM47" s="83">
        <f>367+120</f>
        <v>487</v>
      </c>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24"/>
      <c r="CM47" s="824">
        <f t="shared" si="1"/>
        <v>0</v>
      </c>
      <c r="CN47" s="580"/>
      <c r="CO47" s="198"/>
      <c r="CP47" s="549"/>
      <c r="CQ47" s="137"/>
      <c r="CR47" s="580"/>
      <c r="CS47" s="834"/>
      <c r="CT47" s="198"/>
      <c r="CU47" s="198"/>
      <c r="CV47" s="198"/>
      <c r="CW47" s="83"/>
      <c r="CX47" s="83"/>
      <c r="CY47" s="83"/>
      <c r="CZ47" s="83">
        <v>13</v>
      </c>
      <c r="DA47" s="198"/>
      <c r="DB47" s="198"/>
      <c r="DC47" s="83"/>
      <c r="DD47" s="198" t="s">
        <v>1794</v>
      </c>
      <c r="DE47" s="198" t="s">
        <v>1858</v>
      </c>
      <c r="DF47" s="83">
        <v>12984</v>
      </c>
      <c r="DG47" s="83"/>
      <c r="DH47" s="83"/>
      <c r="DI47" s="83"/>
      <c r="DJ47" s="83"/>
      <c r="DK47" s="83"/>
      <c r="DL47" s="83"/>
      <c r="DM47" s="198"/>
      <c r="DN47" s="198"/>
      <c r="DO47" s="83"/>
      <c r="DP47" s="198"/>
      <c r="DQ47" s="198"/>
      <c r="DR47" s="83"/>
      <c r="DS47" s="198"/>
      <c r="DT47" s="198"/>
      <c r="DU47" s="83"/>
      <c r="DV47" s="198"/>
      <c r="DW47" s="198"/>
      <c r="DX47" s="83"/>
      <c r="DY47" s="198" t="s">
        <v>479</v>
      </c>
      <c r="DZ47" s="198" t="s">
        <v>1859</v>
      </c>
      <c r="EA47" s="83">
        <v>738472</v>
      </c>
      <c r="EB47" s="198"/>
      <c r="EC47" s="198"/>
      <c r="ED47" s="83"/>
      <c r="EE47" s="83"/>
      <c r="EF47" s="83"/>
      <c r="EG47" s="83"/>
      <c r="EH47" s="198"/>
      <c r="EI47" s="198"/>
      <c r="EJ47" s="83"/>
      <c r="EK47" s="198"/>
      <c r="EL47" s="198"/>
      <c r="EM47" s="83"/>
      <c r="EN47" s="198"/>
      <c r="EO47" s="198"/>
      <c r="EP47" s="83"/>
      <c r="EQ47" s="83"/>
      <c r="ER47" s="83"/>
      <c r="ES47" s="83"/>
      <c r="ET47" s="198"/>
      <c r="EU47" s="198"/>
      <c r="EV47" s="83"/>
      <c r="EW47" s="837">
        <v>1</v>
      </c>
      <c r="EX47" s="198"/>
      <c r="EY47" s="505">
        <v>38</v>
      </c>
      <c r="EZ47" s="198" t="s">
        <v>479</v>
      </c>
      <c r="FA47" s="198" t="s">
        <v>1860</v>
      </c>
      <c r="FB47" s="549" t="s">
        <v>1861</v>
      </c>
      <c r="FC47" s="198"/>
      <c r="FD47" s="198"/>
      <c r="FE47" s="549" t="s">
        <v>9596</v>
      </c>
      <c r="FF47" s="549" t="s">
        <v>1862</v>
      </c>
      <c r="FG47" s="198"/>
      <c r="FH47" s="198"/>
      <c r="FI47" s="198"/>
      <c r="FJ47" s="198" t="s">
        <v>1800</v>
      </c>
      <c r="FK47" s="198" t="s">
        <v>1801</v>
      </c>
      <c r="FL47" s="549" t="s">
        <v>1802</v>
      </c>
      <c r="FM47" s="198" t="s">
        <v>1800</v>
      </c>
      <c r="FN47" s="198" t="s">
        <v>1801</v>
      </c>
      <c r="FO47" s="549" t="s">
        <v>1802</v>
      </c>
    </row>
    <row r="48" spans="5:171" ht="104" customHeight="1" x14ac:dyDescent="0.2">
      <c r="E48" s="94" t="s">
        <v>9302</v>
      </c>
      <c r="F48" s="94" t="s">
        <v>9120</v>
      </c>
      <c r="G48" s="198" t="s">
        <v>310</v>
      </c>
      <c r="H48" s="198" t="s">
        <v>388</v>
      </c>
      <c r="I48" s="198"/>
      <c r="J48" s="198" t="s">
        <v>650</v>
      </c>
      <c r="K48" s="198" t="s">
        <v>651</v>
      </c>
      <c r="L48" s="578">
        <v>2015</v>
      </c>
      <c r="M48" s="822" t="s">
        <v>652</v>
      </c>
      <c r="N48" s="822">
        <v>44926</v>
      </c>
      <c r="O48" s="198" t="s">
        <v>653</v>
      </c>
      <c r="P48" s="198" t="s">
        <v>654</v>
      </c>
      <c r="Q48" s="844" t="s">
        <v>655</v>
      </c>
      <c r="R48" s="198" t="s">
        <v>656</v>
      </c>
      <c r="S48" s="198" t="s">
        <v>656</v>
      </c>
      <c r="T48" s="198" t="s">
        <v>656</v>
      </c>
      <c r="U48" s="198" t="s">
        <v>656</v>
      </c>
      <c r="V48" s="198" t="s">
        <v>656</v>
      </c>
      <c r="W48" s="198" t="s">
        <v>656</v>
      </c>
      <c r="X48" s="198" t="s">
        <v>656</v>
      </c>
      <c r="Y48" s="198" t="s">
        <v>656</v>
      </c>
      <c r="Z48" s="198"/>
      <c r="AA48" s="198"/>
      <c r="AB48" s="198"/>
      <c r="AC48" s="198"/>
      <c r="AD48" s="198"/>
      <c r="AE48" s="198"/>
      <c r="AF48" s="198"/>
      <c r="AG48" s="198"/>
      <c r="AH48" s="198" t="s">
        <v>657</v>
      </c>
      <c r="AI48" s="198" t="s">
        <v>658</v>
      </c>
      <c r="AJ48" s="198" t="s">
        <v>659</v>
      </c>
      <c r="AK48" s="198" t="s">
        <v>660</v>
      </c>
      <c r="AL48" s="580">
        <f t="shared" si="0"/>
        <v>569.38200000000006</v>
      </c>
      <c r="AM48" s="504">
        <v>569.38200000000006</v>
      </c>
      <c r="AN48" s="516">
        <v>394.69400000000002</v>
      </c>
      <c r="AO48" s="137">
        <f>AN48/AL48</f>
        <v>0.69319718572065847</v>
      </c>
      <c r="AP48" s="137">
        <f>AN48/123237.8</f>
        <v>3.2027024176023914E-3</v>
      </c>
      <c r="AQ48" s="504">
        <v>117.854</v>
      </c>
      <c r="AR48" s="137">
        <f>AQ48/AL48</f>
        <v>0.20698581971330318</v>
      </c>
      <c r="AS48" s="137"/>
      <c r="AT48" s="520">
        <v>33.671999999999997</v>
      </c>
      <c r="AU48" s="137">
        <f>AT48/AL48</f>
        <v>5.9137802037999079E-2</v>
      </c>
      <c r="AV48" s="520">
        <v>14.99</v>
      </c>
      <c r="AW48" s="137">
        <f>AV48/AL48</f>
        <v>2.6326789396222568E-2</v>
      </c>
      <c r="AX48" s="520">
        <v>8.1720000000000006</v>
      </c>
      <c r="AY48" s="137">
        <f>AX48/AL48</f>
        <v>1.4352403131816601E-2</v>
      </c>
      <c r="AZ48" s="516"/>
      <c r="BA48" s="504" t="s">
        <v>656</v>
      </c>
      <c r="BB48" s="504" t="s">
        <v>656</v>
      </c>
      <c r="BC48" s="504" t="s">
        <v>656</v>
      </c>
      <c r="BD48" s="504" t="s">
        <v>656</v>
      </c>
      <c r="BE48" s="198" t="s">
        <v>479</v>
      </c>
      <c r="BF48" s="198" t="s">
        <v>661</v>
      </c>
      <c r="BG48" s="198"/>
      <c r="BH48" s="198" t="s">
        <v>656</v>
      </c>
      <c r="BI48" s="823">
        <v>499.99799999999999</v>
      </c>
      <c r="BJ48" s="137">
        <f>499.998/135151.9</f>
        <v>3.699526236775066E-3</v>
      </c>
      <c r="BK48" s="83">
        <v>2107</v>
      </c>
      <c r="BL48" s="83">
        <v>2107</v>
      </c>
      <c r="BM48" s="83">
        <v>1335</v>
      </c>
      <c r="BN48" s="83">
        <v>230</v>
      </c>
      <c r="BO48" s="83" t="s">
        <v>656</v>
      </c>
      <c r="BP48" s="83">
        <v>99</v>
      </c>
      <c r="BQ48" s="83">
        <v>2</v>
      </c>
      <c r="BR48" s="83">
        <v>2</v>
      </c>
      <c r="BS48" s="83">
        <v>37</v>
      </c>
      <c r="BT48" s="83" t="s">
        <v>656</v>
      </c>
      <c r="BU48" s="83">
        <v>104</v>
      </c>
      <c r="BV48" s="83">
        <v>97</v>
      </c>
      <c r="BW48" s="83" t="s">
        <v>656</v>
      </c>
      <c r="BX48" s="83">
        <v>230</v>
      </c>
      <c r="BY48" s="83">
        <v>329</v>
      </c>
      <c r="BZ48" s="83" t="s">
        <v>656</v>
      </c>
      <c r="CA48" s="83">
        <v>154</v>
      </c>
      <c r="CB48" s="83" t="s">
        <v>656</v>
      </c>
      <c r="CC48" s="83">
        <v>51</v>
      </c>
      <c r="CD48" s="83" t="s">
        <v>656</v>
      </c>
      <c r="CE48" s="83" t="s">
        <v>656</v>
      </c>
      <c r="CF48" s="83" t="s">
        <v>656</v>
      </c>
      <c r="CG48" s="83" t="s">
        <v>656</v>
      </c>
      <c r="CH48" s="83" t="s">
        <v>656</v>
      </c>
      <c r="CI48" s="83" t="s">
        <v>656</v>
      </c>
      <c r="CJ48" s="83" t="s">
        <v>656</v>
      </c>
      <c r="CK48" s="83" t="s">
        <v>656</v>
      </c>
      <c r="CL48" s="824">
        <f>SUM(BN48:CK48)</f>
        <v>1335</v>
      </c>
      <c r="CM48" s="824">
        <f t="shared" si="1"/>
        <v>0</v>
      </c>
      <c r="CN48" s="580">
        <v>136.61000000000001</v>
      </c>
      <c r="CO48" s="198" t="s">
        <v>662</v>
      </c>
      <c r="CP48" s="844" t="s">
        <v>655</v>
      </c>
      <c r="CQ48" s="875">
        <f>CN48/CR48</f>
        <v>0.11999922700153898</v>
      </c>
      <c r="CR48" s="580">
        <v>1138.424</v>
      </c>
      <c r="CS48" s="844" t="s">
        <v>663</v>
      </c>
      <c r="CT48" s="198" t="s">
        <v>470</v>
      </c>
      <c r="CU48" s="198" t="s">
        <v>656</v>
      </c>
      <c r="CV48" s="198" t="s">
        <v>656</v>
      </c>
      <c r="CW48" s="198" t="s">
        <v>656</v>
      </c>
      <c r="CX48" s="83" t="s">
        <v>656</v>
      </c>
      <c r="CY48" s="83" t="s">
        <v>656</v>
      </c>
      <c r="CZ48" s="83">
        <v>6</v>
      </c>
      <c r="DA48" s="198" t="s">
        <v>539</v>
      </c>
      <c r="DB48" s="198" t="s">
        <v>656</v>
      </c>
      <c r="DC48" s="83" t="s">
        <v>656</v>
      </c>
      <c r="DD48" s="198" t="s">
        <v>479</v>
      </c>
      <c r="DE48" s="198" t="s">
        <v>541</v>
      </c>
      <c r="DF48" s="198">
        <v>99122</v>
      </c>
      <c r="DG48" s="198" t="s">
        <v>539</v>
      </c>
      <c r="DH48" s="198" t="s">
        <v>656</v>
      </c>
      <c r="DI48" s="83" t="s">
        <v>656</v>
      </c>
      <c r="DJ48" s="198" t="s">
        <v>539</v>
      </c>
      <c r="DK48" s="198" t="s">
        <v>656</v>
      </c>
      <c r="DL48" s="83" t="s">
        <v>656</v>
      </c>
      <c r="DM48" s="198" t="s">
        <v>539</v>
      </c>
      <c r="DN48" s="198" t="s">
        <v>656</v>
      </c>
      <c r="DO48" s="83" t="s">
        <v>656</v>
      </c>
      <c r="DP48" s="198" t="s">
        <v>539</v>
      </c>
      <c r="DQ48" s="198" t="s">
        <v>656</v>
      </c>
      <c r="DR48" s="83" t="s">
        <v>656</v>
      </c>
      <c r="DS48" s="198" t="s">
        <v>539</v>
      </c>
      <c r="DT48" s="198" t="s">
        <v>656</v>
      </c>
      <c r="DU48" s="83" t="s">
        <v>656</v>
      </c>
      <c r="DV48" s="198" t="s">
        <v>539</v>
      </c>
      <c r="DW48" s="198" t="s">
        <v>656</v>
      </c>
      <c r="DX48" s="83" t="s">
        <v>656</v>
      </c>
      <c r="DY48" s="198" t="s">
        <v>539</v>
      </c>
      <c r="DZ48" s="198" t="s">
        <v>656</v>
      </c>
      <c r="EA48" s="83" t="s">
        <v>656</v>
      </c>
      <c r="EB48" s="198" t="s">
        <v>539</v>
      </c>
      <c r="EC48" s="198" t="s">
        <v>656</v>
      </c>
      <c r="ED48" s="83" t="s">
        <v>656</v>
      </c>
      <c r="EE48" s="198" t="s">
        <v>539</v>
      </c>
      <c r="EF48" s="198" t="s">
        <v>656</v>
      </c>
      <c r="EG48" s="83" t="s">
        <v>656</v>
      </c>
      <c r="EH48" s="198" t="s">
        <v>539</v>
      </c>
      <c r="EI48" s="198" t="s">
        <v>656</v>
      </c>
      <c r="EJ48" s="83" t="s">
        <v>656</v>
      </c>
      <c r="EK48" s="198" t="s">
        <v>539</v>
      </c>
      <c r="EL48" s="198" t="s">
        <v>656</v>
      </c>
      <c r="EM48" s="83" t="s">
        <v>656</v>
      </c>
      <c r="EN48" s="198" t="s">
        <v>539</v>
      </c>
      <c r="EO48" s="198" t="s">
        <v>656</v>
      </c>
      <c r="EP48" s="83" t="s">
        <v>656</v>
      </c>
      <c r="EQ48" s="198" t="s">
        <v>540</v>
      </c>
      <c r="ER48" s="198" t="s">
        <v>664</v>
      </c>
      <c r="ES48" s="83">
        <v>14</v>
      </c>
      <c r="ET48" s="83" t="s">
        <v>539</v>
      </c>
      <c r="EU48" s="83" t="s">
        <v>656</v>
      </c>
      <c r="EV48" s="83" t="s">
        <v>656</v>
      </c>
      <c r="EW48" s="837" t="s">
        <v>665</v>
      </c>
      <c r="EX48" s="198" t="s">
        <v>666</v>
      </c>
      <c r="EY48" s="83">
        <v>195</v>
      </c>
      <c r="EZ48" s="198" t="s">
        <v>539</v>
      </c>
      <c r="FA48" s="198" t="s">
        <v>656</v>
      </c>
      <c r="FB48" s="844" t="s">
        <v>667</v>
      </c>
      <c r="FC48" s="844" t="s">
        <v>667</v>
      </c>
      <c r="FD48" s="844"/>
      <c r="FE48" s="198" t="s">
        <v>668</v>
      </c>
      <c r="FF48" s="198" t="s">
        <v>656</v>
      </c>
      <c r="FG48" s="198" t="s">
        <v>656</v>
      </c>
      <c r="FH48" s="198" t="s">
        <v>656</v>
      </c>
      <c r="FI48" s="198" t="s">
        <v>656</v>
      </c>
      <c r="FJ48" s="198" t="s">
        <v>669</v>
      </c>
      <c r="FK48" s="198" t="s">
        <v>670</v>
      </c>
      <c r="FL48" s="844" t="s">
        <v>671</v>
      </c>
      <c r="FM48" s="198" t="s">
        <v>656</v>
      </c>
      <c r="FN48" s="198" t="s">
        <v>656</v>
      </c>
      <c r="FO48" s="198" t="s">
        <v>656</v>
      </c>
    </row>
    <row r="49" spans="5:171" ht="104" customHeight="1" x14ac:dyDescent="0.2">
      <c r="E49" s="94" t="s">
        <v>9302</v>
      </c>
      <c r="F49" s="94" t="s">
        <v>9121</v>
      </c>
      <c r="G49" s="97" t="s">
        <v>310</v>
      </c>
      <c r="H49" s="97" t="s">
        <v>388</v>
      </c>
      <c r="I49" s="97" t="s">
        <v>8860</v>
      </c>
      <c r="J49" s="97" t="s">
        <v>8601</v>
      </c>
      <c r="K49" s="97" t="s">
        <v>8437</v>
      </c>
      <c r="L49" s="502" t="s">
        <v>8341</v>
      </c>
      <c r="M49" s="97" t="s">
        <v>8327</v>
      </c>
      <c r="N49" s="97" t="s">
        <v>8257</v>
      </c>
      <c r="O49" s="97"/>
      <c r="P49" s="97"/>
      <c r="Q49" s="97"/>
      <c r="R49" s="97"/>
      <c r="S49" s="97"/>
      <c r="T49" s="97"/>
      <c r="U49" s="97"/>
      <c r="V49" s="97"/>
      <c r="W49" s="97"/>
      <c r="X49" s="97"/>
      <c r="Y49" s="97"/>
      <c r="Z49" s="97" t="s">
        <v>8179</v>
      </c>
      <c r="AA49" s="97" t="s">
        <v>5786</v>
      </c>
      <c r="AB49" s="97" t="s">
        <v>7887</v>
      </c>
      <c r="AC49" s="97" t="s">
        <v>7692</v>
      </c>
      <c r="AD49" s="97" t="s">
        <v>7565</v>
      </c>
      <c r="AE49" s="97" t="s">
        <v>7350</v>
      </c>
      <c r="AF49" s="97" t="s">
        <v>7178</v>
      </c>
      <c r="AG49" s="97" t="s">
        <v>7104</v>
      </c>
      <c r="AH49" s="97" t="s">
        <v>7034</v>
      </c>
      <c r="AI49" s="97" t="s">
        <v>6898</v>
      </c>
      <c r="AJ49" s="97" t="s">
        <v>6749</v>
      </c>
      <c r="AK49" s="97" t="s">
        <v>6602</v>
      </c>
      <c r="AL49" s="580">
        <f t="shared" si="0"/>
        <v>329.60399999999998</v>
      </c>
      <c r="AM49" s="504">
        <v>329.60399999999998</v>
      </c>
      <c r="AN49" s="516"/>
      <c r="AO49" s="97"/>
      <c r="AP49" s="97"/>
      <c r="AQ49" s="504">
        <f>210.714+17.47+78.25+23.17</f>
        <v>329.60399999999998</v>
      </c>
      <c r="AR49" s="507">
        <v>1</v>
      </c>
      <c r="AS49" s="507">
        <v>2.3800000000000002E-2</v>
      </c>
      <c r="AT49" s="516">
        <v>0</v>
      </c>
      <c r="AU49" s="507">
        <v>0</v>
      </c>
      <c r="AV49" s="516"/>
      <c r="AW49" s="507">
        <v>0</v>
      </c>
      <c r="AX49" s="516">
        <v>0</v>
      </c>
      <c r="AY49" s="507">
        <v>0</v>
      </c>
      <c r="AZ49" s="516"/>
      <c r="BA49" s="507"/>
      <c r="BB49" s="507"/>
      <c r="BC49" s="507"/>
      <c r="BD49" s="507"/>
      <c r="BE49" s="507" t="s">
        <v>6339</v>
      </c>
      <c r="BF49" s="507" t="s">
        <v>6334</v>
      </c>
      <c r="BG49" s="507" t="s">
        <v>6243</v>
      </c>
      <c r="BH49" s="852"/>
      <c r="BI49" s="504">
        <f>55.167+273.922</f>
        <v>329.08900000000006</v>
      </c>
      <c r="BJ49" s="507">
        <v>2.2800000000000001E-2</v>
      </c>
      <c r="BK49" s="96">
        <v>27</v>
      </c>
      <c r="BL49" s="96">
        <v>27</v>
      </c>
      <c r="BM49" s="96">
        <v>27</v>
      </c>
      <c r="BN49" s="96"/>
      <c r="BO49" s="96"/>
      <c r="BP49" s="96"/>
      <c r="BQ49" s="96"/>
      <c r="BR49" s="96"/>
      <c r="BS49" s="96"/>
      <c r="BT49" s="96"/>
      <c r="BU49" s="96"/>
      <c r="BV49" s="96"/>
      <c r="BW49" s="96">
        <v>19</v>
      </c>
      <c r="BX49" s="96"/>
      <c r="BY49" s="96">
        <v>8</v>
      </c>
      <c r="BZ49" s="96"/>
      <c r="CA49" s="96"/>
      <c r="CB49" s="96"/>
      <c r="CC49" s="96"/>
      <c r="CD49" s="96"/>
      <c r="CE49" s="96"/>
      <c r="CF49" s="96"/>
      <c r="CG49" s="96"/>
      <c r="CH49" s="96"/>
      <c r="CI49" s="96"/>
      <c r="CJ49" s="96"/>
      <c r="CK49" s="96"/>
      <c r="CL49" s="815">
        <f>SUM(BN49:CK49)</f>
        <v>27</v>
      </c>
      <c r="CM49" s="824">
        <f t="shared" si="1"/>
        <v>0</v>
      </c>
      <c r="CN49" s="504">
        <v>301.04000000000002</v>
      </c>
      <c r="CO49" s="97" t="s">
        <v>6169</v>
      </c>
      <c r="CP49" s="97" t="s">
        <v>6003</v>
      </c>
      <c r="CQ49" s="876">
        <v>1</v>
      </c>
      <c r="CR49" s="97">
        <v>301.04000000000002</v>
      </c>
      <c r="CS49" s="97" t="s">
        <v>5932</v>
      </c>
      <c r="CT49" s="97" t="s">
        <v>5803</v>
      </c>
      <c r="CU49" s="97" t="s">
        <v>5800</v>
      </c>
      <c r="CV49" s="97" t="s">
        <v>5786</v>
      </c>
      <c r="CW49" s="97" t="s">
        <v>5765</v>
      </c>
      <c r="CX49" s="96" t="s">
        <v>5751</v>
      </c>
      <c r="CY49" s="96" t="s">
        <v>5747</v>
      </c>
      <c r="CZ49" s="96"/>
      <c r="DA49" s="97" t="s">
        <v>470</v>
      </c>
      <c r="DB49" s="97"/>
      <c r="DC49" s="96"/>
      <c r="DD49" s="97" t="s">
        <v>479</v>
      </c>
      <c r="DE49" s="97"/>
      <c r="DF49" s="96" t="s">
        <v>5581</v>
      </c>
      <c r="DG49" s="96" t="s">
        <v>479</v>
      </c>
      <c r="DH49" s="96" t="s">
        <v>5575</v>
      </c>
      <c r="DI49" s="96">
        <v>340</v>
      </c>
      <c r="DJ49" s="96" t="s">
        <v>470</v>
      </c>
      <c r="DK49" s="96"/>
      <c r="DL49" s="96"/>
      <c r="DM49" s="97" t="s">
        <v>5550</v>
      </c>
      <c r="DN49" s="97"/>
      <c r="DO49" s="96"/>
      <c r="DP49" s="97" t="s">
        <v>479</v>
      </c>
      <c r="DQ49" s="97" t="s">
        <v>5541</v>
      </c>
      <c r="DR49" s="96" t="s">
        <v>5526</v>
      </c>
      <c r="DS49" s="97" t="s">
        <v>5524</v>
      </c>
      <c r="DT49" s="97"/>
      <c r="DU49" s="96"/>
      <c r="DV49" s="97"/>
      <c r="DW49" s="97"/>
      <c r="DX49" s="96"/>
      <c r="DY49" s="97" t="s">
        <v>479</v>
      </c>
      <c r="DZ49" s="97" t="s">
        <v>5465</v>
      </c>
      <c r="EA49" s="96">
        <v>46000</v>
      </c>
      <c r="EB49" s="97" t="s">
        <v>479</v>
      </c>
      <c r="EC49" s="97" t="s">
        <v>5434</v>
      </c>
      <c r="ED49" s="96">
        <v>3889</v>
      </c>
      <c r="EE49" s="96" t="s">
        <v>479</v>
      </c>
      <c r="EF49" s="96" t="s">
        <v>5379</v>
      </c>
      <c r="EG49" s="96" t="s">
        <v>4574</v>
      </c>
      <c r="EH49" s="97" t="s">
        <v>470</v>
      </c>
      <c r="EI49" s="97"/>
      <c r="EJ49" s="96"/>
      <c r="EK49" s="97" t="s">
        <v>470</v>
      </c>
      <c r="EL49" s="97"/>
      <c r="EM49" s="96"/>
      <c r="EN49" s="97" t="s">
        <v>479</v>
      </c>
      <c r="EO49" s="97" t="s">
        <v>5363</v>
      </c>
      <c r="EP49" s="96" t="s">
        <v>5325</v>
      </c>
      <c r="EQ49" s="96" t="s">
        <v>470</v>
      </c>
      <c r="ER49" s="96"/>
      <c r="ES49" s="96"/>
      <c r="ET49" s="97" t="s">
        <v>479</v>
      </c>
      <c r="EU49" s="97" t="s">
        <v>5234</v>
      </c>
      <c r="EV49" s="96" t="s">
        <v>5223</v>
      </c>
      <c r="EW49" s="96"/>
      <c r="EX49" s="96"/>
      <c r="EY49" s="96"/>
      <c r="EZ49" s="97" t="s">
        <v>479</v>
      </c>
      <c r="FA49" s="97" t="s">
        <v>5212</v>
      </c>
      <c r="FB49" s="97" t="s">
        <v>5183</v>
      </c>
      <c r="FC49" s="97" t="s">
        <v>5020</v>
      </c>
      <c r="FD49" s="97" t="s">
        <v>4923</v>
      </c>
      <c r="FE49" s="97" t="s">
        <v>4862</v>
      </c>
      <c r="FF49" s="97" t="s">
        <v>4727</v>
      </c>
      <c r="FG49" s="97" t="s">
        <v>4667</v>
      </c>
      <c r="FH49" s="97" t="s">
        <v>4577</v>
      </c>
      <c r="FI49" s="97" t="s">
        <v>4574</v>
      </c>
      <c r="FJ49" s="97" t="s">
        <v>4553</v>
      </c>
      <c r="FK49" s="97" t="s">
        <v>4315</v>
      </c>
      <c r="FL49" s="97" t="s">
        <v>4135</v>
      </c>
      <c r="FM49" s="97"/>
      <c r="FN49" s="97"/>
      <c r="FO49" s="97"/>
    </row>
    <row r="50" spans="5:171" ht="104" customHeight="1" x14ac:dyDescent="0.2">
      <c r="E50" s="94" t="s">
        <v>9302</v>
      </c>
      <c r="F50" s="94" t="s">
        <v>9120</v>
      </c>
      <c r="G50" s="198" t="s">
        <v>311</v>
      </c>
      <c r="H50" s="198" t="s">
        <v>389</v>
      </c>
      <c r="I50" s="198"/>
      <c r="J50" s="826" t="s">
        <v>757</v>
      </c>
      <c r="K50" s="826" t="s">
        <v>758</v>
      </c>
      <c r="L50" s="827">
        <v>2018</v>
      </c>
      <c r="M50" s="828" t="s">
        <v>759</v>
      </c>
      <c r="N50" s="828" t="s">
        <v>760</v>
      </c>
      <c r="O50" s="826" t="s">
        <v>761</v>
      </c>
      <c r="P50" s="826" t="s">
        <v>762</v>
      </c>
      <c r="Q50" s="877" t="s">
        <v>763</v>
      </c>
      <c r="R50" s="826"/>
      <c r="S50" s="826"/>
      <c r="T50" s="826"/>
      <c r="U50" s="826"/>
      <c r="V50" s="826" t="s">
        <v>764</v>
      </c>
      <c r="W50" s="826" t="s">
        <v>765</v>
      </c>
      <c r="X50" s="826" t="s">
        <v>766</v>
      </c>
      <c r="Y50" s="877" t="s">
        <v>767</v>
      </c>
      <c r="Z50" s="877"/>
      <c r="AA50" s="877"/>
      <c r="AB50" s="877"/>
      <c r="AC50" s="877"/>
      <c r="AD50" s="877"/>
      <c r="AE50" s="877"/>
      <c r="AF50" s="877"/>
      <c r="AG50" s="877"/>
      <c r="AH50" s="826" t="s">
        <v>768</v>
      </c>
      <c r="AI50" s="826" t="s">
        <v>768</v>
      </c>
      <c r="AJ50" s="826" t="s">
        <v>477</v>
      </c>
      <c r="AK50" s="826" t="s">
        <v>769</v>
      </c>
      <c r="AL50" s="580">
        <f t="shared" si="0"/>
        <v>206.77500000000001</v>
      </c>
      <c r="AM50" s="504">
        <v>206.77500000000001</v>
      </c>
      <c r="AN50" s="829">
        <v>153.74100000000001</v>
      </c>
      <c r="AO50" s="830">
        <v>0.74350000000000005</v>
      </c>
      <c r="AP50" s="878">
        <v>7.8000000000000005E-7</v>
      </c>
      <c r="AQ50" s="504">
        <v>37.878999999999998</v>
      </c>
      <c r="AR50" s="137">
        <v>0.1832</v>
      </c>
      <c r="AS50" s="137"/>
      <c r="AT50" s="520"/>
      <c r="AU50" s="137"/>
      <c r="AV50" s="520"/>
      <c r="AW50" s="137"/>
      <c r="AX50" s="520">
        <v>15.154999999999999</v>
      </c>
      <c r="AY50" s="137">
        <v>7.3300000000000004E-2</v>
      </c>
      <c r="AZ50" s="520" t="s">
        <v>470</v>
      </c>
      <c r="BA50" s="830" t="s">
        <v>656</v>
      </c>
      <c r="BB50" s="826" t="s">
        <v>656</v>
      </c>
      <c r="BC50" s="826" t="s">
        <v>656</v>
      </c>
      <c r="BD50" s="826" t="s">
        <v>656</v>
      </c>
      <c r="BE50" s="826" t="s">
        <v>479</v>
      </c>
      <c r="BF50" s="826" t="s">
        <v>770</v>
      </c>
      <c r="BG50" s="826"/>
      <c r="BH50" s="590">
        <v>2.6951700000000001</v>
      </c>
      <c r="BI50" s="590">
        <v>149.97</v>
      </c>
      <c r="BJ50" s="831">
        <v>9.9999999999999995E-7</v>
      </c>
      <c r="BK50" s="832"/>
      <c r="BL50" s="832">
        <v>109</v>
      </c>
      <c r="BM50" s="832">
        <v>70</v>
      </c>
      <c r="BN50" s="832">
        <v>21</v>
      </c>
      <c r="BO50" s="832">
        <v>16</v>
      </c>
      <c r="BP50" s="832">
        <v>0</v>
      </c>
      <c r="BQ50" s="832">
        <v>0</v>
      </c>
      <c r="BR50" s="832">
        <v>0</v>
      </c>
      <c r="BS50" s="832">
        <v>7</v>
      </c>
      <c r="BT50" s="832">
        <v>0</v>
      </c>
      <c r="BU50" s="832">
        <v>0</v>
      </c>
      <c r="BV50" s="832">
        <v>0</v>
      </c>
      <c r="BW50" s="832">
        <v>0</v>
      </c>
      <c r="BX50" s="832">
        <v>0</v>
      </c>
      <c r="BY50" s="832">
        <v>17</v>
      </c>
      <c r="BZ50" s="832">
        <v>8</v>
      </c>
      <c r="CA50" s="832">
        <v>0</v>
      </c>
      <c r="CB50" s="832">
        <v>0</v>
      </c>
      <c r="CC50" s="832">
        <v>0</v>
      </c>
      <c r="CD50" s="832">
        <v>0</v>
      </c>
      <c r="CE50" s="832">
        <v>0</v>
      </c>
      <c r="CF50" s="832">
        <v>0</v>
      </c>
      <c r="CG50" s="832">
        <v>0</v>
      </c>
      <c r="CH50" s="832">
        <v>0</v>
      </c>
      <c r="CI50" s="832">
        <v>0</v>
      </c>
      <c r="CJ50" s="832">
        <v>0</v>
      </c>
      <c r="CK50" s="832"/>
      <c r="CL50" s="833">
        <v>69</v>
      </c>
      <c r="CM50" s="824">
        <f t="shared" si="1"/>
        <v>0</v>
      </c>
      <c r="CN50" s="582">
        <v>1407.367</v>
      </c>
      <c r="CO50" s="826" t="s">
        <v>772</v>
      </c>
      <c r="CP50" s="826"/>
      <c r="CQ50" s="830">
        <v>0.61519999999999997</v>
      </c>
      <c r="CR50" s="582">
        <v>2287.6779999999999</v>
      </c>
      <c r="CS50" s="830" t="s">
        <v>773</v>
      </c>
      <c r="CT50" s="826" t="s">
        <v>470</v>
      </c>
      <c r="CU50" s="826"/>
      <c r="CV50" s="826"/>
      <c r="CW50" s="826"/>
      <c r="CX50" s="832"/>
      <c r="CY50" s="832"/>
      <c r="CZ50" s="832">
        <v>4</v>
      </c>
      <c r="DA50" s="826" t="s">
        <v>470</v>
      </c>
      <c r="DB50" s="826" t="s">
        <v>656</v>
      </c>
      <c r="DC50" s="832" t="s">
        <v>656</v>
      </c>
      <c r="DD50" s="826" t="s">
        <v>479</v>
      </c>
      <c r="DE50" s="826" t="s">
        <v>774</v>
      </c>
      <c r="DF50" s="832">
        <v>279912</v>
      </c>
      <c r="DG50" s="826" t="s">
        <v>479</v>
      </c>
      <c r="DH50" s="826" t="s">
        <v>774</v>
      </c>
      <c r="DI50" s="832">
        <v>55118</v>
      </c>
      <c r="DJ50" s="832" t="s">
        <v>470</v>
      </c>
      <c r="DK50" s="832" t="s">
        <v>656</v>
      </c>
      <c r="DL50" s="832" t="s">
        <v>656</v>
      </c>
      <c r="DM50" s="826" t="s">
        <v>470</v>
      </c>
      <c r="DN50" s="826" t="s">
        <v>656</v>
      </c>
      <c r="DO50" s="832" t="s">
        <v>656</v>
      </c>
      <c r="DP50" s="826" t="s">
        <v>470</v>
      </c>
      <c r="DQ50" s="826" t="s">
        <v>656</v>
      </c>
      <c r="DR50" s="832" t="s">
        <v>656</v>
      </c>
      <c r="DS50" s="826" t="s">
        <v>470</v>
      </c>
      <c r="DT50" s="826" t="s">
        <v>656</v>
      </c>
      <c r="DU50" s="832" t="s">
        <v>656</v>
      </c>
      <c r="DV50" s="826" t="s">
        <v>470</v>
      </c>
      <c r="DW50" s="826" t="s">
        <v>656</v>
      </c>
      <c r="DX50" s="832" t="s">
        <v>656</v>
      </c>
      <c r="DY50" s="826" t="s">
        <v>470</v>
      </c>
      <c r="DZ50" s="826" t="s">
        <v>656</v>
      </c>
      <c r="EA50" s="832" t="s">
        <v>656</v>
      </c>
      <c r="EB50" s="826" t="s">
        <v>470</v>
      </c>
      <c r="EC50" s="826" t="s">
        <v>656</v>
      </c>
      <c r="ED50" s="832" t="s">
        <v>656</v>
      </c>
      <c r="EE50" s="826" t="s">
        <v>470</v>
      </c>
      <c r="EF50" s="826" t="s">
        <v>656</v>
      </c>
      <c r="EG50" s="832" t="s">
        <v>656</v>
      </c>
      <c r="EH50" s="826" t="s">
        <v>470</v>
      </c>
      <c r="EI50" s="826" t="s">
        <v>656</v>
      </c>
      <c r="EJ50" s="832" t="s">
        <v>656</v>
      </c>
      <c r="EK50" s="826" t="s">
        <v>470</v>
      </c>
      <c r="EL50" s="826" t="s">
        <v>656</v>
      </c>
      <c r="EM50" s="832" t="s">
        <v>656</v>
      </c>
      <c r="EN50" s="826" t="s">
        <v>470</v>
      </c>
      <c r="EO50" s="826" t="s">
        <v>656</v>
      </c>
      <c r="EP50" s="832" t="s">
        <v>656</v>
      </c>
      <c r="EQ50" s="832" t="s">
        <v>479</v>
      </c>
      <c r="ER50" s="826" t="s">
        <v>9597</v>
      </c>
      <c r="ES50" s="832">
        <v>19</v>
      </c>
      <c r="ET50" s="826"/>
      <c r="EU50" s="826"/>
      <c r="EV50" s="832"/>
      <c r="EW50" s="879">
        <v>1</v>
      </c>
      <c r="EX50" s="826" t="s">
        <v>656</v>
      </c>
      <c r="EY50" s="880">
        <v>132</v>
      </c>
      <c r="EZ50" s="826" t="s">
        <v>775</v>
      </c>
      <c r="FA50" s="826" t="s">
        <v>776</v>
      </c>
      <c r="FB50" s="877" t="s">
        <v>777</v>
      </c>
      <c r="FC50" s="826"/>
      <c r="FD50" s="826"/>
      <c r="FE50" s="826" t="s">
        <v>778</v>
      </c>
      <c r="FF50" s="826"/>
      <c r="FG50" s="826" t="s">
        <v>779</v>
      </c>
      <c r="FH50" s="826" t="s">
        <v>780</v>
      </c>
      <c r="FI50" s="826" t="s">
        <v>781</v>
      </c>
      <c r="FJ50" s="826" t="s">
        <v>782</v>
      </c>
      <c r="FK50" s="826" t="s">
        <v>783</v>
      </c>
      <c r="FL50" s="877" t="s">
        <v>784</v>
      </c>
      <c r="FM50" s="826"/>
      <c r="FN50" s="826"/>
      <c r="FO50" s="826"/>
    </row>
    <row r="51" spans="5:171" ht="104" customHeight="1" x14ac:dyDescent="0.2">
      <c r="E51" s="94" t="s">
        <v>9307</v>
      </c>
      <c r="F51" s="94" t="s">
        <v>9120</v>
      </c>
      <c r="G51" s="198" t="s">
        <v>311</v>
      </c>
      <c r="H51" s="198" t="s">
        <v>389</v>
      </c>
      <c r="I51" s="198"/>
      <c r="J51" s="198" t="s">
        <v>785</v>
      </c>
      <c r="K51" s="198" t="s">
        <v>786</v>
      </c>
      <c r="L51" s="578">
        <v>2015</v>
      </c>
      <c r="M51" s="836">
        <v>44512</v>
      </c>
      <c r="N51" s="836">
        <v>44920</v>
      </c>
      <c r="O51" s="198" t="s">
        <v>9598</v>
      </c>
      <c r="P51" s="198" t="s">
        <v>787</v>
      </c>
      <c r="Q51" s="549" t="s">
        <v>788</v>
      </c>
      <c r="R51" s="198"/>
      <c r="S51" s="198"/>
      <c r="T51" s="198" t="s">
        <v>789</v>
      </c>
      <c r="U51" s="198"/>
      <c r="V51" s="198" t="s">
        <v>790</v>
      </c>
      <c r="W51" s="549" t="s">
        <v>791</v>
      </c>
      <c r="X51" s="198" t="s">
        <v>792</v>
      </c>
      <c r="Y51" s="549" t="s">
        <v>793</v>
      </c>
      <c r="Z51" s="549"/>
      <c r="AA51" s="549"/>
      <c r="AB51" s="549"/>
      <c r="AC51" s="549"/>
      <c r="AD51" s="549"/>
      <c r="AE51" s="549"/>
      <c r="AF51" s="549"/>
      <c r="AG51" s="549"/>
      <c r="AH51" s="198" t="s">
        <v>768</v>
      </c>
      <c r="AI51" s="198" t="s">
        <v>768</v>
      </c>
      <c r="AJ51" s="198" t="s">
        <v>794</v>
      </c>
      <c r="AK51" s="198" t="s">
        <v>795</v>
      </c>
      <c r="AL51" s="580">
        <f t="shared" si="0"/>
        <v>166.869</v>
      </c>
      <c r="AM51" s="504">
        <v>166.869</v>
      </c>
      <c r="AN51" s="516">
        <v>118.83</v>
      </c>
      <c r="AO51" s="137">
        <f>AN51/AL51</f>
        <v>0.7121154917929633</v>
      </c>
      <c r="AP51" s="137">
        <f>AN51/147618.3</f>
        <v>8.0498149619660981E-4</v>
      </c>
      <c r="AQ51" s="504">
        <v>19.649999999999999</v>
      </c>
      <c r="AR51" s="137">
        <f>AQ51/AL51</f>
        <v>0.11775704294985886</v>
      </c>
      <c r="AS51" s="137"/>
      <c r="AT51" s="520">
        <v>16.059999999999999</v>
      </c>
      <c r="AU51" s="137">
        <f>AT51/AL51</f>
        <v>9.6243160802785416E-2</v>
      </c>
      <c r="AV51" s="520">
        <v>12.329000000000001</v>
      </c>
      <c r="AW51" s="137">
        <f>AV51/AL51</f>
        <v>7.3884304454392369E-2</v>
      </c>
      <c r="AX51" s="520"/>
      <c r="AY51" s="137"/>
      <c r="AZ51" s="520"/>
      <c r="BA51" s="137"/>
      <c r="BB51" s="198"/>
      <c r="BC51" s="198"/>
      <c r="BD51" s="198"/>
      <c r="BE51" s="198" t="s">
        <v>479</v>
      </c>
      <c r="BF51" s="198" t="s">
        <v>796</v>
      </c>
      <c r="BG51" s="198" t="s">
        <v>797</v>
      </c>
      <c r="BH51" s="137"/>
      <c r="BI51" s="580">
        <v>90</v>
      </c>
      <c r="BJ51" s="137">
        <f>BI51/170655.95</f>
        <v>5.2737686555903848E-4</v>
      </c>
      <c r="BK51" s="83">
        <v>817</v>
      </c>
      <c r="BL51" s="83">
        <v>671</v>
      </c>
      <c r="BM51" s="83">
        <v>210</v>
      </c>
      <c r="BN51" s="83">
        <v>22</v>
      </c>
      <c r="BO51" s="83">
        <v>20</v>
      </c>
      <c r="BP51" s="83">
        <v>8</v>
      </c>
      <c r="BQ51" s="83"/>
      <c r="BR51" s="83"/>
      <c r="BS51" s="83">
        <v>13</v>
      </c>
      <c r="BT51" s="83"/>
      <c r="BU51" s="83">
        <v>2</v>
      </c>
      <c r="BV51" s="83">
        <v>25</v>
      </c>
      <c r="BW51" s="83"/>
      <c r="BX51" s="83">
        <v>50</v>
      </c>
      <c r="BY51" s="83">
        <v>30</v>
      </c>
      <c r="BZ51" s="83">
        <v>24</v>
      </c>
      <c r="CA51" s="83">
        <v>5</v>
      </c>
      <c r="CB51" s="83"/>
      <c r="CC51" s="83"/>
      <c r="CD51" s="83"/>
      <c r="CE51" s="83"/>
      <c r="CF51" s="83"/>
      <c r="CG51" s="83"/>
      <c r="CH51" s="83"/>
      <c r="CI51" s="83"/>
      <c r="CJ51" s="83"/>
      <c r="CK51" s="83">
        <v>10</v>
      </c>
      <c r="CL51" s="824">
        <f>SUM(BN51:CK51)</f>
        <v>209</v>
      </c>
      <c r="CM51" s="824">
        <f t="shared" si="1"/>
        <v>0</v>
      </c>
      <c r="CN51" s="580">
        <v>507.82100000000003</v>
      </c>
      <c r="CO51" s="198" t="s">
        <v>798</v>
      </c>
      <c r="CP51" s="198"/>
      <c r="CQ51" s="137">
        <f>CN51/2287.7</f>
        <v>0.22197884337981383</v>
      </c>
      <c r="CR51" s="580">
        <v>2287.6999999999998</v>
      </c>
      <c r="CS51" s="834" t="s">
        <v>799</v>
      </c>
      <c r="CT51" s="198" t="s">
        <v>479</v>
      </c>
      <c r="CU51" s="198" t="s">
        <v>800</v>
      </c>
      <c r="CV51" s="198"/>
      <c r="CW51" s="198" t="s">
        <v>801</v>
      </c>
      <c r="CX51" s="83">
        <v>7</v>
      </c>
      <c r="CY51" s="83"/>
      <c r="CZ51" s="83"/>
      <c r="DA51" s="198" t="s">
        <v>479</v>
      </c>
      <c r="DB51" s="198" t="s">
        <v>802</v>
      </c>
      <c r="DC51" s="83">
        <v>17301</v>
      </c>
      <c r="DD51" s="198" t="s">
        <v>479</v>
      </c>
      <c r="DE51" s="198" t="s">
        <v>802</v>
      </c>
      <c r="DF51" s="83">
        <v>19488</v>
      </c>
      <c r="DG51" s="83" t="s">
        <v>479</v>
      </c>
      <c r="DH51" s="83" t="s">
        <v>802</v>
      </c>
      <c r="DI51" s="83">
        <v>20815</v>
      </c>
      <c r="DJ51" s="83" t="s">
        <v>470</v>
      </c>
      <c r="DK51" s="83"/>
      <c r="DL51" s="83"/>
      <c r="DM51" s="198" t="s">
        <v>470</v>
      </c>
      <c r="DN51" s="198"/>
      <c r="DO51" s="83"/>
      <c r="DP51" s="198" t="s">
        <v>470</v>
      </c>
      <c r="DQ51" s="198"/>
      <c r="DR51" s="83"/>
      <c r="DS51" s="198" t="s">
        <v>470</v>
      </c>
      <c r="DT51" s="198"/>
      <c r="DU51" s="83"/>
      <c r="DV51" s="198" t="s">
        <v>470</v>
      </c>
      <c r="DW51" s="198"/>
      <c r="DX51" s="83"/>
      <c r="DY51" s="198" t="s">
        <v>470</v>
      </c>
      <c r="DZ51" s="198"/>
      <c r="EA51" s="83"/>
      <c r="EB51" s="198" t="s">
        <v>470</v>
      </c>
      <c r="EC51" s="198"/>
      <c r="ED51" s="83"/>
      <c r="EE51" s="83" t="s">
        <v>470</v>
      </c>
      <c r="EF51" s="83"/>
      <c r="EG51" s="83"/>
      <c r="EH51" s="198" t="s">
        <v>470</v>
      </c>
      <c r="EI51" s="198"/>
      <c r="EJ51" s="83"/>
      <c r="EK51" s="198" t="s">
        <v>470</v>
      </c>
      <c r="EL51" s="198"/>
      <c r="EM51" s="83"/>
      <c r="EN51" s="198" t="s">
        <v>470</v>
      </c>
      <c r="EO51" s="198"/>
      <c r="EP51" s="83"/>
      <c r="EQ51" s="83" t="s">
        <v>470</v>
      </c>
      <c r="ER51" s="848"/>
      <c r="ES51" s="83"/>
      <c r="ET51" s="198" t="s">
        <v>803</v>
      </c>
      <c r="EU51" s="198" t="s">
        <v>804</v>
      </c>
      <c r="EV51" s="83">
        <v>671</v>
      </c>
      <c r="EW51" s="837">
        <v>1</v>
      </c>
      <c r="EX51" s="198"/>
      <c r="EY51" s="505">
        <v>399</v>
      </c>
      <c r="EZ51" s="198" t="s">
        <v>479</v>
      </c>
      <c r="FA51" s="198" t="s">
        <v>805</v>
      </c>
      <c r="FB51" s="549" t="s">
        <v>806</v>
      </c>
      <c r="FC51" s="503" t="s">
        <v>807</v>
      </c>
      <c r="FD51" s="549" t="s">
        <v>806</v>
      </c>
      <c r="FE51" s="198" t="s">
        <v>808</v>
      </c>
      <c r="FF51" s="198" t="s">
        <v>809</v>
      </c>
      <c r="FG51" s="198" t="s">
        <v>810</v>
      </c>
      <c r="FH51" s="198">
        <v>4</v>
      </c>
      <c r="FI51" s="83">
        <v>12318</v>
      </c>
      <c r="FJ51" s="198" t="s">
        <v>811</v>
      </c>
      <c r="FK51" s="198" t="s">
        <v>812</v>
      </c>
      <c r="FL51" s="198" t="s">
        <v>813</v>
      </c>
      <c r="FM51" s="198"/>
      <c r="FN51" s="198"/>
      <c r="FO51" s="198"/>
    </row>
    <row r="52" spans="5:171" ht="104" customHeight="1" x14ac:dyDescent="0.2">
      <c r="E52" s="94" t="s">
        <v>9302</v>
      </c>
      <c r="F52" s="94" t="s">
        <v>9120</v>
      </c>
      <c r="G52" s="198" t="s">
        <v>311</v>
      </c>
      <c r="H52" s="198" t="s">
        <v>389</v>
      </c>
      <c r="I52" s="198"/>
      <c r="J52" s="198" t="s">
        <v>814</v>
      </c>
      <c r="K52" s="198" t="s">
        <v>815</v>
      </c>
      <c r="L52" s="578">
        <v>2020</v>
      </c>
      <c r="M52" s="822">
        <v>44287</v>
      </c>
      <c r="N52" s="822" t="s">
        <v>816</v>
      </c>
      <c r="O52" s="198" t="s">
        <v>817</v>
      </c>
      <c r="P52" s="198" t="s">
        <v>818</v>
      </c>
      <c r="Q52" s="549" t="s">
        <v>819</v>
      </c>
      <c r="R52" s="198"/>
      <c r="S52" s="198"/>
      <c r="T52" s="198"/>
      <c r="U52" s="198"/>
      <c r="V52" s="198" t="s">
        <v>820</v>
      </c>
      <c r="W52" s="198" t="s">
        <v>821</v>
      </c>
      <c r="X52" s="198" t="s">
        <v>822</v>
      </c>
      <c r="Y52" s="549" t="s">
        <v>823</v>
      </c>
      <c r="Z52" s="549"/>
      <c r="AA52" s="549"/>
      <c r="AB52" s="549"/>
      <c r="AC52" s="549"/>
      <c r="AD52" s="549"/>
      <c r="AE52" s="549"/>
      <c r="AF52" s="549"/>
      <c r="AG52" s="549"/>
      <c r="AH52" s="198" t="s">
        <v>768</v>
      </c>
      <c r="AI52" s="198" t="s">
        <v>768</v>
      </c>
      <c r="AJ52" s="198" t="s">
        <v>477</v>
      </c>
      <c r="AK52" s="198" t="s">
        <v>769</v>
      </c>
      <c r="AL52" s="580">
        <f t="shared" si="0"/>
        <v>205.21999999999997</v>
      </c>
      <c r="AM52" s="504">
        <v>205.21999999999997</v>
      </c>
      <c r="AN52" s="516">
        <v>178.23</v>
      </c>
      <c r="AO52" s="137">
        <f>AN52/AL52</f>
        <v>0.86848260403469457</v>
      </c>
      <c r="AP52" s="137">
        <v>9.7000000000000005E-4</v>
      </c>
      <c r="AQ52" s="504">
        <v>23.07</v>
      </c>
      <c r="AR52" s="137">
        <f>AQ52/AL52</f>
        <v>0.11241594386512038</v>
      </c>
      <c r="AS52" s="137"/>
      <c r="AT52" s="520"/>
      <c r="AU52" s="137">
        <v>0</v>
      </c>
      <c r="AV52" s="520">
        <v>3.92</v>
      </c>
      <c r="AW52" s="137">
        <f>AV52/AL52</f>
        <v>1.9101452100185171E-2</v>
      </c>
      <c r="AX52" s="520"/>
      <c r="AY52" s="137">
        <v>0</v>
      </c>
      <c r="AZ52" s="520">
        <v>0</v>
      </c>
      <c r="BA52" s="137">
        <v>0</v>
      </c>
      <c r="BB52" s="198"/>
      <c r="BC52" s="198"/>
      <c r="BD52" s="198"/>
      <c r="BE52" s="198" t="s">
        <v>470</v>
      </c>
      <c r="BF52" s="198"/>
      <c r="BG52" s="198"/>
      <c r="BH52" s="198"/>
      <c r="BI52" s="580">
        <v>268.27999999999997</v>
      </c>
      <c r="BJ52" s="137">
        <v>1.3799999999999999E-3</v>
      </c>
      <c r="BK52" s="83"/>
      <c r="BL52" s="83">
        <v>83</v>
      </c>
      <c r="BM52" s="83">
        <v>35</v>
      </c>
      <c r="BN52" s="83"/>
      <c r="BO52" s="83"/>
      <c r="BP52" s="83"/>
      <c r="BQ52" s="83"/>
      <c r="BR52" s="83"/>
      <c r="BS52" s="83"/>
      <c r="BT52" s="83"/>
      <c r="BU52" s="83"/>
      <c r="BV52" s="83"/>
      <c r="BW52" s="83"/>
      <c r="BX52" s="83"/>
      <c r="BY52" s="83">
        <v>16</v>
      </c>
      <c r="BZ52" s="83"/>
      <c r="CA52" s="83"/>
      <c r="CB52" s="83"/>
      <c r="CC52" s="83"/>
      <c r="CD52" s="83"/>
      <c r="CE52" s="83"/>
      <c r="CF52" s="83"/>
      <c r="CG52" s="83"/>
      <c r="CH52" s="83"/>
      <c r="CI52" s="83"/>
      <c r="CJ52" s="83"/>
      <c r="CK52" s="83">
        <v>19</v>
      </c>
      <c r="CL52" s="824">
        <f>SUM(BN52:CK52)</f>
        <v>35</v>
      </c>
      <c r="CM52" s="824">
        <f t="shared" si="1"/>
        <v>0</v>
      </c>
      <c r="CN52" s="580">
        <v>343.53199999999998</v>
      </c>
      <c r="CO52" s="198" t="s">
        <v>826</v>
      </c>
      <c r="CP52" s="198" t="s">
        <v>656</v>
      </c>
      <c r="CQ52" s="137">
        <f>CN52/CR52</f>
        <v>0.15032367996597354</v>
      </c>
      <c r="CR52" s="580">
        <v>2285.2820000000002</v>
      </c>
      <c r="CS52" s="137" t="s">
        <v>827</v>
      </c>
      <c r="CT52" s="198" t="s">
        <v>470</v>
      </c>
      <c r="CU52" s="198"/>
      <c r="CV52" s="198"/>
      <c r="CW52" s="198"/>
      <c r="CX52" s="83"/>
      <c r="CY52" s="83"/>
      <c r="CZ52" s="83"/>
      <c r="DA52" s="198" t="s">
        <v>470</v>
      </c>
      <c r="DB52" s="198"/>
      <c r="DC52" s="83"/>
      <c r="DD52" s="198" t="s">
        <v>470</v>
      </c>
      <c r="DE52" s="198"/>
      <c r="DF52" s="83"/>
      <c r="DG52" s="83" t="s">
        <v>470</v>
      </c>
      <c r="DH52" s="83"/>
      <c r="DI52" s="83"/>
      <c r="DJ52" s="83" t="s">
        <v>470</v>
      </c>
      <c r="DK52" s="83"/>
      <c r="DL52" s="83"/>
      <c r="DM52" s="198" t="s">
        <v>470</v>
      </c>
      <c r="DN52" s="198"/>
      <c r="DO52" s="83"/>
      <c r="DP52" s="198" t="s">
        <v>828</v>
      </c>
      <c r="DQ52" s="549"/>
      <c r="DR52" s="83"/>
      <c r="DS52" s="198" t="s">
        <v>470</v>
      </c>
      <c r="DT52" s="198"/>
      <c r="DU52" s="83"/>
      <c r="DV52" s="198" t="s">
        <v>829</v>
      </c>
      <c r="DW52" s="198" t="s">
        <v>830</v>
      </c>
      <c r="DX52" s="83">
        <v>178324</v>
      </c>
      <c r="DY52" s="198" t="s">
        <v>470</v>
      </c>
      <c r="DZ52" s="198"/>
      <c r="EA52" s="83"/>
      <c r="EB52" s="198" t="s">
        <v>470</v>
      </c>
      <c r="EC52" s="198"/>
      <c r="ED52" s="83"/>
      <c r="EE52" s="83" t="s">
        <v>470</v>
      </c>
      <c r="EF52" s="83"/>
      <c r="EG52" s="83"/>
      <c r="EH52" s="198" t="s">
        <v>470</v>
      </c>
      <c r="EI52" s="198"/>
      <c r="EJ52" s="83"/>
      <c r="EK52" s="198" t="s">
        <v>470</v>
      </c>
      <c r="EL52" s="198"/>
      <c r="EM52" s="83"/>
      <c r="EN52" s="198" t="s">
        <v>470</v>
      </c>
      <c r="EO52" s="198"/>
      <c r="EP52" s="83"/>
      <c r="EQ52" s="83" t="s">
        <v>470</v>
      </c>
      <c r="ER52" s="83"/>
      <c r="ES52" s="83"/>
      <c r="ET52" s="198" t="s">
        <v>831</v>
      </c>
      <c r="EU52" s="198" t="s">
        <v>832</v>
      </c>
      <c r="EV52" s="83">
        <v>9</v>
      </c>
      <c r="EW52" s="198" t="s">
        <v>833</v>
      </c>
      <c r="EX52" s="198"/>
      <c r="EY52" s="505">
        <v>79</v>
      </c>
      <c r="EZ52" s="198" t="s">
        <v>470</v>
      </c>
      <c r="FA52" s="198"/>
      <c r="FB52" s="198" t="s">
        <v>834</v>
      </c>
      <c r="FC52" s="198"/>
      <c r="FD52" s="198"/>
      <c r="FE52" s="198" t="s">
        <v>835</v>
      </c>
      <c r="FF52" s="198" t="s">
        <v>836</v>
      </c>
      <c r="FG52" s="198"/>
      <c r="FH52" s="198"/>
      <c r="FI52" s="198"/>
      <c r="FJ52" s="198" t="s">
        <v>837</v>
      </c>
      <c r="FK52" s="198" t="s">
        <v>838</v>
      </c>
      <c r="FL52" s="549" t="s">
        <v>839</v>
      </c>
      <c r="FM52" s="198"/>
      <c r="FN52" s="198"/>
      <c r="FO52" s="198"/>
    </row>
    <row r="53" spans="5:171" ht="104" customHeight="1" x14ac:dyDescent="0.2">
      <c r="E53" s="94" t="s">
        <v>9309</v>
      </c>
      <c r="F53" s="94" t="s">
        <v>9120</v>
      </c>
      <c r="G53" s="198" t="s">
        <v>312</v>
      </c>
      <c r="H53" s="198" t="s">
        <v>390</v>
      </c>
      <c r="I53" s="198"/>
      <c r="J53" s="198" t="s">
        <v>909</v>
      </c>
      <c r="K53" s="198" t="s">
        <v>910</v>
      </c>
      <c r="L53" s="578">
        <v>2022</v>
      </c>
      <c r="M53" s="822">
        <v>44562</v>
      </c>
      <c r="N53" s="822">
        <v>44926</v>
      </c>
      <c r="O53" s="198" t="s">
        <v>911</v>
      </c>
      <c r="P53" s="198" t="s">
        <v>912</v>
      </c>
      <c r="Q53" s="198"/>
      <c r="R53" s="97" t="s">
        <v>470</v>
      </c>
      <c r="S53" s="97">
        <f>-AO59</f>
        <v>-1.5757388185593656E-2</v>
      </c>
      <c r="T53" s="97" t="s">
        <v>470</v>
      </c>
      <c r="U53" s="97"/>
      <c r="V53" s="97" t="s">
        <v>470</v>
      </c>
      <c r="W53" s="97"/>
      <c r="X53" s="97" t="s">
        <v>470</v>
      </c>
      <c r="Y53" s="198"/>
      <c r="Z53" s="198"/>
      <c r="AA53" s="198"/>
      <c r="AB53" s="198"/>
      <c r="AC53" s="198"/>
      <c r="AD53" s="198"/>
      <c r="AE53" s="198"/>
      <c r="AF53" s="198"/>
      <c r="AG53" s="198"/>
      <c r="AH53" s="198" t="s">
        <v>913</v>
      </c>
      <c r="AI53" s="198" t="s">
        <v>913</v>
      </c>
      <c r="AJ53" s="198" t="s">
        <v>504</v>
      </c>
      <c r="AK53" s="198" t="s">
        <v>914</v>
      </c>
      <c r="AL53" s="580">
        <f t="shared" si="0"/>
        <v>71.087000000000003</v>
      </c>
      <c r="AM53" s="504">
        <v>71.087000000000003</v>
      </c>
      <c r="AN53" s="516">
        <v>59.436</v>
      </c>
      <c r="AO53" s="507" t="s">
        <v>915</v>
      </c>
      <c r="AP53" s="507" t="s">
        <v>656</v>
      </c>
      <c r="AQ53" s="504">
        <v>4.97</v>
      </c>
      <c r="AR53" s="507">
        <v>7.0000000000000007E-2</v>
      </c>
      <c r="AS53" s="507"/>
      <c r="AT53" s="516">
        <v>6.681</v>
      </c>
      <c r="AU53" s="507">
        <v>9.3899999999999997E-2</v>
      </c>
      <c r="AV53" s="516">
        <v>0</v>
      </c>
      <c r="AW53" s="507">
        <v>0</v>
      </c>
      <c r="AX53" s="516"/>
      <c r="AY53" s="507">
        <v>0</v>
      </c>
      <c r="AZ53" s="516" t="s">
        <v>470</v>
      </c>
      <c r="BA53" s="507" t="s">
        <v>470</v>
      </c>
      <c r="BB53" s="97" t="s">
        <v>470</v>
      </c>
      <c r="BC53" s="97" t="s">
        <v>470</v>
      </c>
      <c r="BD53" s="97" t="s">
        <v>470</v>
      </c>
      <c r="BE53" s="97" t="s">
        <v>470</v>
      </c>
      <c r="BF53" s="97" t="s">
        <v>470</v>
      </c>
      <c r="BG53" s="97" t="s">
        <v>470</v>
      </c>
      <c r="BH53" s="97" t="s">
        <v>470</v>
      </c>
      <c r="BI53" s="507" t="s">
        <v>916</v>
      </c>
      <c r="BJ53" s="507">
        <f>60/190482.1</f>
        <v>3.1499022742819403E-4</v>
      </c>
      <c r="BK53" s="96">
        <v>17</v>
      </c>
      <c r="BL53" s="96">
        <v>17</v>
      </c>
      <c r="BM53" s="96">
        <v>9</v>
      </c>
      <c r="BN53" s="96" t="s">
        <v>656</v>
      </c>
      <c r="BO53" s="96" t="s">
        <v>656</v>
      </c>
      <c r="BP53" s="96" t="s">
        <v>656</v>
      </c>
      <c r="BQ53" s="96" t="s">
        <v>656</v>
      </c>
      <c r="BR53" s="96" t="s">
        <v>656</v>
      </c>
      <c r="BS53" s="96" t="s">
        <v>656</v>
      </c>
      <c r="BT53" s="96" t="s">
        <v>656</v>
      </c>
      <c r="BU53" s="96" t="s">
        <v>656</v>
      </c>
      <c r="BV53" s="96" t="s">
        <v>656</v>
      </c>
      <c r="BW53" s="96" t="s">
        <v>656</v>
      </c>
      <c r="BX53" s="96" t="s">
        <v>656</v>
      </c>
      <c r="BY53" s="96" t="s">
        <v>656</v>
      </c>
      <c r="BZ53" s="96" t="s">
        <v>656</v>
      </c>
      <c r="CA53" s="96" t="s">
        <v>656</v>
      </c>
      <c r="CB53" s="96" t="s">
        <v>656</v>
      </c>
      <c r="CC53" s="96" t="s">
        <v>656</v>
      </c>
      <c r="CD53" s="96" t="s">
        <v>656</v>
      </c>
      <c r="CE53" s="96" t="s">
        <v>656</v>
      </c>
      <c r="CF53" s="96" t="s">
        <v>656</v>
      </c>
      <c r="CG53" s="96" t="s">
        <v>656</v>
      </c>
      <c r="CH53" s="96" t="s">
        <v>656</v>
      </c>
      <c r="CI53" s="96" t="s">
        <v>656</v>
      </c>
      <c r="CJ53" s="96" t="s">
        <v>656</v>
      </c>
      <c r="CK53" s="96">
        <v>9</v>
      </c>
      <c r="CL53" s="502">
        <f>SUM(BN53:CK53)</f>
        <v>9</v>
      </c>
      <c r="CM53" s="824">
        <f t="shared" si="1"/>
        <v>0</v>
      </c>
      <c r="CN53" s="580"/>
      <c r="CO53" s="198"/>
      <c r="CP53" s="198"/>
      <c r="CQ53" s="137"/>
      <c r="CR53" s="504">
        <v>3153.857</v>
      </c>
      <c r="CS53" s="834" t="s">
        <v>917</v>
      </c>
      <c r="CT53" s="97" t="s">
        <v>470</v>
      </c>
      <c r="CU53" s="97" t="s">
        <v>470</v>
      </c>
      <c r="CV53" s="97" t="s">
        <v>470</v>
      </c>
      <c r="CW53" s="97" t="s">
        <v>470</v>
      </c>
      <c r="CX53" s="96" t="s">
        <v>470</v>
      </c>
      <c r="CY53" s="96" t="s">
        <v>470</v>
      </c>
      <c r="CZ53" s="96">
        <v>4</v>
      </c>
      <c r="DA53" s="97" t="s">
        <v>470</v>
      </c>
      <c r="DB53" s="97" t="s">
        <v>470</v>
      </c>
      <c r="DC53" s="96" t="s">
        <v>470</v>
      </c>
      <c r="DD53" s="97" t="s">
        <v>470</v>
      </c>
      <c r="DE53" s="97" t="s">
        <v>470</v>
      </c>
      <c r="DF53" s="96" t="s">
        <v>470</v>
      </c>
      <c r="DG53" s="96" t="s">
        <v>470</v>
      </c>
      <c r="DH53" s="96" t="s">
        <v>470</v>
      </c>
      <c r="DI53" s="96" t="s">
        <v>470</v>
      </c>
      <c r="DJ53" s="96" t="s">
        <v>470</v>
      </c>
      <c r="DK53" s="96" t="s">
        <v>470</v>
      </c>
      <c r="DL53" s="96" t="s">
        <v>470</v>
      </c>
      <c r="DM53" s="97" t="s">
        <v>470</v>
      </c>
      <c r="DN53" s="97" t="s">
        <v>470</v>
      </c>
      <c r="DO53" s="96" t="s">
        <v>470</v>
      </c>
      <c r="DP53" s="97" t="s">
        <v>470</v>
      </c>
      <c r="DQ53" s="97" t="s">
        <v>470</v>
      </c>
      <c r="DR53" s="96" t="s">
        <v>470</v>
      </c>
      <c r="DS53" s="97" t="s">
        <v>470</v>
      </c>
      <c r="DT53" s="97" t="s">
        <v>470</v>
      </c>
      <c r="DU53" s="96" t="s">
        <v>470</v>
      </c>
      <c r="DV53" s="97" t="s">
        <v>918</v>
      </c>
      <c r="DW53" s="97" t="s">
        <v>919</v>
      </c>
      <c r="DX53" s="96">
        <v>12</v>
      </c>
      <c r="DY53" s="97" t="s">
        <v>470</v>
      </c>
      <c r="DZ53" s="97" t="s">
        <v>470</v>
      </c>
      <c r="EA53" s="96" t="s">
        <v>470</v>
      </c>
      <c r="EB53" s="97" t="s">
        <v>470</v>
      </c>
      <c r="EC53" s="97" t="s">
        <v>470</v>
      </c>
      <c r="ED53" s="96" t="s">
        <v>470</v>
      </c>
      <c r="EE53" s="96" t="s">
        <v>470</v>
      </c>
      <c r="EF53" s="96" t="s">
        <v>470</v>
      </c>
      <c r="EG53" s="96" t="s">
        <v>470</v>
      </c>
      <c r="EH53" s="97" t="s">
        <v>470</v>
      </c>
      <c r="EI53" s="97" t="s">
        <v>470</v>
      </c>
      <c r="EJ53" s="96" t="s">
        <v>470</v>
      </c>
      <c r="EK53" s="97" t="s">
        <v>470</v>
      </c>
      <c r="EL53" s="97" t="s">
        <v>470</v>
      </c>
      <c r="EM53" s="96" t="s">
        <v>470</v>
      </c>
      <c r="EN53" s="97" t="s">
        <v>479</v>
      </c>
      <c r="EO53" s="97" t="s">
        <v>920</v>
      </c>
      <c r="EP53" s="508">
        <v>11</v>
      </c>
      <c r="EQ53" s="96" t="s">
        <v>470</v>
      </c>
      <c r="ER53" s="96" t="s">
        <v>470</v>
      </c>
      <c r="ES53" s="96" t="s">
        <v>470</v>
      </c>
      <c r="ET53" s="97" t="s">
        <v>470</v>
      </c>
      <c r="EU53" s="97" t="s">
        <v>470</v>
      </c>
      <c r="EV53" s="96" t="s">
        <v>470</v>
      </c>
      <c r="EW53" s="876">
        <v>1</v>
      </c>
      <c r="EX53" s="97" t="s">
        <v>470</v>
      </c>
      <c r="EY53" s="611">
        <v>17</v>
      </c>
      <c r="EZ53" s="97" t="s">
        <v>470</v>
      </c>
      <c r="FA53" s="97" t="s">
        <v>470</v>
      </c>
      <c r="FB53" s="509" t="s">
        <v>921</v>
      </c>
      <c r="FC53" s="881"/>
      <c r="FD53" s="97" t="s">
        <v>470</v>
      </c>
      <c r="FE53" s="97" t="s">
        <v>656</v>
      </c>
      <c r="FF53" s="97" t="s">
        <v>656</v>
      </c>
      <c r="FG53" s="97" t="s">
        <v>470</v>
      </c>
      <c r="FH53" s="97" t="s">
        <v>470</v>
      </c>
      <c r="FI53" s="97" t="s">
        <v>470</v>
      </c>
      <c r="FJ53" s="198" t="s">
        <v>922</v>
      </c>
      <c r="FK53" s="198" t="s">
        <v>923</v>
      </c>
      <c r="FL53" s="549" t="s">
        <v>924</v>
      </c>
      <c r="FM53" s="198" t="s">
        <v>925</v>
      </c>
      <c r="FN53" s="83" t="s">
        <v>926</v>
      </c>
      <c r="FO53" s="549" t="s">
        <v>927</v>
      </c>
    </row>
    <row r="54" spans="5:171" ht="104" customHeight="1" x14ac:dyDescent="0.2">
      <c r="E54" s="94" t="s">
        <v>9302</v>
      </c>
      <c r="F54" s="94" t="s">
        <v>9120</v>
      </c>
      <c r="G54" s="198" t="s">
        <v>312</v>
      </c>
      <c r="H54" s="198" t="s">
        <v>390</v>
      </c>
      <c r="I54" s="198"/>
      <c r="J54" s="198" t="s">
        <v>928</v>
      </c>
      <c r="K54" s="198" t="s">
        <v>929</v>
      </c>
      <c r="L54" s="578">
        <v>2019</v>
      </c>
      <c r="M54" s="822">
        <v>44679</v>
      </c>
      <c r="N54" s="822">
        <v>44925</v>
      </c>
      <c r="O54" s="198"/>
      <c r="P54" s="198"/>
      <c r="Q54" s="198"/>
      <c r="R54" s="198"/>
      <c r="S54" s="198"/>
      <c r="T54" s="198"/>
      <c r="U54" s="198"/>
      <c r="V54" s="198"/>
      <c r="W54" s="198"/>
      <c r="X54" s="198" t="s">
        <v>930</v>
      </c>
      <c r="Y54" s="198" t="s">
        <v>931</v>
      </c>
      <c r="Z54" s="198"/>
      <c r="AA54" s="198"/>
      <c r="AB54" s="198"/>
      <c r="AC54" s="198"/>
      <c r="AD54" s="198"/>
      <c r="AE54" s="198"/>
      <c r="AF54" s="198"/>
      <c r="AG54" s="198"/>
      <c r="AH54" s="198" t="s">
        <v>932</v>
      </c>
      <c r="AI54" s="198" t="s">
        <v>932</v>
      </c>
      <c r="AJ54" s="198" t="s">
        <v>504</v>
      </c>
      <c r="AK54" s="198" t="s">
        <v>933</v>
      </c>
      <c r="AL54" s="580">
        <f t="shared" si="0"/>
        <v>868.31500000000005</v>
      </c>
      <c r="AM54" s="504">
        <v>868.31500000000005</v>
      </c>
      <c r="AN54" s="516">
        <v>599.66800000000001</v>
      </c>
      <c r="AO54" s="137">
        <v>0.69</v>
      </c>
      <c r="AP54" s="137"/>
      <c r="AQ54" s="504">
        <v>102.474</v>
      </c>
      <c r="AR54" s="137">
        <v>0.12</v>
      </c>
      <c r="AS54" s="137"/>
      <c r="AT54" s="520">
        <v>166.173</v>
      </c>
      <c r="AU54" s="137">
        <v>0.19</v>
      </c>
      <c r="AV54" s="520"/>
      <c r="AW54" s="137"/>
      <c r="AX54" s="520"/>
      <c r="AY54" s="137"/>
      <c r="AZ54" s="520">
        <v>0</v>
      </c>
      <c r="BA54" s="137"/>
      <c r="BB54" s="198"/>
      <c r="BC54" s="198"/>
      <c r="BD54" s="198"/>
      <c r="BE54" s="198" t="s">
        <v>470</v>
      </c>
      <c r="BF54" s="198"/>
      <c r="BG54" s="198"/>
      <c r="BH54" s="198"/>
      <c r="BI54" s="586">
        <v>200</v>
      </c>
      <c r="BJ54" s="137">
        <v>1E-3</v>
      </c>
      <c r="BK54" s="83"/>
      <c r="BL54" s="83">
        <v>186</v>
      </c>
      <c r="BM54" s="83">
        <v>128</v>
      </c>
      <c r="BN54" s="83">
        <v>12</v>
      </c>
      <c r="BO54" s="83">
        <v>49</v>
      </c>
      <c r="BP54" s="83">
        <v>7</v>
      </c>
      <c r="BQ54" s="83">
        <v>3</v>
      </c>
      <c r="BR54" s="83">
        <v>1</v>
      </c>
      <c r="BS54" s="83">
        <v>3</v>
      </c>
      <c r="BT54" s="83"/>
      <c r="BU54" s="83">
        <v>7</v>
      </c>
      <c r="BV54" s="83">
        <v>3</v>
      </c>
      <c r="BW54" s="83">
        <v>1</v>
      </c>
      <c r="BX54" s="83">
        <v>7</v>
      </c>
      <c r="BY54" s="83">
        <v>33</v>
      </c>
      <c r="BZ54" s="83">
        <v>2</v>
      </c>
      <c r="CA54" s="83"/>
      <c r="CB54" s="83"/>
      <c r="CC54" s="83"/>
      <c r="CD54" s="83"/>
      <c r="CE54" s="83"/>
      <c r="CF54" s="83"/>
      <c r="CG54" s="83"/>
      <c r="CH54" s="83"/>
      <c r="CI54" s="83"/>
      <c r="CJ54" s="83"/>
      <c r="CK54" s="83"/>
      <c r="CL54" s="824">
        <f>SUM(BN54:CK54)</f>
        <v>128</v>
      </c>
      <c r="CM54" s="824">
        <f t="shared" si="1"/>
        <v>0</v>
      </c>
      <c r="CN54" s="580"/>
      <c r="CO54" s="198"/>
      <c r="CP54" s="198"/>
      <c r="CQ54" s="137"/>
      <c r="CR54" s="580"/>
      <c r="CS54" s="137"/>
      <c r="CT54" s="198" t="s">
        <v>470</v>
      </c>
      <c r="CU54" s="198"/>
      <c r="CV54" s="198"/>
      <c r="CW54" s="198"/>
      <c r="CX54" s="83"/>
      <c r="CY54" s="83"/>
      <c r="CZ54" s="83"/>
      <c r="DA54" s="198" t="s">
        <v>470</v>
      </c>
      <c r="DB54" s="198"/>
      <c r="DC54" s="83"/>
      <c r="DD54" s="198" t="s">
        <v>479</v>
      </c>
      <c r="DE54" s="198" t="s">
        <v>935</v>
      </c>
      <c r="DF54" s="83" t="s">
        <v>934</v>
      </c>
      <c r="DG54" s="83" t="s">
        <v>470</v>
      </c>
      <c r="DH54" s="83"/>
      <c r="DI54" s="83"/>
      <c r="DJ54" s="83" t="s">
        <v>470</v>
      </c>
      <c r="DK54" s="83"/>
      <c r="DL54" s="83"/>
      <c r="DM54" s="198" t="s">
        <v>470</v>
      </c>
      <c r="DN54" s="198"/>
      <c r="DO54" s="83"/>
      <c r="DP54" s="198" t="s">
        <v>470</v>
      </c>
      <c r="DQ54" s="198"/>
      <c r="DR54" s="83"/>
      <c r="DS54" s="198" t="s">
        <v>470</v>
      </c>
      <c r="DT54" s="198"/>
      <c r="DU54" s="83"/>
      <c r="DV54" s="198"/>
      <c r="DW54" s="198"/>
      <c r="DX54" s="83"/>
      <c r="DY54" s="198" t="s">
        <v>470</v>
      </c>
      <c r="DZ54" s="198"/>
      <c r="EA54" s="83"/>
      <c r="EB54" s="198" t="s">
        <v>470</v>
      </c>
      <c r="EC54" s="198"/>
      <c r="ED54" s="83"/>
      <c r="EE54" s="83" t="s">
        <v>470</v>
      </c>
      <c r="EF54" s="83"/>
      <c r="EG54" s="83"/>
      <c r="EH54" s="198" t="s">
        <v>470</v>
      </c>
      <c r="EI54" s="198"/>
      <c r="EJ54" s="83"/>
      <c r="EK54" s="198" t="s">
        <v>470</v>
      </c>
      <c r="EL54" s="198"/>
      <c r="EM54" s="83"/>
      <c r="EN54" s="198" t="s">
        <v>479</v>
      </c>
      <c r="EO54" s="198" t="s">
        <v>936</v>
      </c>
      <c r="EP54" s="83">
        <v>10</v>
      </c>
      <c r="EQ54" s="83" t="s">
        <v>470</v>
      </c>
      <c r="ER54" s="83"/>
      <c r="ES54" s="83"/>
      <c r="ET54" s="198"/>
      <c r="EU54" s="198"/>
      <c r="EV54" s="83"/>
      <c r="EW54" s="198">
        <v>100</v>
      </c>
      <c r="EX54" s="198"/>
      <c r="EY54" s="505">
        <v>42</v>
      </c>
      <c r="EZ54" s="198" t="s">
        <v>470</v>
      </c>
      <c r="FA54" s="198"/>
      <c r="FB54" s="549" t="s">
        <v>937</v>
      </c>
      <c r="FC54" s="198"/>
      <c r="FD54" s="198"/>
      <c r="FE54" s="198" t="s">
        <v>938</v>
      </c>
      <c r="FF54" s="549" t="s">
        <v>939</v>
      </c>
      <c r="FG54" s="198"/>
      <c r="FH54" s="198"/>
      <c r="FI54" s="198"/>
      <c r="FJ54" s="198" t="s">
        <v>940</v>
      </c>
      <c r="FK54" s="198" t="s">
        <v>941</v>
      </c>
      <c r="FL54" s="198" t="s">
        <v>942</v>
      </c>
      <c r="FM54" s="198" t="s">
        <v>943</v>
      </c>
      <c r="FN54" s="83">
        <v>88722671918</v>
      </c>
      <c r="FO54" s="549" t="s">
        <v>944</v>
      </c>
    </row>
    <row r="55" spans="5:171" ht="104" customHeight="1" x14ac:dyDescent="0.2">
      <c r="E55" s="94" t="s">
        <v>9303</v>
      </c>
      <c r="F55" s="94" t="s">
        <v>9120</v>
      </c>
      <c r="G55" s="198" t="s">
        <v>312</v>
      </c>
      <c r="H55" s="198" t="s">
        <v>390</v>
      </c>
      <c r="I55" s="198"/>
      <c r="J55" s="198" t="s">
        <v>945</v>
      </c>
      <c r="K55" s="198" t="s">
        <v>946</v>
      </c>
      <c r="L55" s="578">
        <v>2020</v>
      </c>
      <c r="M55" s="822">
        <v>43831</v>
      </c>
      <c r="N55" s="822">
        <v>44196</v>
      </c>
      <c r="O55" s="198" t="s">
        <v>947</v>
      </c>
      <c r="P55" s="198" t="s">
        <v>945</v>
      </c>
      <c r="Q55" s="549" t="s">
        <v>948</v>
      </c>
      <c r="R55" s="198" t="s">
        <v>470</v>
      </c>
      <c r="S55" s="198" t="s">
        <v>470</v>
      </c>
      <c r="T55" s="198" t="s">
        <v>470</v>
      </c>
      <c r="U55" s="198"/>
      <c r="V55" s="198" t="s">
        <v>470</v>
      </c>
      <c r="W55" s="198" t="s">
        <v>470</v>
      </c>
      <c r="X55" s="198" t="s">
        <v>949</v>
      </c>
      <c r="Y55" s="549" t="s">
        <v>950</v>
      </c>
      <c r="Z55" s="549"/>
      <c r="AA55" s="549"/>
      <c r="AB55" s="549"/>
      <c r="AC55" s="549"/>
      <c r="AD55" s="549"/>
      <c r="AE55" s="549"/>
      <c r="AF55" s="549"/>
      <c r="AG55" s="549"/>
      <c r="AH55" s="198" t="s">
        <v>951</v>
      </c>
      <c r="AI55" s="198" t="s">
        <v>952</v>
      </c>
      <c r="AJ55" s="198" t="s">
        <v>504</v>
      </c>
      <c r="AK55" s="198" t="s">
        <v>583</v>
      </c>
      <c r="AL55" s="580">
        <f t="shared" si="0"/>
        <v>11.039</v>
      </c>
      <c r="AM55" s="504">
        <v>11.039</v>
      </c>
      <c r="AN55" s="516">
        <v>8.5000000000000006E-2</v>
      </c>
      <c r="AO55" s="137">
        <v>1.0000000000000001E-5</v>
      </c>
      <c r="AP55" s="137">
        <v>0</v>
      </c>
      <c r="AQ55" s="504">
        <v>2.5369999999999999</v>
      </c>
      <c r="AR55" s="137">
        <v>0.1948</v>
      </c>
      <c r="AS55" s="137"/>
      <c r="AT55" s="520"/>
      <c r="AU55" s="137"/>
      <c r="AV55" s="520"/>
      <c r="AW55" s="137"/>
      <c r="AX55" s="520"/>
      <c r="AY55" s="137"/>
      <c r="AZ55" s="520">
        <v>8.4169999999999998</v>
      </c>
      <c r="BA55" s="137">
        <v>0.65900000000000003</v>
      </c>
      <c r="BB55" s="198" t="s">
        <v>953</v>
      </c>
      <c r="BC55" s="198" t="s">
        <v>954</v>
      </c>
      <c r="BD55" s="198" t="s">
        <v>955</v>
      </c>
      <c r="BE55" s="198" t="s">
        <v>479</v>
      </c>
      <c r="BF55" s="198" t="s">
        <v>956</v>
      </c>
      <c r="BG55" s="198"/>
      <c r="BH55" s="198">
        <v>1.9870000000000001</v>
      </c>
      <c r="BI55" s="198">
        <v>24.5</v>
      </c>
      <c r="BJ55" s="137">
        <v>1E-4</v>
      </c>
      <c r="BK55" s="83">
        <v>9</v>
      </c>
      <c r="BL55" s="83">
        <v>9</v>
      </c>
      <c r="BM55" s="83">
        <v>6</v>
      </c>
      <c r="BN55" s="83">
        <v>2</v>
      </c>
      <c r="BO55" s="83">
        <v>1</v>
      </c>
      <c r="BP55" s="83"/>
      <c r="BQ55" s="83"/>
      <c r="BR55" s="83">
        <v>1</v>
      </c>
      <c r="BS55" s="83"/>
      <c r="BT55" s="83"/>
      <c r="BU55" s="83"/>
      <c r="BV55" s="83"/>
      <c r="BW55" s="83">
        <v>1</v>
      </c>
      <c r="BX55" s="83"/>
      <c r="BY55" s="83">
        <v>1</v>
      </c>
      <c r="BZ55" s="83"/>
      <c r="CA55" s="83"/>
      <c r="CB55" s="83"/>
      <c r="CC55" s="83"/>
      <c r="CD55" s="83"/>
      <c r="CE55" s="83"/>
      <c r="CF55" s="83"/>
      <c r="CG55" s="83"/>
      <c r="CH55" s="83"/>
      <c r="CI55" s="83"/>
      <c r="CJ55" s="83"/>
      <c r="CK55" s="83"/>
      <c r="CL55" s="824">
        <f>SUM(BN55:CK55)</f>
        <v>6</v>
      </c>
      <c r="CM55" s="824">
        <f t="shared" si="1"/>
        <v>0</v>
      </c>
      <c r="CN55" s="580">
        <v>22.155999999999999</v>
      </c>
      <c r="CO55" s="198" t="s">
        <v>957</v>
      </c>
      <c r="CP55" s="198"/>
      <c r="CQ55" s="137"/>
      <c r="CR55" s="580">
        <v>3153.857</v>
      </c>
      <c r="CS55" s="834" t="s">
        <v>958</v>
      </c>
      <c r="CT55" s="198" t="s">
        <v>470</v>
      </c>
      <c r="CU55" s="198" t="s">
        <v>470</v>
      </c>
      <c r="CV55" s="198" t="s">
        <v>470</v>
      </c>
      <c r="CW55" s="198" t="s">
        <v>470</v>
      </c>
      <c r="CX55" s="198" t="s">
        <v>470</v>
      </c>
      <c r="CY55" s="198" t="s">
        <v>470</v>
      </c>
      <c r="CZ55" s="198" t="s">
        <v>470</v>
      </c>
      <c r="DA55" s="198" t="s">
        <v>959</v>
      </c>
      <c r="DB55" s="198" t="s">
        <v>960</v>
      </c>
      <c r="DC55" s="83"/>
      <c r="DD55" s="198" t="s">
        <v>479</v>
      </c>
      <c r="DE55" s="198" t="s">
        <v>959</v>
      </c>
      <c r="DF55" s="83"/>
      <c r="DG55" s="83" t="s">
        <v>470</v>
      </c>
      <c r="DH55" s="83" t="s">
        <v>470</v>
      </c>
      <c r="DI55" s="83" t="s">
        <v>470</v>
      </c>
      <c r="DJ55" s="83" t="s">
        <v>470</v>
      </c>
      <c r="DK55" s="83" t="s">
        <v>470</v>
      </c>
      <c r="DL55" s="83" t="s">
        <v>470</v>
      </c>
      <c r="DM55" s="83" t="s">
        <v>470</v>
      </c>
      <c r="DN55" s="83" t="s">
        <v>470</v>
      </c>
      <c r="DO55" s="83" t="s">
        <v>470</v>
      </c>
      <c r="DP55" s="83" t="s">
        <v>470</v>
      </c>
      <c r="DQ55" s="83" t="s">
        <v>470</v>
      </c>
      <c r="DR55" s="83" t="s">
        <v>470</v>
      </c>
      <c r="DS55" s="83" t="s">
        <v>470</v>
      </c>
      <c r="DT55" s="83" t="s">
        <v>470</v>
      </c>
      <c r="DU55" s="83" t="s">
        <v>470</v>
      </c>
      <c r="DV55" s="83" t="s">
        <v>470</v>
      </c>
      <c r="DW55" s="83" t="s">
        <v>470</v>
      </c>
      <c r="DX55" s="83" t="s">
        <v>470</v>
      </c>
      <c r="DY55" s="83" t="s">
        <v>470</v>
      </c>
      <c r="DZ55" s="83" t="s">
        <v>470</v>
      </c>
      <c r="EA55" s="83" t="s">
        <v>470</v>
      </c>
      <c r="EB55" s="198" t="s">
        <v>479</v>
      </c>
      <c r="EC55" s="198" t="s">
        <v>961</v>
      </c>
      <c r="ED55" s="83"/>
      <c r="EE55" s="83" t="s">
        <v>470</v>
      </c>
      <c r="EF55" s="83" t="s">
        <v>470</v>
      </c>
      <c r="EG55" s="83" t="s">
        <v>470</v>
      </c>
      <c r="EH55" s="83" t="s">
        <v>470</v>
      </c>
      <c r="EI55" s="83" t="s">
        <v>470</v>
      </c>
      <c r="EJ55" s="83" t="s">
        <v>470</v>
      </c>
      <c r="EK55" s="83" t="s">
        <v>470</v>
      </c>
      <c r="EL55" s="83" t="s">
        <v>470</v>
      </c>
      <c r="EM55" s="83" t="s">
        <v>470</v>
      </c>
      <c r="EN55" s="83" t="s">
        <v>540</v>
      </c>
      <c r="EO55" s="83" t="s">
        <v>962</v>
      </c>
      <c r="EP55" s="83">
        <v>9</v>
      </c>
      <c r="EQ55" s="83" t="s">
        <v>470</v>
      </c>
      <c r="ER55" s="83" t="s">
        <v>470</v>
      </c>
      <c r="ES55" s="83" t="s">
        <v>470</v>
      </c>
      <c r="ET55" s="83" t="s">
        <v>470</v>
      </c>
      <c r="EU55" s="83" t="s">
        <v>470</v>
      </c>
      <c r="EV55" s="83" t="s">
        <v>470</v>
      </c>
      <c r="EW55" s="837">
        <v>1</v>
      </c>
      <c r="EX55" s="198"/>
      <c r="EY55" s="505">
        <v>5</v>
      </c>
      <c r="EZ55" s="198" t="s">
        <v>470</v>
      </c>
      <c r="FA55" s="198" t="s">
        <v>470</v>
      </c>
      <c r="FB55" s="198" t="s">
        <v>470</v>
      </c>
      <c r="FC55" s="198" t="s">
        <v>470</v>
      </c>
      <c r="FD55" s="198" t="s">
        <v>470</v>
      </c>
      <c r="FE55" s="198" t="s">
        <v>470</v>
      </c>
      <c r="FF55" s="198" t="s">
        <v>470</v>
      </c>
      <c r="FG55" s="198" t="s">
        <v>470</v>
      </c>
      <c r="FH55" s="198" t="s">
        <v>470</v>
      </c>
      <c r="FI55" s="198" t="s">
        <v>470</v>
      </c>
      <c r="FJ55" s="198" t="s">
        <v>963</v>
      </c>
      <c r="FK55" s="198">
        <v>88722511902</v>
      </c>
      <c r="FL55" s="549" t="s">
        <v>964</v>
      </c>
      <c r="FM55" s="198"/>
      <c r="FN55" s="198"/>
      <c r="FO55" s="198"/>
    </row>
    <row r="56" spans="5:171" ht="104" customHeight="1" x14ac:dyDescent="0.2">
      <c r="G56" s="198" t="s">
        <v>462</v>
      </c>
      <c r="H56" s="97" t="s">
        <v>391</v>
      </c>
      <c r="I56" s="198"/>
      <c r="AL56" s="580">
        <f t="shared" si="0"/>
        <v>0</v>
      </c>
      <c r="AM56" s="504">
        <v>0</v>
      </c>
      <c r="AN56" s="510"/>
      <c r="AQ56" s="511"/>
      <c r="AT56" s="569"/>
      <c r="AV56" s="569"/>
      <c r="AX56" s="569"/>
      <c r="AZ56" s="569"/>
      <c r="CL56" s="512"/>
      <c r="CM56" s="824">
        <f t="shared" si="1"/>
        <v>0</v>
      </c>
    </row>
    <row r="57" spans="5:171" ht="104" customHeight="1" x14ac:dyDescent="0.2">
      <c r="E57" s="94" t="s">
        <v>9307</v>
      </c>
      <c r="F57" s="94" t="s">
        <v>9120</v>
      </c>
      <c r="G57" s="198" t="s">
        <v>313</v>
      </c>
      <c r="H57" s="97" t="s">
        <v>392</v>
      </c>
      <c r="I57" s="198"/>
      <c r="J57" s="198" t="s">
        <v>3461</v>
      </c>
      <c r="K57" s="198" t="s">
        <v>1924</v>
      </c>
      <c r="L57" s="578">
        <v>2020</v>
      </c>
      <c r="M57" s="822">
        <v>44545</v>
      </c>
      <c r="N57" s="822">
        <v>44866</v>
      </c>
      <c r="O57" s="198" t="s">
        <v>3462</v>
      </c>
      <c r="P57" s="198" t="s">
        <v>3463</v>
      </c>
      <c r="Q57" s="844" t="s">
        <v>3464</v>
      </c>
      <c r="R57" s="198" t="s">
        <v>1924</v>
      </c>
      <c r="S57" s="198"/>
      <c r="T57" s="198" t="s">
        <v>1924</v>
      </c>
      <c r="U57" s="198"/>
      <c r="V57" s="198" t="s">
        <v>1924</v>
      </c>
      <c r="W57" s="198"/>
      <c r="X57" s="198" t="s">
        <v>3465</v>
      </c>
      <c r="Y57" s="844" t="s">
        <v>3466</v>
      </c>
      <c r="Z57" s="844"/>
      <c r="AA57" s="844"/>
      <c r="AB57" s="844"/>
      <c r="AC57" s="844"/>
      <c r="AD57" s="844"/>
      <c r="AE57" s="844"/>
      <c r="AF57" s="844"/>
      <c r="AG57" s="844"/>
      <c r="AH57" s="198" t="s">
        <v>3467</v>
      </c>
      <c r="AI57" s="198" t="s">
        <v>3467</v>
      </c>
      <c r="AJ57" s="198" t="s">
        <v>3468</v>
      </c>
      <c r="AK57" s="198" t="s">
        <v>3469</v>
      </c>
      <c r="AL57" s="580">
        <f t="shared" si="0"/>
        <v>3.85</v>
      </c>
      <c r="AM57" s="504">
        <v>3.85</v>
      </c>
      <c r="AN57" s="516">
        <v>3.85</v>
      </c>
      <c r="AO57" s="137">
        <v>1</v>
      </c>
      <c r="AP57" s="137">
        <v>3.0000000000000001E-5</v>
      </c>
      <c r="AQ57" s="504">
        <v>0</v>
      </c>
      <c r="AR57" s="137">
        <v>3.0000000000000001E-6</v>
      </c>
      <c r="AS57" s="137"/>
      <c r="AT57" s="520">
        <v>0</v>
      </c>
      <c r="AU57" s="137"/>
      <c r="AV57" s="520">
        <v>0</v>
      </c>
      <c r="AW57" s="137"/>
      <c r="AX57" s="520"/>
      <c r="AY57" s="137"/>
      <c r="AZ57" s="520">
        <v>0</v>
      </c>
      <c r="BA57" s="137"/>
      <c r="BB57" s="198" t="s">
        <v>656</v>
      </c>
      <c r="BC57" s="198" t="s">
        <v>656</v>
      </c>
      <c r="BD57" s="198"/>
      <c r="BE57" s="198" t="s">
        <v>470</v>
      </c>
      <c r="BF57" s="198"/>
      <c r="BG57" s="198"/>
      <c r="BH57" s="198"/>
      <c r="BI57" s="520">
        <v>8.4600000000000009</v>
      </c>
      <c r="BJ57" s="137">
        <v>6.9999999999999994E-5</v>
      </c>
      <c r="BK57" s="83">
        <v>123</v>
      </c>
      <c r="BL57" s="83">
        <v>112</v>
      </c>
      <c r="BM57" s="83">
        <v>29</v>
      </c>
      <c r="BN57" s="83">
        <v>0</v>
      </c>
      <c r="BO57" s="83">
        <v>0</v>
      </c>
      <c r="BP57" s="83">
        <v>0</v>
      </c>
      <c r="BQ57" s="83">
        <v>2</v>
      </c>
      <c r="BR57" s="83">
        <v>0</v>
      </c>
      <c r="BS57" s="83">
        <v>5</v>
      </c>
      <c r="BT57" s="83">
        <v>0</v>
      </c>
      <c r="BU57" s="83">
        <v>4</v>
      </c>
      <c r="BV57" s="83">
        <v>5</v>
      </c>
      <c r="BW57" s="83">
        <v>3</v>
      </c>
      <c r="BX57" s="83">
        <v>4</v>
      </c>
      <c r="BY57" s="83">
        <v>1</v>
      </c>
      <c r="BZ57" s="83">
        <v>0</v>
      </c>
      <c r="CA57" s="83">
        <v>0</v>
      </c>
      <c r="CB57" s="83">
        <v>0</v>
      </c>
      <c r="CC57" s="83">
        <v>0</v>
      </c>
      <c r="CD57" s="83">
        <v>0</v>
      </c>
      <c r="CE57" s="83">
        <v>0</v>
      </c>
      <c r="CF57" s="83">
        <v>0</v>
      </c>
      <c r="CG57" s="83">
        <v>0</v>
      </c>
      <c r="CH57" s="83">
        <v>3</v>
      </c>
      <c r="CI57" s="83">
        <v>0</v>
      </c>
      <c r="CJ57" s="83">
        <v>2</v>
      </c>
      <c r="CK57" s="83"/>
      <c r="CL57" s="824">
        <f>SUM(BN57:CK57)</f>
        <v>29</v>
      </c>
      <c r="CM57" s="824">
        <f t="shared" si="1"/>
        <v>0</v>
      </c>
      <c r="CN57" s="580">
        <v>512.322</v>
      </c>
      <c r="CO57" s="198" t="s">
        <v>656</v>
      </c>
      <c r="CP57" s="198"/>
      <c r="CQ57" s="137">
        <v>0.49</v>
      </c>
      <c r="CR57" s="580">
        <v>1043.5</v>
      </c>
      <c r="CS57" s="873" t="s">
        <v>3470</v>
      </c>
      <c r="CT57" s="198" t="s">
        <v>470</v>
      </c>
      <c r="CU57" s="198" t="s">
        <v>656</v>
      </c>
      <c r="CV57" s="198"/>
      <c r="CW57" s="198" t="s">
        <v>656</v>
      </c>
      <c r="CX57" s="83"/>
      <c r="CY57" s="83" t="s">
        <v>656</v>
      </c>
      <c r="CZ57" s="83"/>
      <c r="DA57" s="198" t="s">
        <v>470</v>
      </c>
      <c r="DB57" s="198"/>
      <c r="DC57" s="83"/>
      <c r="DD57" s="198" t="s">
        <v>470</v>
      </c>
      <c r="DE57" s="198"/>
      <c r="DF57" s="83"/>
      <c r="DG57" s="83" t="s">
        <v>479</v>
      </c>
      <c r="DH57" s="882" t="s">
        <v>3471</v>
      </c>
      <c r="DI57" s="83">
        <v>123</v>
      </c>
      <c r="DJ57" s="83" t="s">
        <v>470</v>
      </c>
      <c r="DK57" s="83"/>
      <c r="DL57" s="83"/>
      <c r="DM57" s="198" t="s">
        <v>470</v>
      </c>
      <c r="DN57" s="198"/>
      <c r="DO57" s="83"/>
      <c r="DP57" s="198" t="s">
        <v>479</v>
      </c>
      <c r="DQ57" s="844" t="s">
        <v>3471</v>
      </c>
      <c r="DR57" s="83">
        <v>123</v>
      </c>
      <c r="DS57" s="198" t="s">
        <v>470</v>
      </c>
      <c r="DT57" s="198"/>
      <c r="DU57" s="83"/>
      <c r="DV57" s="198" t="s">
        <v>470</v>
      </c>
      <c r="DW57" s="198"/>
      <c r="DX57" s="83"/>
      <c r="DY57" s="198" t="s">
        <v>470</v>
      </c>
      <c r="DZ57" s="198"/>
      <c r="EA57" s="83"/>
      <c r="EB57" s="198" t="s">
        <v>470</v>
      </c>
      <c r="EC57" s="198"/>
      <c r="ED57" s="83"/>
      <c r="EE57" s="83" t="s">
        <v>470</v>
      </c>
      <c r="EF57" s="83"/>
      <c r="EG57" s="83"/>
      <c r="EH57" s="198" t="s">
        <v>470</v>
      </c>
      <c r="EI57" s="198"/>
      <c r="EJ57" s="83"/>
      <c r="EK57" s="198" t="s">
        <v>470</v>
      </c>
      <c r="EL57" s="198"/>
      <c r="EM57" s="83"/>
      <c r="EN57" s="198" t="s">
        <v>479</v>
      </c>
      <c r="EO57" s="198" t="s">
        <v>3472</v>
      </c>
      <c r="EP57" s="83">
        <v>13</v>
      </c>
      <c r="EQ57" s="83" t="s">
        <v>470</v>
      </c>
      <c r="ER57" s="83"/>
      <c r="ES57" s="83"/>
      <c r="ET57" s="198" t="s">
        <v>470</v>
      </c>
      <c r="EU57" s="198"/>
      <c r="EV57" s="83"/>
      <c r="EW57" s="837">
        <v>1</v>
      </c>
      <c r="EX57" s="198"/>
      <c r="EY57" s="505">
        <v>83</v>
      </c>
      <c r="EZ57" s="198" t="s">
        <v>3473</v>
      </c>
      <c r="FA57" s="198" t="s">
        <v>3474</v>
      </c>
      <c r="FB57" s="844" t="s">
        <v>3475</v>
      </c>
      <c r="FC57" s="844" t="s">
        <v>3476</v>
      </c>
      <c r="FD57" s="198" t="s">
        <v>470</v>
      </c>
      <c r="FE57" s="198" t="s">
        <v>3477</v>
      </c>
      <c r="FF57" s="198" t="s">
        <v>470</v>
      </c>
      <c r="FG57" s="198" t="s">
        <v>3478</v>
      </c>
      <c r="FH57" s="198">
        <v>1</v>
      </c>
      <c r="FI57" s="198">
        <v>23</v>
      </c>
      <c r="FJ57" s="198" t="s">
        <v>3479</v>
      </c>
      <c r="FK57" s="198" t="s">
        <v>3480</v>
      </c>
      <c r="FL57" s="844" t="s">
        <v>3481</v>
      </c>
      <c r="FM57" s="198" t="s">
        <v>3482</v>
      </c>
      <c r="FN57" s="198" t="s">
        <v>3483</v>
      </c>
      <c r="FO57" s="844" t="s">
        <v>3484</v>
      </c>
    </row>
    <row r="58" spans="5:171" ht="104" customHeight="1" x14ac:dyDescent="0.2">
      <c r="E58" s="94" t="s">
        <v>9304</v>
      </c>
      <c r="F58" s="94" t="s">
        <v>9120</v>
      </c>
      <c r="G58" s="198" t="s">
        <v>313</v>
      </c>
      <c r="H58" s="97" t="s">
        <v>392</v>
      </c>
      <c r="I58" s="198"/>
      <c r="J58" s="198" t="s">
        <v>3485</v>
      </c>
      <c r="K58" s="198" t="s">
        <v>656</v>
      </c>
      <c r="L58" s="578">
        <v>2019</v>
      </c>
      <c r="M58" s="822">
        <v>44312</v>
      </c>
      <c r="N58" s="822">
        <v>44346</v>
      </c>
      <c r="O58" s="198" t="s">
        <v>3486</v>
      </c>
      <c r="P58" s="198" t="s">
        <v>3487</v>
      </c>
      <c r="Q58" s="549" t="s">
        <v>3488</v>
      </c>
      <c r="R58" s="198" t="s">
        <v>656</v>
      </c>
      <c r="S58" s="198" t="s">
        <v>656</v>
      </c>
      <c r="T58" s="198" t="s">
        <v>1899</v>
      </c>
      <c r="U58" s="198" t="s">
        <v>656</v>
      </c>
      <c r="V58" s="198" t="s">
        <v>656</v>
      </c>
      <c r="W58" s="198" t="s">
        <v>656</v>
      </c>
      <c r="X58" s="198" t="s">
        <v>3489</v>
      </c>
      <c r="Y58" s="549" t="s">
        <v>3490</v>
      </c>
      <c r="Z58" s="549"/>
      <c r="AA58" s="549"/>
      <c r="AB58" s="549"/>
      <c r="AC58" s="549"/>
      <c r="AD58" s="549"/>
      <c r="AE58" s="549"/>
      <c r="AF58" s="549"/>
      <c r="AG58" s="549"/>
      <c r="AH58" s="198" t="s">
        <v>3491</v>
      </c>
      <c r="AI58" s="198" t="s">
        <v>3491</v>
      </c>
      <c r="AJ58" s="198" t="s">
        <v>3492</v>
      </c>
      <c r="AK58" s="198" t="s">
        <v>3493</v>
      </c>
      <c r="AL58" s="580">
        <f t="shared" si="0"/>
        <v>1332.048</v>
      </c>
      <c r="AM58" s="504">
        <v>1332.048</v>
      </c>
      <c r="AN58" s="516">
        <v>11.207000000000001</v>
      </c>
      <c r="AO58" s="137">
        <v>8.3999999999999995E-3</v>
      </c>
      <c r="AP58" s="137">
        <v>1E-4</v>
      </c>
      <c r="AQ58" s="504">
        <v>23.686</v>
      </c>
      <c r="AR58" s="137">
        <v>1.78E-2</v>
      </c>
      <c r="AS58" s="137"/>
      <c r="AT58" s="520">
        <v>0</v>
      </c>
      <c r="AU58" s="137">
        <f>AT58/AL58</f>
        <v>0</v>
      </c>
      <c r="AV58" s="520">
        <v>0</v>
      </c>
      <c r="AW58" s="137">
        <v>0</v>
      </c>
      <c r="AX58" s="520"/>
      <c r="AY58" s="137">
        <v>0</v>
      </c>
      <c r="AZ58" s="520">
        <v>1297.155</v>
      </c>
      <c r="BA58" s="137">
        <v>0.9738</v>
      </c>
      <c r="BB58" s="198" t="s">
        <v>3494</v>
      </c>
      <c r="BC58" s="198" t="s">
        <v>3495</v>
      </c>
      <c r="BD58" s="198" t="s">
        <v>3491</v>
      </c>
      <c r="BE58" s="198" t="s">
        <v>470</v>
      </c>
      <c r="BF58" s="198"/>
      <c r="BG58" s="198"/>
      <c r="BH58" s="198"/>
      <c r="BI58" s="137">
        <v>0.68123999999999996</v>
      </c>
      <c r="BJ58" s="137">
        <v>5.04E-2</v>
      </c>
      <c r="BK58" s="83">
        <v>56</v>
      </c>
      <c r="BL58" s="83">
        <v>56</v>
      </c>
      <c r="BM58" s="83">
        <v>46</v>
      </c>
      <c r="BN58" s="83">
        <v>0</v>
      </c>
      <c r="BO58" s="83">
        <v>0</v>
      </c>
      <c r="BP58" s="83">
        <v>0</v>
      </c>
      <c r="BQ58" s="83">
        <v>0</v>
      </c>
      <c r="BR58" s="83">
        <v>0</v>
      </c>
      <c r="BS58" s="83">
        <v>0</v>
      </c>
      <c r="BT58" s="83">
        <v>0</v>
      </c>
      <c r="BU58" s="83">
        <v>0</v>
      </c>
      <c r="BV58" s="83">
        <v>0</v>
      </c>
      <c r="BW58" s="83">
        <v>193</v>
      </c>
      <c r="BX58" s="83">
        <v>0</v>
      </c>
      <c r="BY58" s="83">
        <v>46</v>
      </c>
      <c r="BZ58" s="83">
        <v>0</v>
      </c>
      <c r="CA58" s="83">
        <v>0</v>
      </c>
      <c r="CB58" s="83">
        <v>0</v>
      </c>
      <c r="CC58" s="83">
        <v>0</v>
      </c>
      <c r="CD58" s="83">
        <v>0</v>
      </c>
      <c r="CE58" s="83">
        <v>0</v>
      </c>
      <c r="CF58" s="83">
        <v>0</v>
      </c>
      <c r="CG58" s="83">
        <v>0</v>
      </c>
      <c r="CH58" s="83">
        <v>0</v>
      </c>
      <c r="CI58" s="83">
        <v>0</v>
      </c>
      <c r="CJ58" s="83">
        <v>0</v>
      </c>
      <c r="CK58" s="83">
        <v>0</v>
      </c>
      <c r="CL58" s="578">
        <f>SUM(BN58:CK58)</f>
        <v>239</v>
      </c>
      <c r="CM58" s="824">
        <f t="shared" si="1"/>
        <v>0</v>
      </c>
      <c r="CN58" s="580">
        <v>688.96699999999998</v>
      </c>
      <c r="CO58" s="198" t="s">
        <v>1924</v>
      </c>
      <c r="CP58" s="198"/>
      <c r="CQ58" s="137">
        <f>CN58/CR58</f>
        <v>0.66024628653569717</v>
      </c>
      <c r="CR58" s="505">
        <v>1043.5</v>
      </c>
      <c r="CS58" s="834" t="s">
        <v>3496</v>
      </c>
      <c r="CT58" s="198" t="s">
        <v>470</v>
      </c>
      <c r="CU58" s="198"/>
      <c r="CV58" s="198"/>
      <c r="CW58" s="198"/>
      <c r="CX58" s="83"/>
      <c r="CY58" s="83"/>
      <c r="CZ58" s="83">
        <v>4</v>
      </c>
      <c r="DA58" s="198" t="s">
        <v>470</v>
      </c>
      <c r="DB58" s="198"/>
      <c r="DC58" s="83"/>
      <c r="DD58" s="198" t="s">
        <v>470</v>
      </c>
      <c r="DE58" s="198" t="s">
        <v>656</v>
      </c>
      <c r="DF58" s="83"/>
      <c r="DG58" s="83" t="s">
        <v>470</v>
      </c>
      <c r="DH58" s="83"/>
      <c r="DI58" s="83"/>
      <c r="DJ58" s="83" t="s">
        <v>470</v>
      </c>
      <c r="DK58" s="83"/>
      <c r="DL58" s="83"/>
      <c r="DM58" s="198" t="s">
        <v>470</v>
      </c>
      <c r="DN58" s="198"/>
      <c r="DO58" s="83"/>
      <c r="DP58" s="198" t="s">
        <v>470</v>
      </c>
      <c r="DQ58" s="198"/>
      <c r="DR58" s="83"/>
      <c r="DS58" s="198" t="s">
        <v>470</v>
      </c>
      <c r="DT58" s="198"/>
      <c r="DU58" s="83"/>
      <c r="DV58" s="198" t="s">
        <v>470</v>
      </c>
      <c r="DW58" s="198"/>
      <c r="DX58" s="83"/>
      <c r="DY58" s="198" t="s">
        <v>479</v>
      </c>
      <c r="DZ58" s="549" t="s">
        <v>3497</v>
      </c>
      <c r="EA58" s="83">
        <v>49355</v>
      </c>
      <c r="EB58" s="198" t="s">
        <v>470</v>
      </c>
      <c r="EC58" s="198"/>
      <c r="ED58" s="83"/>
      <c r="EE58" s="83" t="s">
        <v>470</v>
      </c>
      <c r="EF58" s="83"/>
      <c r="EG58" s="83"/>
      <c r="EH58" s="198" t="s">
        <v>470</v>
      </c>
      <c r="EI58" s="198"/>
      <c r="EJ58" s="83"/>
      <c r="EK58" s="198" t="s">
        <v>470</v>
      </c>
      <c r="EL58" s="198"/>
      <c r="EM58" s="83"/>
      <c r="EN58" s="198" t="s">
        <v>470</v>
      </c>
      <c r="EO58" s="198"/>
      <c r="EP58" s="83"/>
      <c r="EQ58" s="83" t="s">
        <v>470</v>
      </c>
      <c r="ER58" s="83"/>
      <c r="ES58" s="83"/>
      <c r="ET58" s="198" t="s">
        <v>470</v>
      </c>
      <c r="EU58" s="198"/>
      <c r="EV58" s="83"/>
      <c r="EW58" s="837">
        <v>1</v>
      </c>
      <c r="EX58" s="198"/>
      <c r="EY58" s="505">
        <v>56</v>
      </c>
      <c r="EZ58" s="198"/>
      <c r="FA58" s="198" t="s">
        <v>3498</v>
      </c>
      <c r="FB58" s="549" t="s">
        <v>3499</v>
      </c>
      <c r="FC58" s="198" t="s">
        <v>3500</v>
      </c>
      <c r="FD58" s="549" t="s">
        <v>3501</v>
      </c>
      <c r="FE58" s="198" t="s">
        <v>3502</v>
      </c>
      <c r="FF58" s="198" t="s">
        <v>3503</v>
      </c>
      <c r="FG58" s="198" t="s">
        <v>3504</v>
      </c>
      <c r="FH58" s="198">
        <v>1</v>
      </c>
      <c r="FI58" s="198">
        <v>35</v>
      </c>
      <c r="FJ58" s="198" t="s">
        <v>3505</v>
      </c>
      <c r="FK58" s="198" t="s">
        <v>3506</v>
      </c>
      <c r="FL58" s="549" t="s">
        <v>3507</v>
      </c>
      <c r="FM58" s="198" t="s">
        <v>3482</v>
      </c>
      <c r="FN58" s="198" t="s">
        <v>3483</v>
      </c>
      <c r="FO58" s="549" t="s">
        <v>3484</v>
      </c>
    </row>
    <row r="59" spans="5:171" ht="104" customHeight="1" x14ac:dyDescent="0.2">
      <c r="E59" s="94" t="s">
        <v>9303</v>
      </c>
      <c r="F59" s="94" t="s">
        <v>9120</v>
      </c>
      <c r="G59" s="198" t="s">
        <v>313</v>
      </c>
      <c r="H59" s="97" t="s">
        <v>392</v>
      </c>
      <c r="I59" s="198"/>
      <c r="J59" s="198" t="s">
        <v>1045</v>
      </c>
      <c r="K59" s="198" t="s">
        <v>3508</v>
      </c>
      <c r="L59" s="578">
        <v>2020</v>
      </c>
      <c r="M59" s="822">
        <v>44573</v>
      </c>
      <c r="N59" s="822">
        <v>44580</v>
      </c>
      <c r="O59" s="198" t="s">
        <v>3509</v>
      </c>
      <c r="P59" s="198" t="s">
        <v>3510</v>
      </c>
      <c r="Q59" s="549" t="s">
        <v>3511</v>
      </c>
      <c r="R59" s="198" t="s">
        <v>3512</v>
      </c>
      <c r="S59" s="549" t="s">
        <v>3513</v>
      </c>
      <c r="T59" s="198" t="s">
        <v>3514</v>
      </c>
      <c r="U59" s="549"/>
      <c r="V59" s="198" t="s">
        <v>3514</v>
      </c>
      <c r="W59" s="198" t="s">
        <v>656</v>
      </c>
      <c r="X59" s="198" t="s">
        <v>3515</v>
      </c>
      <c r="Y59" s="549" t="s">
        <v>3516</v>
      </c>
      <c r="Z59" s="549"/>
      <c r="AA59" s="549"/>
      <c r="AB59" s="549"/>
      <c r="AC59" s="549"/>
      <c r="AD59" s="549"/>
      <c r="AE59" s="549"/>
      <c r="AF59" s="549"/>
      <c r="AG59" s="549"/>
      <c r="AH59" s="198" t="s">
        <v>3517</v>
      </c>
      <c r="AI59" s="198" t="s">
        <v>3517</v>
      </c>
      <c r="AJ59" s="198" t="s">
        <v>615</v>
      </c>
      <c r="AK59" s="198" t="s">
        <v>3518</v>
      </c>
      <c r="AL59" s="580">
        <f t="shared" si="0"/>
        <v>9.0571057003585018</v>
      </c>
      <c r="AM59" s="504">
        <v>9.0571057003585018</v>
      </c>
      <c r="AN59" s="516">
        <v>0.14271633035850201</v>
      </c>
      <c r="AO59" s="137">
        <f>AN59/AL59</f>
        <v>1.5757388185593656E-2</v>
      </c>
      <c r="AP59" s="137">
        <v>1.0000000000000001E-5</v>
      </c>
      <c r="AQ59" s="504">
        <v>1.5833893699999999</v>
      </c>
      <c r="AR59" s="137">
        <f>AQ59/AL59</f>
        <v>0.1748228873973863</v>
      </c>
      <c r="AS59" s="137"/>
      <c r="AT59" s="520">
        <v>0.1525</v>
      </c>
      <c r="AU59" s="137">
        <f>AT59/AL59</f>
        <v>1.6837608508197457E-2</v>
      </c>
      <c r="AV59" s="520">
        <v>0.18540000000000001</v>
      </c>
      <c r="AW59" s="137">
        <f>AV59/AL59</f>
        <v>2.047011552406432E-2</v>
      </c>
      <c r="AX59" s="520"/>
      <c r="AY59" s="137"/>
      <c r="AZ59" s="520">
        <v>6.9931000000000001</v>
      </c>
      <c r="BA59" s="137">
        <f>AZ59/AL59</f>
        <v>0.77211200038475825</v>
      </c>
      <c r="BB59" s="198" t="s">
        <v>3519</v>
      </c>
      <c r="BC59" s="198" t="s">
        <v>875</v>
      </c>
      <c r="BD59" s="198" t="s">
        <v>3517</v>
      </c>
      <c r="BE59" s="198" t="s">
        <v>479</v>
      </c>
      <c r="BF59" s="198" t="s">
        <v>3520</v>
      </c>
      <c r="BG59" s="198" t="s">
        <v>656</v>
      </c>
      <c r="BH59" s="823">
        <v>2.46280323</v>
      </c>
      <c r="BI59" s="520">
        <v>0.70003453999999998</v>
      </c>
      <c r="BJ59" s="137">
        <v>6.0000000000000002E-5</v>
      </c>
      <c r="BK59" s="83">
        <v>86</v>
      </c>
      <c r="BL59" s="83">
        <v>86</v>
      </c>
      <c r="BM59" s="83">
        <f>SUM(BN59:CK59)</f>
        <v>7</v>
      </c>
      <c r="BN59" s="83">
        <v>0</v>
      </c>
      <c r="BO59" s="83">
        <v>0</v>
      </c>
      <c r="BP59" s="198">
        <v>0</v>
      </c>
      <c r="BQ59" s="198">
        <v>0</v>
      </c>
      <c r="BR59" s="198">
        <v>0</v>
      </c>
      <c r="BS59" s="198">
        <v>3</v>
      </c>
      <c r="BT59" s="198">
        <v>0</v>
      </c>
      <c r="BU59" s="83">
        <v>0</v>
      </c>
      <c r="BV59" s="83">
        <v>0</v>
      </c>
      <c r="BW59" s="198">
        <v>0</v>
      </c>
      <c r="BX59" s="198">
        <v>2</v>
      </c>
      <c r="BY59" s="83">
        <v>2</v>
      </c>
      <c r="BZ59" s="198">
        <v>0</v>
      </c>
      <c r="CA59" s="83">
        <v>0</v>
      </c>
      <c r="CB59" s="198">
        <v>0</v>
      </c>
      <c r="CC59" s="198">
        <v>0</v>
      </c>
      <c r="CD59" s="198">
        <v>0</v>
      </c>
      <c r="CE59" s="198">
        <v>0</v>
      </c>
      <c r="CF59" s="198">
        <v>0</v>
      </c>
      <c r="CG59" s="198">
        <v>0</v>
      </c>
      <c r="CH59" s="198"/>
      <c r="CI59" s="198"/>
      <c r="CJ59" s="198"/>
      <c r="CK59" s="83">
        <v>0</v>
      </c>
      <c r="CL59" s="824">
        <f>SUM(BN59:CK59)</f>
        <v>7</v>
      </c>
      <c r="CM59" s="824">
        <f t="shared" si="1"/>
        <v>0</v>
      </c>
      <c r="CN59" s="580">
        <v>3.6080000000000001</v>
      </c>
      <c r="CO59" s="198" t="s">
        <v>3514</v>
      </c>
      <c r="CP59" s="198" t="s">
        <v>656</v>
      </c>
      <c r="CQ59" s="137">
        <f>CN59/CR59</f>
        <v>3.4575946334451367E-3</v>
      </c>
      <c r="CR59" s="505">
        <v>1043.5</v>
      </c>
      <c r="CS59" s="834" t="s">
        <v>3496</v>
      </c>
      <c r="CT59" s="198" t="s">
        <v>470</v>
      </c>
      <c r="CU59" s="198" t="s">
        <v>656</v>
      </c>
      <c r="CV59" s="198" t="s">
        <v>656</v>
      </c>
      <c r="CW59" s="83" t="s">
        <v>656</v>
      </c>
      <c r="CX59" s="83" t="s">
        <v>656</v>
      </c>
      <c r="CY59" s="83"/>
      <c r="CZ59" s="83" t="s">
        <v>656</v>
      </c>
      <c r="DA59" s="198" t="s">
        <v>479</v>
      </c>
      <c r="DB59" s="198" t="s">
        <v>3521</v>
      </c>
      <c r="DC59" s="580" t="s">
        <v>3522</v>
      </c>
      <c r="DD59" s="198" t="s">
        <v>479</v>
      </c>
      <c r="DE59" s="198" t="s">
        <v>3523</v>
      </c>
      <c r="DF59" s="580" t="s">
        <v>3522</v>
      </c>
      <c r="DG59" s="83" t="s">
        <v>470</v>
      </c>
      <c r="DH59" s="83" t="s">
        <v>656</v>
      </c>
      <c r="DI59" s="83" t="s">
        <v>656</v>
      </c>
      <c r="DJ59" s="83" t="s">
        <v>470</v>
      </c>
      <c r="DK59" s="83" t="s">
        <v>656</v>
      </c>
      <c r="DL59" s="83" t="s">
        <v>656</v>
      </c>
      <c r="DM59" s="198" t="s">
        <v>470</v>
      </c>
      <c r="DN59" s="198" t="s">
        <v>656</v>
      </c>
      <c r="DO59" s="83" t="s">
        <v>656</v>
      </c>
      <c r="DP59" s="198" t="s">
        <v>470</v>
      </c>
      <c r="DQ59" s="198" t="s">
        <v>656</v>
      </c>
      <c r="DR59" s="83" t="s">
        <v>656</v>
      </c>
      <c r="DS59" s="198" t="s">
        <v>470</v>
      </c>
      <c r="DT59" s="198" t="s">
        <v>656</v>
      </c>
      <c r="DU59" s="83" t="s">
        <v>656</v>
      </c>
      <c r="DV59" s="198" t="s">
        <v>470</v>
      </c>
      <c r="DW59" s="198" t="s">
        <v>656</v>
      </c>
      <c r="DX59" s="83" t="s">
        <v>656</v>
      </c>
      <c r="DY59" s="198" t="s">
        <v>470</v>
      </c>
      <c r="DZ59" s="198" t="s">
        <v>656</v>
      </c>
      <c r="EA59" s="83" t="s">
        <v>656</v>
      </c>
      <c r="EB59" s="198" t="s">
        <v>479</v>
      </c>
      <c r="EC59" s="198" t="s">
        <v>3524</v>
      </c>
      <c r="ED59" s="580" t="s">
        <v>3522</v>
      </c>
      <c r="EE59" s="83" t="s">
        <v>470</v>
      </c>
      <c r="EF59" s="83" t="s">
        <v>656</v>
      </c>
      <c r="EG59" s="83" t="s">
        <v>656</v>
      </c>
      <c r="EH59" s="198" t="s">
        <v>470</v>
      </c>
      <c r="EI59" s="198" t="s">
        <v>656</v>
      </c>
      <c r="EJ59" s="83" t="s">
        <v>656</v>
      </c>
      <c r="EK59" s="198" t="s">
        <v>470</v>
      </c>
      <c r="EL59" s="198" t="s">
        <v>656</v>
      </c>
      <c r="EM59" s="83" t="s">
        <v>656</v>
      </c>
      <c r="EN59" s="198" t="s">
        <v>470</v>
      </c>
      <c r="EO59" s="198" t="s">
        <v>656</v>
      </c>
      <c r="EP59" s="83" t="s">
        <v>656</v>
      </c>
      <c r="EQ59" s="83" t="s">
        <v>470</v>
      </c>
      <c r="ER59" s="83" t="s">
        <v>656</v>
      </c>
      <c r="ES59" s="83" t="s">
        <v>656</v>
      </c>
      <c r="ET59" s="198" t="s">
        <v>470</v>
      </c>
      <c r="EU59" s="198" t="s">
        <v>656</v>
      </c>
      <c r="EV59" s="83" t="s">
        <v>656</v>
      </c>
      <c r="EW59" s="198" t="s">
        <v>3525</v>
      </c>
      <c r="EX59" s="198" t="s">
        <v>3526</v>
      </c>
      <c r="EY59" s="83">
        <v>7</v>
      </c>
      <c r="EZ59" s="198" t="s">
        <v>470</v>
      </c>
      <c r="FA59" s="198" t="s">
        <v>656</v>
      </c>
      <c r="FB59" s="549" t="s">
        <v>3516</v>
      </c>
      <c r="FC59" s="198" t="s">
        <v>656</v>
      </c>
      <c r="FD59" s="198" t="s">
        <v>656</v>
      </c>
      <c r="FE59" s="549" t="s">
        <v>3516</v>
      </c>
      <c r="FF59" s="198" t="s">
        <v>656</v>
      </c>
      <c r="FG59" s="198" t="s">
        <v>3527</v>
      </c>
      <c r="FH59" s="198" t="s">
        <v>3528</v>
      </c>
      <c r="FI59" s="198" t="s">
        <v>3529</v>
      </c>
      <c r="FJ59" s="198" t="s">
        <v>3530</v>
      </c>
      <c r="FK59" s="198" t="s">
        <v>3531</v>
      </c>
      <c r="FL59" s="549" t="s">
        <v>3532</v>
      </c>
      <c r="FM59" s="198" t="s">
        <v>3482</v>
      </c>
      <c r="FN59" s="198" t="s">
        <v>3483</v>
      </c>
      <c r="FO59" s="549" t="s">
        <v>3484</v>
      </c>
    </row>
    <row r="60" spans="5:171" ht="104" customHeight="1" x14ac:dyDescent="0.2">
      <c r="E60" s="94" t="s">
        <v>9302</v>
      </c>
      <c r="F60" s="94" t="s">
        <v>9120</v>
      </c>
      <c r="G60" s="198" t="s">
        <v>314</v>
      </c>
      <c r="H60" s="198" t="s">
        <v>393</v>
      </c>
      <c r="I60" s="198"/>
      <c r="J60" s="198" t="s">
        <v>1348</v>
      </c>
      <c r="K60" s="198" t="s">
        <v>1349</v>
      </c>
      <c r="L60" s="578">
        <v>2019</v>
      </c>
      <c r="M60" s="822" t="s">
        <v>1350</v>
      </c>
      <c r="N60" s="822" t="s">
        <v>472</v>
      </c>
      <c r="O60" s="198" t="s">
        <v>1351</v>
      </c>
      <c r="P60" s="198" t="s">
        <v>1352</v>
      </c>
      <c r="Q60" s="549" t="s">
        <v>1353</v>
      </c>
      <c r="R60" s="198"/>
      <c r="S60" s="198"/>
      <c r="T60" s="198"/>
      <c r="U60" s="198"/>
      <c r="V60" s="198"/>
      <c r="W60" s="198"/>
      <c r="X60" s="198" t="s">
        <v>1354</v>
      </c>
      <c r="Y60" s="549" t="s">
        <v>1355</v>
      </c>
      <c r="Z60" s="549"/>
      <c r="AA60" s="549"/>
      <c r="AB60" s="549"/>
      <c r="AC60" s="549"/>
      <c r="AD60" s="549"/>
      <c r="AE60" s="549"/>
      <c r="AF60" s="549"/>
      <c r="AG60" s="549"/>
      <c r="AH60" s="198" t="s">
        <v>1356</v>
      </c>
      <c r="AI60" s="198" t="s">
        <v>1356</v>
      </c>
      <c r="AJ60" s="198" t="s">
        <v>1357</v>
      </c>
      <c r="AK60" s="198" t="s">
        <v>1358</v>
      </c>
      <c r="AL60" s="580">
        <f t="shared" si="0"/>
        <v>123.34139999999999</v>
      </c>
      <c r="AM60" s="504">
        <v>123.34139999999999</v>
      </c>
      <c r="AN60" s="516">
        <v>97.435299999999998</v>
      </c>
      <c r="AO60" s="137">
        <v>0.78800000000000003</v>
      </c>
      <c r="AP60" s="137">
        <v>1.5E-3</v>
      </c>
      <c r="AQ60" s="504">
        <v>18.633099999999999</v>
      </c>
      <c r="AR60" s="137">
        <v>0.151</v>
      </c>
      <c r="AS60" s="137"/>
      <c r="AT60" s="520"/>
      <c r="AU60" s="137"/>
      <c r="AV60" s="520"/>
      <c r="AW60" s="137"/>
      <c r="AX60" s="520">
        <v>7.2729999999999997</v>
      </c>
      <c r="AY60" s="137">
        <v>5.8799999999999998E-2</v>
      </c>
      <c r="AZ60" s="520">
        <v>0</v>
      </c>
      <c r="BA60" s="137">
        <v>0</v>
      </c>
      <c r="BB60" s="198"/>
      <c r="BC60" s="198"/>
      <c r="BD60" s="198"/>
      <c r="BE60" s="198" t="s">
        <v>479</v>
      </c>
      <c r="BF60" s="198" t="s">
        <v>1359</v>
      </c>
      <c r="BG60" s="549" t="s">
        <v>1355</v>
      </c>
      <c r="BH60" s="198"/>
      <c r="BI60" s="570" t="s">
        <v>1360</v>
      </c>
      <c r="BJ60" s="137">
        <v>2.8999999999999998E-3</v>
      </c>
      <c r="BK60" s="83"/>
      <c r="BL60" s="83">
        <v>144</v>
      </c>
      <c r="BM60" s="83">
        <v>132</v>
      </c>
      <c r="BN60" s="83">
        <v>0</v>
      </c>
      <c r="BO60" s="83">
        <v>1</v>
      </c>
      <c r="BP60" s="83">
        <v>0</v>
      </c>
      <c r="BQ60" s="83">
        <v>0</v>
      </c>
      <c r="BR60" s="83">
        <v>0</v>
      </c>
      <c r="BS60" s="83">
        <v>5</v>
      </c>
      <c r="BT60" s="83">
        <v>0</v>
      </c>
      <c r="BU60" s="83">
        <v>0</v>
      </c>
      <c r="BV60" s="83">
        <v>38</v>
      </c>
      <c r="BW60" s="83">
        <v>27</v>
      </c>
      <c r="BX60" s="83">
        <v>32</v>
      </c>
      <c r="BY60" s="83">
        <v>25</v>
      </c>
      <c r="BZ60" s="83">
        <v>0</v>
      </c>
      <c r="CA60" s="83">
        <v>0</v>
      </c>
      <c r="CB60" s="83">
        <v>0</v>
      </c>
      <c r="CC60" s="83">
        <v>0</v>
      </c>
      <c r="CD60" s="83">
        <v>0</v>
      </c>
      <c r="CE60" s="83">
        <v>0</v>
      </c>
      <c r="CF60" s="83">
        <v>0</v>
      </c>
      <c r="CG60" s="83">
        <v>0</v>
      </c>
      <c r="CH60" s="83">
        <v>0</v>
      </c>
      <c r="CI60" s="83">
        <v>0</v>
      </c>
      <c r="CJ60" s="83">
        <v>0</v>
      </c>
      <c r="CK60" s="83"/>
      <c r="CL60" s="824">
        <f>SUM(BN60:CK60)</f>
        <v>128</v>
      </c>
      <c r="CM60" s="824">
        <f t="shared" si="1"/>
        <v>0</v>
      </c>
      <c r="CN60" s="580">
        <v>513.4</v>
      </c>
      <c r="CO60" s="198" t="s">
        <v>1362</v>
      </c>
      <c r="CP60" s="549" t="s">
        <v>1355</v>
      </c>
      <c r="CQ60" s="137">
        <v>0.52500000000000002</v>
      </c>
      <c r="CR60" s="580">
        <v>976.91800000000001</v>
      </c>
      <c r="CS60" s="883" t="s">
        <v>1363</v>
      </c>
      <c r="CT60" s="198" t="s">
        <v>470</v>
      </c>
      <c r="CU60" s="198"/>
      <c r="CV60" s="198"/>
      <c r="CW60" s="198"/>
      <c r="CX60" s="83"/>
      <c r="CY60" s="83"/>
      <c r="CZ60" s="83">
        <v>2</v>
      </c>
      <c r="DA60" s="198" t="s">
        <v>479</v>
      </c>
      <c r="DB60" s="198" t="s">
        <v>1364</v>
      </c>
      <c r="DC60" s="83">
        <v>28440</v>
      </c>
      <c r="DD60" s="198" t="s">
        <v>479</v>
      </c>
      <c r="DE60" s="198" t="s">
        <v>1365</v>
      </c>
      <c r="DF60" s="83">
        <v>20229</v>
      </c>
      <c r="DG60" s="83" t="s">
        <v>479</v>
      </c>
      <c r="DH60" s="83" t="s">
        <v>1366</v>
      </c>
      <c r="DI60" s="83">
        <v>8211</v>
      </c>
      <c r="DJ60" s="83" t="s">
        <v>470</v>
      </c>
      <c r="DK60" s="83"/>
      <c r="DL60" s="83"/>
      <c r="DM60" s="198" t="s">
        <v>470</v>
      </c>
      <c r="DN60" s="198"/>
      <c r="DO60" s="83"/>
      <c r="DP60" s="198" t="s">
        <v>470</v>
      </c>
      <c r="DQ60" s="198"/>
      <c r="DR60" s="83"/>
      <c r="DS60" s="198" t="s">
        <v>470</v>
      </c>
      <c r="DT60" s="198"/>
      <c r="DU60" s="83"/>
      <c r="DV60" s="198" t="s">
        <v>470</v>
      </c>
      <c r="DW60" s="198"/>
      <c r="DX60" s="83"/>
      <c r="DY60" s="198" t="s">
        <v>470</v>
      </c>
      <c r="DZ60" s="198"/>
      <c r="EA60" s="83"/>
      <c r="EB60" s="198" t="s">
        <v>479</v>
      </c>
      <c r="EC60" s="198" t="s">
        <v>1365</v>
      </c>
      <c r="ED60" s="83">
        <v>20229</v>
      </c>
      <c r="EE60" s="83" t="s">
        <v>479</v>
      </c>
      <c r="EF60" s="83" t="s">
        <v>1366</v>
      </c>
      <c r="EG60" s="83">
        <v>8211</v>
      </c>
      <c r="EH60" s="198" t="s">
        <v>470</v>
      </c>
      <c r="EI60" s="198"/>
      <c r="EJ60" s="83"/>
      <c r="EK60" s="198" t="s">
        <v>470</v>
      </c>
      <c r="EL60" s="198"/>
      <c r="EM60" s="83"/>
      <c r="EN60" s="198" t="s">
        <v>470</v>
      </c>
      <c r="EO60" s="198"/>
      <c r="EP60" s="83"/>
      <c r="EQ60" s="83" t="s">
        <v>470</v>
      </c>
      <c r="ER60" s="83"/>
      <c r="ES60" s="83"/>
      <c r="ET60" s="198" t="s">
        <v>470</v>
      </c>
      <c r="EU60" s="198"/>
      <c r="EV60" s="83"/>
      <c r="EW60" s="837">
        <v>1</v>
      </c>
      <c r="EX60" s="198"/>
      <c r="EY60" s="505">
        <v>66</v>
      </c>
      <c r="EZ60" s="198" t="s">
        <v>470</v>
      </c>
      <c r="FA60" s="198"/>
      <c r="FB60" s="198" t="s">
        <v>1367</v>
      </c>
      <c r="FC60" s="198" t="s">
        <v>1368</v>
      </c>
      <c r="FD60" s="198" t="s">
        <v>1367</v>
      </c>
      <c r="FE60" s="198" t="s">
        <v>1369</v>
      </c>
      <c r="FF60" s="198" t="s">
        <v>470</v>
      </c>
      <c r="FG60" s="198" t="s">
        <v>1370</v>
      </c>
      <c r="FH60" s="198">
        <v>1</v>
      </c>
      <c r="FI60" s="198" t="s">
        <v>1371</v>
      </c>
      <c r="FJ60" s="198" t="s">
        <v>1372</v>
      </c>
      <c r="FK60" s="198" t="s">
        <v>1373</v>
      </c>
      <c r="FL60" s="549" t="s">
        <v>1374</v>
      </c>
      <c r="FM60" s="198" t="s">
        <v>1375</v>
      </c>
      <c r="FN60" s="198" t="s">
        <v>1376</v>
      </c>
      <c r="FO60" s="884" t="s">
        <v>1377</v>
      </c>
    </row>
    <row r="61" spans="5:171" ht="104" customHeight="1" x14ac:dyDescent="0.2">
      <c r="G61" s="198" t="s">
        <v>315</v>
      </c>
      <c r="H61" s="198" t="s">
        <v>394</v>
      </c>
      <c r="I61" s="198"/>
      <c r="AL61" s="580">
        <f t="shared" si="0"/>
        <v>0</v>
      </c>
      <c r="AM61" s="504">
        <v>0</v>
      </c>
      <c r="AN61" s="510"/>
      <c r="AQ61" s="511"/>
      <c r="AT61" s="569"/>
      <c r="AV61" s="569"/>
      <c r="AX61" s="569"/>
      <c r="AZ61" s="569"/>
      <c r="CL61" s="512"/>
      <c r="CM61" s="824">
        <f t="shared" si="1"/>
        <v>0</v>
      </c>
    </row>
    <row r="62" spans="5:171" ht="104" customHeight="1" x14ac:dyDescent="0.2">
      <c r="E62" s="94" t="s">
        <v>9302</v>
      </c>
      <c r="F62" s="94" t="s">
        <v>9120</v>
      </c>
      <c r="G62" s="198" t="s">
        <v>316</v>
      </c>
      <c r="H62" s="198" t="s">
        <v>395</v>
      </c>
      <c r="I62" s="198"/>
      <c r="J62" s="97" t="s">
        <v>626</v>
      </c>
      <c r="K62" s="97" t="s">
        <v>627</v>
      </c>
      <c r="L62" s="502">
        <v>2011</v>
      </c>
      <c r="M62" s="841" t="s">
        <v>628</v>
      </c>
      <c r="N62" s="841">
        <v>44925</v>
      </c>
      <c r="O62" s="97" t="s">
        <v>629</v>
      </c>
      <c r="P62" s="885" t="s">
        <v>630</v>
      </c>
      <c r="Q62" s="198"/>
      <c r="R62" s="198"/>
      <c r="S62" s="198"/>
      <c r="T62" s="198"/>
      <c r="U62" s="198"/>
      <c r="V62" s="198"/>
      <c r="W62" s="198"/>
      <c r="X62" s="885" t="s">
        <v>631</v>
      </c>
      <c r="Y62" s="198"/>
      <c r="Z62" s="198"/>
      <c r="AA62" s="198"/>
      <c r="AB62" s="198"/>
      <c r="AC62" s="198"/>
      <c r="AD62" s="198"/>
      <c r="AE62" s="198"/>
      <c r="AF62" s="198"/>
      <c r="AG62" s="198"/>
      <c r="AH62" s="97" t="s">
        <v>632</v>
      </c>
      <c r="AI62" s="97" t="s">
        <v>632</v>
      </c>
      <c r="AJ62" s="97" t="s">
        <v>633</v>
      </c>
      <c r="AK62" s="97" t="s">
        <v>634</v>
      </c>
      <c r="AL62" s="580">
        <f t="shared" si="0"/>
        <v>946</v>
      </c>
      <c r="AM62" s="504">
        <v>946</v>
      </c>
      <c r="AN62" s="516">
        <v>850</v>
      </c>
      <c r="AO62" s="507">
        <v>0.89900000000000002</v>
      </c>
      <c r="AP62" s="507">
        <v>3.0999999999999999E-3</v>
      </c>
      <c r="AQ62" s="611">
        <v>96</v>
      </c>
      <c r="AR62" s="507">
        <v>0.10100000000000001</v>
      </c>
      <c r="AS62" s="507"/>
      <c r="AT62" s="516">
        <v>0</v>
      </c>
      <c r="AU62" s="507"/>
      <c r="AV62" s="516">
        <v>0</v>
      </c>
      <c r="AW62" s="507"/>
      <c r="AX62" s="516"/>
      <c r="AY62" s="507"/>
      <c r="AZ62" s="516">
        <v>0</v>
      </c>
      <c r="BA62" s="507"/>
      <c r="BB62" s="97"/>
      <c r="BC62" s="97"/>
      <c r="BD62" s="97"/>
      <c r="BE62" s="97" t="s">
        <v>470</v>
      </c>
      <c r="BF62" s="97"/>
      <c r="BG62" s="97"/>
      <c r="BH62" s="97">
        <v>0</v>
      </c>
      <c r="BI62" s="516">
        <v>850</v>
      </c>
      <c r="BJ62" s="507">
        <v>3.0999999999999999E-3</v>
      </c>
      <c r="BK62" s="96">
        <v>1597</v>
      </c>
      <c r="BL62" s="96">
        <v>1359</v>
      </c>
      <c r="BM62" s="96">
        <v>1359</v>
      </c>
      <c r="BN62" s="96">
        <v>113</v>
      </c>
      <c r="BO62" s="96">
        <v>84</v>
      </c>
      <c r="BP62" s="96">
        <v>89</v>
      </c>
      <c r="BQ62" s="96">
        <v>59</v>
      </c>
      <c r="BR62" s="96"/>
      <c r="BS62" s="96">
        <v>33</v>
      </c>
      <c r="BT62" s="96">
        <v>80</v>
      </c>
      <c r="BU62" s="96">
        <v>196</v>
      </c>
      <c r="BV62" s="96">
        <v>110</v>
      </c>
      <c r="BW62" s="96"/>
      <c r="BX62" s="96">
        <v>117</v>
      </c>
      <c r="BY62" s="96">
        <v>60</v>
      </c>
      <c r="BZ62" s="96">
        <v>40</v>
      </c>
      <c r="CA62" s="96"/>
      <c r="CB62" s="96"/>
      <c r="CC62" s="96"/>
      <c r="CD62" s="96"/>
      <c r="CE62" s="96">
        <v>378</v>
      </c>
      <c r="CF62" s="96"/>
      <c r="CG62" s="96"/>
      <c r="CH62" s="96"/>
      <c r="CI62" s="96"/>
      <c r="CJ62" s="96"/>
      <c r="CK62" s="96"/>
      <c r="CL62" s="815">
        <f>SUM(BN62:CK62)</f>
        <v>1359</v>
      </c>
      <c r="CM62" s="824">
        <f t="shared" si="1"/>
        <v>0</v>
      </c>
      <c r="CN62" s="504">
        <v>1694.7080000000001</v>
      </c>
      <c r="CO62" s="97" t="s">
        <v>635</v>
      </c>
      <c r="CP62" s="198"/>
      <c r="CQ62" s="507">
        <v>0.71899999999999997</v>
      </c>
      <c r="CR62" s="504">
        <v>2357.134</v>
      </c>
      <c r="CS62" s="842" t="s">
        <v>636</v>
      </c>
      <c r="CT62" s="97" t="s">
        <v>479</v>
      </c>
      <c r="CU62" s="97" t="s">
        <v>637</v>
      </c>
      <c r="CV62" s="97" t="s">
        <v>638</v>
      </c>
      <c r="CW62" s="97" t="s">
        <v>639</v>
      </c>
      <c r="CX62" s="96">
        <v>25</v>
      </c>
      <c r="CY62" s="83"/>
      <c r="CZ62" s="96">
        <v>7</v>
      </c>
      <c r="DA62" s="97" t="s">
        <v>470</v>
      </c>
      <c r="DB62" s="198"/>
      <c r="DC62" s="83"/>
      <c r="DD62" s="97" t="s">
        <v>479</v>
      </c>
      <c r="DE62" s="97"/>
      <c r="DF62" s="96">
        <v>844</v>
      </c>
      <c r="DG62" s="96" t="s">
        <v>470</v>
      </c>
      <c r="DH62" s="96"/>
      <c r="DI62" s="96"/>
      <c r="DJ62" s="96" t="s">
        <v>470</v>
      </c>
      <c r="DK62" s="96"/>
      <c r="DL62" s="96"/>
      <c r="DM62" s="97" t="s">
        <v>479</v>
      </c>
      <c r="DN62" s="97"/>
      <c r="DO62" s="96">
        <v>451</v>
      </c>
      <c r="DP62" s="97" t="s">
        <v>479</v>
      </c>
      <c r="DQ62" s="97"/>
      <c r="DR62" s="96">
        <v>123</v>
      </c>
      <c r="DS62" s="97" t="s">
        <v>479</v>
      </c>
      <c r="DT62" s="198"/>
      <c r="DU62" s="97">
        <v>3718</v>
      </c>
      <c r="DV62" s="198"/>
      <c r="DW62" s="198"/>
      <c r="DX62" s="83"/>
      <c r="DY62" s="97" t="s">
        <v>479</v>
      </c>
      <c r="DZ62" s="198"/>
      <c r="EA62" s="96">
        <v>121412</v>
      </c>
      <c r="EB62" s="97" t="s">
        <v>479</v>
      </c>
      <c r="EC62" s="97" t="s">
        <v>640</v>
      </c>
      <c r="ED62" s="96"/>
      <c r="EE62" s="96" t="s">
        <v>479</v>
      </c>
      <c r="EF62" s="96" t="s">
        <v>640</v>
      </c>
      <c r="EG62" s="96">
        <v>32546</v>
      </c>
      <c r="EH62" s="97" t="s">
        <v>470</v>
      </c>
      <c r="EI62" s="198"/>
      <c r="EJ62" s="83"/>
      <c r="EK62" s="97" t="s">
        <v>470</v>
      </c>
      <c r="EL62" s="198"/>
      <c r="EM62" s="83"/>
      <c r="EN62" s="97" t="s">
        <v>470</v>
      </c>
      <c r="EO62" s="198"/>
      <c r="EP62" s="83"/>
      <c r="EQ62" s="96" t="s">
        <v>470</v>
      </c>
      <c r="ER62" s="83"/>
      <c r="ES62" s="83"/>
      <c r="ET62" s="97"/>
      <c r="EU62" s="198"/>
      <c r="EV62" s="83"/>
      <c r="EW62" s="876">
        <v>1</v>
      </c>
      <c r="EX62" s="97"/>
      <c r="EY62" s="96">
        <v>453</v>
      </c>
      <c r="EZ62" s="97" t="s">
        <v>470</v>
      </c>
      <c r="FA62" s="97"/>
      <c r="FB62" s="97" t="s">
        <v>641</v>
      </c>
      <c r="FC62" s="198"/>
      <c r="FD62" s="198"/>
      <c r="FE62" s="97" t="s">
        <v>642</v>
      </c>
      <c r="FF62" s="198"/>
      <c r="FG62" s="97" t="s">
        <v>643</v>
      </c>
      <c r="FH62" s="97">
        <v>5</v>
      </c>
      <c r="FI62" s="97">
        <v>813</v>
      </c>
      <c r="FJ62" s="97" t="s">
        <v>644</v>
      </c>
      <c r="FK62" s="97" t="s">
        <v>645</v>
      </c>
      <c r="FL62" s="97" t="s">
        <v>646</v>
      </c>
      <c r="FM62" s="97" t="s">
        <v>647</v>
      </c>
      <c r="FN62" s="97" t="s">
        <v>648</v>
      </c>
      <c r="FO62" s="842" t="s">
        <v>649</v>
      </c>
    </row>
    <row r="63" spans="5:171" ht="104" customHeight="1" x14ac:dyDescent="0.2">
      <c r="G63" s="198" t="s">
        <v>463</v>
      </c>
      <c r="H63" s="198" t="s">
        <v>396</v>
      </c>
      <c r="I63" s="198"/>
      <c r="AL63" s="580">
        <f t="shared" si="0"/>
        <v>0</v>
      </c>
      <c r="AM63" s="504">
        <v>0</v>
      </c>
      <c r="AN63" s="510"/>
      <c r="AQ63" s="511"/>
      <c r="AT63" s="569"/>
      <c r="AV63" s="569"/>
      <c r="AX63" s="569"/>
      <c r="AZ63" s="569"/>
      <c r="CL63" s="512"/>
      <c r="CM63" s="824">
        <f t="shared" si="1"/>
        <v>0</v>
      </c>
    </row>
    <row r="64" spans="5:171" ht="104" customHeight="1" x14ac:dyDescent="0.2">
      <c r="E64" s="94" t="s">
        <v>9303</v>
      </c>
      <c r="F64" s="94" t="s">
        <v>9120</v>
      </c>
      <c r="G64" s="198" t="s">
        <v>317</v>
      </c>
      <c r="H64" s="198" t="s">
        <v>397</v>
      </c>
      <c r="I64" s="198"/>
      <c r="J64" s="198" t="s">
        <v>1956</v>
      </c>
      <c r="K64" s="198" t="s">
        <v>1045</v>
      </c>
      <c r="L64" s="578">
        <v>2019</v>
      </c>
      <c r="M64" s="822">
        <v>44562</v>
      </c>
      <c r="N64" s="822">
        <v>44926</v>
      </c>
      <c r="O64" s="198" t="s">
        <v>1957</v>
      </c>
      <c r="P64" s="198" t="s">
        <v>1958</v>
      </c>
      <c r="Q64" s="549" t="s">
        <v>1959</v>
      </c>
      <c r="R64" s="198" t="s">
        <v>470</v>
      </c>
      <c r="S64" s="198"/>
      <c r="T64" s="198" t="s">
        <v>1960</v>
      </c>
      <c r="U64" s="549" t="s">
        <v>1961</v>
      </c>
      <c r="V64" s="198" t="s">
        <v>470</v>
      </c>
      <c r="W64" s="198"/>
      <c r="X64" s="198" t="s">
        <v>470</v>
      </c>
      <c r="Y64" s="198"/>
      <c r="Z64" s="198"/>
      <c r="AA64" s="198"/>
      <c r="AB64" s="198"/>
      <c r="AC64" s="198"/>
      <c r="AD64" s="198"/>
      <c r="AE64" s="198"/>
      <c r="AF64" s="198"/>
      <c r="AG64" s="198"/>
      <c r="AH64" s="198" t="s">
        <v>1962</v>
      </c>
      <c r="AI64" s="198" t="s">
        <v>1962</v>
      </c>
      <c r="AJ64" s="198" t="s">
        <v>504</v>
      </c>
      <c r="AK64" s="198" t="s">
        <v>1963</v>
      </c>
      <c r="AL64" s="580">
        <f t="shared" si="0"/>
        <v>30.884</v>
      </c>
      <c r="AM64" s="504">
        <v>30.884</v>
      </c>
      <c r="AN64" s="516">
        <v>15.802</v>
      </c>
      <c r="AO64" s="137">
        <f>15.802/30.883</f>
        <v>0.51167308875433082</v>
      </c>
      <c r="AP64" s="137">
        <f>15.802/117498</f>
        <v>1.3448739553013667E-4</v>
      </c>
      <c r="AQ64" s="504">
        <v>12.695</v>
      </c>
      <c r="AR64" s="137">
        <f>12.695/30.883</f>
        <v>0.41106757763170676</v>
      </c>
      <c r="AS64" s="137"/>
      <c r="AT64" s="520">
        <v>0.219</v>
      </c>
      <c r="AU64" s="137">
        <f>AT64/30.883</f>
        <v>7.0912799922287348E-3</v>
      </c>
      <c r="AV64" s="520">
        <v>0.54300000000000004</v>
      </c>
      <c r="AW64" s="137">
        <f>AV64/30.883</f>
        <v>1.758248874785481E-2</v>
      </c>
      <c r="AX64" s="520"/>
      <c r="AY64" s="198"/>
      <c r="AZ64" s="520">
        <v>1.625</v>
      </c>
      <c r="BA64" s="137">
        <f>1.625/30.883</f>
        <v>5.2617945147815953E-2</v>
      </c>
      <c r="BB64" s="198" t="s">
        <v>1964</v>
      </c>
      <c r="BC64" s="198" t="s">
        <v>1965</v>
      </c>
      <c r="BD64" s="198" t="s">
        <v>1962</v>
      </c>
      <c r="BE64" s="198" t="s">
        <v>470</v>
      </c>
      <c r="BF64" s="198"/>
      <c r="BG64" s="198"/>
      <c r="BH64" s="198"/>
      <c r="BI64" s="580">
        <v>23.954000000000001</v>
      </c>
      <c r="BJ64" s="137">
        <f>23.954/131339</f>
        <v>1.8238299362717853E-4</v>
      </c>
      <c r="BK64" s="83"/>
      <c r="BL64" s="83">
        <v>15</v>
      </c>
      <c r="BM64" s="83">
        <v>15</v>
      </c>
      <c r="BN64" s="83"/>
      <c r="BO64" s="83">
        <v>1</v>
      </c>
      <c r="BP64" s="83">
        <v>1</v>
      </c>
      <c r="BQ64" s="83"/>
      <c r="BR64" s="83"/>
      <c r="BS64" s="83"/>
      <c r="BT64" s="83">
        <v>1</v>
      </c>
      <c r="BU64" s="83"/>
      <c r="BV64" s="83">
        <v>1</v>
      </c>
      <c r="BW64" s="83">
        <v>3</v>
      </c>
      <c r="BX64" s="83">
        <v>1</v>
      </c>
      <c r="BY64" s="83">
        <v>2</v>
      </c>
      <c r="BZ64" s="83"/>
      <c r="CA64" s="83">
        <v>5</v>
      </c>
      <c r="CB64" s="83"/>
      <c r="CC64" s="83"/>
      <c r="CD64" s="83"/>
      <c r="CE64" s="83"/>
      <c r="CF64" s="83"/>
      <c r="CG64" s="83"/>
      <c r="CH64" s="83"/>
      <c r="CI64" s="83"/>
      <c r="CJ64" s="83"/>
      <c r="CK64" s="83"/>
      <c r="CL64" s="578">
        <f t="shared" ref="CL64:CL69" si="6">SUM(BN64:CK64)</f>
        <v>15</v>
      </c>
      <c r="CM64" s="824">
        <f t="shared" si="1"/>
        <v>0</v>
      </c>
      <c r="CN64" s="580">
        <v>3.6429999999999998</v>
      </c>
      <c r="CO64" s="198" t="s">
        <v>1967</v>
      </c>
      <c r="CP64" s="198"/>
      <c r="CQ64" s="137">
        <f>3.643/4.288</f>
        <v>0.84958022388059695</v>
      </c>
      <c r="CR64" s="580">
        <v>1032.3430000000001</v>
      </c>
      <c r="CS64" s="834" t="s">
        <v>1968</v>
      </c>
      <c r="CT64" s="198" t="s">
        <v>539</v>
      </c>
      <c r="CU64" s="198"/>
      <c r="CV64" s="198"/>
      <c r="CW64" s="198"/>
      <c r="CX64" s="83"/>
      <c r="CY64" s="83"/>
      <c r="CZ64" s="83">
        <v>5</v>
      </c>
      <c r="DA64" s="198"/>
      <c r="DB64" s="198"/>
      <c r="DC64" s="83"/>
      <c r="DD64" s="198" t="s">
        <v>540</v>
      </c>
      <c r="DE64" s="198" t="s">
        <v>1969</v>
      </c>
      <c r="DF64" s="83">
        <v>1492</v>
      </c>
      <c r="DG64" s="83"/>
      <c r="DH64" s="83"/>
      <c r="DI64" s="83"/>
      <c r="DJ64" s="83"/>
      <c r="DK64" s="83"/>
      <c r="DL64" s="83"/>
      <c r="DM64" s="198"/>
      <c r="DN64" s="198"/>
      <c r="DO64" s="83"/>
      <c r="DP64" s="198"/>
      <c r="DQ64" s="198"/>
      <c r="DR64" s="83"/>
      <c r="DS64" s="198"/>
      <c r="DT64" s="198"/>
      <c r="DU64" s="83"/>
      <c r="DV64" s="198"/>
      <c r="DW64" s="198"/>
      <c r="DX64" s="83"/>
      <c r="DY64" s="198"/>
      <c r="DZ64" s="198"/>
      <c r="EA64" s="83"/>
      <c r="EB64" s="198" t="s">
        <v>540</v>
      </c>
      <c r="EC64" s="198" t="s">
        <v>1969</v>
      </c>
      <c r="ED64" s="83">
        <v>1492</v>
      </c>
      <c r="EE64" s="83"/>
      <c r="EF64" s="83"/>
      <c r="EG64" s="83"/>
      <c r="EH64" s="198"/>
      <c r="EI64" s="198"/>
      <c r="EJ64" s="83"/>
      <c r="EK64" s="198"/>
      <c r="EL64" s="198"/>
      <c r="EM64" s="83"/>
      <c r="EN64" s="198"/>
      <c r="EO64" s="198"/>
      <c r="EP64" s="83"/>
      <c r="EQ64" s="83"/>
      <c r="ER64" s="83"/>
      <c r="ES64" s="83"/>
      <c r="ET64" s="198"/>
      <c r="EU64" s="198"/>
      <c r="EV64" s="83"/>
      <c r="EW64" s="198" t="s">
        <v>1970</v>
      </c>
      <c r="EX64" s="198" t="s">
        <v>1971</v>
      </c>
      <c r="EY64" s="505" t="s">
        <v>1972</v>
      </c>
      <c r="EZ64" s="198" t="s">
        <v>470</v>
      </c>
      <c r="FA64" s="198"/>
      <c r="FB64" s="198" t="s">
        <v>470</v>
      </c>
      <c r="FC64" s="198"/>
      <c r="FD64" s="198"/>
      <c r="FE64" s="198"/>
      <c r="FF64" s="198"/>
      <c r="FG64" s="198" t="s">
        <v>1750</v>
      </c>
      <c r="FH64" s="198"/>
      <c r="FI64" s="198"/>
      <c r="FJ64" s="198" t="s">
        <v>1973</v>
      </c>
      <c r="FK64" s="198" t="s">
        <v>1974</v>
      </c>
      <c r="FL64" s="549" t="s">
        <v>1975</v>
      </c>
      <c r="FM64" s="198" t="s">
        <v>1976</v>
      </c>
      <c r="FN64" s="198" t="s">
        <v>1977</v>
      </c>
      <c r="FO64" s="549" t="s">
        <v>1978</v>
      </c>
    </row>
    <row r="65" spans="5:171" ht="104" customHeight="1" x14ac:dyDescent="0.2">
      <c r="E65" s="94" t="s">
        <v>9304</v>
      </c>
      <c r="F65" s="94" t="s">
        <v>9120</v>
      </c>
      <c r="G65" s="198" t="s">
        <v>317</v>
      </c>
      <c r="H65" s="198" t="s">
        <v>397</v>
      </c>
      <c r="I65" s="198"/>
      <c r="J65" s="198" t="s">
        <v>1979</v>
      </c>
      <c r="K65" s="198" t="s">
        <v>840</v>
      </c>
      <c r="L65" s="578">
        <v>2017</v>
      </c>
      <c r="M65" s="822">
        <v>44562</v>
      </c>
      <c r="N65" s="822">
        <v>44926</v>
      </c>
      <c r="O65" s="198" t="s">
        <v>1980</v>
      </c>
      <c r="P65" s="198" t="s">
        <v>9599</v>
      </c>
      <c r="Q65" s="549" t="s">
        <v>1981</v>
      </c>
      <c r="R65" s="198" t="s">
        <v>470</v>
      </c>
      <c r="S65" s="198"/>
      <c r="T65" s="198" t="s">
        <v>1960</v>
      </c>
      <c r="U65" s="549" t="s">
        <v>1961</v>
      </c>
      <c r="V65" s="198" t="s">
        <v>470</v>
      </c>
      <c r="W65" s="198"/>
      <c r="X65" s="198" t="s">
        <v>470</v>
      </c>
      <c r="Y65" s="198"/>
      <c r="Z65" s="198"/>
      <c r="AA65" s="198"/>
      <c r="AB65" s="198"/>
      <c r="AC65" s="198"/>
      <c r="AD65" s="198"/>
      <c r="AE65" s="198"/>
      <c r="AF65" s="198"/>
      <c r="AG65" s="198"/>
      <c r="AH65" s="198" t="s">
        <v>1982</v>
      </c>
      <c r="AI65" s="198" t="s">
        <v>1982</v>
      </c>
      <c r="AJ65" s="198" t="s">
        <v>1983</v>
      </c>
      <c r="AK65" s="198" t="s">
        <v>1963</v>
      </c>
      <c r="AL65" s="580">
        <f t="shared" si="0"/>
        <v>652.36330096000006</v>
      </c>
      <c r="AM65" s="504">
        <v>652.36330096000006</v>
      </c>
      <c r="AN65" s="516">
        <v>282.79620233999998</v>
      </c>
      <c r="AO65" s="137">
        <f>AN65/AL65</f>
        <v>0.43349495890379608</v>
      </c>
      <c r="AP65" s="137">
        <f>AN65/117498</f>
        <v>2.4068171572282078E-3</v>
      </c>
      <c r="AQ65" s="504">
        <v>80.209949710000004</v>
      </c>
      <c r="AR65" s="137">
        <f>AQ65/AL65</f>
        <v>0.12295288467632258</v>
      </c>
      <c r="AS65" s="137"/>
      <c r="AT65" s="520">
        <v>15.044748909999999</v>
      </c>
      <c r="AU65" s="137">
        <f>AT65/AL65</f>
        <v>2.3061917934164226E-2</v>
      </c>
      <c r="AV65" s="520">
        <v>0</v>
      </c>
      <c r="AW65" s="580">
        <v>0</v>
      </c>
      <c r="AX65" s="520"/>
      <c r="AY65" s="137">
        <v>0</v>
      </c>
      <c r="AZ65" s="520">
        <v>274.31240000000003</v>
      </c>
      <c r="BA65" s="137">
        <f>AZ65/AL65</f>
        <v>0.42049023848571704</v>
      </c>
      <c r="BB65" s="198" t="s">
        <v>1984</v>
      </c>
      <c r="BC65" s="198" t="s">
        <v>847</v>
      </c>
      <c r="BD65" s="198" t="s">
        <v>1985</v>
      </c>
      <c r="BE65" s="198" t="s">
        <v>470</v>
      </c>
      <c r="BF65" s="198"/>
      <c r="BG65" s="198"/>
      <c r="BH65" s="198"/>
      <c r="BI65" s="520">
        <v>284.69783999999999</v>
      </c>
      <c r="BJ65" s="137">
        <f>BI65/131339</f>
        <v>2.1676565224343111E-3</v>
      </c>
      <c r="BK65" s="83">
        <v>54</v>
      </c>
      <c r="BL65" s="83">
        <v>54</v>
      </c>
      <c r="BM65" s="83">
        <v>53</v>
      </c>
      <c r="BN65" s="83"/>
      <c r="BO65" s="83"/>
      <c r="BP65" s="83">
        <v>2</v>
      </c>
      <c r="BQ65" s="83"/>
      <c r="BR65" s="83"/>
      <c r="BS65" s="83"/>
      <c r="BT65" s="83"/>
      <c r="BU65" s="83"/>
      <c r="BV65" s="83"/>
      <c r="BW65" s="83">
        <v>36</v>
      </c>
      <c r="BX65" s="83">
        <v>5</v>
      </c>
      <c r="BY65" s="83">
        <v>9</v>
      </c>
      <c r="BZ65" s="83"/>
      <c r="CA65" s="83"/>
      <c r="CB65" s="83"/>
      <c r="CC65" s="83"/>
      <c r="CD65" s="83"/>
      <c r="CE65" s="83"/>
      <c r="CF65" s="83"/>
      <c r="CG65" s="83"/>
      <c r="CH65" s="83"/>
      <c r="CI65" s="83"/>
      <c r="CJ65" s="83"/>
      <c r="CK65" s="83">
        <v>1</v>
      </c>
      <c r="CL65" s="824">
        <f t="shared" si="6"/>
        <v>53</v>
      </c>
      <c r="CM65" s="824">
        <f t="shared" si="1"/>
        <v>0</v>
      </c>
      <c r="CN65" s="83"/>
      <c r="CO65" s="83"/>
      <c r="CP65" s="83"/>
      <c r="CQ65" s="83"/>
      <c r="CR65" s="580">
        <v>1027.6780000000001</v>
      </c>
      <c r="CS65" s="834" t="s">
        <v>1987</v>
      </c>
      <c r="CT65" s="198" t="s">
        <v>470</v>
      </c>
      <c r="CU65" s="198"/>
      <c r="CV65" s="198"/>
      <c r="CW65" s="198"/>
      <c r="CX65" s="83"/>
      <c r="CY65" s="83"/>
      <c r="CZ65" s="83"/>
      <c r="DA65" s="198" t="s">
        <v>479</v>
      </c>
      <c r="DB65" s="198" t="s">
        <v>1988</v>
      </c>
      <c r="DC65" s="83">
        <v>15873</v>
      </c>
      <c r="DD65" s="198" t="s">
        <v>479</v>
      </c>
      <c r="DE65" s="198" t="s">
        <v>1989</v>
      </c>
      <c r="DF65" s="83">
        <v>601</v>
      </c>
      <c r="DG65" s="83" t="s">
        <v>470</v>
      </c>
      <c r="DH65" s="83"/>
      <c r="DI65" s="83"/>
      <c r="DJ65" s="83" t="s">
        <v>470</v>
      </c>
      <c r="DK65" s="83"/>
      <c r="DL65" s="83"/>
      <c r="DM65" s="198" t="s">
        <v>470</v>
      </c>
      <c r="DN65" s="198"/>
      <c r="DO65" s="83"/>
      <c r="DP65" s="198" t="s">
        <v>479</v>
      </c>
      <c r="DQ65" s="198" t="s">
        <v>920</v>
      </c>
      <c r="DR65" s="83">
        <v>1249</v>
      </c>
      <c r="DS65" s="198" t="s">
        <v>470</v>
      </c>
      <c r="DT65" s="198"/>
      <c r="DU65" s="83"/>
      <c r="DV65" s="198" t="s">
        <v>1990</v>
      </c>
      <c r="DW65" s="198" t="s">
        <v>1988</v>
      </c>
      <c r="DX65" s="83">
        <v>522</v>
      </c>
      <c r="DY65" s="198" t="s">
        <v>479</v>
      </c>
      <c r="DZ65" s="198" t="s">
        <v>1991</v>
      </c>
      <c r="EA65" s="83">
        <v>39271</v>
      </c>
      <c r="EB65" s="198" t="s">
        <v>479</v>
      </c>
      <c r="EC65" s="198" t="s">
        <v>1992</v>
      </c>
      <c r="ED65" s="83">
        <v>4083</v>
      </c>
      <c r="EE65" s="83" t="s">
        <v>470</v>
      </c>
      <c r="EF65" s="83"/>
      <c r="EG65" s="83"/>
      <c r="EH65" s="198" t="s">
        <v>470</v>
      </c>
      <c r="EI65" s="198"/>
      <c r="EJ65" s="83"/>
      <c r="EK65" s="198" t="s">
        <v>470</v>
      </c>
      <c r="EL65" s="198"/>
      <c r="EM65" s="83"/>
      <c r="EN65" s="198" t="s">
        <v>470</v>
      </c>
      <c r="EO65" s="198"/>
      <c r="EP65" s="83"/>
      <c r="EQ65" s="83" t="s">
        <v>470</v>
      </c>
      <c r="ER65" s="83"/>
      <c r="ES65" s="83"/>
      <c r="ET65" s="198" t="s">
        <v>1993</v>
      </c>
      <c r="EU65" s="198" t="s">
        <v>1994</v>
      </c>
      <c r="EV65" s="83">
        <v>40</v>
      </c>
      <c r="EW65" s="198" t="s">
        <v>1995</v>
      </c>
      <c r="EX65" s="198"/>
      <c r="EY65" s="505">
        <v>5</v>
      </c>
      <c r="EZ65" s="198" t="s">
        <v>470</v>
      </c>
      <c r="FA65" s="198"/>
      <c r="FB65" s="198" t="s">
        <v>470</v>
      </c>
      <c r="FC65" s="198"/>
      <c r="FD65" s="198"/>
      <c r="FE65" s="198"/>
      <c r="FF65" s="198"/>
      <c r="FG65" s="198" t="s">
        <v>1750</v>
      </c>
      <c r="FH65" s="198"/>
      <c r="FI65" s="198"/>
      <c r="FJ65" s="198" t="s">
        <v>1996</v>
      </c>
      <c r="FK65" s="198" t="s">
        <v>1997</v>
      </c>
      <c r="FL65" s="549" t="s">
        <v>1998</v>
      </c>
      <c r="FM65" s="198" t="s">
        <v>1976</v>
      </c>
      <c r="FN65" s="198" t="s">
        <v>1977</v>
      </c>
      <c r="FO65" s="549" t="s">
        <v>1978</v>
      </c>
    </row>
    <row r="66" spans="5:171" ht="104" customHeight="1" x14ac:dyDescent="0.2">
      <c r="E66" s="94" t="s">
        <v>9302</v>
      </c>
      <c r="F66" s="94" t="s">
        <v>9120</v>
      </c>
      <c r="G66" s="198" t="s">
        <v>317</v>
      </c>
      <c r="H66" s="198" t="s">
        <v>397</v>
      </c>
      <c r="I66" s="198"/>
      <c r="J66" s="198" t="s">
        <v>1979</v>
      </c>
      <c r="K66" s="198" t="s">
        <v>1999</v>
      </c>
      <c r="L66" s="578">
        <v>2011</v>
      </c>
      <c r="M66" s="822">
        <v>44562</v>
      </c>
      <c r="N66" s="822">
        <v>44926</v>
      </c>
      <c r="O66" s="198" t="s">
        <v>2000</v>
      </c>
      <c r="P66" s="198" t="s">
        <v>2001</v>
      </c>
      <c r="Q66" s="198" t="s">
        <v>2002</v>
      </c>
      <c r="R66" s="198" t="s">
        <v>470</v>
      </c>
      <c r="S66" s="198"/>
      <c r="T66" s="198" t="s">
        <v>1960</v>
      </c>
      <c r="U66" s="549" t="s">
        <v>1961</v>
      </c>
      <c r="V66" s="198" t="s">
        <v>470</v>
      </c>
      <c r="W66" s="198"/>
      <c r="X66" s="198" t="s">
        <v>470</v>
      </c>
      <c r="Y66" s="198"/>
      <c r="Z66" s="198"/>
      <c r="AA66" s="198"/>
      <c r="AB66" s="198"/>
      <c r="AC66" s="198"/>
      <c r="AD66" s="198"/>
      <c r="AE66" s="198"/>
      <c r="AF66" s="198"/>
      <c r="AG66" s="198"/>
      <c r="AH66" s="198" t="s">
        <v>2003</v>
      </c>
      <c r="AI66" s="198" t="s">
        <v>2003</v>
      </c>
      <c r="AJ66" s="198" t="s">
        <v>2004</v>
      </c>
      <c r="AK66" s="198" t="s">
        <v>2005</v>
      </c>
      <c r="AL66" s="580">
        <f t="shared" si="0"/>
        <v>659.28399999999999</v>
      </c>
      <c r="AM66" s="504">
        <v>659.28399999999999</v>
      </c>
      <c r="AN66" s="516">
        <v>594.39400000000001</v>
      </c>
      <c r="AO66" s="137">
        <v>0.90159999999999996</v>
      </c>
      <c r="AP66" s="137">
        <f>AN66/117498</f>
        <v>5.0587584469522886E-3</v>
      </c>
      <c r="AQ66" s="504">
        <v>64.89</v>
      </c>
      <c r="AR66" s="137">
        <v>9.8400000000000001E-2</v>
      </c>
      <c r="AS66" s="137"/>
      <c r="AT66" s="520">
        <v>0</v>
      </c>
      <c r="AU66" s="137"/>
      <c r="AV66" s="520">
        <v>0</v>
      </c>
      <c r="AW66" s="137"/>
      <c r="AX66" s="520">
        <v>0</v>
      </c>
      <c r="AY66" s="137"/>
      <c r="AZ66" s="520">
        <v>0</v>
      </c>
      <c r="BA66" s="137"/>
      <c r="BB66" s="198"/>
      <c r="BC66" s="198"/>
      <c r="BD66" s="198"/>
      <c r="BE66" s="198" t="s">
        <v>470</v>
      </c>
      <c r="BF66" s="198"/>
      <c r="BG66" s="198"/>
      <c r="BH66" s="198"/>
      <c r="BI66" s="580">
        <v>528.06756719999998</v>
      </c>
      <c r="BJ66" s="137">
        <f>BI66/131339</f>
        <v>4.0206455599631485E-3</v>
      </c>
      <c r="BK66" s="83">
        <v>252</v>
      </c>
      <c r="BL66" s="83">
        <v>252</v>
      </c>
      <c r="BM66" s="578">
        <v>252</v>
      </c>
      <c r="BN66" s="83">
        <v>72</v>
      </c>
      <c r="BO66" s="83">
        <v>41</v>
      </c>
      <c r="BP66" s="83">
        <v>57</v>
      </c>
      <c r="BQ66" s="83">
        <v>8</v>
      </c>
      <c r="BR66" s="83"/>
      <c r="BS66" s="83"/>
      <c r="BT66" s="83"/>
      <c r="BU66" s="83"/>
      <c r="BV66" s="83"/>
      <c r="BW66" s="83"/>
      <c r="BX66" s="83">
        <v>25</v>
      </c>
      <c r="BY66" s="83">
        <v>8</v>
      </c>
      <c r="BZ66" s="83"/>
      <c r="CA66" s="83">
        <v>29</v>
      </c>
      <c r="CB66" s="83"/>
      <c r="CC66" s="83"/>
      <c r="CD66" s="83">
        <v>2</v>
      </c>
      <c r="CE66" s="83"/>
      <c r="CF66" s="83"/>
      <c r="CG66" s="83"/>
      <c r="CH66" s="83"/>
      <c r="CI66" s="83"/>
      <c r="CJ66" s="83"/>
      <c r="CK66" s="83">
        <v>10</v>
      </c>
      <c r="CL66" s="824">
        <f t="shared" si="6"/>
        <v>252</v>
      </c>
      <c r="CM66" s="824">
        <f t="shared" si="1"/>
        <v>0</v>
      </c>
      <c r="CN66" s="580"/>
      <c r="CO66" s="198"/>
      <c r="CP66" s="198"/>
      <c r="CQ66" s="137"/>
      <c r="CR66" s="580">
        <v>1027.6780000000001</v>
      </c>
      <c r="CS66" s="137" t="s">
        <v>1987</v>
      </c>
      <c r="CT66" s="198" t="s">
        <v>470</v>
      </c>
      <c r="CU66" s="198"/>
      <c r="CV66" s="198"/>
      <c r="CW66" s="198"/>
      <c r="CX66" s="83"/>
      <c r="CY66" s="83"/>
      <c r="CZ66" s="83"/>
      <c r="DA66" s="198" t="s">
        <v>479</v>
      </c>
      <c r="DB66" s="198" t="s">
        <v>2006</v>
      </c>
      <c r="DC66" s="83">
        <v>255</v>
      </c>
      <c r="DD66" s="198" t="s">
        <v>479</v>
      </c>
      <c r="DE66" s="198"/>
      <c r="DF66" s="83">
        <v>50</v>
      </c>
      <c r="DG66" s="83" t="s">
        <v>470</v>
      </c>
      <c r="DH66" s="83"/>
      <c r="DI66" s="83"/>
      <c r="DJ66" s="83" t="s">
        <v>470</v>
      </c>
      <c r="DK66" s="83"/>
      <c r="DL66" s="83"/>
      <c r="DM66" s="198" t="s">
        <v>470</v>
      </c>
      <c r="DN66" s="198"/>
      <c r="DO66" s="83"/>
      <c r="DP66" s="198" t="s">
        <v>470</v>
      </c>
      <c r="DQ66" s="198"/>
      <c r="DR66" s="83"/>
      <c r="DS66" s="198" t="s">
        <v>479</v>
      </c>
      <c r="DT66" s="198"/>
      <c r="DU66" s="83">
        <v>63</v>
      </c>
      <c r="DV66" s="198" t="s">
        <v>479</v>
      </c>
      <c r="DW66" s="198" t="s">
        <v>2007</v>
      </c>
      <c r="DX66" s="83">
        <v>370</v>
      </c>
      <c r="DY66" s="198" t="s">
        <v>479</v>
      </c>
      <c r="DZ66" s="198" t="s">
        <v>2008</v>
      </c>
      <c r="EA66" s="83">
        <v>946</v>
      </c>
      <c r="EB66" s="198" t="s">
        <v>479</v>
      </c>
      <c r="EC66" s="198" t="s">
        <v>1992</v>
      </c>
      <c r="ED66" s="83">
        <v>230</v>
      </c>
      <c r="EE66" s="83" t="s">
        <v>470</v>
      </c>
      <c r="EF66" s="83"/>
      <c r="EG66" s="83"/>
      <c r="EH66" s="198" t="s">
        <v>470</v>
      </c>
      <c r="EI66" s="198"/>
      <c r="EJ66" s="83"/>
      <c r="EK66" s="198" t="s">
        <v>470</v>
      </c>
      <c r="EL66" s="198"/>
      <c r="EM66" s="83"/>
      <c r="EN66" s="198" t="s">
        <v>470</v>
      </c>
      <c r="EO66" s="198"/>
      <c r="EP66" s="83"/>
      <c r="EQ66" s="83" t="s">
        <v>470</v>
      </c>
      <c r="ER66" s="83"/>
      <c r="ES66" s="83"/>
      <c r="ET66" s="198" t="s">
        <v>479</v>
      </c>
      <c r="EU66" s="198" t="s">
        <v>2009</v>
      </c>
      <c r="EV66" s="83">
        <v>30</v>
      </c>
      <c r="EW66" s="83" t="s">
        <v>2005</v>
      </c>
      <c r="EX66" s="198" t="s">
        <v>2010</v>
      </c>
      <c r="EY66" s="505">
        <v>21</v>
      </c>
      <c r="EZ66" s="198" t="s">
        <v>470</v>
      </c>
      <c r="FA66" s="198"/>
      <c r="FB66" s="198" t="s">
        <v>470</v>
      </c>
      <c r="FC66" s="198"/>
      <c r="FD66" s="198"/>
      <c r="FE66" s="198"/>
      <c r="FF66" s="198"/>
      <c r="FG66" s="198" t="s">
        <v>1750</v>
      </c>
      <c r="FH66" s="198"/>
      <c r="FI66" s="198"/>
      <c r="FJ66" s="198" t="s">
        <v>2011</v>
      </c>
      <c r="FK66" s="198">
        <v>599408</v>
      </c>
      <c r="FL66" s="549" t="s">
        <v>2012</v>
      </c>
      <c r="FM66" s="198" t="s">
        <v>1976</v>
      </c>
      <c r="FN66" s="198" t="s">
        <v>1977</v>
      </c>
      <c r="FO66" s="549" t="s">
        <v>1978</v>
      </c>
    </row>
    <row r="67" spans="5:171" ht="104" customHeight="1" x14ac:dyDescent="0.2">
      <c r="E67" s="94" t="s">
        <v>9302</v>
      </c>
      <c r="F67" s="94" t="s">
        <v>9121</v>
      </c>
      <c r="G67" s="97" t="s">
        <v>317</v>
      </c>
      <c r="H67" s="97" t="s">
        <v>397</v>
      </c>
      <c r="I67" s="97" t="s">
        <v>8859</v>
      </c>
      <c r="J67" s="97" t="s">
        <v>8600</v>
      </c>
      <c r="K67" s="97" t="s">
        <v>8436</v>
      </c>
      <c r="L67" s="502">
        <v>2018</v>
      </c>
      <c r="M67" s="841">
        <v>44562</v>
      </c>
      <c r="N67" s="841">
        <v>44926</v>
      </c>
      <c r="O67" s="841"/>
      <c r="P67" s="841"/>
      <c r="Q67" s="841"/>
      <c r="R67" s="841"/>
      <c r="S67" s="841"/>
      <c r="T67" s="841"/>
      <c r="U67" s="841"/>
      <c r="V67" s="841"/>
      <c r="W67" s="841"/>
      <c r="X67" s="841"/>
      <c r="Y67" s="841"/>
      <c r="Z67" s="97" t="s">
        <v>8178</v>
      </c>
      <c r="AA67" s="97" t="s">
        <v>8001</v>
      </c>
      <c r="AB67" s="97" t="s">
        <v>7886</v>
      </c>
      <c r="AC67" s="97" t="s">
        <v>7691</v>
      </c>
      <c r="AD67" s="97" t="s">
        <v>7564</v>
      </c>
      <c r="AE67" s="842" t="s">
        <v>7349</v>
      </c>
      <c r="AF67" s="97" t="s">
        <v>1447</v>
      </c>
      <c r="AG67" s="97" t="s">
        <v>1447</v>
      </c>
      <c r="AH67" s="97" t="s">
        <v>6897</v>
      </c>
      <c r="AI67" s="97" t="s">
        <v>6897</v>
      </c>
      <c r="AJ67" s="97" t="s">
        <v>504</v>
      </c>
      <c r="AK67" s="97" t="s">
        <v>6601</v>
      </c>
      <c r="AL67" s="580">
        <f t="shared" si="0"/>
        <v>8.5874699999999997</v>
      </c>
      <c r="AM67" s="504">
        <v>8.5874699999999997</v>
      </c>
      <c r="AN67" s="516"/>
      <c r="AO67" s="97"/>
      <c r="AP67" s="97"/>
      <c r="AQ67" s="504">
        <v>8.1580999999999992</v>
      </c>
      <c r="AR67" s="507">
        <f>AQ67/AL67</f>
        <v>0.95000040757056492</v>
      </c>
      <c r="AS67" s="507">
        <v>7.7000000000000002E-3</v>
      </c>
      <c r="AT67" s="516">
        <v>0.42936999999999997</v>
      </c>
      <c r="AU67" s="507">
        <f>AT67/AL67</f>
        <v>4.9999592429434976E-2</v>
      </c>
      <c r="AV67" s="516">
        <v>0</v>
      </c>
      <c r="AW67" s="507">
        <v>0</v>
      </c>
      <c r="AX67" s="516"/>
      <c r="AY67" s="507">
        <v>0</v>
      </c>
      <c r="AZ67" s="516"/>
      <c r="BA67" s="507"/>
      <c r="BB67" s="507"/>
      <c r="BC67" s="507"/>
      <c r="BD67" s="507"/>
      <c r="BE67" s="507" t="s">
        <v>470</v>
      </c>
      <c r="BF67" s="507" t="s">
        <v>470</v>
      </c>
      <c r="BG67" s="507" t="s">
        <v>470</v>
      </c>
      <c r="BH67" s="852" t="s">
        <v>470</v>
      </c>
      <c r="BI67" s="504">
        <v>0</v>
      </c>
      <c r="BJ67" s="507">
        <v>0</v>
      </c>
      <c r="BK67" s="96">
        <v>27</v>
      </c>
      <c r="BL67" s="96">
        <v>15</v>
      </c>
      <c r="BM67" s="96">
        <v>3</v>
      </c>
      <c r="BN67" s="96">
        <v>0</v>
      </c>
      <c r="BO67" s="96">
        <v>0</v>
      </c>
      <c r="BP67" s="96">
        <v>0</v>
      </c>
      <c r="BQ67" s="96">
        <v>0</v>
      </c>
      <c r="BR67" s="96">
        <v>0</v>
      </c>
      <c r="BS67" s="96">
        <v>0</v>
      </c>
      <c r="BT67" s="96">
        <v>0</v>
      </c>
      <c r="BU67" s="96">
        <v>0</v>
      </c>
      <c r="BV67" s="96">
        <v>0</v>
      </c>
      <c r="BW67" s="96">
        <v>3</v>
      </c>
      <c r="BX67" s="96">
        <v>0</v>
      </c>
      <c r="BY67" s="96">
        <v>0</v>
      </c>
      <c r="BZ67" s="96">
        <v>0</v>
      </c>
      <c r="CA67" s="96">
        <v>0</v>
      </c>
      <c r="CB67" s="96">
        <v>0</v>
      </c>
      <c r="CC67" s="96">
        <v>0</v>
      </c>
      <c r="CD67" s="96">
        <v>0</v>
      </c>
      <c r="CE67" s="96">
        <v>0</v>
      </c>
      <c r="CF67" s="96">
        <v>0</v>
      </c>
      <c r="CG67" s="96">
        <v>0</v>
      </c>
      <c r="CH67" s="96">
        <v>0</v>
      </c>
      <c r="CI67" s="96">
        <v>0</v>
      </c>
      <c r="CJ67" s="96">
        <v>0</v>
      </c>
      <c r="CK67" s="96">
        <v>0</v>
      </c>
      <c r="CL67" s="815">
        <f t="shared" si="6"/>
        <v>3</v>
      </c>
      <c r="CM67" s="824">
        <f t="shared" si="1"/>
        <v>0</v>
      </c>
      <c r="CN67" s="504">
        <v>1.2</v>
      </c>
      <c r="CO67" s="97" t="s">
        <v>6168</v>
      </c>
      <c r="CP67" s="97" t="s">
        <v>470</v>
      </c>
      <c r="CQ67" s="886">
        <f>CN67/CR67</f>
        <v>4.1958041958041953E-2</v>
      </c>
      <c r="CR67" s="504">
        <v>28.6</v>
      </c>
      <c r="CS67" s="507" t="s">
        <v>5931</v>
      </c>
      <c r="CT67" s="97" t="s">
        <v>470</v>
      </c>
      <c r="CU67" s="97" t="s">
        <v>470</v>
      </c>
      <c r="CV67" s="97" t="s">
        <v>470</v>
      </c>
      <c r="CW67" s="97" t="s">
        <v>470</v>
      </c>
      <c r="CX67" s="96" t="s">
        <v>470</v>
      </c>
      <c r="CY67" s="96" t="s">
        <v>470</v>
      </c>
      <c r="CZ67" s="96" t="s">
        <v>470</v>
      </c>
      <c r="DA67" s="97" t="s">
        <v>479</v>
      </c>
      <c r="DB67" s="97" t="s">
        <v>5362</v>
      </c>
      <c r="DC67" s="96">
        <v>292</v>
      </c>
      <c r="DD67" s="97" t="s">
        <v>479</v>
      </c>
      <c r="DE67" s="97" t="s">
        <v>5654</v>
      </c>
      <c r="DF67" s="96" t="s">
        <v>1447</v>
      </c>
      <c r="DG67" s="96" t="s">
        <v>470</v>
      </c>
      <c r="DH67" s="96" t="s">
        <v>1447</v>
      </c>
      <c r="DI67" s="96" t="s">
        <v>1447</v>
      </c>
      <c r="DJ67" s="96" t="s">
        <v>470</v>
      </c>
      <c r="DK67" s="96" t="s">
        <v>1447</v>
      </c>
      <c r="DL67" s="96" t="s">
        <v>1447</v>
      </c>
      <c r="DM67" s="97" t="s">
        <v>470</v>
      </c>
      <c r="DN67" s="97" t="s">
        <v>1447</v>
      </c>
      <c r="DO67" s="96" t="s">
        <v>1447</v>
      </c>
      <c r="DP67" s="97" t="s">
        <v>470</v>
      </c>
      <c r="DQ67" s="97" t="s">
        <v>1447</v>
      </c>
      <c r="DR67" s="96" t="s">
        <v>1447</v>
      </c>
      <c r="DS67" s="97" t="s">
        <v>470</v>
      </c>
      <c r="DT67" s="97" t="s">
        <v>1447</v>
      </c>
      <c r="DU67" s="96" t="s">
        <v>1447</v>
      </c>
      <c r="DV67" s="97" t="s">
        <v>479</v>
      </c>
      <c r="DW67" s="97" t="s">
        <v>5487</v>
      </c>
      <c r="DX67" s="96">
        <v>292</v>
      </c>
      <c r="DY67" s="97" t="s">
        <v>470</v>
      </c>
      <c r="DZ67" s="97" t="s">
        <v>1447</v>
      </c>
      <c r="EA67" s="96" t="s">
        <v>1447</v>
      </c>
      <c r="EB67" s="97" t="s">
        <v>470</v>
      </c>
      <c r="EC67" s="97" t="s">
        <v>1447</v>
      </c>
      <c r="ED67" s="96" t="s">
        <v>1447</v>
      </c>
      <c r="EE67" s="96" t="s">
        <v>470</v>
      </c>
      <c r="EF67" s="96" t="s">
        <v>1447</v>
      </c>
      <c r="EG67" s="96" t="s">
        <v>1447</v>
      </c>
      <c r="EH67" s="97" t="s">
        <v>470</v>
      </c>
      <c r="EI67" s="97" t="s">
        <v>1447</v>
      </c>
      <c r="EJ67" s="96" t="s">
        <v>1447</v>
      </c>
      <c r="EK67" s="97" t="s">
        <v>470</v>
      </c>
      <c r="EL67" s="97" t="s">
        <v>1447</v>
      </c>
      <c r="EM67" s="96" t="s">
        <v>1447</v>
      </c>
      <c r="EN67" s="97" t="s">
        <v>479</v>
      </c>
      <c r="EO67" s="97" t="s">
        <v>5362</v>
      </c>
      <c r="EP67" s="96">
        <v>6</v>
      </c>
      <c r="EQ67" s="96" t="s">
        <v>470</v>
      </c>
      <c r="ER67" s="96" t="s">
        <v>1447</v>
      </c>
      <c r="ES67" s="96" t="s">
        <v>1447</v>
      </c>
      <c r="ET67" s="97" t="s">
        <v>470</v>
      </c>
      <c r="EU67" s="97" t="s">
        <v>1447</v>
      </c>
      <c r="EV67" s="96" t="s">
        <v>1447</v>
      </c>
      <c r="EW67" s="96"/>
      <c r="EX67" s="96"/>
      <c r="EY67" s="96"/>
      <c r="EZ67" s="97" t="s">
        <v>470</v>
      </c>
      <c r="FA67" s="97" t="s">
        <v>470</v>
      </c>
      <c r="FB67" s="97" t="s">
        <v>5182</v>
      </c>
      <c r="FC67" s="97" t="s">
        <v>470</v>
      </c>
      <c r="FD67" s="97" t="s">
        <v>470</v>
      </c>
      <c r="FE67" s="97" t="s">
        <v>4861</v>
      </c>
      <c r="FF67" s="97" t="s">
        <v>568</v>
      </c>
      <c r="FG67" s="97" t="s">
        <v>1447</v>
      </c>
      <c r="FH67" s="97">
        <v>1</v>
      </c>
      <c r="FI67" s="97">
        <v>42</v>
      </c>
      <c r="FJ67" s="97" t="s">
        <v>4552</v>
      </c>
      <c r="FK67" s="97" t="s">
        <v>4314</v>
      </c>
      <c r="FL67" s="97" t="s">
        <v>4134</v>
      </c>
      <c r="FM67" s="97" t="s">
        <v>1976</v>
      </c>
      <c r="FN67" s="97" t="s">
        <v>3842</v>
      </c>
      <c r="FO67" s="842" t="s">
        <v>1978</v>
      </c>
    </row>
    <row r="68" spans="5:171" ht="104" customHeight="1" x14ac:dyDescent="0.2">
      <c r="E68" s="94" t="s">
        <v>9305</v>
      </c>
      <c r="F68" s="94" t="s">
        <v>9121</v>
      </c>
      <c r="G68" s="97" t="s">
        <v>317</v>
      </c>
      <c r="H68" s="97" t="s">
        <v>397</v>
      </c>
      <c r="I68" s="97" t="s">
        <v>8858</v>
      </c>
      <c r="J68" s="97" t="s">
        <v>8599</v>
      </c>
      <c r="K68" s="97" t="s">
        <v>5242</v>
      </c>
      <c r="L68" s="97">
        <v>2018</v>
      </c>
      <c r="M68" s="98">
        <v>44501</v>
      </c>
      <c r="N68" s="98">
        <v>44926</v>
      </c>
      <c r="O68" s="98"/>
      <c r="P68" s="98"/>
      <c r="Q68" s="98"/>
      <c r="R68" s="98"/>
      <c r="S68" s="98"/>
      <c r="T68" s="98"/>
      <c r="U68" s="98"/>
      <c r="V68" s="98"/>
      <c r="W68" s="98"/>
      <c r="X68" s="98"/>
      <c r="Y68" s="98"/>
      <c r="Z68" s="97" t="s">
        <v>8177</v>
      </c>
      <c r="AA68" s="97" t="s">
        <v>7348</v>
      </c>
      <c r="AB68" s="97" t="s">
        <v>7563</v>
      </c>
      <c r="AC68" s="97" t="s">
        <v>7348</v>
      </c>
      <c r="AD68" s="97" t="s">
        <v>7563</v>
      </c>
      <c r="AE68" s="97" t="s">
        <v>7348</v>
      </c>
      <c r="AF68" s="97"/>
      <c r="AG68" s="97"/>
      <c r="AH68" s="97" t="s">
        <v>6600</v>
      </c>
      <c r="AI68" s="97" t="s">
        <v>6896</v>
      </c>
      <c r="AJ68" s="97" t="s">
        <v>6748</v>
      </c>
      <c r="AK68" s="97" t="s">
        <v>6600</v>
      </c>
      <c r="AL68" s="580">
        <f t="shared" si="0"/>
        <v>1.02</v>
      </c>
      <c r="AM68" s="504">
        <v>1.02</v>
      </c>
      <c r="AN68" s="516"/>
      <c r="AO68" s="97"/>
      <c r="AP68" s="97"/>
      <c r="AQ68" s="97">
        <v>1</v>
      </c>
      <c r="AR68" s="507">
        <f>AQ68/AL68</f>
        <v>0.98039215686274506</v>
      </c>
      <c r="AS68" s="507">
        <f>AL68/1382</f>
        <v>7.3806078147612157E-4</v>
      </c>
      <c r="AT68" s="516"/>
      <c r="AU68" s="97"/>
      <c r="AV68" s="516"/>
      <c r="AW68" s="97"/>
      <c r="AX68" s="516">
        <v>0.02</v>
      </c>
      <c r="AY68" s="507">
        <f>AX68/AL68</f>
        <v>1.9607843137254902E-2</v>
      </c>
      <c r="AZ68" s="516"/>
      <c r="BA68" s="507"/>
      <c r="BB68" s="507"/>
      <c r="BC68" s="507"/>
      <c r="BD68" s="507"/>
      <c r="BE68" s="97" t="s">
        <v>479</v>
      </c>
      <c r="BF68" s="97" t="s">
        <v>6333</v>
      </c>
      <c r="BG68" s="842" t="s">
        <v>6242</v>
      </c>
      <c r="BH68" s="97">
        <v>5.5E-2</v>
      </c>
      <c r="BI68" s="97">
        <v>1</v>
      </c>
      <c r="BJ68" s="507">
        <f>BI68/1310</f>
        <v>7.6335877862595419E-4</v>
      </c>
      <c r="BK68" s="97">
        <v>4</v>
      </c>
      <c r="BL68" s="97">
        <v>4</v>
      </c>
      <c r="BM68" s="97">
        <v>4</v>
      </c>
      <c r="BN68" s="97"/>
      <c r="BO68" s="97"/>
      <c r="BP68" s="97"/>
      <c r="BQ68" s="97"/>
      <c r="BR68" s="97"/>
      <c r="BS68" s="97"/>
      <c r="BT68" s="97"/>
      <c r="BU68" s="97"/>
      <c r="BV68" s="97"/>
      <c r="BW68" s="97"/>
      <c r="BX68" s="97"/>
      <c r="BY68" s="97">
        <v>3</v>
      </c>
      <c r="BZ68" s="97"/>
      <c r="CA68" s="97"/>
      <c r="CB68" s="97">
        <v>1</v>
      </c>
      <c r="CC68" s="97"/>
      <c r="CD68" s="97"/>
      <c r="CE68" s="97"/>
      <c r="CF68" s="97"/>
      <c r="CG68" s="97"/>
      <c r="CH68" s="97"/>
      <c r="CI68" s="97"/>
      <c r="CJ68" s="97"/>
      <c r="CK68" s="97"/>
      <c r="CL68" s="502">
        <f t="shared" si="6"/>
        <v>4</v>
      </c>
      <c r="CM68" s="824">
        <f t="shared" si="1"/>
        <v>0</v>
      </c>
      <c r="CN68" s="97">
        <v>0.78200000000000003</v>
      </c>
      <c r="CO68" s="97" t="s">
        <v>6167</v>
      </c>
      <c r="CP68" s="97"/>
      <c r="CQ68" s="97">
        <v>3.5000000000000003E-2</v>
      </c>
      <c r="CR68" s="97">
        <v>22.265000000000001</v>
      </c>
      <c r="CS68" s="97" t="s">
        <v>5930</v>
      </c>
      <c r="CT68" s="97" t="s">
        <v>479</v>
      </c>
      <c r="CU68" s="97" t="s">
        <v>5799</v>
      </c>
      <c r="CV68" s="97" t="s">
        <v>5785</v>
      </c>
      <c r="CW68" s="97" t="s">
        <v>5764</v>
      </c>
      <c r="CX68" s="97">
        <v>2</v>
      </c>
      <c r="CY68" s="97" t="s">
        <v>470</v>
      </c>
      <c r="CZ68" s="97">
        <v>5</v>
      </c>
      <c r="DA68" s="97" t="s">
        <v>470</v>
      </c>
      <c r="DB68" s="97"/>
      <c r="DC68" s="97"/>
      <c r="DD68" s="97" t="s">
        <v>470</v>
      </c>
      <c r="DE68" s="97"/>
      <c r="DF68" s="97"/>
      <c r="DG68" s="97" t="s">
        <v>470</v>
      </c>
      <c r="DH68" s="97"/>
      <c r="DI68" s="97"/>
      <c r="DJ68" s="97" t="s">
        <v>470</v>
      </c>
      <c r="DK68" s="97"/>
      <c r="DL68" s="97"/>
      <c r="DM68" s="97" t="s">
        <v>470</v>
      </c>
      <c r="DN68" s="97"/>
      <c r="DO68" s="97"/>
      <c r="DP68" s="97" t="s">
        <v>470</v>
      </c>
      <c r="DQ68" s="97"/>
      <c r="DR68" s="97"/>
      <c r="DS68" s="97" t="s">
        <v>470</v>
      </c>
      <c r="DT68" s="97"/>
      <c r="DU68" s="97"/>
      <c r="DV68" s="97" t="s">
        <v>5517</v>
      </c>
      <c r="DW68" s="97" t="s">
        <v>5486</v>
      </c>
      <c r="DX68" s="97">
        <v>4</v>
      </c>
      <c r="DY68" s="97" t="s">
        <v>470</v>
      </c>
      <c r="DZ68" s="97"/>
      <c r="EA68" s="97"/>
      <c r="EB68" s="97" t="s">
        <v>470</v>
      </c>
      <c r="EC68" s="97"/>
      <c r="ED68" s="97"/>
      <c r="EE68" s="97" t="s">
        <v>470</v>
      </c>
      <c r="EF68" s="97"/>
      <c r="EG68" s="97"/>
      <c r="EH68" s="97" t="s">
        <v>470</v>
      </c>
      <c r="EI68" s="97"/>
      <c r="EJ68" s="97"/>
      <c r="EK68" s="97" t="s">
        <v>470</v>
      </c>
      <c r="EL68" s="97"/>
      <c r="EM68" s="97"/>
      <c r="EN68" s="97"/>
      <c r="EO68" s="97"/>
      <c r="EP68" s="97"/>
      <c r="EQ68" s="97" t="s">
        <v>479</v>
      </c>
      <c r="ER68" s="97" t="s">
        <v>5320</v>
      </c>
      <c r="ES68" s="97">
        <v>6</v>
      </c>
      <c r="ET68" s="97"/>
      <c r="EU68" s="97"/>
      <c r="EV68" s="97"/>
      <c r="EW68" s="97"/>
      <c r="EX68" s="97"/>
      <c r="EY68" s="97"/>
      <c r="EZ68" s="97"/>
      <c r="FA68" s="97"/>
      <c r="FB68" s="97"/>
      <c r="FC68" s="97"/>
      <c r="FD68" s="97"/>
      <c r="FE68" s="97"/>
      <c r="FF68" s="97"/>
      <c r="FG68" s="97"/>
      <c r="FH68" s="97"/>
      <c r="FI68" s="97"/>
      <c r="FJ68" s="97" t="s">
        <v>4551</v>
      </c>
      <c r="FK68" s="97">
        <v>89520542355</v>
      </c>
      <c r="FL68" s="97" t="s">
        <v>4133</v>
      </c>
      <c r="FM68" s="97" t="s">
        <v>1976</v>
      </c>
      <c r="FN68" s="97" t="s">
        <v>3842</v>
      </c>
      <c r="FO68" s="842" t="s">
        <v>1978</v>
      </c>
    </row>
    <row r="69" spans="5:171" ht="104" customHeight="1" x14ac:dyDescent="0.2">
      <c r="E69" s="94" t="s">
        <v>9302</v>
      </c>
      <c r="F69" s="94" t="s">
        <v>9120</v>
      </c>
      <c r="G69" s="198" t="s">
        <v>318</v>
      </c>
      <c r="H69" s="198" t="s">
        <v>398</v>
      </c>
      <c r="I69" s="198"/>
      <c r="J69" s="198" t="s">
        <v>715</v>
      </c>
      <c r="K69" s="198" t="s">
        <v>716</v>
      </c>
      <c r="L69" s="502">
        <v>2019</v>
      </c>
      <c r="M69" s="822">
        <v>44361</v>
      </c>
      <c r="N69" s="822">
        <v>44926</v>
      </c>
      <c r="O69" s="198" t="s">
        <v>717</v>
      </c>
      <c r="P69" s="198" t="s">
        <v>718</v>
      </c>
      <c r="Q69" s="549" t="s">
        <v>719</v>
      </c>
      <c r="R69" s="198"/>
      <c r="S69" s="198"/>
      <c r="T69" s="198"/>
      <c r="U69" s="198"/>
      <c r="V69" s="198"/>
      <c r="W69" s="198"/>
      <c r="X69" s="198" t="s">
        <v>720</v>
      </c>
      <c r="Y69" s="549" t="s">
        <v>719</v>
      </c>
      <c r="Z69" s="549"/>
      <c r="AA69" s="549"/>
      <c r="AB69" s="549"/>
      <c r="AC69" s="549"/>
      <c r="AD69" s="549"/>
      <c r="AE69" s="549"/>
      <c r="AF69" s="549"/>
      <c r="AG69" s="549"/>
      <c r="AH69" s="198" t="s">
        <v>721</v>
      </c>
      <c r="AI69" s="198" t="s">
        <v>721</v>
      </c>
      <c r="AJ69" s="198" t="s">
        <v>504</v>
      </c>
      <c r="AK69" s="198" t="s">
        <v>722</v>
      </c>
      <c r="AL69" s="580">
        <f t="shared" si="0"/>
        <v>18.273</v>
      </c>
      <c r="AM69" s="504">
        <v>18.273</v>
      </c>
      <c r="AN69" s="516">
        <v>13.734999999999999</v>
      </c>
      <c r="AO69" s="507">
        <f>AN69/AL69</f>
        <v>0.75165544792863781</v>
      </c>
      <c r="AP69" s="507">
        <f>AN69/24941.7</f>
        <v>5.5068419554400857E-4</v>
      </c>
      <c r="AQ69" s="504">
        <v>2.4020000000000001</v>
      </c>
      <c r="AR69" s="507">
        <f>AQ69/AL69</f>
        <v>0.13145077436655175</v>
      </c>
      <c r="AS69" s="507"/>
      <c r="AT69" s="516">
        <v>0</v>
      </c>
      <c r="AU69" s="507">
        <f>AT69/AL69</f>
        <v>0</v>
      </c>
      <c r="AV69" s="516">
        <v>0</v>
      </c>
      <c r="AW69" s="507">
        <f>AV69/AL69</f>
        <v>0</v>
      </c>
      <c r="AX69" s="516">
        <v>2.1360000000000001</v>
      </c>
      <c r="AY69" s="507">
        <f>AX69/AL69</f>
        <v>0.11689377770481038</v>
      </c>
      <c r="AZ69" s="520"/>
      <c r="BA69" s="137"/>
      <c r="BB69" s="198"/>
      <c r="BC69" s="198"/>
      <c r="BD69" s="198"/>
      <c r="BE69" s="97" t="s">
        <v>479</v>
      </c>
      <c r="BF69" s="198" t="s">
        <v>723</v>
      </c>
      <c r="BG69" s="198"/>
      <c r="BH69" s="97">
        <v>0.77900000000000003</v>
      </c>
      <c r="BI69" s="504">
        <v>55.277999999999999</v>
      </c>
      <c r="BJ69" s="507">
        <f>BI69/24548.2</f>
        <v>2.2518147970115934E-3</v>
      </c>
      <c r="BK69" s="96">
        <v>119</v>
      </c>
      <c r="BL69" s="96">
        <v>58</v>
      </c>
      <c r="BM69" s="96">
        <v>55</v>
      </c>
      <c r="BN69" s="96">
        <v>1</v>
      </c>
      <c r="BO69" s="96">
        <v>5</v>
      </c>
      <c r="BP69" s="83"/>
      <c r="BQ69" s="83"/>
      <c r="BR69" s="83"/>
      <c r="BS69" s="83"/>
      <c r="BT69" s="83"/>
      <c r="BU69" s="83"/>
      <c r="BV69" s="96">
        <v>3</v>
      </c>
      <c r="BW69" s="83"/>
      <c r="BX69" s="96">
        <v>6</v>
      </c>
      <c r="BY69" s="96">
        <v>3</v>
      </c>
      <c r="BZ69" s="96">
        <v>2</v>
      </c>
      <c r="CA69" s="83"/>
      <c r="CB69" s="83"/>
      <c r="CC69" s="83"/>
      <c r="CD69" s="83"/>
      <c r="CE69" s="83"/>
      <c r="CF69" s="83"/>
      <c r="CG69" s="83"/>
      <c r="CH69" s="83"/>
      <c r="CI69" s="83"/>
      <c r="CJ69" s="83"/>
      <c r="CK69" s="83"/>
      <c r="CL69" s="815">
        <f t="shared" si="6"/>
        <v>20</v>
      </c>
      <c r="CM69" s="824">
        <f t="shared" si="1"/>
        <v>0</v>
      </c>
      <c r="CN69" s="611">
        <v>51.2</v>
      </c>
      <c r="CO69" s="198" t="s">
        <v>724</v>
      </c>
      <c r="CP69" s="549" t="s">
        <v>719</v>
      </c>
      <c r="CQ69" s="507">
        <f>CN69/CR69</f>
        <v>0.1912188709123232</v>
      </c>
      <c r="CR69" s="504">
        <v>267.75599999999997</v>
      </c>
      <c r="CS69" s="834" t="s">
        <v>725</v>
      </c>
      <c r="CT69" s="97" t="s">
        <v>470</v>
      </c>
      <c r="CU69" s="97"/>
      <c r="CV69" s="97"/>
      <c r="CW69" s="97"/>
      <c r="CX69" s="96"/>
      <c r="CY69" s="96"/>
      <c r="CZ69" s="96">
        <v>3</v>
      </c>
      <c r="DA69" s="97" t="s">
        <v>470</v>
      </c>
      <c r="DB69" s="97"/>
      <c r="DC69" s="96"/>
      <c r="DD69" s="97" t="s">
        <v>479</v>
      </c>
      <c r="DE69" s="97" t="s">
        <v>726</v>
      </c>
      <c r="DF69" s="96">
        <v>5610</v>
      </c>
      <c r="DG69" s="96" t="s">
        <v>470</v>
      </c>
      <c r="DH69" s="96"/>
      <c r="DI69" s="96"/>
      <c r="DJ69" s="96" t="s">
        <v>470</v>
      </c>
      <c r="DK69" s="96"/>
      <c r="DL69" s="96"/>
      <c r="DM69" s="97" t="s">
        <v>470</v>
      </c>
      <c r="DN69" s="97"/>
      <c r="DO69" s="96"/>
      <c r="DP69" s="97" t="s">
        <v>470</v>
      </c>
      <c r="DQ69" s="97"/>
      <c r="DR69" s="96"/>
      <c r="DS69" s="97" t="s">
        <v>470</v>
      </c>
      <c r="DT69" s="97"/>
      <c r="DU69" s="83"/>
      <c r="DV69" s="198"/>
      <c r="DW69" s="198"/>
      <c r="DX69" s="83"/>
      <c r="DY69" s="97" t="s">
        <v>470</v>
      </c>
      <c r="DZ69" s="97"/>
      <c r="EA69" s="96"/>
      <c r="EB69" s="97" t="s">
        <v>479</v>
      </c>
      <c r="EC69" s="97" t="s">
        <v>726</v>
      </c>
      <c r="ED69" s="96">
        <v>5610</v>
      </c>
      <c r="EE69" s="96" t="s">
        <v>470</v>
      </c>
      <c r="EF69" s="96"/>
      <c r="EG69" s="96"/>
      <c r="EH69" s="97" t="s">
        <v>470</v>
      </c>
      <c r="EI69" s="97"/>
      <c r="EJ69" s="96"/>
      <c r="EK69" s="97" t="s">
        <v>470</v>
      </c>
      <c r="EL69" s="97"/>
      <c r="EM69" s="96"/>
      <c r="EN69" s="97" t="s">
        <v>470</v>
      </c>
      <c r="EO69" s="97"/>
      <c r="EP69" s="96"/>
      <c r="EQ69" s="96" t="s">
        <v>470</v>
      </c>
      <c r="ER69" s="96"/>
      <c r="ES69" s="96"/>
      <c r="ET69" s="97"/>
      <c r="EU69" s="97"/>
      <c r="EV69" s="96"/>
      <c r="EW69" s="876">
        <v>1</v>
      </c>
      <c r="EX69" s="198"/>
      <c r="EY69" s="96">
        <v>23</v>
      </c>
      <c r="EZ69" s="97" t="s">
        <v>470</v>
      </c>
      <c r="FA69" s="198"/>
      <c r="FB69" s="198" t="s">
        <v>719</v>
      </c>
      <c r="FC69" s="198" t="s">
        <v>727</v>
      </c>
      <c r="FD69" s="198"/>
      <c r="FE69" s="198" t="s">
        <v>728</v>
      </c>
      <c r="FF69" s="198"/>
      <c r="FG69" s="198" t="s">
        <v>729</v>
      </c>
      <c r="FH69" s="198">
        <v>1</v>
      </c>
      <c r="FI69" s="198">
        <v>34</v>
      </c>
      <c r="FJ69" s="198" t="s">
        <v>730</v>
      </c>
      <c r="FK69" s="198" t="s">
        <v>731</v>
      </c>
      <c r="FL69" s="549" t="s">
        <v>732</v>
      </c>
      <c r="FM69" s="198"/>
      <c r="FN69" s="198"/>
      <c r="FO69" s="198"/>
    </row>
    <row r="70" spans="5:171" ht="104" customHeight="1" x14ac:dyDescent="0.2">
      <c r="E70" s="94" t="s">
        <v>9302</v>
      </c>
      <c r="F70" s="94" t="s">
        <v>9120</v>
      </c>
      <c r="G70" s="198" t="s">
        <v>319</v>
      </c>
      <c r="H70" s="198" t="s">
        <v>399</v>
      </c>
      <c r="I70" s="198"/>
      <c r="J70" s="198" t="s">
        <v>1413</v>
      </c>
      <c r="K70" s="198" t="s">
        <v>2049</v>
      </c>
      <c r="L70" s="578">
        <v>2017</v>
      </c>
      <c r="M70" s="822">
        <v>44348</v>
      </c>
      <c r="N70" s="822">
        <v>44923</v>
      </c>
      <c r="O70" s="198" t="s">
        <v>2050</v>
      </c>
      <c r="P70" s="198" t="s">
        <v>2051</v>
      </c>
      <c r="Q70" s="549" t="s">
        <v>2052</v>
      </c>
      <c r="R70" s="198"/>
      <c r="S70" s="549"/>
      <c r="T70" s="198" t="s">
        <v>9600</v>
      </c>
      <c r="U70" s="549" t="s">
        <v>2053</v>
      </c>
      <c r="V70" s="198"/>
      <c r="W70" s="549"/>
      <c r="X70" s="198" t="s">
        <v>2054</v>
      </c>
      <c r="Y70" s="549" t="s">
        <v>2055</v>
      </c>
      <c r="Z70" s="549"/>
      <c r="AA70" s="549"/>
      <c r="AB70" s="549"/>
      <c r="AC70" s="549"/>
      <c r="AD70" s="549"/>
      <c r="AE70" s="549"/>
      <c r="AF70" s="549"/>
      <c r="AG70" s="549"/>
      <c r="AH70" s="198" t="s">
        <v>2056</v>
      </c>
      <c r="AI70" s="198" t="s">
        <v>2056</v>
      </c>
      <c r="AJ70" s="198" t="s">
        <v>477</v>
      </c>
      <c r="AK70" s="198" t="s">
        <v>2057</v>
      </c>
      <c r="AL70" s="580">
        <f t="shared" si="0"/>
        <v>288.017</v>
      </c>
      <c r="AM70" s="504">
        <v>288.017</v>
      </c>
      <c r="AN70" s="516">
        <v>208.37700000000001</v>
      </c>
      <c r="AO70" s="137">
        <v>0.72350000000000003</v>
      </c>
      <c r="AP70" s="137">
        <v>2.2000000000000001E-3</v>
      </c>
      <c r="AQ70" s="504">
        <v>63.497999999999998</v>
      </c>
      <c r="AR70" s="137">
        <v>0.22045999999999999</v>
      </c>
      <c r="AS70" s="137"/>
      <c r="AT70" s="520">
        <v>13.364000000000001</v>
      </c>
      <c r="AU70" s="137">
        <v>4.6399999999999997E-2</v>
      </c>
      <c r="AV70" s="520">
        <v>2.778</v>
      </c>
      <c r="AW70" s="137">
        <v>9.6399999999999993E-3</v>
      </c>
      <c r="AX70" s="520">
        <v>0</v>
      </c>
      <c r="AY70" s="137"/>
      <c r="AZ70" s="520"/>
      <c r="BA70" s="198"/>
      <c r="BB70" s="198"/>
      <c r="BC70" s="198"/>
      <c r="BD70" s="198"/>
      <c r="BE70" s="198" t="s">
        <v>479</v>
      </c>
      <c r="BF70" s="198" t="s">
        <v>2058</v>
      </c>
      <c r="BG70" s="198" t="s">
        <v>470</v>
      </c>
      <c r="BH70" s="520">
        <v>10.130000000000001</v>
      </c>
      <c r="BI70" s="580">
        <v>252.018</v>
      </c>
      <c r="BJ70" s="137">
        <v>3.0999999999999999E-3</v>
      </c>
      <c r="BK70" s="83"/>
      <c r="BL70" s="83">
        <v>331</v>
      </c>
      <c r="BM70" s="83">
        <v>331</v>
      </c>
      <c r="BN70" s="83">
        <v>7</v>
      </c>
      <c r="BO70" s="83">
        <v>28</v>
      </c>
      <c r="BP70" s="83">
        <v>41</v>
      </c>
      <c r="BQ70" s="83"/>
      <c r="BR70" s="83"/>
      <c r="BS70" s="83"/>
      <c r="BT70" s="83"/>
      <c r="BU70" s="83">
        <v>19</v>
      </c>
      <c r="BV70" s="83">
        <v>34</v>
      </c>
      <c r="BW70" s="83"/>
      <c r="BX70" s="83">
        <v>38</v>
      </c>
      <c r="BY70" s="83">
        <v>26</v>
      </c>
      <c r="BZ70" s="83">
        <v>46</v>
      </c>
      <c r="CA70" s="83">
        <v>8</v>
      </c>
      <c r="CB70" s="83"/>
      <c r="CC70" s="83"/>
      <c r="CD70" s="83"/>
      <c r="CE70" s="83"/>
      <c r="CF70" s="83"/>
      <c r="CG70" s="83"/>
      <c r="CH70" s="83"/>
      <c r="CI70" s="83">
        <v>50</v>
      </c>
      <c r="CJ70" s="83"/>
      <c r="CK70" s="83"/>
      <c r="CL70" s="824">
        <f>SUM(BN70:CI70)</f>
        <v>297</v>
      </c>
      <c r="CM70" s="824">
        <f t="shared" si="1"/>
        <v>0</v>
      </c>
      <c r="CN70" s="580">
        <v>448.97500000000002</v>
      </c>
      <c r="CO70" s="198" t="s">
        <v>2059</v>
      </c>
      <c r="CP70" s="198"/>
      <c r="CQ70" s="137">
        <v>0.44330000000000003</v>
      </c>
      <c r="CR70" s="580">
        <v>1012.8440000000001</v>
      </c>
      <c r="CS70" s="549" t="s">
        <v>2060</v>
      </c>
      <c r="CT70" s="198" t="s">
        <v>470</v>
      </c>
      <c r="CU70" s="198" t="s">
        <v>2061</v>
      </c>
      <c r="CV70" s="198"/>
      <c r="CW70" s="83"/>
      <c r="CX70" s="83"/>
      <c r="CY70" s="83"/>
      <c r="CZ70" s="83">
        <v>4</v>
      </c>
      <c r="DA70" s="198" t="s">
        <v>479</v>
      </c>
      <c r="DB70" s="198" t="s">
        <v>2062</v>
      </c>
      <c r="DC70" s="83">
        <v>25589</v>
      </c>
      <c r="DD70" s="198" t="s">
        <v>479</v>
      </c>
      <c r="DE70" s="198" t="s">
        <v>2063</v>
      </c>
      <c r="DF70" s="83" t="s">
        <v>2064</v>
      </c>
      <c r="DG70" s="198" t="s">
        <v>2065</v>
      </c>
      <c r="DH70" s="83"/>
      <c r="DI70" s="83"/>
      <c r="DJ70" s="83" t="s">
        <v>470</v>
      </c>
      <c r="DK70" s="83"/>
      <c r="DL70" s="83"/>
      <c r="DM70" s="198" t="s">
        <v>479</v>
      </c>
      <c r="DN70" s="83" t="s">
        <v>2066</v>
      </c>
      <c r="DO70" s="83"/>
      <c r="DP70" s="198" t="s">
        <v>479</v>
      </c>
      <c r="DQ70" s="83" t="s">
        <v>2066</v>
      </c>
      <c r="DR70" s="83"/>
      <c r="DS70" s="198" t="s">
        <v>479</v>
      </c>
      <c r="DT70" s="83" t="s">
        <v>2066</v>
      </c>
      <c r="DU70" s="83"/>
      <c r="DV70" s="198" t="s">
        <v>470</v>
      </c>
      <c r="DW70" s="198"/>
      <c r="DX70" s="83"/>
      <c r="DY70" s="198" t="s">
        <v>479</v>
      </c>
      <c r="DZ70" s="83" t="s">
        <v>2066</v>
      </c>
      <c r="EA70" s="83"/>
      <c r="EB70" s="198" t="s">
        <v>689</v>
      </c>
      <c r="EC70" s="198" t="s">
        <v>2067</v>
      </c>
      <c r="ED70" s="83">
        <v>12799</v>
      </c>
      <c r="EE70" s="83" t="s">
        <v>470</v>
      </c>
      <c r="EF70" s="83"/>
      <c r="EG70" s="83"/>
      <c r="EH70" s="198" t="s">
        <v>470</v>
      </c>
      <c r="EI70" s="198"/>
      <c r="EJ70" s="83"/>
      <c r="EK70" s="198" t="s">
        <v>470</v>
      </c>
      <c r="EL70" s="198"/>
      <c r="EM70" s="83"/>
      <c r="EN70" s="198" t="s">
        <v>470</v>
      </c>
      <c r="EO70" s="198"/>
      <c r="EP70" s="83"/>
      <c r="EQ70" s="83" t="s">
        <v>470</v>
      </c>
      <c r="ER70" s="83"/>
      <c r="ES70" s="83"/>
      <c r="ET70" s="198" t="s">
        <v>470</v>
      </c>
      <c r="EU70" s="198"/>
      <c r="EV70" s="83"/>
      <c r="EW70" s="198" t="s">
        <v>2068</v>
      </c>
      <c r="EX70" s="198" t="s">
        <v>2069</v>
      </c>
      <c r="EY70" s="505">
        <v>260</v>
      </c>
      <c r="EZ70" s="198" t="s">
        <v>470</v>
      </c>
      <c r="FA70" s="198"/>
      <c r="FB70" s="549" t="s">
        <v>2070</v>
      </c>
      <c r="FC70" s="549"/>
      <c r="FD70" s="549" t="s">
        <v>2070</v>
      </c>
      <c r="FE70" s="198" t="s">
        <v>2071</v>
      </c>
      <c r="FF70" s="198"/>
      <c r="FG70" s="198" t="s">
        <v>9601</v>
      </c>
      <c r="FH70" s="198">
        <v>2</v>
      </c>
      <c r="FI70" s="198">
        <v>376</v>
      </c>
      <c r="FJ70" s="198" t="s">
        <v>2072</v>
      </c>
      <c r="FK70" s="198" t="s">
        <v>2073</v>
      </c>
      <c r="FL70" s="198" t="s">
        <v>2074</v>
      </c>
      <c r="FM70" s="198" t="s">
        <v>2072</v>
      </c>
      <c r="FN70" s="198" t="s">
        <v>2073</v>
      </c>
      <c r="FO70" s="198" t="s">
        <v>2074</v>
      </c>
    </row>
    <row r="71" spans="5:171" ht="104" customHeight="1" x14ac:dyDescent="0.2">
      <c r="E71" s="94" t="s">
        <v>9305</v>
      </c>
      <c r="F71" s="94" t="s">
        <v>9121</v>
      </c>
      <c r="G71" s="97" t="s">
        <v>319</v>
      </c>
      <c r="H71" s="97" t="s">
        <v>399</v>
      </c>
      <c r="I71" s="97" t="s">
        <v>8857</v>
      </c>
      <c r="J71" s="97" t="s">
        <v>1413</v>
      </c>
      <c r="K71" s="97"/>
      <c r="L71" s="502">
        <v>2022</v>
      </c>
      <c r="M71" s="841">
        <v>44725</v>
      </c>
      <c r="N71" s="841">
        <v>44748</v>
      </c>
      <c r="O71" s="841"/>
      <c r="P71" s="841"/>
      <c r="Q71" s="841"/>
      <c r="R71" s="841"/>
      <c r="S71" s="841"/>
      <c r="T71" s="841"/>
      <c r="U71" s="841"/>
      <c r="V71" s="841"/>
      <c r="W71" s="841"/>
      <c r="X71" s="841"/>
      <c r="Y71" s="841"/>
      <c r="Z71" s="97" t="s">
        <v>8176</v>
      </c>
      <c r="AA71" s="842" t="s">
        <v>8000</v>
      </c>
      <c r="AB71" s="97" t="s">
        <v>7885</v>
      </c>
      <c r="AC71" s="842" t="s">
        <v>7690</v>
      </c>
      <c r="AD71" s="97" t="s">
        <v>7562</v>
      </c>
      <c r="AE71" s="842" t="s">
        <v>7347</v>
      </c>
      <c r="AF71" s="97" t="s">
        <v>470</v>
      </c>
      <c r="AG71" s="97" t="s">
        <v>470</v>
      </c>
      <c r="AH71" s="97" t="s">
        <v>6599</v>
      </c>
      <c r="AI71" s="97" t="s">
        <v>6599</v>
      </c>
      <c r="AJ71" s="97" t="s">
        <v>6747</v>
      </c>
      <c r="AK71" s="97" t="s">
        <v>6599</v>
      </c>
      <c r="AL71" s="580">
        <f t="shared" si="0"/>
        <v>0.21000000000000002</v>
      </c>
      <c r="AM71" s="504">
        <v>0.21000000000000002</v>
      </c>
      <c r="AN71" s="516"/>
      <c r="AO71" s="97"/>
      <c r="AP71" s="97"/>
      <c r="AQ71" s="504">
        <v>0.2</v>
      </c>
      <c r="AR71" s="507">
        <v>0.95</v>
      </c>
      <c r="AS71" s="507">
        <v>1E-4</v>
      </c>
      <c r="AT71" s="516"/>
      <c r="AU71" s="507"/>
      <c r="AV71" s="516"/>
      <c r="AW71" s="507"/>
      <c r="AX71" s="516">
        <v>0.01</v>
      </c>
      <c r="AY71" s="507">
        <v>0.05</v>
      </c>
      <c r="AZ71" s="516"/>
      <c r="BA71" s="507"/>
      <c r="BB71" s="507"/>
      <c r="BC71" s="507"/>
      <c r="BD71" s="507"/>
      <c r="BE71" s="507" t="s">
        <v>479</v>
      </c>
      <c r="BF71" s="507" t="s">
        <v>6332</v>
      </c>
      <c r="BG71" s="507" t="s">
        <v>470</v>
      </c>
      <c r="BH71" s="852" t="s">
        <v>470</v>
      </c>
      <c r="BI71" s="504">
        <v>0</v>
      </c>
      <c r="BJ71" s="507">
        <v>0</v>
      </c>
      <c r="BK71" s="96">
        <v>7</v>
      </c>
      <c r="BL71" s="96">
        <v>7</v>
      </c>
      <c r="BM71" s="96">
        <v>1</v>
      </c>
      <c r="BN71" s="96"/>
      <c r="BO71" s="96">
        <v>1</v>
      </c>
      <c r="BP71" s="96"/>
      <c r="BQ71" s="96"/>
      <c r="BR71" s="96"/>
      <c r="BS71" s="96"/>
      <c r="BT71" s="96"/>
      <c r="BU71" s="96"/>
      <c r="BV71" s="96"/>
      <c r="BW71" s="96"/>
      <c r="BX71" s="96"/>
      <c r="BY71" s="96"/>
      <c r="BZ71" s="96"/>
      <c r="CA71" s="96"/>
      <c r="CB71" s="96"/>
      <c r="CC71" s="96"/>
      <c r="CD71" s="96"/>
      <c r="CE71" s="96"/>
      <c r="CF71" s="96"/>
      <c r="CG71" s="96"/>
      <c r="CH71" s="96"/>
      <c r="CI71" s="96"/>
      <c r="CJ71" s="96"/>
      <c r="CK71" s="96"/>
      <c r="CL71" s="815">
        <f>SUM(BN71:CK71)</f>
        <v>1</v>
      </c>
      <c r="CM71" s="824">
        <f t="shared" si="1"/>
        <v>0</v>
      </c>
      <c r="CN71" s="504">
        <v>5.7750000000000004</v>
      </c>
      <c r="CO71" s="97" t="s">
        <v>6166</v>
      </c>
      <c r="CP71" s="97" t="s">
        <v>470</v>
      </c>
      <c r="CQ71" s="97">
        <v>100</v>
      </c>
      <c r="CR71" s="504">
        <v>5.7750000000000004</v>
      </c>
      <c r="CS71" s="887" t="s">
        <v>5929</v>
      </c>
      <c r="CT71" s="97" t="s">
        <v>470</v>
      </c>
      <c r="CU71" s="97"/>
      <c r="CV71" s="97"/>
      <c r="CW71" s="97"/>
      <c r="CX71" s="96"/>
      <c r="CY71" s="96"/>
      <c r="CZ71" s="96">
        <v>2</v>
      </c>
      <c r="DA71" s="97" t="s">
        <v>470</v>
      </c>
      <c r="DB71" s="97"/>
      <c r="DC71" s="96"/>
      <c r="DD71" s="97" t="s">
        <v>479</v>
      </c>
      <c r="DE71" s="97" t="s">
        <v>5653</v>
      </c>
      <c r="DF71" s="96">
        <v>7</v>
      </c>
      <c r="DG71" s="96" t="s">
        <v>470</v>
      </c>
      <c r="DH71" s="96"/>
      <c r="DI71" s="96"/>
      <c r="DJ71" s="96" t="s">
        <v>470</v>
      </c>
      <c r="DK71" s="96"/>
      <c r="DL71" s="96"/>
      <c r="DM71" s="97" t="s">
        <v>470</v>
      </c>
      <c r="DN71" s="97"/>
      <c r="DO71" s="96"/>
      <c r="DP71" s="97" t="s">
        <v>470</v>
      </c>
      <c r="DQ71" s="97"/>
      <c r="DR71" s="96"/>
      <c r="DS71" s="97" t="s">
        <v>470</v>
      </c>
      <c r="DT71" s="97"/>
      <c r="DU71" s="96"/>
      <c r="DV71" s="97" t="s">
        <v>470</v>
      </c>
      <c r="DW71" s="97"/>
      <c r="DX71" s="96"/>
      <c r="DY71" s="97" t="s">
        <v>479</v>
      </c>
      <c r="DZ71" s="842" t="s">
        <v>5464</v>
      </c>
      <c r="EA71" s="96">
        <v>450</v>
      </c>
      <c r="EB71" s="97" t="s">
        <v>479</v>
      </c>
      <c r="EC71" s="97" t="s">
        <v>5433</v>
      </c>
      <c r="ED71" s="96">
        <v>139</v>
      </c>
      <c r="EE71" s="96" t="s">
        <v>470</v>
      </c>
      <c r="EF71" s="96"/>
      <c r="EG71" s="96"/>
      <c r="EH71" s="97" t="s">
        <v>470</v>
      </c>
      <c r="EI71" s="97"/>
      <c r="EJ71" s="96"/>
      <c r="EK71" s="97" t="s">
        <v>470</v>
      </c>
      <c r="EL71" s="97"/>
      <c r="EM71" s="96"/>
      <c r="EN71" s="97" t="s">
        <v>470</v>
      </c>
      <c r="EO71" s="97"/>
      <c r="EP71" s="96"/>
      <c r="EQ71" s="96" t="s">
        <v>470</v>
      </c>
      <c r="ER71" s="96"/>
      <c r="ES71" s="96"/>
      <c r="ET71" s="97" t="s">
        <v>470</v>
      </c>
      <c r="EU71" s="97"/>
      <c r="EV71" s="96"/>
      <c r="EW71" s="96"/>
      <c r="EX71" s="96"/>
      <c r="EY71" s="96"/>
      <c r="EZ71" s="97" t="s">
        <v>470</v>
      </c>
      <c r="FA71" s="97" t="s">
        <v>470</v>
      </c>
      <c r="FB71" s="97"/>
      <c r="FC71" s="97"/>
      <c r="FD71" s="97"/>
      <c r="FE71" s="97"/>
      <c r="FF71" s="97"/>
      <c r="FG71" s="97" t="s">
        <v>961</v>
      </c>
      <c r="FH71" s="97"/>
      <c r="FI71" s="97"/>
      <c r="FJ71" s="97" t="s">
        <v>3924</v>
      </c>
      <c r="FK71" s="97" t="s">
        <v>3841</v>
      </c>
      <c r="FL71" s="842" t="s">
        <v>3773</v>
      </c>
      <c r="FM71" s="97" t="s">
        <v>3924</v>
      </c>
      <c r="FN71" s="97" t="s">
        <v>3841</v>
      </c>
      <c r="FO71" s="842" t="s">
        <v>3773</v>
      </c>
    </row>
    <row r="72" spans="5:171" ht="104" customHeight="1" x14ac:dyDescent="0.2">
      <c r="E72" s="94" t="s">
        <v>9302</v>
      </c>
      <c r="F72" s="94" t="s">
        <v>9121</v>
      </c>
      <c r="G72" s="97" t="s">
        <v>319</v>
      </c>
      <c r="H72" s="97" t="s">
        <v>399</v>
      </c>
      <c r="I72" s="97" t="s">
        <v>8856</v>
      </c>
      <c r="J72" s="97" t="s">
        <v>8539</v>
      </c>
      <c r="K72" s="97"/>
      <c r="L72" s="502">
        <v>2020</v>
      </c>
      <c r="M72" s="841">
        <v>44783</v>
      </c>
      <c r="N72" s="841">
        <v>44842</v>
      </c>
      <c r="O72" s="841"/>
      <c r="P72" s="841"/>
      <c r="Q72" s="841"/>
      <c r="R72" s="841"/>
      <c r="S72" s="841"/>
      <c r="T72" s="841"/>
      <c r="U72" s="841"/>
      <c r="V72" s="841"/>
      <c r="W72" s="841"/>
      <c r="X72" s="841"/>
      <c r="Y72" s="841"/>
      <c r="Z72" s="97" t="s">
        <v>470</v>
      </c>
      <c r="AA72" s="97"/>
      <c r="AB72" s="97" t="s">
        <v>7884</v>
      </c>
      <c r="AC72" s="872" t="s">
        <v>7689</v>
      </c>
      <c r="AD72" s="97" t="s">
        <v>7561</v>
      </c>
      <c r="AE72" s="872"/>
      <c r="AF72" s="97" t="s">
        <v>470</v>
      </c>
      <c r="AG72" s="97"/>
      <c r="AH72" s="97" t="s">
        <v>6598</v>
      </c>
      <c r="AI72" s="97" t="s">
        <v>6598</v>
      </c>
      <c r="AJ72" s="97" t="s">
        <v>504</v>
      </c>
      <c r="AK72" s="97" t="s">
        <v>6598</v>
      </c>
      <c r="AL72" s="580">
        <f t="shared" ref="AL72:AL135" si="7">SUM(AN72,AQ72,AT72,AV72,AX72,AZ72)</f>
        <v>1.0629999999999999</v>
      </c>
      <c r="AM72" s="504">
        <v>1.0629999999999999</v>
      </c>
      <c r="AN72" s="516"/>
      <c r="AO72" s="97"/>
      <c r="AP72" s="97"/>
      <c r="AQ72" s="504">
        <v>0.57899999999999996</v>
      </c>
      <c r="AR72" s="516">
        <v>54.5</v>
      </c>
      <c r="AS72" s="199">
        <v>0.56000000000000005</v>
      </c>
      <c r="AT72" s="516">
        <v>0.48399999999999999</v>
      </c>
      <c r="AU72" s="199">
        <v>45.5</v>
      </c>
      <c r="AV72" s="516" t="s">
        <v>470</v>
      </c>
      <c r="AW72" s="199" t="s">
        <v>470</v>
      </c>
      <c r="AX72" s="516"/>
      <c r="AY72" s="199"/>
      <c r="AZ72" s="516"/>
      <c r="BA72" s="199"/>
      <c r="BB72" s="199"/>
      <c r="BC72" s="199"/>
      <c r="BD72" s="199"/>
      <c r="BE72" s="507" t="s">
        <v>470</v>
      </c>
      <c r="BF72" s="507"/>
      <c r="BG72" s="507"/>
      <c r="BH72" s="852"/>
      <c r="BI72" s="504" t="s">
        <v>470</v>
      </c>
      <c r="BJ72" s="507"/>
      <c r="BK72" s="96">
        <v>1</v>
      </c>
      <c r="BL72" s="96">
        <v>1</v>
      </c>
      <c r="BM72" s="96">
        <v>1</v>
      </c>
      <c r="BN72" s="96"/>
      <c r="BO72" s="96">
        <v>1</v>
      </c>
      <c r="BP72" s="96"/>
      <c r="BQ72" s="96"/>
      <c r="BR72" s="96"/>
      <c r="BS72" s="96"/>
      <c r="BT72" s="96"/>
      <c r="BU72" s="96"/>
      <c r="BV72" s="96"/>
      <c r="BW72" s="96"/>
      <c r="BX72" s="96"/>
      <c r="BY72" s="96"/>
      <c r="BZ72" s="96"/>
      <c r="CA72" s="96"/>
      <c r="CB72" s="96"/>
      <c r="CC72" s="96"/>
      <c r="CD72" s="96"/>
      <c r="CE72" s="96"/>
      <c r="CF72" s="96"/>
      <c r="CG72" s="96"/>
      <c r="CH72" s="96"/>
      <c r="CI72" s="96"/>
      <c r="CJ72" s="96"/>
      <c r="CK72" s="96"/>
      <c r="CL72" s="815">
        <f>SUM(BN72:CK72)</f>
        <v>1</v>
      </c>
      <c r="CM72" s="824">
        <f t="shared" ref="CM72:CM135" si="8">SUM(BN72:CK72)-CL72</f>
        <v>0</v>
      </c>
      <c r="CN72" s="504">
        <v>0.42099999999999999</v>
      </c>
      <c r="CO72" s="97" t="s">
        <v>6165</v>
      </c>
      <c r="CP72" s="97"/>
      <c r="CQ72" s="97">
        <v>4.8</v>
      </c>
      <c r="CR72" s="504">
        <v>8.6920000000000002</v>
      </c>
      <c r="CS72" s="888" t="s">
        <v>5929</v>
      </c>
      <c r="CT72" s="97" t="s">
        <v>470</v>
      </c>
      <c r="CU72" s="97"/>
      <c r="CV72" s="97"/>
      <c r="CW72" s="97"/>
      <c r="CX72" s="96"/>
      <c r="CY72" s="96"/>
      <c r="CZ72" s="96">
        <v>1</v>
      </c>
      <c r="DA72" s="97" t="s">
        <v>470</v>
      </c>
      <c r="DB72" s="97"/>
      <c r="DC72" s="96"/>
      <c r="DD72" s="97" t="s">
        <v>479</v>
      </c>
      <c r="DE72" s="97" t="s">
        <v>5432</v>
      </c>
      <c r="DF72" s="96">
        <v>160</v>
      </c>
      <c r="DG72" s="96" t="s">
        <v>470</v>
      </c>
      <c r="DH72" s="96"/>
      <c r="DI72" s="96"/>
      <c r="DJ72" s="96" t="s">
        <v>470</v>
      </c>
      <c r="DK72" s="96"/>
      <c r="DL72" s="96"/>
      <c r="DM72" s="97" t="s">
        <v>470</v>
      </c>
      <c r="DN72" s="97"/>
      <c r="DO72" s="96"/>
      <c r="DP72" s="97" t="s">
        <v>470</v>
      </c>
      <c r="DQ72" s="97"/>
      <c r="DR72" s="96"/>
      <c r="DS72" s="97" t="s">
        <v>470</v>
      </c>
      <c r="DT72" s="97"/>
      <c r="DU72" s="96"/>
      <c r="DV72" s="97"/>
      <c r="DW72" s="97"/>
      <c r="DX72" s="96"/>
      <c r="DY72" s="97" t="s">
        <v>470</v>
      </c>
      <c r="DZ72" s="97"/>
      <c r="EA72" s="96"/>
      <c r="EB72" s="97" t="s">
        <v>479</v>
      </c>
      <c r="EC72" s="97" t="s">
        <v>5432</v>
      </c>
      <c r="ED72" s="96">
        <v>160</v>
      </c>
      <c r="EE72" s="96" t="s">
        <v>470</v>
      </c>
      <c r="EF72" s="96"/>
      <c r="EG72" s="96"/>
      <c r="EH72" s="97" t="s">
        <v>470</v>
      </c>
      <c r="EI72" s="97"/>
      <c r="EJ72" s="96"/>
      <c r="EK72" s="97" t="s">
        <v>470</v>
      </c>
      <c r="EL72" s="97"/>
      <c r="EM72" s="96"/>
      <c r="EN72" s="97" t="s">
        <v>470</v>
      </c>
      <c r="EO72" s="97"/>
      <c r="EP72" s="96"/>
      <c r="EQ72" s="96" t="s">
        <v>470</v>
      </c>
      <c r="ER72" s="96"/>
      <c r="ES72" s="96"/>
      <c r="ET72" s="97"/>
      <c r="EU72" s="97"/>
      <c r="EV72" s="96"/>
      <c r="EW72" s="96"/>
      <c r="EX72" s="96"/>
      <c r="EY72" s="96"/>
      <c r="EZ72" s="97" t="s">
        <v>470</v>
      </c>
      <c r="FA72" s="97"/>
      <c r="FB72" s="97" t="s">
        <v>470</v>
      </c>
      <c r="FC72" s="872" t="s">
        <v>5019</v>
      </c>
      <c r="FD72" s="97"/>
      <c r="FE72" s="97" t="s">
        <v>4860</v>
      </c>
      <c r="FF72" s="97" t="s">
        <v>4726</v>
      </c>
      <c r="FG72" s="97" t="s">
        <v>470</v>
      </c>
      <c r="FH72" s="97" t="s">
        <v>470</v>
      </c>
      <c r="FI72" s="97"/>
      <c r="FJ72" s="97" t="s">
        <v>4550</v>
      </c>
      <c r="FK72" s="97" t="s">
        <v>4313</v>
      </c>
      <c r="FL72" s="872" t="s">
        <v>4132</v>
      </c>
      <c r="FM72" s="97" t="s">
        <v>3923</v>
      </c>
      <c r="FN72" s="97" t="s">
        <v>3840</v>
      </c>
      <c r="FO72" s="872" t="s">
        <v>3772</v>
      </c>
    </row>
    <row r="73" spans="5:171" ht="104" customHeight="1" x14ac:dyDescent="0.2">
      <c r="E73" s="94" t="s">
        <v>9305</v>
      </c>
      <c r="F73" s="94" t="s">
        <v>9121</v>
      </c>
      <c r="G73" s="97" t="s">
        <v>319</v>
      </c>
      <c r="H73" s="97" t="s">
        <v>399</v>
      </c>
      <c r="I73" s="535" t="s">
        <v>8855</v>
      </c>
      <c r="J73" s="535" t="s">
        <v>1413</v>
      </c>
      <c r="K73" s="535" t="s">
        <v>1413</v>
      </c>
      <c r="L73" s="536">
        <v>2019</v>
      </c>
      <c r="M73" s="537">
        <v>44519</v>
      </c>
      <c r="N73" s="537">
        <v>44926</v>
      </c>
      <c r="O73" s="537"/>
      <c r="P73" s="537"/>
      <c r="Q73" s="537"/>
      <c r="R73" s="537"/>
      <c r="S73" s="537"/>
      <c r="T73" s="537"/>
      <c r="U73" s="537"/>
      <c r="V73" s="537"/>
      <c r="W73" s="537"/>
      <c r="X73" s="537"/>
      <c r="Y73" s="537"/>
      <c r="Z73" s="537" t="s">
        <v>8175</v>
      </c>
      <c r="AA73" s="537" t="s">
        <v>7999</v>
      </c>
      <c r="AB73" s="537" t="s">
        <v>7883</v>
      </c>
      <c r="AC73" s="537" t="s">
        <v>7688</v>
      </c>
      <c r="AD73" s="537" t="s">
        <v>7560</v>
      </c>
      <c r="AE73" s="537" t="s">
        <v>7346</v>
      </c>
      <c r="AF73" s="537" t="s">
        <v>470</v>
      </c>
      <c r="AG73" s="537"/>
      <c r="AH73" s="535" t="s">
        <v>7033</v>
      </c>
      <c r="AI73" s="535" t="s">
        <v>6895</v>
      </c>
      <c r="AJ73" s="535" t="s">
        <v>477</v>
      </c>
      <c r="AK73" s="537" t="s">
        <v>6597</v>
      </c>
      <c r="AL73" s="580">
        <f t="shared" si="7"/>
        <v>9.3800000000000008</v>
      </c>
      <c r="AM73" s="504">
        <v>9.3800000000000008</v>
      </c>
      <c r="AN73" s="516"/>
      <c r="AO73" s="97"/>
      <c r="AP73" s="97"/>
      <c r="AQ73" s="504">
        <v>7.5220000000000002</v>
      </c>
      <c r="AR73" s="507">
        <v>0.80200000000000005</v>
      </c>
      <c r="AS73" s="507">
        <v>4.0000000000000002E-4</v>
      </c>
      <c r="AT73" s="516">
        <v>0.46500000000000002</v>
      </c>
      <c r="AU73" s="507">
        <v>4.9500000000000002E-2</v>
      </c>
      <c r="AV73" s="516">
        <v>1.393</v>
      </c>
      <c r="AW73" s="507">
        <v>0.14849999999999999</v>
      </c>
      <c r="AX73" s="516"/>
      <c r="AY73" s="507"/>
      <c r="AZ73" s="516"/>
      <c r="BA73" s="539"/>
      <c r="BB73" s="539"/>
      <c r="BC73" s="539"/>
      <c r="BD73" s="539"/>
      <c r="BE73" s="539" t="s">
        <v>479</v>
      </c>
      <c r="BF73" s="542" t="s">
        <v>6251</v>
      </c>
      <c r="BG73" s="542" t="s">
        <v>6002</v>
      </c>
      <c r="BH73" s="539" t="s">
        <v>656</v>
      </c>
      <c r="BI73" s="541">
        <v>5</v>
      </c>
      <c r="BJ73" s="539">
        <v>2.9999999999999997E-4</v>
      </c>
      <c r="BK73" s="542">
        <v>8</v>
      </c>
      <c r="BL73" s="542">
        <v>8</v>
      </c>
      <c r="BM73" s="542">
        <v>6</v>
      </c>
      <c r="BN73" s="542"/>
      <c r="BO73" s="542">
        <v>1</v>
      </c>
      <c r="BP73" s="542"/>
      <c r="BQ73" s="542"/>
      <c r="BR73" s="542"/>
      <c r="BS73" s="542"/>
      <c r="BT73" s="542">
        <v>2</v>
      </c>
      <c r="BU73" s="542"/>
      <c r="BV73" s="542">
        <v>3</v>
      </c>
      <c r="BW73" s="542"/>
      <c r="BX73" s="542"/>
      <c r="BY73" s="542"/>
      <c r="BZ73" s="542"/>
      <c r="CA73" s="542"/>
      <c r="CB73" s="542"/>
      <c r="CC73" s="542"/>
      <c r="CD73" s="542"/>
      <c r="CE73" s="542"/>
      <c r="CF73" s="542"/>
      <c r="CG73" s="542"/>
      <c r="CH73" s="542"/>
      <c r="CI73" s="542"/>
      <c r="CJ73" s="542"/>
      <c r="CK73" s="542"/>
      <c r="CL73" s="543">
        <f>SUM(BN73:CK73)</f>
        <v>6</v>
      </c>
      <c r="CM73" s="824">
        <f t="shared" si="8"/>
        <v>0</v>
      </c>
      <c r="CN73" s="535">
        <v>4.7450000000000001</v>
      </c>
      <c r="CO73" s="541" t="s">
        <v>6164</v>
      </c>
      <c r="CP73" s="542" t="s">
        <v>6002</v>
      </c>
      <c r="CQ73" s="540">
        <f>100*CN73/CR73</f>
        <v>1.3531355958787112</v>
      </c>
      <c r="CR73" s="535">
        <v>350.66699999999997</v>
      </c>
      <c r="CS73" s="889" t="s">
        <v>2060</v>
      </c>
      <c r="CT73" s="535" t="s">
        <v>470</v>
      </c>
      <c r="CU73" s="535"/>
      <c r="CV73" s="535"/>
      <c r="CW73" s="535"/>
      <c r="CX73" s="542"/>
      <c r="CY73" s="542"/>
      <c r="CZ73" s="542">
        <v>20</v>
      </c>
      <c r="DA73" s="542" t="s">
        <v>479</v>
      </c>
      <c r="DB73" s="542" t="s">
        <v>5735</v>
      </c>
      <c r="DC73" s="542">
        <v>1536</v>
      </c>
      <c r="DD73" s="542" t="s">
        <v>479</v>
      </c>
      <c r="DE73" s="542" t="s">
        <v>5574</v>
      </c>
      <c r="DF73" s="542">
        <v>164</v>
      </c>
      <c r="DG73" s="542" t="s">
        <v>479</v>
      </c>
      <c r="DH73" s="542" t="s">
        <v>5574</v>
      </c>
      <c r="DI73" s="542">
        <v>14</v>
      </c>
      <c r="DJ73" s="542" t="s">
        <v>470</v>
      </c>
      <c r="DK73" s="542"/>
      <c r="DL73" s="542"/>
      <c r="DM73" s="542" t="s">
        <v>470</v>
      </c>
      <c r="DN73" s="542"/>
      <c r="DO73" s="542"/>
      <c r="DP73" s="542" t="s">
        <v>470</v>
      </c>
      <c r="DQ73" s="542"/>
      <c r="DR73" s="542"/>
      <c r="DS73" s="542" t="s">
        <v>470</v>
      </c>
      <c r="DT73" s="542"/>
      <c r="DU73" s="542"/>
      <c r="DV73" s="542"/>
      <c r="DW73" s="542"/>
      <c r="DX73" s="542"/>
      <c r="DY73" s="542" t="s">
        <v>470</v>
      </c>
      <c r="DZ73" s="535"/>
      <c r="EA73" s="535"/>
      <c r="EB73" s="535" t="s">
        <v>470</v>
      </c>
      <c r="EC73" s="535"/>
      <c r="ED73" s="535"/>
      <c r="EE73" s="535" t="s">
        <v>470</v>
      </c>
      <c r="EF73" s="535"/>
      <c r="EG73" s="535"/>
      <c r="EH73" s="535" t="s">
        <v>470</v>
      </c>
      <c r="EI73" s="535"/>
      <c r="EJ73" s="535"/>
      <c r="EK73" s="535" t="s">
        <v>470</v>
      </c>
      <c r="EL73" s="535"/>
      <c r="EM73" s="535"/>
      <c r="EN73" s="535" t="s">
        <v>470</v>
      </c>
      <c r="EO73" s="535"/>
      <c r="EP73" s="535"/>
      <c r="EQ73" s="535" t="s">
        <v>470</v>
      </c>
      <c r="ER73" s="535"/>
      <c r="ES73" s="535"/>
      <c r="ET73" s="542" t="s">
        <v>479</v>
      </c>
      <c r="EU73" s="542" t="s">
        <v>1597</v>
      </c>
      <c r="EV73" s="542">
        <v>25</v>
      </c>
      <c r="EW73" s="542"/>
      <c r="EX73" s="542"/>
      <c r="EY73" s="542"/>
      <c r="EZ73" s="535" t="s">
        <v>470</v>
      </c>
      <c r="FA73" s="535"/>
      <c r="FB73" s="535" t="s">
        <v>5181</v>
      </c>
      <c r="FC73" s="535" t="s">
        <v>9602</v>
      </c>
      <c r="FD73" s="535" t="s">
        <v>470</v>
      </c>
      <c r="FE73" s="535" t="s">
        <v>9603</v>
      </c>
      <c r="FF73" s="535" t="s">
        <v>9602</v>
      </c>
      <c r="FG73" s="535" t="s">
        <v>4666</v>
      </c>
      <c r="FH73" s="535">
        <v>2</v>
      </c>
      <c r="FI73" s="535">
        <v>40</v>
      </c>
      <c r="FJ73" s="535" t="s">
        <v>4549</v>
      </c>
      <c r="FK73" s="535" t="s">
        <v>4312</v>
      </c>
      <c r="FL73" s="535" t="s">
        <v>4131</v>
      </c>
      <c r="FM73" s="535" t="s">
        <v>3922</v>
      </c>
      <c r="FN73" s="535" t="s">
        <v>3839</v>
      </c>
      <c r="FO73" s="535" t="s">
        <v>3771</v>
      </c>
    </row>
    <row r="74" spans="5:171" ht="104" customHeight="1" x14ac:dyDescent="0.2">
      <c r="E74" s="94" t="s">
        <v>9302</v>
      </c>
      <c r="F74" s="94" t="s">
        <v>9121</v>
      </c>
      <c r="G74" s="97" t="s">
        <v>319</v>
      </c>
      <c r="H74" s="97" t="s">
        <v>399</v>
      </c>
      <c r="I74" s="97" t="s">
        <v>8854</v>
      </c>
      <c r="J74" s="97" t="s">
        <v>1414</v>
      </c>
      <c r="K74" s="97"/>
      <c r="L74" s="502">
        <v>2019</v>
      </c>
      <c r="M74" s="841">
        <v>44323</v>
      </c>
      <c r="N74" s="841">
        <v>44799</v>
      </c>
      <c r="O74" s="841"/>
      <c r="P74" s="841"/>
      <c r="Q74" s="841"/>
      <c r="R74" s="841"/>
      <c r="S74" s="841"/>
      <c r="T74" s="841"/>
      <c r="U74" s="841"/>
      <c r="V74" s="841"/>
      <c r="W74" s="841"/>
      <c r="X74" s="841"/>
      <c r="Y74" s="841"/>
      <c r="Z74" s="97"/>
      <c r="AA74" s="842"/>
      <c r="AB74" s="97" t="s">
        <v>7882</v>
      </c>
      <c r="AC74" s="842" t="s">
        <v>7687</v>
      </c>
      <c r="AD74" s="97" t="s">
        <v>7559</v>
      </c>
      <c r="AE74" s="842" t="s">
        <v>7103</v>
      </c>
      <c r="AF74" s="97" t="s">
        <v>7177</v>
      </c>
      <c r="AG74" s="842" t="s">
        <v>7103</v>
      </c>
      <c r="AH74" s="97" t="s">
        <v>6596</v>
      </c>
      <c r="AI74" s="97" t="s">
        <v>6596</v>
      </c>
      <c r="AJ74" s="97" t="s">
        <v>477</v>
      </c>
      <c r="AK74" s="97" t="s">
        <v>6596</v>
      </c>
      <c r="AL74" s="580">
        <f t="shared" si="7"/>
        <v>4.6539999999999999</v>
      </c>
      <c r="AM74" s="504">
        <v>4.6539999999999999</v>
      </c>
      <c r="AN74" s="516"/>
      <c r="AO74" s="97"/>
      <c r="AP74" s="97"/>
      <c r="AQ74" s="504">
        <v>4.5999999999999996</v>
      </c>
      <c r="AR74" s="507">
        <v>0.98839999999999995</v>
      </c>
      <c r="AS74" s="507">
        <v>2.7E-2</v>
      </c>
      <c r="AT74" s="516">
        <v>5.3999999999999999E-2</v>
      </c>
      <c r="AU74" s="507">
        <v>1.1599999999999999E-2</v>
      </c>
      <c r="AV74" s="516"/>
      <c r="AW74" s="507"/>
      <c r="AX74" s="516"/>
      <c r="AY74" s="507"/>
      <c r="AZ74" s="516"/>
      <c r="BA74" s="507"/>
      <c r="BB74" s="507"/>
      <c r="BC74" s="507"/>
      <c r="BD74" s="507"/>
      <c r="BE74" s="507" t="s">
        <v>470</v>
      </c>
      <c r="BF74" s="507"/>
      <c r="BG74" s="507"/>
      <c r="BH74" s="852"/>
      <c r="BI74" s="504"/>
      <c r="BJ74" s="507"/>
      <c r="BK74" s="96">
        <v>1</v>
      </c>
      <c r="BL74" s="96">
        <v>1</v>
      </c>
      <c r="BM74" s="96">
        <v>1</v>
      </c>
      <c r="BN74" s="96">
        <v>1</v>
      </c>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815">
        <f>SUM(BN74:CK74)</f>
        <v>1</v>
      </c>
      <c r="CM74" s="824">
        <f t="shared" si="8"/>
        <v>0</v>
      </c>
      <c r="CN74" s="504">
        <v>0.5</v>
      </c>
      <c r="CO74" s="97" t="s">
        <v>470</v>
      </c>
      <c r="CP74" s="97"/>
      <c r="CQ74" s="97">
        <v>4.5999999999999996</v>
      </c>
      <c r="CR74" s="504">
        <v>10.808999999999999</v>
      </c>
      <c r="CS74" s="887" t="s">
        <v>5929</v>
      </c>
      <c r="CT74" s="97" t="s">
        <v>470</v>
      </c>
      <c r="CU74" s="97"/>
      <c r="CV74" s="97"/>
      <c r="CW74" s="97"/>
      <c r="CX74" s="96"/>
      <c r="CY74" s="96"/>
      <c r="CZ74" s="96">
        <v>3</v>
      </c>
      <c r="DA74" s="97" t="s">
        <v>479</v>
      </c>
      <c r="DB74" s="97" t="s">
        <v>640</v>
      </c>
      <c r="DC74" s="96">
        <v>500</v>
      </c>
      <c r="DD74" s="97" t="s">
        <v>479</v>
      </c>
      <c r="DE74" s="97" t="s">
        <v>640</v>
      </c>
      <c r="DF74" s="96">
        <v>60</v>
      </c>
      <c r="DG74" s="96" t="s">
        <v>470</v>
      </c>
      <c r="DH74" s="96"/>
      <c r="DI74" s="96"/>
      <c r="DJ74" s="96" t="s">
        <v>470</v>
      </c>
      <c r="DK74" s="96"/>
      <c r="DL74" s="96"/>
      <c r="DM74" s="97" t="s">
        <v>470</v>
      </c>
      <c r="DN74" s="97"/>
      <c r="DO74" s="96"/>
      <c r="DP74" s="97" t="s">
        <v>470</v>
      </c>
      <c r="DQ74" s="97"/>
      <c r="DR74" s="96"/>
      <c r="DS74" s="97" t="s">
        <v>470</v>
      </c>
      <c r="DT74" s="97"/>
      <c r="DU74" s="96"/>
      <c r="DV74" s="97"/>
      <c r="DW74" s="97"/>
      <c r="DX74" s="96"/>
      <c r="DY74" s="97" t="s">
        <v>470</v>
      </c>
      <c r="DZ74" s="97"/>
      <c r="EA74" s="96"/>
      <c r="EB74" s="97" t="s">
        <v>479</v>
      </c>
      <c r="EC74" s="97" t="s">
        <v>640</v>
      </c>
      <c r="ED74" s="96">
        <v>60</v>
      </c>
      <c r="EE74" s="96" t="s">
        <v>470</v>
      </c>
      <c r="EF74" s="96"/>
      <c r="EG74" s="96"/>
      <c r="EH74" s="97" t="s">
        <v>470</v>
      </c>
      <c r="EI74" s="97"/>
      <c r="EJ74" s="96"/>
      <c r="EK74" s="97" t="s">
        <v>470</v>
      </c>
      <c r="EL74" s="97"/>
      <c r="EM74" s="96"/>
      <c r="EN74" s="97" t="s">
        <v>470</v>
      </c>
      <c r="EO74" s="97"/>
      <c r="EP74" s="96"/>
      <c r="EQ74" s="96" t="s">
        <v>470</v>
      </c>
      <c r="ER74" s="96"/>
      <c r="ES74" s="96"/>
      <c r="ET74" s="97"/>
      <c r="EU74" s="97"/>
      <c r="EV74" s="96"/>
      <c r="EW74" s="96"/>
      <c r="EX74" s="96"/>
      <c r="EY74" s="96"/>
      <c r="EZ74" s="97" t="s">
        <v>470</v>
      </c>
      <c r="FA74" s="97"/>
      <c r="FB74" s="97" t="s">
        <v>470</v>
      </c>
      <c r="FC74" s="97"/>
      <c r="FD74" s="97"/>
      <c r="FE74" s="97"/>
      <c r="FF74" s="97"/>
      <c r="FG74" s="97"/>
      <c r="FH74" s="97"/>
      <c r="FI74" s="97"/>
      <c r="FJ74" s="97" t="s">
        <v>4548</v>
      </c>
      <c r="FK74" s="97">
        <v>89105201388</v>
      </c>
      <c r="FL74" s="842" t="s">
        <v>3770</v>
      </c>
      <c r="FM74" s="97" t="s">
        <v>3921</v>
      </c>
      <c r="FN74" s="97" t="s">
        <v>3838</v>
      </c>
      <c r="FO74" s="842" t="s">
        <v>3770</v>
      </c>
    </row>
    <row r="75" spans="5:171" ht="104" customHeight="1" x14ac:dyDescent="0.2">
      <c r="G75" s="198" t="s">
        <v>320</v>
      </c>
      <c r="H75" s="97" t="s">
        <v>400</v>
      </c>
      <c r="I75" s="198"/>
      <c r="AL75" s="580">
        <f t="shared" si="7"/>
        <v>0</v>
      </c>
      <c r="AM75" s="504">
        <v>0</v>
      </c>
      <c r="AN75" s="510"/>
      <c r="AQ75" s="511"/>
      <c r="AT75" s="569"/>
      <c r="AV75" s="569"/>
      <c r="AX75" s="569"/>
      <c r="AZ75" s="569"/>
      <c r="CL75" s="512"/>
      <c r="CM75" s="824">
        <f t="shared" si="8"/>
        <v>0</v>
      </c>
    </row>
    <row r="76" spans="5:171" ht="104" customHeight="1" x14ac:dyDescent="0.2">
      <c r="G76" s="198" t="s">
        <v>464</v>
      </c>
      <c r="H76" s="198" t="s">
        <v>401</v>
      </c>
      <c r="I76" s="198"/>
      <c r="AL76" s="580">
        <f t="shared" si="7"/>
        <v>0</v>
      </c>
      <c r="AM76" s="504">
        <v>0</v>
      </c>
      <c r="AN76" s="510"/>
      <c r="AQ76" s="511"/>
      <c r="AT76" s="569"/>
      <c r="AV76" s="569"/>
      <c r="AX76" s="569"/>
      <c r="AZ76" s="569"/>
      <c r="CL76" s="512"/>
      <c r="CM76" s="824">
        <f t="shared" si="8"/>
        <v>0</v>
      </c>
    </row>
    <row r="77" spans="5:171" ht="104" customHeight="1" x14ac:dyDescent="0.2">
      <c r="E77" s="94" t="s">
        <v>9302</v>
      </c>
      <c r="F77" s="94" t="s">
        <v>9120</v>
      </c>
      <c r="G77" s="198" t="s">
        <v>321</v>
      </c>
      <c r="H77" s="198" t="s">
        <v>402</v>
      </c>
      <c r="I77" s="198"/>
      <c r="J77" s="198" t="s">
        <v>1728</v>
      </c>
      <c r="K77" s="198" t="s">
        <v>1521</v>
      </c>
      <c r="L77" s="578">
        <v>2014</v>
      </c>
      <c r="M77" s="822">
        <v>44666</v>
      </c>
      <c r="N77" s="822">
        <v>44926</v>
      </c>
      <c r="O77" s="198" t="s">
        <v>1729</v>
      </c>
      <c r="P77" s="198" t="s">
        <v>1730</v>
      </c>
      <c r="Q77" s="198" t="s">
        <v>1731</v>
      </c>
      <c r="R77" s="198" t="s">
        <v>9604</v>
      </c>
      <c r="S77" s="195" t="s">
        <v>1732</v>
      </c>
      <c r="T77" s="198" t="s">
        <v>1733</v>
      </c>
      <c r="U77" s="549" t="s">
        <v>1734</v>
      </c>
      <c r="V77" s="198" t="s">
        <v>1735</v>
      </c>
      <c r="W77" s="549" t="s">
        <v>1736</v>
      </c>
      <c r="X77" s="198" t="s">
        <v>1737</v>
      </c>
      <c r="Y77" s="890" t="s">
        <v>1738</v>
      </c>
      <c r="Z77" s="890"/>
      <c r="AA77" s="890"/>
      <c r="AB77" s="890"/>
      <c r="AC77" s="890"/>
      <c r="AD77" s="890"/>
      <c r="AE77" s="890"/>
      <c r="AF77" s="890"/>
      <c r="AG77" s="890"/>
      <c r="AH77" s="198" t="s">
        <v>1739</v>
      </c>
      <c r="AI77" s="198" t="s">
        <v>1739</v>
      </c>
      <c r="AJ77" s="198" t="s">
        <v>477</v>
      </c>
      <c r="AK77" s="198" t="s">
        <v>1740</v>
      </c>
      <c r="AL77" s="580">
        <f t="shared" si="7"/>
        <v>162.10999999999999</v>
      </c>
      <c r="AM77" s="504">
        <v>162.10999999999999</v>
      </c>
      <c r="AN77" s="516">
        <v>117.28</v>
      </c>
      <c r="AO77" s="137">
        <f>AN77/AL77</f>
        <v>0.72345937943371796</v>
      </c>
      <c r="AP77" s="137">
        <v>1.4E-3</v>
      </c>
      <c r="AQ77" s="504">
        <v>33.597999999999999</v>
      </c>
      <c r="AR77" s="137">
        <f>AQ77/AL77</f>
        <v>0.20725433347726854</v>
      </c>
      <c r="AS77" s="137"/>
      <c r="AT77" s="520"/>
      <c r="AU77" s="137" t="s">
        <v>656</v>
      </c>
      <c r="AV77" s="520"/>
      <c r="AW77" s="137" t="s">
        <v>656</v>
      </c>
      <c r="AX77" s="520">
        <v>11.231999999999999</v>
      </c>
      <c r="AY77" s="137">
        <f>AX77/AL77</f>
        <v>6.9286287089013632E-2</v>
      </c>
      <c r="AZ77" s="520"/>
      <c r="BA77" s="137" t="s">
        <v>656</v>
      </c>
      <c r="BB77" s="198" t="s">
        <v>656</v>
      </c>
      <c r="BC77" s="198" t="s">
        <v>656</v>
      </c>
      <c r="BD77" s="198" t="s">
        <v>656</v>
      </c>
      <c r="BE77" s="198" t="s">
        <v>470</v>
      </c>
      <c r="BF77" s="198" t="s">
        <v>656</v>
      </c>
      <c r="BG77" s="198" t="s">
        <v>656</v>
      </c>
      <c r="BH77" s="198" t="s">
        <v>656</v>
      </c>
      <c r="BI77" s="580">
        <v>100.849</v>
      </c>
      <c r="BJ77" s="137">
        <v>1.1999999999999999E-3</v>
      </c>
      <c r="BK77" s="83"/>
      <c r="BL77" s="83">
        <v>152</v>
      </c>
      <c r="BM77" s="83">
        <v>98</v>
      </c>
      <c r="BN77" s="83">
        <v>8</v>
      </c>
      <c r="BO77" s="83">
        <v>13</v>
      </c>
      <c r="BP77" s="83">
        <v>6</v>
      </c>
      <c r="BQ77" s="83">
        <v>3</v>
      </c>
      <c r="BR77" s="83" t="s">
        <v>656</v>
      </c>
      <c r="BS77" s="83">
        <v>7</v>
      </c>
      <c r="BT77" s="83">
        <v>6</v>
      </c>
      <c r="BU77" s="83">
        <v>1</v>
      </c>
      <c r="BV77" s="83">
        <v>14</v>
      </c>
      <c r="BW77" s="83">
        <v>21</v>
      </c>
      <c r="BX77" s="83">
        <v>5</v>
      </c>
      <c r="BY77" s="83">
        <v>5</v>
      </c>
      <c r="BZ77" s="83">
        <v>2</v>
      </c>
      <c r="CA77" s="83" t="s">
        <v>656</v>
      </c>
      <c r="CB77" s="83" t="s">
        <v>656</v>
      </c>
      <c r="CC77" s="83" t="s">
        <v>656</v>
      </c>
      <c r="CD77" s="83" t="s">
        <v>656</v>
      </c>
      <c r="CE77" s="83">
        <v>3</v>
      </c>
      <c r="CF77" s="83" t="s">
        <v>656</v>
      </c>
      <c r="CG77" s="83" t="s">
        <v>656</v>
      </c>
      <c r="CH77" s="83" t="s">
        <v>656</v>
      </c>
      <c r="CI77" s="83" t="s">
        <v>656</v>
      </c>
      <c r="CJ77" s="83" t="s">
        <v>656</v>
      </c>
      <c r="CK77" s="83">
        <v>3</v>
      </c>
      <c r="CL77" s="824">
        <f t="shared" ref="CL77:CL84" si="9">SUM(BN77:CK77)</f>
        <v>97</v>
      </c>
      <c r="CM77" s="824">
        <f t="shared" si="8"/>
        <v>0</v>
      </c>
      <c r="CN77" s="580">
        <v>362.86399999999998</v>
      </c>
      <c r="CO77" s="198" t="s">
        <v>1742</v>
      </c>
      <c r="CP77" s="198" t="s">
        <v>656</v>
      </c>
      <c r="CQ77" s="137">
        <f>CN77/CR77</f>
        <v>0.68739865120860799</v>
      </c>
      <c r="CR77" s="580">
        <v>527.88</v>
      </c>
      <c r="CS77" s="855" t="s">
        <v>1743</v>
      </c>
      <c r="CT77" s="198" t="s">
        <v>470</v>
      </c>
      <c r="CU77" s="198" t="s">
        <v>656</v>
      </c>
      <c r="CV77" s="198" t="s">
        <v>656</v>
      </c>
      <c r="CW77" s="198" t="s">
        <v>656</v>
      </c>
      <c r="CX77" s="83" t="s">
        <v>656</v>
      </c>
      <c r="CY77" s="83" t="s">
        <v>656</v>
      </c>
      <c r="CZ77" s="83">
        <v>1</v>
      </c>
      <c r="DA77" s="198" t="s">
        <v>470</v>
      </c>
      <c r="DB77" s="198" t="s">
        <v>656</v>
      </c>
      <c r="DC77" s="83" t="s">
        <v>656</v>
      </c>
      <c r="DD77" s="198" t="s">
        <v>479</v>
      </c>
      <c r="DE77" s="198" t="s">
        <v>1744</v>
      </c>
      <c r="DF77" s="83">
        <v>107506</v>
      </c>
      <c r="DG77" s="83" t="s">
        <v>470</v>
      </c>
      <c r="DH77" s="83" t="s">
        <v>656</v>
      </c>
      <c r="DI77" s="83" t="s">
        <v>656</v>
      </c>
      <c r="DJ77" s="83" t="s">
        <v>470</v>
      </c>
      <c r="DK77" s="83" t="s">
        <v>656</v>
      </c>
      <c r="DL77" s="83" t="s">
        <v>656</v>
      </c>
      <c r="DM77" s="83" t="s">
        <v>470</v>
      </c>
      <c r="DN77" s="83" t="s">
        <v>656</v>
      </c>
      <c r="DO77" s="83" t="s">
        <v>656</v>
      </c>
      <c r="DP77" s="198" t="s">
        <v>470</v>
      </c>
      <c r="DQ77" s="198" t="s">
        <v>656</v>
      </c>
      <c r="DR77" s="83" t="s">
        <v>656</v>
      </c>
      <c r="DS77" s="198" t="s">
        <v>470</v>
      </c>
      <c r="DT77" s="198" t="s">
        <v>656</v>
      </c>
      <c r="DU77" s="83" t="s">
        <v>656</v>
      </c>
      <c r="DV77" s="198" t="s">
        <v>470</v>
      </c>
      <c r="DW77" s="198" t="s">
        <v>656</v>
      </c>
      <c r="DX77" s="83" t="s">
        <v>656</v>
      </c>
      <c r="DY77" s="198" t="s">
        <v>470</v>
      </c>
      <c r="DZ77" s="198" t="s">
        <v>656</v>
      </c>
      <c r="EA77" s="83" t="s">
        <v>656</v>
      </c>
      <c r="EB77" s="198" t="s">
        <v>479</v>
      </c>
      <c r="EC77" s="198" t="s">
        <v>1745</v>
      </c>
      <c r="ED77" s="83">
        <v>107506</v>
      </c>
      <c r="EE77" s="83" t="s">
        <v>470</v>
      </c>
      <c r="EF77" s="83" t="s">
        <v>656</v>
      </c>
      <c r="EG77" s="83" t="s">
        <v>656</v>
      </c>
      <c r="EH77" s="198" t="s">
        <v>470</v>
      </c>
      <c r="EI77" s="198" t="s">
        <v>656</v>
      </c>
      <c r="EJ77" s="83" t="s">
        <v>656</v>
      </c>
      <c r="EK77" s="198" t="s">
        <v>470</v>
      </c>
      <c r="EL77" s="198" t="s">
        <v>656</v>
      </c>
      <c r="EM77" s="83" t="s">
        <v>656</v>
      </c>
      <c r="EN77" s="198" t="s">
        <v>470</v>
      </c>
      <c r="EO77" s="198" t="s">
        <v>656</v>
      </c>
      <c r="EP77" s="83" t="s">
        <v>656</v>
      </c>
      <c r="EQ77" s="198" t="s">
        <v>470</v>
      </c>
      <c r="ER77" s="198" t="s">
        <v>656</v>
      </c>
      <c r="ES77" s="83" t="s">
        <v>656</v>
      </c>
      <c r="ET77" s="198" t="s">
        <v>470</v>
      </c>
      <c r="EU77" s="198" t="s">
        <v>656</v>
      </c>
      <c r="EV77" s="83" t="s">
        <v>656</v>
      </c>
      <c r="EW77" s="837">
        <v>1</v>
      </c>
      <c r="EX77" s="198" t="s">
        <v>656</v>
      </c>
      <c r="EY77" s="505">
        <v>66</v>
      </c>
      <c r="EZ77" s="198" t="s">
        <v>470</v>
      </c>
      <c r="FA77" s="198" t="s">
        <v>656</v>
      </c>
      <c r="FB77" s="549" t="s">
        <v>1746</v>
      </c>
      <c r="FC77" s="198" t="s">
        <v>1747</v>
      </c>
      <c r="FD77" s="198" t="s">
        <v>470</v>
      </c>
      <c r="FE77" s="198" t="s">
        <v>1748</v>
      </c>
      <c r="FF77" s="198" t="s">
        <v>1749</v>
      </c>
      <c r="FG77" s="198" t="s">
        <v>1750</v>
      </c>
      <c r="FH77" s="198"/>
      <c r="FI77" s="198"/>
      <c r="FJ77" s="198" t="s">
        <v>1751</v>
      </c>
      <c r="FK77" s="198" t="s">
        <v>1752</v>
      </c>
      <c r="FL77" s="549" t="s">
        <v>1753</v>
      </c>
      <c r="FM77" s="198" t="s">
        <v>1754</v>
      </c>
      <c r="FN77" s="198" t="s">
        <v>1755</v>
      </c>
      <c r="FO77" s="549" t="s">
        <v>1756</v>
      </c>
    </row>
    <row r="78" spans="5:171" ht="104" customHeight="1" x14ac:dyDescent="0.2">
      <c r="E78" s="94" t="s">
        <v>9307</v>
      </c>
      <c r="F78" s="94" t="s">
        <v>9120</v>
      </c>
      <c r="G78" s="198" t="s">
        <v>321</v>
      </c>
      <c r="H78" s="198" t="s">
        <v>402</v>
      </c>
      <c r="I78" s="198"/>
      <c r="J78" s="198" t="s">
        <v>1757</v>
      </c>
      <c r="K78" s="198" t="s">
        <v>1758</v>
      </c>
      <c r="L78" s="578">
        <v>2018</v>
      </c>
      <c r="M78" s="822">
        <v>44743</v>
      </c>
      <c r="N78" s="822">
        <v>44926</v>
      </c>
      <c r="O78" s="198" t="s">
        <v>1729</v>
      </c>
      <c r="P78" s="198" t="s">
        <v>1730</v>
      </c>
      <c r="Q78" s="198" t="s">
        <v>1731</v>
      </c>
      <c r="R78" s="198" t="s">
        <v>9605</v>
      </c>
      <c r="S78" s="195" t="s">
        <v>1759</v>
      </c>
      <c r="T78" s="198" t="s">
        <v>1760</v>
      </c>
      <c r="U78" s="549" t="s">
        <v>1734</v>
      </c>
      <c r="V78" s="198" t="s">
        <v>1735</v>
      </c>
      <c r="W78" s="549" t="s">
        <v>1736</v>
      </c>
      <c r="X78" s="198" t="s">
        <v>1761</v>
      </c>
      <c r="Y78" s="890" t="s">
        <v>1762</v>
      </c>
      <c r="Z78" s="890"/>
      <c r="AA78" s="890"/>
      <c r="AB78" s="890"/>
      <c r="AC78" s="890"/>
      <c r="AD78" s="890"/>
      <c r="AE78" s="890"/>
      <c r="AF78" s="890"/>
      <c r="AG78" s="890"/>
      <c r="AH78" s="198" t="s">
        <v>1739</v>
      </c>
      <c r="AI78" s="198" t="s">
        <v>1739</v>
      </c>
      <c r="AJ78" s="198" t="s">
        <v>1763</v>
      </c>
      <c r="AK78" s="198" t="s">
        <v>1740</v>
      </c>
      <c r="AL78" s="580">
        <f t="shared" si="7"/>
        <v>126.857</v>
      </c>
      <c r="AM78" s="504">
        <v>126.857</v>
      </c>
      <c r="AN78" s="516">
        <v>97.340999999999994</v>
      </c>
      <c r="AO78" s="137">
        <f>AN78/AL78</f>
        <v>0.76732856681144912</v>
      </c>
      <c r="AP78" s="137">
        <v>1.1999999999999999E-3</v>
      </c>
      <c r="AQ78" s="504">
        <v>4.7720000000000002</v>
      </c>
      <c r="AR78" s="137">
        <f>AQ78/AL78</f>
        <v>3.7617159478783198E-2</v>
      </c>
      <c r="AS78" s="137"/>
      <c r="AT78" s="520">
        <v>8.0570000000000004</v>
      </c>
      <c r="AU78" s="137">
        <f>AT78/AL78</f>
        <v>6.35124589104267E-2</v>
      </c>
      <c r="AV78" s="520">
        <v>4.3150000000000004</v>
      </c>
      <c r="AW78" s="137">
        <f>AV78/AL78</f>
        <v>3.4014677944457145E-2</v>
      </c>
      <c r="AX78" s="520">
        <f>AV78+AT78</f>
        <v>12.372</v>
      </c>
      <c r="AY78" s="137">
        <f>AX78/AL78</f>
        <v>9.7527136854883845E-2</v>
      </c>
      <c r="AZ78" s="520"/>
      <c r="BA78" s="137" t="s">
        <v>656</v>
      </c>
      <c r="BB78" s="198" t="s">
        <v>656</v>
      </c>
      <c r="BC78" s="198" t="s">
        <v>656</v>
      </c>
      <c r="BD78" s="198" t="s">
        <v>656</v>
      </c>
      <c r="BE78" s="198" t="s">
        <v>470</v>
      </c>
      <c r="BF78" s="198" t="s">
        <v>656</v>
      </c>
      <c r="BG78" s="198" t="s">
        <v>656</v>
      </c>
      <c r="BH78" s="198" t="s">
        <v>656</v>
      </c>
      <c r="BI78" s="580">
        <v>64.150999999999996</v>
      </c>
      <c r="BJ78" s="137">
        <v>8.0000000000000004E-4</v>
      </c>
      <c r="BK78" s="83"/>
      <c r="BL78" s="83">
        <v>250</v>
      </c>
      <c r="BM78" s="83">
        <v>174</v>
      </c>
      <c r="BN78" s="83">
        <v>10</v>
      </c>
      <c r="BO78" s="83">
        <v>25</v>
      </c>
      <c r="BP78" s="83">
        <v>11</v>
      </c>
      <c r="BQ78" s="83">
        <v>2</v>
      </c>
      <c r="BR78" s="83"/>
      <c r="BS78" s="83">
        <v>8</v>
      </c>
      <c r="BT78" s="83" t="s">
        <v>656</v>
      </c>
      <c r="BU78" s="83" t="s">
        <v>656</v>
      </c>
      <c r="BV78" s="83">
        <v>12</v>
      </c>
      <c r="BW78" s="83">
        <v>40</v>
      </c>
      <c r="BX78" s="83">
        <v>15</v>
      </c>
      <c r="BY78" s="83" t="s">
        <v>656</v>
      </c>
      <c r="BZ78" s="83">
        <v>5</v>
      </c>
      <c r="CA78" s="83" t="s">
        <v>656</v>
      </c>
      <c r="CB78" s="83">
        <v>19</v>
      </c>
      <c r="CC78" s="83">
        <v>27</v>
      </c>
      <c r="CD78" s="83" t="s">
        <v>656</v>
      </c>
      <c r="CE78" s="83" t="s">
        <v>656</v>
      </c>
      <c r="CF78" s="83" t="s">
        <v>656</v>
      </c>
      <c r="CG78" s="83" t="s">
        <v>656</v>
      </c>
      <c r="CH78" s="83" t="s">
        <v>656</v>
      </c>
      <c r="CI78" s="83" t="s">
        <v>656</v>
      </c>
      <c r="CJ78" s="83" t="s">
        <v>656</v>
      </c>
      <c r="CK78" s="83" t="s">
        <v>656</v>
      </c>
      <c r="CL78" s="824">
        <f t="shared" si="9"/>
        <v>174</v>
      </c>
      <c r="CM78" s="824">
        <f t="shared" si="8"/>
        <v>0</v>
      </c>
      <c r="CN78" s="580">
        <v>110.801</v>
      </c>
      <c r="CO78" s="198" t="s">
        <v>1742</v>
      </c>
      <c r="CP78" s="198" t="s">
        <v>656</v>
      </c>
      <c r="CQ78" s="137">
        <f>CN78/CR78</f>
        <v>0.20989808289762826</v>
      </c>
      <c r="CR78" s="580">
        <v>527.88</v>
      </c>
      <c r="CS78" s="855" t="s">
        <v>1743</v>
      </c>
      <c r="CT78" s="198" t="s">
        <v>470</v>
      </c>
      <c r="CU78" s="198" t="s">
        <v>656</v>
      </c>
      <c r="CV78" s="198" t="s">
        <v>656</v>
      </c>
      <c r="CW78" s="198" t="s">
        <v>656</v>
      </c>
      <c r="CX78" s="83" t="s">
        <v>656</v>
      </c>
      <c r="CY78" s="83" t="s">
        <v>656</v>
      </c>
      <c r="CZ78" s="83">
        <v>1</v>
      </c>
      <c r="DA78" s="198" t="s">
        <v>470</v>
      </c>
      <c r="DB78" s="198" t="s">
        <v>656</v>
      </c>
      <c r="DC78" s="83" t="s">
        <v>656</v>
      </c>
      <c r="DD78" s="198" t="s">
        <v>479</v>
      </c>
      <c r="DE78" s="198" t="s">
        <v>1744</v>
      </c>
      <c r="DF78" s="83">
        <v>7868</v>
      </c>
      <c r="DG78" s="83"/>
      <c r="DH78" s="83"/>
      <c r="DI78" s="83"/>
      <c r="DJ78" s="83" t="s">
        <v>470</v>
      </c>
      <c r="DK78" s="83" t="s">
        <v>656</v>
      </c>
      <c r="DL78" s="83" t="s">
        <v>656</v>
      </c>
      <c r="DM78" s="83" t="s">
        <v>470</v>
      </c>
      <c r="DN78" s="83" t="s">
        <v>656</v>
      </c>
      <c r="DO78" s="83" t="s">
        <v>656</v>
      </c>
      <c r="DP78" s="198" t="s">
        <v>479</v>
      </c>
      <c r="DQ78" s="198" t="s">
        <v>1764</v>
      </c>
      <c r="DR78" s="83" t="s">
        <v>656</v>
      </c>
      <c r="DS78" s="198" t="s">
        <v>470</v>
      </c>
      <c r="DT78" s="198" t="s">
        <v>656</v>
      </c>
      <c r="DU78" s="83" t="s">
        <v>656</v>
      </c>
      <c r="DV78" s="198" t="s">
        <v>470</v>
      </c>
      <c r="DW78" s="198" t="s">
        <v>656</v>
      </c>
      <c r="DX78" s="83" t="s">
        <v>656</v>
      </c>
      <c r="DY78" s="198" t="s">
        <v>470</v>
      </c>
      <c r="DZ78" s="198" t="s">
        <v>656</v>
      </c>
      <c r="EA78" s="83" t="s">
        <v>656</v>
      </c>
      <c r="EB78" s="198" t="s">
        <v>479</v>
      </c>
      <c r="EC78" s="198" t="s">
        <v>1745</v>
      </c>
      <c r="ED78" s="83">
        <v>107506</v>
      </c>
      <c r="EE78" s="83" t="s">
        <v>470</v>
      </c>
      <c r="EF78" s="83" t="s">
        <v>656</v>
      </c>
      <c r="EG78" s="83" t="s">
        <v>656</v>
      </c>
      <c r="EH78" s="198" t="s">
        <v>470</v>
      </c>
      <c r="EI78" s="198" t="s">
        <v>656</v>
      </c>
      <c r="EJ78" s="83" t="s">
        <v>656</v>
      </c>
      <c r="EK78" s="198" t="s">
        <v>470</v>
      </c>
      <c r="EL78" s="198" t="s">
        <v>656</v>
      </c>
      <c r="EM78" s="83" t="s">
        <v>656</v>
      </c>
      <c r="EN78" s="198" t="s">
        <v>470</v>
      </c>
      <c r="EO78" s="198" t="s">
        <v>656</v>
      </c>
      <c r="EP78" s="83" t="s">
        <v>656</v>
      </c>
      <c r="EQ78" s="198" t="s">
        <v>470</v>
      </c>
      <c r="ER78" s="198" t="s">
        <v>656</v>
      </c>
      <c r="ES78" s="83" t="s">
        <v>656</v>
      </c>
      <c r="ET78" s="198" t="s">
        <v>470</v>
      </c>
      <c r="EU78" s="198" t="s">
        <v>656</v>
      </c>
      <c r="EV78" s="83" t="s">
        <v>656</v>
      </c>
      <c r="EW78" s="837" t="s">
        <v>1765</v>
      </c>
      <c r="EX78" s="198" t="s">
        <v>1766</v>
      </c>
      <c r="EY78" s="505">
        <v>75</v>
      </c>
      <c r="EZ78" s="198" t="s">
        <v>470</v>
      </c>
      <c r="FA78" s="198" t="s">
        <v>656</v>
      </c>
      <c r="FB78" s="549" t="s">
        <v>1767</v>
      </c>
      <c r="FC78" s="198" t="s">
        <v>1768</v>
      </c>
      <c r="FD78" s="549" t="s">
        <v>1769</v>
      </c>
      <c r="FE78" s="198" t="s">
        <v>1748</v>
      </c>
      <c r="FF78" s="198"/>
      <c r="FG78" s="198" t="s">
        <v>1770</v>
      </c>
      <c r="FH78" s="198">
        <v>15</v>
      </c>
      <c r="FI78" s="198" t="s">
        <v>656</v>
      </c>
      <c r="FJ78" s="198" t="s">
        <v>1751</v>
      </c>
      <c r="FK78" s="198" t="s">
        <v>1752</v>
      </c>
      <c r="FL78" s="198" t="s">
        <v>1753</v>
      </c>
      <c r="FM78" s="198" t="s">
        <v>1754</v>
      </c>
      <c r="FN78" s="198" t="s">
        <v>1755</v>
      </c>
      <c r="FO78" s="549" t="s">
        <v>1756</v>
      </c>
    </row>
    <row r="79" spans="5:171" ht="104" customHeight="1" x14ac:dyDescent="0.2">
      <c r="E79" s="94" t="s">
        <v>9302</v>
      </c>
      <c r="F79" s="94" t="s">
        <v>9120</v>
      </c>
      <c r="G79" s="198" t="s">
        <v>321</v>
      </c>
      <c r="H79" s="198" t="s">
        <v>402</v>
      </c>
      <c r="I79" s="198"/>
      <c r="J79" s="198" t="s">
        <v>1771</v>
      </c>
      <c r="K79" s="198" t="s">
        <v>1772</v>
      </c>
      <c r="L79" s="578">
        <v>2020</v>
      </c>
      <c r="M79" s="822">
        <v>44696</v>
      </c>
      <c r="N79" s="822">
        <v>44926</v>
      </c>
      <c r="O79" s="198" t="s">
        <v>1729</v>
      </c>
      <c r="P79" s="198" t="s">
        <v>1773</v>
      </c>
      <c r="Q79" s="198" t="s">
        <v>1774</v>
      </c>
      <c r="R79" s="198" t="s">
        <v>1775</v>
      </c>
      <c r="S79" s="93" t="s">
        <v>1776</v>
      </c>
      <c r="T79" s="198" t="s">
        <v>1760</v>
      </c>
      <c r="U79" s="549" t="s">
        <v>1734</v>
      </c>
      <c r="V79" s="198" t="s">
        <v>1735</v>
      </c>
      <c r="W79" s="549" t="s">
        <v>1736</v>
      </c>
      <c r="X79" s="198" t="s">
        <v>1761</v>
      </c>
      <c r="Y79" s="890" t="s">
        <v>1762</v>
      </c>
      <c r="Z79" s="890"/>
      <c r="AA79" s="890"/>
      <c r="AB79" s="890"/>
      <c r="AC79" s="890"/>
      <c r="AD79" s="890"/>
      <c r="AE79" s="890"/>
      <c r="AF79" s="890"/>
      <c r="AG79" s="890"/>
      <c r="AH79" s="198" t="s">
        <v>1739</v>
      </c>
      <c r="AI79" s="198" t="s">
        <v>1739</v>
      </c>
      <c r="AJ79" s="198" t="s">
        <v>1763</v>
      </c>
      <c r="AK79" s="198" t="s">
        <v>1740</v>
      </c>
      <c r="AL79" s="580">
        <f t="shared" ca="1" si="7"/>
        <v>133.524</v>
      </c>
      <c r="AM79" s="504">
        <v>133.524</v>
      </c>
      <c r="AN79" s="516">
        <v>129.37700000000001</v>
      </c>
      <c r="AO79" s="137">
        <f ca="1">AN79/AL79</f>
        <v>0.96894191306431809</v>
      </c>
      <c r="AP79" s="137">
        <v>1.6000000000000001E-3</v>
      </c>
      <c r="AQ79" s="504">
        <f ca="1">AL79-AN79</f>
        <v>4.1469999999999914</v>
      </c>
      <c r="AR79" s="137">
        <f ca="1">AQ79/AL79</f>
        <v>3.1058086935681909E-2</v>
      </c>
      <c r="AS79" s="137"/>
      <c r="AT79" s="520"/>
      <c r="AU79" s="137" t="s">
        <v>656</v>
      </c>
      <c r="AV79" s="520"/>
      <c r="AW79" s="137" t="s">
        <v>656</v>
      </c>
      <c r="AX79" s="520"/>
      <c r="AY79" s="137" t="s">
        <v>656</v>
      </c>
      <c r="AZ79" s="520"/>
      <c r="BA79" s="137" t="s">
        <v>656</v>
      </c>
      <c r="BB79" s="198" t="s">
        <v>656</v>
      </c>
      <c r="BC79" s="198" t="s">
        <v>656</v>
      </c>
      <c r="BD79" s="198" t="s">
        <v>656</v>
      </c>
      <c r="BE79" s="198" t="s">
        <v>470</v>
      </c>
      <c r="BF79" s="198" t="s">
        <v>656</v>
      </c>
      <c r="BG79" s="198" t="s">
        <v>656</v>
      </c>
      <c r="BH79" s="198" t="s">
        <v>656</v>
      </c>
      <c r="BI79" s="580">
        <v>0</v>
      </c>
      <c r="BJ79" s="137">
        <v>0</v>
      </c>
      <c r="BK79" s="83">
        <v>97</v>
      </c>
      <c r="BL79" s="83">
        <v>97</v>
      </c>
      <c r="BM79" s="83">
        <v>38</v>
      </c>
      <c r="BN79" s="83">
        <v>4</v>
      </c>
      <c r="BO79" s="83">
        <v>6</v>
      </c>
      <c r="BP79" s="83">
        <v>2</v>
      </c>
      <c r="BQ79" s="83">
        <v>1</v>
      </c>
      <c r="BR79" s="83" t="s">
        <v>656</v>
      </c>
      <c r="BS79" s="83">
        <v>3</v>
      </c>
      <c r="BT79" s="83" t="s">
        <v>656</v>
      </c>
      <c r="BU79" s="83" t="s">
        <v>656</v>
      </c>
      <c r="BV79" s="83">
        <v>9</v>
      </c>
      <c r="BW79" s="83" t="s">
        <v>656</v>
      </c>
      <c r="BX79" s="83" t="s">
        <v>656</v>
      </c>
      <c r="BY79" s="83">
        <v>11</v>
      </c>
      <c r="BZ79" s="83" t="s">
        <v>656</v>
      </c>
      <c r="CA79" s="83" t="s">
        <v>656</v>
      </c>
      <c r="CB79" s="83" t="s">
        <v>656</v>
      </c>
      <c r="CC79" s="83" t="s">
        <v>656</v>
      </c>
      <c r="CD79" s="83" t="s">
        <v>656</v>
      </c>
      <c r="CE79" s="83">
        <v>2</v>
      </c>
      <c r="CF79" s="83" t="s">
        <v>656</v>
      </c>
      <c r="CG79" s="83" t="s">
        <v>656</v>
      </c>
      <c r="CH79" s="83" t="s">
        <v>656</v>
      </c>
      <c r="CI79" s="83" t="s">
        <v>656</v>
      </c>
      <c r="CJ79" s="83" t="s">
        <v>656</v>
      </c>
      <c r="CK79" s="83" t="s">
        <v>656</v>
      </c>
      <c r="CL79" s="824">
        <f t="shared" si="9"/>
        <v>38</v>
      </c>
      <c r="CM79" s="824">
        <f t="shared" si="8"/>
        <v>0</v>
      </c>
      <c r="CN79" s="580">
        <v>110</v>
      </c>
      <c r="CO79" s="198" t="s">
        <v>1742</v>
      </c>
      <c r="CP79" s="198" t="s">
        <v>656</v>
      </c>
      <c r="CQ79" s="137">
        <f>CN79/CR79</f>
        <v>0.20838069258164735</v>
      </c>
      <c r="CR79" s="580">
        <v>527.88</v>
      </c>
      <c r="CS79" s="198" t="s">
        <v>1743</v>
      </c>
      <c r="CT79" s="198" t="s">
        <v>470</v>
      </c>
      <c r="CU79" s="198" t="s">
        <v>656</v>
      </c>
      <c r="CV79" s="198" t="s">
        <v>656</v>
      </c>
      <c r="CW79" s="198" t="s">
        <v>656</v>
      </c>
      <c r="CX79" s="83" t="s">
        <v>656</v>
      </c>
      <c r="CY79" s="83" t="s">
        <v>656</v>
      </c>
      <c r="CZ79" s="83">
        <v>1</v>
      </c>
      <c r="DA79" s="198" t="s">
        <v>470</v>
      </c>
      <c r="DB79" s="198" t="s">
        <v>656</v>
      </c>
      <c r="DC79" s="83" t="s">
        <v>656</v>
      </c>
      <c r="DD79" s="198" t="s">
        <v>479</v>
      </c>
      <c r="DE79" s="198" t="s">
        <v>1777</v>
      </c>
      <c r="DF79" s="83" t="s">
        <v>656</v>
      </c>
      <c r="DG79" s="198" t="s">
        <v>470</v>
      </c>
      <c r="DH79" s="198" t="s">
        <v>656</v>
      </c>
      <c r="DI79" s="83" t="s">
        <v>656</v>
      </c>
      <c r="DJ79" s="83" t="s">
        <v>470</v>
      </c>
      <c r="DK79" s="83" t="s">
        <v>656</v>
      </c>
      <c r="DL79" s="83" t="s">
        <v>656</v>
      </c>
      <c r="DM79" s="83" t="s">
        <v>470</v>
      </c>
      <c r="DN79" s="83" t="s">
        <v>656</v>
      </c>
      <c r="DO79" s="83" t="s">
        <v>656</v>
      </c>
      <c r="DP79" s="198" t="s">
        <v>479</v>
      </c>
      <c r="DQ79" s="198" t="s">
        <v>1764</v>
      </c>
      <c r="DR79" s="83" t="s">
        <v>656</v>
      </c>
      <c r="DS79" s="198" t="s">
        <v>470</v>
      </c>
      <c r="DT79" s="198" t="s">
        <v>656</v>
      </c>
      <c r="DU79" s="83" t="s">
        <v>656</v>
      </c>
      <c r="DV79" s="198" t="s">
        <v>470</v>
      </c>
      <c r="DW79" s="198" t="s">
        <v>656</v>
      </c>
      <c r="DX79" s="83" t="s">
        <v>656</v>
      </c>
      <c r="DY79" s="198" t="s">
        <v>479</v>
      </c>
      <c r="DZ79" s="198" t="s">
        <v>1778</v>
      </c>
      <c r="EA79" s="83">
        <v>2000</v>
      </c>
      <c r="EB79" s="198" t="s">
        <v>479</v>
      </c>
      <c r="EC79" s="198" t="s">
        <v>1779</v>
      </c>
      <c r="ED79" s="83">
        <v>1500</v>
      </c>
      <c r="EE79" s="83" t="s">
        <v>470</v>
      </c>
      <c r="EF79" s="83" t="s">
        <v>656</v>
      </c>
      <c r="EG79" s="83" t="s">
        <v>656</v>
      </c>
      <c r="EH79" s="198" t="s">
        <v>470</v>
      </c>
      <c r="EI79" s="198" t="s">
        <v>656</v>
      </c>
      <c r="EJ79" s="83" t="s">
        <v>656</v>
      </c>
      <c r="EK79" s="198" t="s">
        <v>470</v>
      </c>
      <c r="EL79" s="198" t="s">
        <v>656</v>
      </c>
      <c r="EM79" s="83" t="s">
        <v>656</v>
      </c>
      <c r="EN79" s="198" t="s">
        <v>470</v>
      </c>
      <c r="EO79" s="198" t="s">
        <v>656</v>
      </c>
      <c r="EP79" s="83" t="s">
        <v>656</v>
      </c>
      <c r="EQ79" s="198" t="s">
        <v>470</v>
      </c>
      <c r="ER79" s="198" t="s">
        <v>656</v>
      </c>
      <c r="ES79" s="83" t="s">
        <v>656</v>
      </c>
      <c r="ET79" s="198" t="s">
        <v>470</v>
      </c>
      <c r="EU79" s="198" t="s">
        <v>656</v>
      </c>
      <c r="EV79" s="83" t="s">
        <v>656</v>
      </c>
      <c r="EW79" s="837" t="s">
        <v>470</v>
      </c>
      <c r="EX79" s="198" t="s">
        <v>1780</v>
      </c>
      <c r="EY79" s="505">
        <v>38</v>
      </c>
      <c r="EZ79" s="198" t="s">
        <v>479</v>
      </c>
      <c r="FA79" s="198" t="s">
        <v>1781</v>
      </c>
      <c r="FB79" s="549" t="s">
        <v>1782</v>
      </c>
      <c r="FC79" s="198" t="s">
        <v>1783</v>
      </c>
      <c r="FD79" s="549" t="s">
        <v>1784</v>
      </c>
      <c r="FE79" s="198" t="s">
        <v>1748</v>
      </c>
      <c r="FF79" s="198" t="s">
        <v>656</v>
      </c>
      <c r="FG79" s="198" t="s">
        <v>656</v>
      </c>
      <c r="FH79" s="198" t="s">
        <v>656</v>
      </c>
      <c r="FI79" s="198" t="s">
        <v>656</v>
      </c>
      <c r="FJ79" s="198" t="s">
        <v>1751</v>
      </c>
      <c r="FK79" s="198" t="s">
        <v>1752</v>
      </c>
      <c r="FL79" s="198" t="s">
        <v>1753</v>
      </c>
      <c r="FM79" s="198" t="s">
        <v>1754</v>
      </c>
      <c r="FN79" s="198" t="s">
        <v>1755</v>
      </c>
      <c r="FO79" s="549" t="s">
        <v>1756</v>
      </c>
    </row>
    <row r="80" spans="5:171" ht="104" customHeight="1" x14ac:dyDescent="0.2">
      <c r="E80" s="94" t="s">
        <v>9302</v>
      </c>
      <c r="F80" s="94" t="s">
        <v>9120</v>
      </c>
      <c r="G80" s="198" t="s">
        <v>322</v>
      </c>
      <c r="H80" s="198" t="s">
        <v>403</v>
      </c>
      <c r="I80" s="198"/>
      <c r="J80" s="97" t="s">
        <v>965</v>
      </c>
      <c r="K80" s="97" t="s">
        <v>966</v>
      </c>
      <c r="L80" s="502">
        <v>2019</v>
      </c>
      <c r="M80" s="822">
        <v>44228</v>
      </c>
      <c r="N80" s="822">
        <v>44866</v>
      </c>
      <c r="O80" s="198" t="s">
        <v>967</v>
      </c>
      <c r="P80" s="198" t="s">
        <v>968</v>
      </c>
      <c r="Q80" s="549" t="s">
        <v>969</v>
      </c>
      <c r="R80" s="198" t="s">
        <v>470</v>
      </c>
      <c r="S80" s="198" t="s">
        <v>470</v>
      </c>
      <c r="T80" s="198" t="s">
        <v>970</v>
      </c>
      <c r="U80" s="549" t="s">
        <v>971</v>
      </c>
      <c r="V80" s="198" t="s">
        <v>9606</v>
      </c>
      <c r="W80" s="549" t="s">
        <v>971</v>
      </c>
      <c r="X80" s="198" t="s">
        <v>9607</v>
      </c>
      <c r="Y80" s="198" t="s">
        <v>972</v>
      </c>
      <c r="Z80" s="198"/>
      <c r="AA80" s="198"/>
      <c r="AB80" s="198"/>
      <c r="AC80" s="198"/>
      <c r="AD80" s="198"/>
      <c r="AE80" s="198"/>
      <c r="AF80" s="198"/>
      <c r="AG80" s="198"/>
      <c r="AH80" s="198" t="s">
        <v>973</v>
      </c>
      <c r="AI80" s="198" t="s">
        <v>973</v>
      </c>
      <c r="AJ80" s="198" t="s">
        <v>504</v>
      </c>
      <c r="AK80" s="198" t="s">
        <v>974</v>
      </c>
      <c r="AL80" s="580">
        <f t="shared" si="7"/>
        <v>207.423</v>
      </c>
      <c r="AM80" s="504">
        <v>207.423</v>
      </c>
      <c r="AN80" s="516">
        <v>120.364</v>
      </c>
      <c r="AO80" s="837">
        <f>AN80/AL80</f>
        <v>0.58028280373921892</v>
      </c>
      <c r="AP80" s="839">
        <f>AL80/283185.552</f>
        <v>7.3246321549624816E-4</v>
      </c>
      <c r="AQ80" s="504">
        <v>66.650999999999996</v>
      </c>
      <c r="AR80" s="837">
        <f>AQ80/AL80</f>
        <v>0.32132887866822868</v>
      </c>
      <c r="AS80" s="837"/>
      <c r="AT80" s="520">
        <v>0</v>
      </c>
      <c r="AU80" s="137"/>
      <c r="AV80" s="520">
        <v>0</v>
      </c>
      <c r="AW80" s="137"/>
      <c r="AX80" s="520">
        <f>20.408</f>
        <v>20.408000000000001</v>
      </c>
      <c r="AY80" s="837">
        <f>AX80/AL80</f>
        <v>9.8388317592552427E-2</v>
      </c>
      <c r="AZ80" s="520">
        <v>0</v>
      </c>
      <c r="BA80" s="137"/>
      <c r="BB80" s="198"/>
      <c r="BC80" s="198"/>
      <c r="BD80" s="198"/>
      <c r="BE80" s="198" t="s">
        <v>470</v>
      </c>
      <c r="BF80" s="198"/>
      <c r="BG80" s="198"/>
      <c r="BH80" s="198"/>
      <c r="BI80" s="580">
        <v>200</v>
      </c>
      <c r="BJ80" s="839">
        <f>200/283185.553</f>
        <v>7.0625071752865862E-4</v>
      </c>
      <c r="BK80" s="83">
        <v>358</v>
      </c>
      <c r="BL80" s="83">
        <f>179</f>
        <v>179</v>
      </c>
      <c r="BM80" s="83">
        <f>125</f>
        <v>125</v>
      </c>
      <c r="BN80" s="83">
        <v>0</v>
      </c>
      <c r="BO80" s="83">
        <v>0</v>
      </c>
      <c r="BP80" s="83">
        <v>0</v>
      </c>
      <c r="BQ80" s="83">
        <v>0</v>
      </c>
      <c r="BR80" s="83">
        <v>0</v>
      </c>
      <c r="BS80" s="83">
        <v>14</v>
      </c>
      <c r="BT80" s="83">
        <v>10</v>
      </c>
      <c r="BU80" s="83">
        <v>5</v>
      </c>
      <c r="BV80" s="83">
        <v>43</v>
      </c>
      <c r="BW80" s="83">
        <v>0</v>
      </c>
      <c r="BX80" s="83">
        <v>14</v>
      </c>
      <c r="BY80" s="83">
        <v>17</v>
      </c>
      <c r="BZ80" s="83">
        <v>21</v>
      </c>
      <c r="CA80" s="83">
        <v>0</v>
      </c>
      <c r="CB80" s="83">
        <v>0</v>
      </c>
      <c r="CC80" s="83">
        <v>0</v>
      </c>
      <c r="CD80" s="83">
        <v>0</v>
      </c>
      <c r="CE80" s="83">
        <v>0</v>
      </c>
      <c r="CF80" s="83">
        <v>1</v>
      </c>
      <c r="CG80" s="83">
        <v>0</v>
      </c>
      <c r="CH80" s="83">
        <v>0</v>
      </c>
      <c r="CI80" s="83">
        <v>0</v>
      </c>
      <c r="CJ80" s="83">
        <v>0</v>
      </c>
      <c r="CK80" s="83">
        <v>0</v>
      </c>
      <c r="CL80" s="824">
        <f t="shared" si="9"/>
        <v>125</v>
      </c>
      <c r="CM80" s="824">
        <f t="shared" si="8"/>
        <v>0</v>
      </c>
      <c r="CN80" s="580">
        <v>1821.8309999999999</v>
      </c>
      <c r="CO80" s="198" t="s">
        <v>975</v>
      </c>
      <c r="CP80" s="198" t="s">
        <v>976</v>
      </c>
      <c r="CQ80" s="837">
        <v>0.6996</v>
      </c>
      <c r="CR80" s="580">
        <v>2604.2719999999999</v>
      </c>
      <c r="CS80" s="834" t="s">
        <v>977</v>
      </c>
      <c r="CT80" s="198" t="s">
        <v>470</v>
      </c>
      <c r="CU80" s="198" t="s">
        <v>470</v>
      </c>
      <c r="CV80" s="198" t="s">
        <v>470</v>
      </c>
      <c r="CW80" s="198" t="s">
        <v>470</v>
      </c>
      <c r="CX80" s="83" t="s">
        <v>470</v>
      </c>
      <c r="CY80" s="83" t="s">
        <v>470</v>
      </c>
      <c r="CZ80" s="83">
        <v>7</v>
      </c>
      <c r="DA80" s="198"/>
      <c r="DB80" s="198"/>
      <c r="DC80" s="83"/>
      <c r="DD80" s="198" t="s">
        <v>479</v>
      </c>
      <c r="DE80" s="198" t="s">
        <v>978</v>
      </c>
      <c r="DF80" s="83">
        <v>180694</v>
      </c>
      <c r="DG80" s="83" t="s">
        <v>470</v>
      </c>
      <c r="DH80" s="83" t="s">
        <v>470</v>
      </c>
      <c r="DI80" s="83" t="s">
        <v>470</v>
      </c>
      <c r="DJ80" s="83" t="s">
        <v>470</v>
      </c>
      <c r="DK80" s="83" t="s">
        <v>470</v>
      </c>
      <c r="DL80" s="83" t="s">
        <v>470</v>
      </c>
      <c r="DM80" s="198" t="s">
        <v>470</v>
      </c>
      <c r="DN80" s="198" t="s">
        <v>470</v>
      </c>
      <c r="DO80" s="83" t="s">
        <v>470</v>
      </c>
      <c r="DP80" s="198" t="s">
        <v>470</v>
      </c>
      <c r="DQ80" s="198" t="s">
        <v>470</v>
      </c>
      <c r="DR80" s="83" t="s">
        <v>470</v>
      </c>
      <c r="DS80" s="198" t="s">
        <v>470</v>
      </c>
      <c r="DT80" s="198" t="s">
        <v>470</v>
      </c>
      <c r="DU80" s="83" t="s">
        <v>470</v>
      </c>
      <c r="DV80" s="198" t="s">
        <v>470</v>
      </c>
      <c r="DW80" s="198" t="s">
        <v>470</v>
      </c>
      <c r="DX80" s="83" t="s">
        <v>470</v>
      </c>
      <c r="DY80" s="198" t="s">
        <v>470</v>
      </c>
      <c r="DZ80" s="198" t="s">
        <v>470</v>
      </c>
      <c r="EA80" s="83" t="s">
        <v>470</v>
      </c>
      <c r="EB80" s="198" t="s">
        <v>479</v>
      </c>
      <c r="EC80" s="198" t="s">
        <v>979</v>
      </c>
      <c r="ED80" s="83">
        <v>10824</v>
      </c>
      <c r="EE80" s="83" t="s">
        <v>470</v>
      </c>
      <c r="EF80" s="83" t="s">
        <v>470</v>
      </c>
      <c r="EG80" s="83" t="s">
        <v>470</v>
      </c>
      <c r="EH80" s="198" t="s">
        <v>470</v>
      </c>
      <c r="EI80" s="198" t="s">
        <v>470</v>
      </c>
      <c r="EJ80" s="83" t="s">
        <v>470</v>
      </c>
      <c r="EK80" s="198" t="s">
        <v>470</v>
      </c>
      <c r="EL80" s="198" t="s">
        <v>470</v>
      </c>
      <c r="EM80" s="83" t="s">
        <v>470</v>
      </c>
      <c r="EN80" s="198" t="s">
        <v>479</v>
      </c>
      <c r="EO80" s="198" t="s">
        <v>980</v>
      </c>
      <c r="EP80" s="83">
        <v>8</v>
      </c>
      <c r="EQ80" s="83" t="s">
        <v>470</v>
      </c>
      <c r="ER80" s="83" t="s">
        <v>470</v>
      </c>
      <c r="ES80" s="83" t="s">
        <v>470</v>
      </c>
      <c r="ET80" s="198" t="s">
        <v>470</v>
      </c>
      <c r="EU80" s="198" t="s">
        <v>470</v>
      </c>
      <c r="EV80" s="83" t="s">
        <v>470</v>
      </c>
      <c r="EW80" s="837">
        <v>1</v>
      </c>
      <c r="EX80" s="198" t="s">
        <v>981</v>
      </c>
      <c r="EY80" s="505">
        <v>179</v>
      </c>
      <c r="EZ80" s="198" t="s">
        <v>470</v>
      </c>
      <c r="FA80" s="198" t="s">
        <v>470</v>
      </c>
      <c r="FB80" s="891" t="s">
        <v>982</v>
      </c>
      <c r="FC80" s="884" t="s">
        <v>983</v>
      </c>
      <c r="FD80" s="549" t="s">
        <v>984</v>
      </c>
      <c r="FE80" s="198" t="s">
        <v>985</v>
      </c>
      <c r="FF80" s="198" t="s">
        <v>986</v>
      </c>
      <c r="FG80" s="198" t="s">
        <v>987</v>
      </c>
      <c r="FH80" s="198">
        <v>12</v>
      </c>
      <c r="FI80" s="198">
        <v>830</v>
      </c>
      <c r="FJ80" s="198" t="s">
        <v>988</v>
      </c>
      <c r="FK80" s="198" t="s">
        <v>989</v>
      </c>
      <c r="FL80" s="198" t="s">
        <v>990</v>
      </c>
      <c r="FM80" s="198"/>
      <c r="FN80" s="198"/>
      <c r="FO80" s="198"/>
    </row>
    <row r="81" spans="5:171" ht="104" customHeight="1" x14ac:dyDescent="0.2">
      <c r="E81" s="94" t="s">
        <v>9302</v>
      </c>
      <c r="F81" s="94" t="s">
        <v>9120</v>
      </c>
      <c r="G81" s="198" t="s">
        <v>323</v>
      </c>
      <c r="H81" s="198" t="s">
        <v>404</v>
      </c>
      <c r="I81" s="198"/>
      <c r="J81" s="198" t="s">
        <v>1803</v>
      </c>
      <c r="K81" s="198" t="s">
        <v>1772</v>
      </c>
      <c r="L81" s="578">
        <v>2014</v>
      </c>
      <c r="M81" s="822">
        <v>44410</v>
      </c>
      <c r="N81" s="822">
        <v>44926</v>
      </c>
      <c r="O81" s="198" t="s">
        <v>1804</v>
      </c>
      <c r="P81" s="198" t="s">
        <v>1805</v>
      </c>
      <c r="Q81" s="844" t="s">
        <v>1806</v>
      </c>
      <c r="R81" s="198" t="s">
        <v>470</v>
      </c>
      <c r="S81" s="198"/>
      <c r="T81" s="198" t="s">
        <v>470</v>
      </c>
      <c r="U81" s="198"/>
      <c r="V81" s="198" t="s">
        <v>470</v>
      </c>
      <c r="W81" s="198"/>
      <c r="X81" s="198" t="s">
        <v>1807</v>
      </c>
      <c r="Y81" s="892" t="s">
        <v>1808</v>
      </c>
      <c r="Z81" s="892"/>
      <c r="AA81" s="892"/>
      <c r="AB81" s="892"/>
      <c r="AC81" s="892"/>
      <c r="AD81" s="892"/>
      <c r="AE81" s="892"/>
      <c r="AF81" s="892"/>
      <c r="AG81" s="892"/>
      <c r="AH81" s="198" t="s">
        <v>1809</v>
      </c>
      <c r="AI81" s="198" t="s">
        <v>1809</v>
      </c>
      <c r="AJ81" s="198" t="s">
        <v>1810</v>
      </c>
      <c r="AK81" s="198" t="s">
        <v>1811</v>
      </c>
      <c r="AL81" s="580">
        <f t="shared" si="7"/>
        <v>33.441000000000003</v>
      </c>
      <c r="AM81" s="504">
        <v>33.441000000000003</v>
      </c>
      <c r="AN81" s="516">
        <v>17.658000000000001</v>
      </c>
      <c r="AO81" s="137">
        <v>0.52800000000000002</v>
      </c>
      <c r="AP81" s="137">
        <v>2.0000000000000001E-4</v>
      </c>
      <c r="AQ81" s="504">
        <v>15.782999999999999</v>
      </c>
      <c r="AR81" s="137">
        <v>0.47199999999999998</v>
      </c>
      <c r="AS81" s="137"/>
      <c r="AT81" s="520"/>
      <c r="AU81" s="137"/>
      <c r="AV81" s="520"/>
      <c r="AW81" s="137"/>
      <c r="AX81" s="520"/>
      <c r="AY81" s="137"/>
      <c r="AZ81" s="520"/>
      <c r="BA81" s="137"/>
      <c r="BB81" s="198"/>
      <c r="BC81" s="198"/>
      <c r="BD81" s="198"/>
      <c r="BE81" s="198" t="s">
        <v>470</v>
      </c>
      <c r="BF81" s="198"/>
      <c r="BG81" s="198"/>
      <c r="BH81" s="198"/>
      <c r="BI81" s="198">
        <v>30</v>
      </c>
      <c r="BJ81" s="137">
        <v>2.9999999999999997E-4</v>
      </c>
      <c r="BK81" s="83">
        <v>135</v>
      </c>
      <c r="BL81" s="83">
        <v>69</v>
      </c>
      <c r="BM81" s="83">
        <v>26</v>
      </c>
      <c r="BN81" s="83">
        <v>1</v>
      </c>
      <c r="BO81" s="83">
        <v>17</v>
      </c>
      <c r="BP81" s="83"/>
      <c r="BQ81" s="83"/>
      <c r="BR81" s="83"/>
      <c r="BS81" s="83"/>
      <c r="BT81" s="83"/>
      <c r="BU81" s="83"/>
      <c r="BV81" s="83">
        <v>3</v>
      </c>
      <c r="BW81" s="83"/>
      <c r="BX81" s="83">
        <v>2</v>
      </c>
      <c r="BY81" s="83">
        <v>3</v>
      </c>
      <c r="BZ81" s="83"/>
      <c r="CA81" s="83"/>
      <c r="CB81" s="83"/>
      <c r="CC81" s="83"/>
      <c r="CD81" s="83"/>
      <c r="CE81" s="83"/>
      <c r="CF81" s="83"/>
      <c r="CG81" s="83"/>
      <c r="CH81" s="83"/>
      <c r="CI81" s="83"/>
      <c r="CJ81" s="83"/>
      <c r="CK81" s="83"/>
      <c r="CL81" s="824">
        <f t="shared" si="9"/>
        <v>26</v>
      </c>
      <c r="CM81" s="824">
        <f t="shared" si="8"/>
        <v>0</v>
      </c>
      <c r="CN81" s="580"/>
      <c r="CO81" s="198"/>
      <c r="CP81" s="198"/>
      <c r="CQ81" s="137"/>
      <c r="CR81" s="580"/>
      <c r="CS81" s="137"/>
      <c r="CT81" s="198" t="s">
        <v>470</v>
      </c>
      <c r="CU81" s="198"/>
      <c r="CV81" s="198"/>
      <c r="CW81" s="198"/>
      <c r="CX81" s="83"/>
      <c r="CY81" s="83"/>
      <c r="CZ81" s="83" t="s">
        <v>1815</v>
      </c>
      <c r="DA81" s="198" t="s">
        <v>470</v>
      </c>
      <c r="DB81" s="198"/>
      <c r="DC81" s="83"/>
      <c r="DD81" s="198" t="s">
        <v>479</v>
      </c>
      <c r="DE81" s="198" t="s">
        <v>9608</v>
      </c>
      <c r="DF81" s="83" t="s">
        <v>1816</v>
      </c>
      <c r="DG81" s="83" t="s">
        <v>470</v>
      </c>
      <c r="DH81" s="83"/>
      <c r="DI81" s="83"/>
      <c r="DJ81" s="83" t="s">
        <v>470</v>
      </c>
      <c r="DK81" s="83"/>
      <c r="DL81" s="83"/>
      <c r="DM81" s="198" t="s">
        <v>470</v>
      </c>
      <c r="DN81" s="198"/>
      <c r="DO81" s="83"/>
      <c r="DP81" s="198" t="s">
        <v>470</v>
      </c>
      <c r="DQ81" s="198"/>
      <c r="DR81" s="83"/>
      <c r="DS81" s="198" t="s">
        <v>470</v>
      </c>
      <c r="DT81" s="198"/>
      <c r="DU81" s="83"/>
      <c r="DV81" s="198" t="s">
        <v>470</v>
      </c>
      <c r="DW81" s="198"/>
      <c r="DX81" s="83"/>
      <c r="DY81" s="198" t="s">
        <v>470</v>
      </c>
      <c r="DZ81" s="198"/>
      <c r="EA81" s="83"/>
      <c r="EB81" s="198" t="s">
        <v>470</v>
      </c>
      <c r="EC81" s="198"/>
      <c r="ED81" s="83"/>
      <c r="EE81" s="83" t="s">
        <v>470</v>
      </c>
      <c r="EF81" s="83"/>
      <c r="EG81" s="83"/>
      <c r="EH81" s="198" t="s">
        <v>470</v>
      </c>
      <c r="EI81" s="198"/>
      <c r="EJ81" s="83"/>
      <c r="EK81" s="198" t="s">
        <v>479</v>
      </c>
      <c r="EL81" s="198" t="s">
        <v>9609</v>
      </c>
      <c r="EM81" s="83" t="s">
        <v>1816</v>
      </c>
      <c r="EN81" s="198" t="s">
        <v>470</v>
      </c>
      <c r="EO81" s="198"/>
      <c r="EP81" s="83"/>
      <c r="EQ81" s="83" t="s">
        <v>470</v>
      </c>
      <c r="ER81" s="83"/>
      <c r="ES81" s="83"/>
      <c r="ET81" s="198"/>
      <c r="EU81" s="198"/>
      <c r="EV81" s="83"/>
      <c r="EW81" s="837" t="s">
        <v>1817</v>
      </c>
      <c r="EX81" s="198" t="s">
        <v>1818</v>
      </c>
      <c r="EY81" s="505">
        <v>21</v>
      </c>
      <c r="EZ81" s="198" t="s">
        <v>479</v>
      </c>
      <c r="FA81" s="198" t="s">
        <v>1819</v>
      </c>
      <c r="FB81" s="198" t="s">
        <v>1820</v>
      </c>
      <c r="FC81" s="198" t="s">
        <v>1821</v>
      </c>
      <c r="FD81" s="844" t="s">
        <v>1822</v>
      </c>
      <c r="FE81" s="198" t="s">
        <v>1823</v>
      </c>
      <c r="FF81" s="198" t="s">
        <v>1824</v>
      </c>
      <c r="FG81" s="198" t="s">
        <v>9610</v>
      </c>
      <c r="FH81" s="198" t="s">
        <v>1825</v>
      </c>
      <c r="FI81" s="198" t="s">
        <v>1826</v>
      </c>
      <c r="FJ81" s="198" t="s">
        <v>1827</v>
      </c>
      <c r="FK81" s="83" t="s">
        <v>1828</v>
      </c>
      <c r="FL81" s="844" t="s">
        <v>1829</v>
      </c>
      <c r="FM81" s="198"/>
      <c r="FN81" s="198"/>
      <c r="FO81" s="198"/>
    </row>
    <row r="82" spans="5:171" ht="104" customHeight="1" x14ac:dyDescent="0.2">
      <c r="E82" s="94" t="s">
        <v>9302</v>
      </c>
      <c r="F82" s="94" t="s">
        <v>9120</v>
      </c>
      <c r="G82" s="198" t="s">
        <v>323</v>
      </c>
      <c r="H82" s="198" t="s">
        <v>404</v>
      </c>
      <c r="I82" s="198"/>
      <c r="J82" s="198" t="s">
        <v>1142</v>
      </c>
      <c r="K82" s="198" t="s">
        <v>1830</v>
      </c>
      <c r="L82" s="578">
        <v>2010</v>
      </c>
      <c r="M82" s="822">
        <v>44287</v>
      </c>
      <c r="N82" s="822">
        <v>44926</v>
      </c>
      <c r="O82" s="198" t="s">
        <v>1831</v>
      </c>
      <c r="P82" s="198" t="s">
        <v>1832</v>
      </c>
      <c r="Q82" s="198" t="s">
        <v>1833</v>
      </c>
      <c r="R82" s="198" t="s">
        <v>656</v>
      </c>
      <c r="S82" s="198" t="s">
        <v>656</v>
      </c>
      <c r="T82" s="198" t="s">
        <v>656</v>
      </c>
      <c r="U82" s="198" t="s">
        <v>656</v>
      </c>
      <c r="V82" s="198" t="s">
        <v>656</v>
      </c>
      <c r="W82" s="198" t="s">
        <v>656</v>
      </c>
      <c r="X82" s="198"/>
      <c r="Y82" s="893"/>
      <c r="Z82" s="893"/>
      <c r="AA82" s="893"/>
      <c r="AB82" s="893"/>
      <c r="AC82" s="893"/>
      <c r="AD82" s="893"/>
      <c r="AE82" s="893"/>
      <c r="AF82" s="893"/>
      <c r="AG82" s="893"/>
      <c r="AH82" s="198" t="s">
        <v>1834</v>
      </c>
      <c r="AI82" s="198" t="s">
        <v>1834</v>
      </c>
      <c r="AJ82" s="198" t="s">
        <v>1835</v>
      </c>
      <c r="AK82" s="198" t="s">
        <v>1836</v>
      </c>
      <c r="AL82" s="580">
        <f t="shared" si="7"/>
        <v>349.74700000000001</v>
      </c>
      <c r="AM82" s="504">
        <v>349.74700000000001</v>
      </c>
      <c r="AN82" s="516">
        <v>231.50200000000001</v>
      </c>
      <c r="AO82" s="137">
        <v>0.66190000000000004</v>
      </c>
      <c r="AP82" s="137">
        <v>2.3999999999999998E-3</v>
      </c>
      <c r="AQ82" s="504">
        <v>55.689</v>
      </c>
      <c r="AR82" s="137">
        <v>0.15920000000000001</v>
      </c>
      <c r="AS82" s="137"/>
      <c r="AT82" s="520">
        <v>40.235999999999997</v>
      </c>
      <c r="AU82" s="137">
        <v>0.115</v>
      </c>
      <c r="AV82" s="520">
        <v>22.32</v>
      </c>
      <c r="AW82" s="137">
        <v>6.3799999999999996E-2</v>
      </c>
      <c r="AX82" s="520"/>
      <c r="AY82" s="137"/>
      <c r="AZ82" s="520" t="s">
        <v>656</v>
      </c>
      <c r="BA82" s="137" t="s">
        <v>656</v>
      </c>
      <c r="BB82" s="198" t="s">
        <v>656</v>
      </c>
      <c r="BC82" s="198" t="s">
        <v>656</v>
      </c>
      <c r="BD82" s="198" t="s">
        <v>656</v>
      </c>
      <c r="BE82" s="198" t="s">
        <v>479</v>
      </c>
      <c r="BF82" s="198" t="s">
        <v>1837</v>
      </c>
      <c r="BG82" s="198"/>
      <c r="BH82" s="198" t="s">
        <v>656</v>
      </c>
      <c r="BI82" s="570" t="s">
        <v>1838</v>
      </c>
      <c r="BJ82" s="137">
        <v>4.1000000000000003E-3</v>
      </c>
      <c r="BK82" s="83">
        <v>307</v>
      </c>
      <c r="BL82" s="83">
        <v>278</v>
      </c>
      <c r="BM82" s="83">
        <v>262</v>
      </c>
      <c r="BN82" s="83">
        <v>10</v>
      </c>
      <c r="BO82" s="83">
        <v>80</v>
      </c>
      <c r="BP82" s="83">
        <v>14</v>
      </c>
      <c r="BQ82" s="83">
        <v>8</v>
      </c>
      <c r="BR82" s="83"/>
      <c r="BS82" s="83"/>
      <c r="BT82" s="83">
        <v>10</v>
      </c>
      <c r="BU82" s="83">
        <v>28</v>
      </c>
      <c r="BV82" s="83">
        <v>14</v>
      </c>
      <c r="BW82" s="83">
        <v>81</v>
      </c>
      <c r="BX82" s="83"/>
      <c r="BY82" s="83">
        <v>13</v>
      </c>
      <c r="BZ82" s="83">
        <v>7</v>
      </c>
      <c r="CA82" s="83"/>
      <c r="CB82" s="83"/>
      <c r="CC82" s="83"/>
      <c r="CD82" s="83"/>
      <c r="CE82" s="83"/>
      <c r="CF82" s="83"/>
      <c r="CG82" s="83"/>
      <c r="CH82" s="83"/>
      <c r="CI82" s="83"/>
      <c r="CJ82" s="83"/>
      <c r="CK82" s="83"/>
      <c r="CL82" s="824">
        <f t="shared" si="9"/>
        <v>265</v>
      </c>
      <c r="CM82" s="824">
        <f t="shared" si="8"/>
        <v>0</v>
      </c>
      <c r="CN82" s="580">
        <v>322.14100000000002</v>
      </c>
      <c r="CO82" s="198" t="s">
        <v>1839</v>
      </c>
      <c r="CP82" s="198"/>
      <c r="CQ82" s="137">
        <v>0.26079999999999998</v>
      </c>
      <c r="CR82" s="580">
        <v>1234.78</v>
      </c>
      <c r="CS82" s="137" t="s">
        <v>1840</v>
      </c>
      <c r="CT82" s="198" t="s">
        <v>470</v>
      </c>
      <c r="CU82" s="198"/>
      <c r="CV82" s="198"/>
      <c r="CW82" s="198"/>
      <c r="CX82" s="83"/>
      <c r="CY82" s="83"/>
      <c r="CZ82" s="83" t="s">
        <v>1841</v>
      </c>
      <c r="DA82" s="198" t="s">
        <v>470</v>
      </c>
      <c r="DB82" s="198"/>
      <c r="DC82" s="83"/>
      <c r="DD82" s="198" t="s">
        <v>479</v>
      </c>
      <c r="DE82" s="198" t="s">
        <v>1842</v>
      </c>
      <c r="DF82" s="83">
        <v>107306</v>
      </c>
      <c r="DG82" s="83" t="s">
        <v>479</v>
      </c>
      <c r="DH82" s="83"/>
      <c r="DI82" s="83"/>
      <c r="DJ82" s="83" t="s">
        <v>470</v>
      </c>
      <c r="DK82" s="83"/>
      <c r="DL82" s="83"/>
      <c r="DM82" s="198" t="s">
        <v>470</v>
      </c>
      <c r="DN82" s="198"/>
      <c r="DO82" s="83"/>
      <c r="DP82" s="198" t="s">
        <v>479</v>
      </c>
      <c r="DQ82" s="198" t="s">
        <v>1843</v>
      </c>
      <c r="DR82" s="83"/>
      <c r="DS82" s="198" t="s">
        <v>470</v>
      </c>
      <c r="DT82" s="198"/>
      <c r="DU82" s="83"/>
      <c r="DV82" s="198"/>
      <c r="DW82" s="198"/>
      <c r="DX82" s="83"/>
      <c r="DY82" s="198" t="s">
        <v>470</v>
      </c>
      <c r="DZ82" s="198"/>
      <c r="EA82" s="83"/>
      <c r="EB82" s="198" t="s">
        <v>470</v>
      </c>
      <c r="EC82" s="198"/>
      <c r="ED82" s="83"/>
      <c r="EE82" s="83" t="s">
        <v>479</v>
      </c>
      <c r="EF82" s="83" t="s">
        <v>1842</v>
      </c>
      <c r="EG82" s="83">
        <v>107306</v>
      </c>
      <c r="EH82" s="198" t="s">
        <v>470</v>
      </c>
      <c r="EI82" s="198"/>
      <c r="EJ82" s="83"/>
      <c r="EK82" s="198" t="s">
        <v>470</v>
      </c>
      <c r="EL82" s="198"/>
      <c r="EM82" s="83"/>
      <c r="EN82" s="198" t="s">
        <v>479</v>
      </c>
      <c r="EO82" s="198" t="s">
        <v>1844</v>
      </c>
      <c r="EP82" s="83">
        <v>17</v>
      </c>
      <c r="EQ82" s="83" t="s">
        <v>470</v>
      </c>
      <c r="ER82" s="83"/>
      <c r="ES82" s="83"/>
      <c r="ET82" s="198"/>
      <c r="EU82" s="198"/>
      <c r="EV82" s="83"/>
      <c r="EW82" s="837">
        <v>1</v>
      </c>
      <c r="EX82" s="198"/>
      <c r="EY82" s="83">
        <v>154</v>
      </c>
      <c r="EZ82" s="198" t="s">
        <v>479</v>
      </c>
      <c r="FA82" s="198" t="s">
        <v>1845</v>
      </c>
      <c r="FB82" s="893" t="s">
        <v>1846</v>
      </c>
      <c r="FC82" s="893" t="s">
        <v>1847</v>
      </c>
      <c r="FD82" s="198" t="s">
        <v>1848</v>
      </c>
      <c r="FE82" s="198" t="s">
        <v>9611</v>
      </c>
      <c r="FF82" s="198" t="s">
        <v>1849</v>
      </c>
      <c r="FG82" s="198" t="s">
        <v>1850</v>
      </c>
      <c r="FH82" s="198">
        <v>2</v>
      </c>
      <c r="FI82" s="198">
        <v>91</v>
      </c>
      <c r="FJ82" s="198" t="s">
        <v>1851</v>
      </c>
      <c r="FK82" s="198" t="s">
        <v>1852</v>
      </c>
      <c r="FL82" s="893" t="s">
        <v>1853</v>
      </c>
      <c r="FM82" s="198" t="s">
        <v>1827</v>
      </c>
      <c r="FN82" s="83" t="s">
        <v>1828</v>
      </c>
      <c r="FO82" s="844" t="s">
        <v>1829</v>
      </c>
    </row>
    <row r="83" spans="5:171" ht="104" customHeight="1" x14ac:dyDescent="0.2">
      <c r="E83" s="94" t="s">
        <v>9305</v>
      </c>
      <c r="F83" s="94" t="s">
        <v>9121</v>
      </c>
      <c r="G83" s="97" t="s">
        <v>323</v>
      </c>
      <c r="H83" s="97" t="s">
        <v>404</v>
      </c>
      <c r="I83" s="97" t="s">
        <v>8853</v>
      </c>
      <c r="J83" s="97" t="s">
        <v>8365</v>
      </c>
      <c r="K83" s="97" t="s">
        <v>8365</v>
      </c>
      <c r="L83" s="502">
        <v>2022</v>
      </c>
      <c r="M83" s="841">
        <v>44562</v>
      </c>
      <c r="N83" s="841">
        <v>44904</v>
      </c>
      <c r="O83" s="841"/>
      <c r="P83" s="841"/>
      <c r="Q83" s="841"/>
      <c r="R83" s="841"/>
      <c r="S83" s="841"/>
      <c r="T83" s="841"/>
      <c r="U83" s="841"/>
      <c r="V83" s="841"/>
      <c r="W83" s="841"/>
      <c r="X83" s="841"/>
      <c r="Y83" s="841"/>
      <c r="Z83" s="97" t="s">
        <v>8174</v>
      </c>
      <c r="AA83" s="872" t="s">
        <v>7998</v>
      </c>
      <c r="AB83" s="97" t="s">
        <v>7881</v>
      </c>
      <c r="AC83" s="872" t="s">
        <v>7686</v>
      </c>
      <c r="AD83" s="97" t="s">
        <v>7558</v>
      </c>
      <c r="AE83" s="97" t="s">
        <v>7345</v>
      </c>
      <c r="AF83" s="97"/>
      <c r="AG83" s="97"/>
      <c r="AH83" s="97" t="s">
        <v>6894</v>
      </c>
      <c r="AI83" s="97" t="s">
        <v>6894</v>
      </c>
      <c r="AJ83" s="97" t="s">
        <v>504</v>
      </c>
      <c r="AK83" s="97" t="s">
        <v>6595</v>
      </c>
      <c r="AL83" s="580">
        <f t="shared" si="7"/>
        <v>1.3250000000000002</v>
      </c>
      <c r="AM83" s="504">
        <v>1.3250000000000002</v>
      </c>
      <c r="AN83" s="516"/>
      <c r="AO83" s="97"/>
      <c r="AP83" s="97"/>
      <c r="AQ83" s="504">
        <v>1.1870000000000001</v>
      </c>
      <c r="AR83" s="507">
        <v>0.89580000000000004</v>
      </c>
      <c r="AS83" s="507">
        <v>1.8E-3</v>
      </c>
      <c r="AT83" s="516">
        <v>0</v>
      </c>
      <c r="AU83" s="507">
        <v>0</v>
      </c>
      <c r="AV83" s="516">
        <v>0</v>
      </c>
      <c r="AW83" s="507">
        <v>0</v>
      </c>
      <c r="AX83" s="516">
        <v>0.13800000000000001</v>
      </c>
      <c r="AY83" s="507">
        <v>0.1042</v>
      </c>
      <c r="AZ83" s="516"/>
      <c r="BA83" s="507"/>
      <c r="BB83" s="507"/>
      <c r="BC83" s="507"/>
      <c r="BD83" s="507"/>
      <c r="BE83" s="507" t="s">
        <v>479</v>
      </c>
      <c r="BF83" s="507" t="s">
        <v>6331</v>
      </c>
      <c r="BG83" s="507"/>
      <c r="BH83" s="852">
        <v>3.1E-2</v>
      </c>
      <c r="BI83" s="504">
        <v>0</v>
      </c>
      <c r="BJ83" s="507">
        <v>0</v>
      </c>
      <c r="BK83" s="96">
        <v>9</v>
      </c>
      <c r="BL83" s="96">
        <v>9</v>
      </c>
      <c r="BM83" s="96">
        <v>9</v>
      </c>
      <c r="BN83" s="96"/>
      <c r="BO83" s="96">
        <v>2</v>
      </c>
      <c r="BP83" s="96">
        <v>5</v>
      </c>
      <c r="BQ83" s="96"/>
      <c r="BR83" s="96"/>
      <c r="BS83" s="96"/>
      <c r="BT83" s="96"/>
      <c r="BU83" s="96"/>
      <c r="BV83" s="96"/>
      <c r="BW83" s="96"/>
      <c r="BX83" s="96"/>
      <c r="BY83" s="96">
        <v>1</v>
      </c>
      <c r="BZ83" s="96">
        <v>1</v>
      </c>
      <c r="CA83" s="96"/>
      <c r="CB83" s="96"/>
      <c r="CC83" s="96"/>
      <c r="CD83" s="96"/>
      <c r="CE83" s="96"/>
      <c r="CF83" s="96"/>
      <c r="CG83" s="96"/>
      <c r="CH83" s="96"/>
      <c r="CI83" s="96"/>
      <c r="CJ83" s="96"/>
      <c r="CK83" s="96"/>
      <c r="CL83" s="815">
        <f t="shared" si="9"/>
        <v>9</v>
      </c>
      <c r="CM83" s="824">
        <f t="shared" si="8"/>
        <v>0</v>
      </c>
      <c r="CN83" s="504">
        <v>5.0339999999999998</v>
      </c>
      <c r="CO83" s="97" t="s">
        <v>6084</v>
      </c>
      <c r="CP83" s="97"/>
      <c r="CQ83" s="97">
        <v>45.87</v>
      </c>
      <c r="CR83" s="504">
        <v>10.975</v>
      </c>
      <c r="CS83" s="888" t="s">
        <v>5928</v>
      </c>
      <c r="CT83" s="97" t="s">
        <v>470</v>
      </c>
      <c r="CU83" s="97"/>
      <c r="CV83" s="97"/>
      <c r="CW83" s="97"/>
      <c r="CX83" s="96"/>
      <c r="CY83" s="96"/>
      <c r="CZ83" s="96">
        <v>23</v>
      </c>
      <c r="DA83" s="97" t="s">
        <v>470</v>
      </c>
      <c r="DB83" s="97"/>
      <c r="DC83" s="96"/>
      <c r="DD83" s="97" t="s">
        <v>479</v>
      </c>
      <c r="DE83" s="97" t="s">
        <v>5652</v>
      </c>
      <c r="DF83" s="96">
        <v>124</v>
      </c>
      <c r="DG83" s="96" t="s">
        <v>470</v>
      </c>
      <c r="DH83" s="96"/>
      <c r="DI83" s="96"/>
      <c r="DJ83" s="96" t="s">
        <v>470</v>
      </c>
      <c r="DK83" s="96"/>
      <c r="DL83" s="96"/>
      <c r="DM83" s="97" t="s">
        <v>470</v>
      </c>
      <c r="DN83" s="97"/>
      <c r="DO83" s="96"/>
      <c r="DP83" s="97" t="s">
        <v>470</v>
      </c>
      <c r="DQ83" s="97"/>
      <c r="DR83" s="96"/>
      <c r="DS83" s="97" t="s">
        <v>470</v>
      </c>
      <c r="DT83" s="97"/>
      <c r="DU83" s="96"/>
      <c r="DV83" s="97"/>
      <c r="DW83" s="97"/>
      <c r="DX83" s="96"/>
      <c r="DY83" s="97" t="s">
        <v>470</v>
      </c>
      <c r="DZ83" s="97"/>
      <c r="EA83" s="96"/>
      <c r="EB83" s="97" t="s">
        <v>470</v>
      </c>
      <c r="EC83" s="97"/>
      <c r="ED83" s="96"/>
      <c r="EE83" s="96" t="s">
        <v>470</v>
      </c>
      <c r="EF83" s="96"/>
      <c r="EG83" s="96"/>
      <c r="EH83" s="97" t="s">
        <v>470</v>
      </c>
      <c r="EI83" s="97"/>
      <c r="EJ83" s="96"/>
      <c r="EK83" s="97" t="s">
        <v>470</v>
      </c>
      <c r="EL83" s="97"/>
      <c r="EM83" s="96"/>
      <c r="EN83" s="97" t="s">
        <v>470</v>
      </c>
      <c r="EO83" s="97"/>
      <c r="EP83" s="96"/>
      <c r="EQ83" s="96" t="s">
        <v>479</v>
      </c>
      <c r="ER83" s="894" t="s">
        <v>5319</v>
      </c>
      <c r="ES83" s="96">
        <v>8</v>
      </c>
      <c r="ET83" s="97"/>
      <c r="EU83" s="97"/>
      <c r="EV83" s="96"/>
      <c r="EW83" s="96"/>
      <c r="EX83" s="96"/>
      <c r="EY83" s="96"/>
      <c r="EZ83" s="554" t="s">
        <v>9612</v>
      </c>
      <c r="FA83" s="97" t="s">
        <v>5211</v>
      </c>
      <c r="FB83" s="872" t="s">
        <v>5180</v>
      </c>
      <c r="FC83" s="872" t="s">
        <v>5018</v>
      </c>
      <c r="FD83" s="97"/>
      <c r="FE83" s="97"/>
      <c r="FF83" s="97"/>
      <c r="FG83" s="97" t="s">
        <v>4665</v>
      </c>
      <c r="FH83" s="97">
        <v>0</v>
      </c>
      <c r="FI83" s="97">
        <v>0</v>
      </c>
      <c r="FJ83" s="97" t="s">
        <v>4547</v>
      </c>
      <c r="FK83" s="97" t="s">
        <v>4311</v>
      </c>
      <c r="FL83" s="872" t="s">
        <v>4130</v>
      </c>
      <c r="FM83" s="97" t="s">
        <v>1827</v>
      </c>
      <c r="FN83" s="96" t="s">
        <v>1828</v>
      </c>
      <c r="FO83" s="872" t="s">
        <v>1829</v>
      </c>
    </row>
    <row r="84" spans="5:171" ht="104" customHeight="1" x14ac:dyDescent="0.2">
      <c r="E84" s="94" t="s">
        <v>9307</v>
      </c>
      <c r="F84" s="94" t="s">
        <v>9121</v>
      </c>
      <c r="G84" s="97" t="s">
        <v>323</v>
      </c>
      <c r="H84" s="97" t="s">
        <v>404</v>
      </c>
      <c r="I84" s="97" t="s">
        <v>8852</v>
      </c>
      <c r="J84" s="97" t="s">
        <v>8598</v>
      </c>
      <c r="K84" s="97" t="s">
        <v>5242</v>
      </c>
      <c r="L84" s="502">
        <v>2022</v>
      </c>
      <c r="M84" s="841">
        <v>44636</v>
      </c>
      <c r="N84" s="841">
        <v>44838</v>
      </c>
      <c r="O84" s="841"/>
      <c r="P84" s="841"/>
      <c r="Q84" s="841"/>
      <c r="R84" s="841"/>
      <c r="S84" s="841"/>
      <c r="T84" s="841"/>
      <c r="U84" s="841"/>
      <c r="V84" s="841"/>
      <c r="W84" s="841"/>
      <c r="X84" s="841"/>
      <c r="Y84" s="841"/>
      <c r="Z84" s="97" t="s">
        <v>8173</v>
      </c>
      <c r="AA84" s="849" t="s">
        <v>7997</v>
      </c>
      <c r="AB84" s="97" t="s">
        <v>7880</v>
      </c>
      <c r="AC84" s="849" t="s">
        <v>7685</v>
      </c>
      <c r="AD84" s="97" t="s">
        <v>7557</v>
      </c>
      <c r="AE84" s="849" t="s">
        <v>7344</v>
      </c>
      <c r="AF84" s="97"/>
      <c r="AG84" s="97"/>
      <c r="AH84" s="97" t="s">
        <v>7032</v>
      </c>
      <c r="AI84" s="97" t="s">
        <v>6594</v>
      </c>
      <c r="AJ84" s="97" t="s">
        <v>6746</v>
      </c>
      <c r="AK84" s="97" t="s">
        <v>6594</v>
      </c>
      <c r="AL84" s="580">
        <f t="shared" si="7"/>
        <v>5.6790000000000003</v>
      </c>
      <c r="AM84" s="504">
        <v>5.6790000000000003</v>
      </c>
      <c r="AN84" s="516"/>
      <c r="AO84" s="97"/>
      <c r="AP84" s="97"/>
      <c r="AQ84" s="504">
        <v>5.6790000000000003</v>
      </c>
      <c r="AR84" s="507">
        <v>1</v>
      </c>
      <c r="AS84" s="507"/>
      <c r="AT84" s="516">
        <v>0</v>
      </c>
      <c r="AU84" s="507"/>
      <c r="AV84" s="516">
        <v>0</v>
      </c>
      <c r="AW84" s="507"/>
      <c r="AX84" s="516"/>
      <c r="AY84" s="507"/>
      <c r="AZ84" s="516"/>
      <c r="BA84" s="507"/>
      <c r="BB84" s="507"/>
      <c r="BC84" s="507"/>
      <c r="BD84" s="507"/>
      <c r="BE84" s="507" t="s">
        <v>470</v>
      </c>
      <c r="BF84" s="507"/>
      <c r="BG84" s="507"/>
      <c r="BH84" s="852"/>
      <c r="BI84" s="504">
        <v>2.1</v>
      </c>
      <c r="BJ84" s="507">
        <v>9.6000000000000002E-5</v>
      </c>
      <c r="BK84" s="96">
        <v>24</v>
      </c>
      <c r="BL84" s="96"/>
      <c r="BM84" s="96">
        <v>23</v>
      </c>
      <c r="BN84" s="96"/>
      <c r="BO84" s="96"/>
      <c r="BP84" s="96"/>
      <c r="BQ84" s="96"/>
      <c r="BR84" s="96"/>
      <c r="BS84" s="96"/>
      <c r="BT84" s="96"/>
      <c r="BU84" s="96"/>
      <c r="BV84" s="96"/>
      <c r="BW84" s="96">
        <v>10</v>
      </c>
      <c r="BX84" s="96">
        <v>8</v>
      </c>
      <c r="BY84" s="96"/>
      <c r="BZ84" s="96"/>
      <c r="CA84" s="96"/>
      <c r="CB84" s="96"/>
      <c r="CC84" s="96"/>
      <c r="CD84" s="96"/>
      <c r="CE84" s="96"/>
      <c r="CF84" s="96"/>
      <c r="CG84" s="96"/>
      <c r="CH84" s="96"/>
      <c r="CI84" s="96"/>
      <c r="CJ84" s="96"/>
      <c r="CK84" s="96">
        <v>5</v>
      </c>
      <c r="CL84" s="815">
        <f t="shared" si="9"/>
        <v>23</v>
      </c>
      <c r="CM84" s="824">
        <f t="shared" si="8"/>
        <v>0</v>
      </c>
      <c r="CN84" s="504">
        <v>4.2149999999999999</v>
      </c>
      <c r="CO84" s="97" t="s">
        <v>6163</v>
      </c>
      <c r="CP84" s="97"/>
      <c r="CQ84" s="507">
        <v>8.5000000000000006E-3</v>
      </c>
      <c r="CR84" s="504">
        <v>495.82499999999999</v>
      </c>
      <c r="CS84" s="507" t="s">
        <v>1031</v>
      </c>
      <c r="CT84" s="97" t="s">
        <v>470</v>
      </c>
      <c r="CU84" s="97"/>
      <c r="CV84" s="97"/>
      <c r="CW84" s="97"/>
      <c r="CX84" s="96"/>
      <c r="CY84" s="96"/>
      <c r="CZ84" s="96"/>
      <c r="DA84" s="97" t="s">
        <v>470</v>
      </c>
      <c r="DB84" s="97"/>
      <c r="DC84" s="96"/>
      <c r="DD84" s="97" t="s">
        <v>470</v>
      </c>
      <c r="DE84" s="97"/>
      <c r="DF84" s="96"/>
      <c r="DG84" s="96" t="s">
        <v>479</v>
      </c>
      <c r="DH84" s="96" t="s">
        <v>5573</v>
      </c>
      <c r="DI84" s="96">
        <v>25</v>
      </c>
      <c r="DJ84" s="96" t="s">
        <v>470</v>
      </c>
      <c r="DK84" s="96"/>
      <c r="DL84" s="96"/>
      <c r="DM84" s="97" t="s">
        <v>470</v>
      </c>
      <c r="DN84" s="97"/>
      <c r="DO84" s="96"/>
      <c r="DP84" s="97" t="s">
        <v>470</v>
      </c>
      <c r="DQ84" s="97"/>
      <c r="DR84" s="96"/>
      <c r="DS84" s="97" t="s">
        <v>470</v>
      </c>
      <c r="DT84" s="97"/>
      <c r="DU84" s="96"/>
      <c r="DV84" s="97"/>
      <c r="DW84" s="97"/>
      <c r="DX84" s="96"/>
      <c r="DY84" s="97" t="s">
        <v>470</v>
      </c>
      <c r="DZ84" s="97"/>
      <c r="EA84" s="96"/>
      <c r="EB84" s="97" t="s">
        <v>470</v>
      </c>
      <c r="EC84" s="97"/>
      <c r="ED84" s="96"/>
      <c r="EE84" s="96" t="s">
        <v>479</v>
      </c>
      <c r="EF84" s="96" t="s">
        <v>1877</v>
      </c>
      <c r="EG84" s="96">
        <v>3900</v>
      </c>
      <c r="EH84" s="97" t="s">
        <v>470</v>
      </c>
      <c r="EI84" s="97"/>
      <c r="EJ84" s="96"/>
      <c r="EK84" s="97" t="s">
        <v>470</v>
      </c>
      <c r="EL84" s="97"/>
      <c r="EM84" s="96"/>
      <c r="EN84" s="97" t="s">
        <v>470</v>
      </c>
      <c r="EO84" s="97"/>
      <c r="EP84" s="96"/>
      <c r="EQ84" s="96" t="s">
        <v>470</v>
      </c>
      <c r="ER84" s="96"/>
      <c r="ES84" s="96"/>
      <c r="ET84" s="97"/>
      <c r="EU84" s="97"/>
      <c r="EV84" s="96"/>
      <c r="EW84" s="96"/>
      <c r="EX84" s="96"/>
      <c r="EY84" s="96"/>
      <c r="EZ84" s="97" t="s">
        <v>470</v>
      </c>
      <c r="FA84" s="97"/>
      <c r="FB84" s="849" t="s">
        <v>5179</v>
      </c>
      <c r="FC84" s="97"/>
      <c r="FD84" s="97"/>
      <c r="FE84" s="97"/>
      <c r="FF84" s="97"/>
      <c r="FG84" s="97" t="s">
        <v>4664</v>
      </c>
      <c r="FH84" s="97">
        <v>15</v>
      </c>
      <c r="FI84" s="97">
        <v>105</v>
      </c>
      <c r="FJ84" s="97" t="s">
        <v>4546</v>
      </c>
      <c r="FK84" s="97" t="s">
        <v>4310</v>
      </c>
      <c r="FL84" s="849" t="s">
        <v>4129</v>
      </c>
      <c r="FM84" s="97" t="s">
        <v>1827</v>
      </c>
      <c r="FN84" s="96" t="s">
        <v>1828</v>
      </c>
      <c r="FO84" s="506" t="s">
        <v>1829</v>
      </c>
    </row>
    <row r="85" spans="5:171" ht="104" customHeight="1" x14ac:dyDescent="0.2">
      <c r="E85" s="94" t="s">
        <v>9305</v>
      </c>
      <c r="F85" s="94" t="s">
        <v>9121</v>
      </c>
      <c r="G85" s="97" t="s">
        <v>323</v>
      </c>
      <c r="H85" s="97" t="s">
        <v>404</v>
      </c>
      <c r="I85" s="97" t="s">
        <v>8852</v>
      </c>
      <c r="J85" s="97" t="s">
        <v>8597</v>
      </c>
      <c r="K85" s="97" t="s">
        <v>5242</v>
      </c>
      <c r="L85" s="502">
        <v>2022</v>
      </c>
      <c r="M85" s="841">
        <v>44746</v>
      </c>
      <c r="N85" s="841">
        <v>44926</v>
      </c>
      <c r="O85" s="841"/>
      <c r="P85" s="841"/>
      <c r="Q85" s="841"/>
      <c r="R85" s="841"/>
      <c r="S85" s="841"/>
      <c r="T85" s="841"/>
      <c r="U85" s="841"/>
      <c r="V85" s="841"/>
      <c r="W85" s="841"/>
      <c r="X85" s="841"/>
      <c r="Y85" s="841"/>
      <c r="Z85" s="97" t="s">
        <v>8172</v>
      </c>
      <c r="AA85" s="849" t="s">
        <v>7996</v>
      </c>
      <c r="AB85" s="97" t="s">
        <v>7880</v>
      </c>
      <c r="AC85" s="849" t="s">
        <v>7685</v>
      </c>
      <c r="AD85" s="97" t="s">
        <v>7557</v>
      </c>
      <c r="AE85" s="849" t="s">
        <v>7344</v>
      </c>
      <c r="AF85" s="97"/>
      <c r="AG85" s="97"/>
      <c r="AH85" s="97" t="s">
        <v>7032</v>
      </c>
      <c r="AI85" s="97" t="s">
        <v>6594</v>
      </c>
      <c r="AJ85" s="97" t="s">
        <v>6746</v>
      </c>
      <c r="AK85" s="97" t="s">
        <v>6594</v>
      </c>
      <c r="AL85" s="580">
        <f t="shared" si="7"/>
        <v>0.90600000000000003</v>
      </c>
      <c r="AM85" s="504">
        <v>0.90600000000000003</v>
      </c>
      <c r="AN85" s="516"/>
      <c r="AO85" s="97"/>
      <c r="AP85" s="97"/>
      <c r="AQ85" s="504">
        <v>0.9</v>
      </c>
      <c r="AR85" s="507">
        <v>0.99299999999999999</v>
      </c>
      <c r="AS85" s="507"/>
      <c r="AT85" s="516">
        <v>6.0000000000000001E-3</v>
      </c>
      <c r="AU85" s="507">
        <v>7.0000000000000001E-3</v>
      </c>
      <c r="AV85" s="516"/>
      <c r="AW85" s="507"/>
      <c r="AX85" s="516"/>
      <c r="AY85" s="507"/>
      <c r="AZ85" s="516"/>
      <c r="BA85" s="507"/>
      <c r="BB85" s="507"/>
      <c r="BC85" s="507"/>
      <c r="BD85" s="507"/>
      <c r="BE85" s="507" t="s">
        <v>470</v>
      </c>
      <c r="BF85" s="507"/>
      <c r="BG85" s="507"/>
      <c r="BH85" s="852"/>
      <c r="BI85" s="504">
        <v>0</v>
      </c>
      <c r="BJ85" s="507">
        <v>0</v>
      </c>
      <c r="BK85" s="96">
        <v>21</v>
      </c>
      <c r="BL85" s="96"/>
      <c r="BM85" s="96">
        <v>19</v>
      </c>
      <c r="BN85" s="96"/>
      <c r="BO85" s="96"/>
      <c r="BP85" s="96"/>
      <c r="BQ85" s="96"/>
      <c r="BR85" s="96"/>
      <c r="BS85" s="96"/>
      <c r="BT85" s="96">
        <v>2</v>
      </c>
      <c r="BU85" s="96"/>
      <c r="BV85" s="96">
        <v>1</v>
      </c>
      <c r="BW85" s="96"/>
      <c r="BX85" s="96"/>
      <c r="BY85" s="96"/>
      <c r="BZ85" s="96"/>
      <c r="CA85" s="96"/>
      <c r="CB85" s="96">
        <v>15</v>
      </c>
      <c r="CC85" s="96"/>
      <c r="CD85" s="96"/>
      <c r="CE85" s="96"/>
      <c r="CF85" s="96"/>
      <c r="CG85" s="96"/>
      <c r="CH85" s="96"/>
      <c r="CI85" s="96">
        <v>1</v>
      </c>
      <c r="CJ85" s="96"/>
      <c r="CK85" s="96"/>
      <c r="CL85" s="815">
        <v>19</v>
      </c>
      <c r="CM85" s="824">
        <f t="shared" si="8"/>
        <v>0</v>
      </c>
      <c r="CN85" s="504">
        <v>3.3690000000000002</v>
      </c>
      <c r="CO85" s="97" t="s">
        <v>6163</v>
      </c>
      <c r="CP85" s="97"/>
      <c r="CQ85" s="507">
        <v>6.7999999999999996E-3</v>
      </c>
      <c r="CR85" s="504">
        <v>495.82499999999999</v>
      </c>
      <c r="CS85" s="507" t="s">
        <v>1031</v>
      </c>
      <c r="CT85" s="97" t="s">
        <v>470</v>
      </c>
      <c r="CU85" s="97"/>
      <c r="CV85" s="97"/>
      <c r="CW85" s="97"/>
      <c r="CX85" s="96"/>
      <c r="CY85" s="96"/>
      <c r="CZ85" s="96"/>
      <c r="DA85" s="97" t="s">
        <v>479</v>
      </c>
      <c r="DB85" s="97" t="s">
        <v>5734</v>
      </c>
      <c r="DC85" s="96">
        <v>3120</v>
      </c>
      <c r="DD85" s="97" t="s">
        <v>470</v>
      </c>
      <c r="DE85" s="97"/>
      <c r="DF85" s="96"/>
      <c r="DG85" s="96"/>
      <c r="DH85" s="96"/>
      <c r="DI85" s="96"/>
      <c r="DJ85" s="96" t="s">
        <v>470</v>
      </c>
      <c r="DK85" s="96"/>
      <c r="DL85" s="96"/>
      <c r="DM85" s="97" t="s">
        <v>470</v>
      </c>
      <c r="DN85" s="97"/>
      <c r="DO85" s="96"/>
      <c r="DP85" s="97" t="s">
        <v>470</v>
      </c>
      <c r="DQ85" s="97"/>
      <c r="DR85" s="96"/>
      <c r="DS85" s="97" t="s">
        <v>470</v>
      </c>
      <c r="DT85" s="97"/>
      <c r="DU85" s="96"/>
      <c r="DV85" s="97"/>
      <c r="DW85" s="97"/>
      <c r="DX85" s="96"/>
      <c r="DY85" s="97" t="s">
        <v>470</v>
      </c>
      <c r="DZ85" s="97"/>
      <c r="EA85" s="96"/>
      <c r="EB85" s="97" t="s">
        <v>470</v>
      </c>
      <c r="EC85" s="97"/>
      <c r="ED85" s="96"/>
      <c r="EE85" s="96" t="s">
        <v>479</v>
      </c>
      <c r="EF85" s="96" t="s">
        <v>1877</v>
      </c>
      <c r="EG85" s="96">
        <v>3120</v>
      </c>
      <c r="EH85" s="97" t="s">
        <v>470</v>
      </c>
      <c r="EI85" s="97"/>
      <c r="EJ85" s="96"/>
      <c r="EK85" s="97" t="s">
        <v>470</v>
      </c>
      <c r="EL85" s="97"/>
      <c r="EM85" s="96"/>
      <c r="EN85" s="97" t="s">
        <v>470</v>
      </c>
      <c r="EO85" s="97"/>
      <c r="EP85" s="96"/>
      <c r="EQ85" s="96" t="s">
        <v>470</v>
      </c>
      <c r="ER85" s="96"/>
      <c r="ES85" s="96"/>
      <c r="ET85" s="97"/>
      <c r="EU85" s="97"/>
      <c r="EV85" s="96"/>
      <c r="EW85" s="96"/>
      <c r="EX85" s="96"/>
      <c r="EY85" s="96"/>
      <c r="EZ85" s="97" t="s">
        <v>470</v>
      </c>
      <c r="FA85" s="97"/>
      <c r="FB85" s="849" t="s">
        <v>5179</v>
      </c>
      <c r="FC85" s="97"/>
      <c r="FD85" s="97"/>
      <c r="FE85" s="97"/>
      <c r="FF85" s="97"/>
      <c r="FG85" s="97" t="s">
        <v>4663</v>
      </c>
      <c r="FH85" s="97">
        <v>18</v>
      </c>
      <c r="FI85" s="97">
        <v>66</v>
      </c>
      <c r="FJ85" s="97" t="s">
        <v>4546</v>
      </c>
      <c r="FK85" s="97" t="s">
        <v>4310</v>
      </c>
      <c r="FL85" s="849" t="s">
        <v>4129</v>
      </c>
      <c r="FM85" s="97" t="s">
        <v>1827</v>
      </c>
      <c r="FN85" s="96" t="s">
        <v>1828</v>
      </c>
      <c r="FO85" s="506" t="s">
        <v>1829</v>
      </c>
    </row>
    <row r="86" spans="5:171" ht="101" customHeight="1" x14ac:dyDescent="0.2">
      <c r="E86" s="94" t="s">
        <v>9313</v>
      </c>
      <c r="F86" s="94" t="s">
        <v>9120</v>
      </c>
      <c r="G86" s="198" t="s">
        <v>324</v>
      </c>
      <c r="H86" s="198" t="s">
        <v>405</v>
      </c>
      <c r="I86" s="198"/>
      <c r="J86" s="97" t="s">
        <v>650</v>
      </c>
      <c r="K86" s="97" t="s">
        <v>1671</v>
      </c>
      <c r="L86" s="502">
        <v>2017</v>
      </c>
      <c r="M86" s="550" t="s">
        <v>1672</v>
      </c>
      <c r="N86" s="550" t="s">
        <v>1673</v>
      </c>
      <c r="O86" s="550" t="s">
        <v>1674</v>
      </c>
      <c r="P86" s="550" t="s">
        <v>1675</v>
      </c>
      <c r="Q86" s="550" t="s">
        <v>1676</v>
      </c>
      <c r="R86" s="198" t="s">
        <v>873</v>
      </c>
      <c r="S86" s="198"/>
      <c r="T86" s="198" t="s">
        <v>873</v>
      </c>
      <c r="U86" s="198"/>
      <c r="V86" s="198" t="s">
        <v>873</v>
      </c>
      <c r="W86" s="198"/>
      <c r="X86" s="198" t="s">
        <v>1677</v>
      </c>
      <c r="Y86" s="198" t="s">
        <v>1678</v>
      </c>
      <c r="Z86" s="198"/>
      <c r="AA86" s="198"/>
      <c r="AB86" s="198"/>
      <c r="AC86" s="198"/>
      <c r="AD86" s="198"/>
      <c r="AE86" s="198"/>
      <c r="AF86" s="198"/>
      <c r="AG86" s="198"/>
      <c r="AH86" s="198" t="s">
        <v>1679</v>
      </c>
      <c r="AI86" s="198" t="s">
        <v>1680</v>
      </c>
      <c r="AJ86" s="198" t="s">
        <v>477</v>
      </c>
      <c r="AK86" s="550" t="s">
        <v>1681</v>
      </c>
      <c r="AL86" s="580">
        <f t="shared" si="7"/>
        <v>391.25291600000003</v>
      </c>
      <c r="AM86" s="504">
        <v>391.25291600000003</v>
      </c>
      <c r="AN86" s="516">
        <v>306.89111200000002</v>
      </c>
      <c r="AO86" s="137">
        <v>0.78439999999999999</v>
      </c>
      <c r="AP86" s="137">
        <v>2.3999999999999998E-3</v>
      </c>
      <c r="AQ86" s="504">
        <v>59.209789999999998</v>
      </c>
      <c r="AR86" s="137">
        <v>0.15129999999999999</v>
      </c>
      <c r="AS86" s="137"/>
      <c r="AT86" s="520">
        <v>4.4087209999999999</v>
      </c>
      <c r="AU86" s="137">
        <v>1.1299999999999999E-2</v>
      </c>
      <c r="AV86" s="520">
        <v>20.743293000000001</v>
      </c>
      <c r="AW86" s="137">
        <v>5.2999999999999999E-2</v>
      </c>
      <c r="AX86" s="520"/>
      <c r="AY86" s="137"/>
      <c r="AZ86" s="520" t="s">
        <v>873</v>
      </c>
      <c r="BA86" s="137"/>
      <c r="BB86" s="198"/>
      <c r="BC86" s="198"/>
      <c r="BD86" s="198"/>
      <c r="BE86" s="198" t="s">
        <v>479</v>
      </c>
      <c r="BF86" s="550" t="s">
        <v>1682</v>
      </c>
      <c r="BG86" s="550" t="s">
        <v>877</v>
      </c>
      <c r="BH86" s="198"/>
      <c r="BI86" s="137">
        <v>326000</v>
      </c>
      <c r="BJ86" s="137">
        <v>3.0999999999999999E-3</v>
      </c>
      <c r="BK86" s="83">
        <v>1561</v>
      </c>
      <c r="BL86" s="83">
        <v>1016</v>
      </c>
      <c r="BM86" s="83">
        <v>533</v>
      </c>
      <c r="BN86" s="83">
        <v>34</v>
      </c>
      <c r="BO86" s="83">
        <v>93</v>
      </c>
      <c r="BP86" s="83">
        <v>27</v>
      </c>
      <c r="BQ86" s="83">
        <v>13</v>
      </c>
      <c r="BR86" s="83"/>
      <c r="BS86" s="83">
        <v>9</v>
      </c>
      <c r="BT86" s="83">
        <v>62</v>
      </c>
      <c r="BU86" s="83">
        <v>44</v>
      </c>
      <c r="BV86" s="83">
        <v>35</v>
      </c>
      <c r="BW86" s="83">
        <v>6</v>
      </c>
      <c r="BX86" s="83">
        <v>17</v>
      </c>
      <c r="BY86" s="83">
        <v>10</v>
      </c>
      <c r="BZ86" s="83">
        <v>17</v>
      </c>
      <c r="CA86" s="83">
        <v>12</v>
      </c>
      <c r="CB86" s="83">
        <v>16</v>
      </c>
      <c r="CC86" s="83"/>
      <c r="CD86" s="83"/>
      <c r="CE86" s="83">
        <v>30</v>
      </c>
      <c r="CF86" s="83">
        <v>3</v>
      </c>
      <c r="CG86" s="83">
        <v>74</v>
      </c>
      <c r="CH86" s="83">
        <v>27</v>
      </c>
      <c r="CI86" s="83">
        <v>4</v>
      </c>
      <c r="CJ86" s="83"/>
      <c r="CK86" s="83"/>
      <c r="CL86" s="824">
        <f t="shared" ref="CL86:CL117" si="10">SUM(BN86:CK86)</f>
        <v>533</v>
      </c>
      <c r="CM86" s="824">
        <f t="shared" si="8"/>
        <v>0</v>
      </c>
      <c r="CN86" s="580">
        <v>620.34400000000005</v>
      </c>
      <c r="CO86" s="198" t="s">
        <v>1683</v>
      </c>
      <c r="CP86" s="198"/>
      <c r="CQ86" s="137">
        <v>0.84470000000000001</v>
      </c>
      <c r="CR86" s="580">
        <v>734.36300000000006</v>
      </c>
      <c r="CS86" s="834" t="s">
        <v>1684</v>
      </c>
      <c r="CT86" s="198" t="s">
        <v>479</v>
      </c>
      <c r="CU86" s="198" t="s">
        <v>1685</v>
      </c>
      <c r="CV86" s="198"/>
      <c r="CW86" s="198" t="s">
        <v>1677</v>
      </c>
      <c r="CX86" s="83">
        <v>3</v>
      </c>
      <c r="CY86" s="83"/>
      <c r="CZ86" s="83">
        <v>2</v>
      </c>
      <c r="DA86" s="550" t="s">
        <v>540</v>
      </c>
      <c r="DB86" s="550" t="s">
        <v>1686</v>
      </c>
      <c r="DC86" s="83">
        <v>81572</v>
      </c>
      <c r="DD86" s="550" t="s">
        <v>540</v>
      </c>
      <c r="DE86" s="550" t="s">
        <v>1687</v>
      </c>
      <c r="DF86" s="83">
        <v>19558</v>
      </c>
      <c r="DG86" s="895" t="s">
        <v>479</v>
      </c>
      <c r="DH86" s="895" t="s">
        <v>1688</v>
      </c>
      <c r="DI86" s="83">
        <v>8</v>
      </c>
      <c r="DJ86" s="895" t="s">
        <v>479</v>
      </c>
      <c r="DK86" s="895" t="s">
        <v>1689</v>
      </c>
      <c r="DL86" s="83">
        <v>13</v>
      </c>
      <c r="DM86" s="198" t="s">
        <v>873</v>
      </c>
      <c r="DN86" s="198"/>
      <c r="DO86" s="83"/>
      <c r="DP86" s="198" t="s">
        <v>873</v>
      </c>
      <c r="DQ86" s="198"/>
      <c r="DR86" s="83"/>
      <c r="DS86" s="198" t="s">
        <v>873</v>
      </c>
      <c r="DT86" s="198"/>
      <c r="DU86" s="83"/>
      <c r="DV86" s="198" t="s">
        <v>873</v>
      </c>
      <c r="DW86" s="198"/>
      <c r="DX86" s="83"/>
      <c r="DY86" s="198" t="s">
        <v>873</v>
      </c>
      <c r="DZ86" s="198"/>
      <c r="EA86" s="83"/>
      <c r="EB86" s="895" t="s">
        <v>479</v>
      </c>
      <c r="EC86" s="895" t="s">
        <v>1690</v>
      </c>
      <c r="ED86" s="83">
        <v>19558</v>
      </c>
      <c r="EE86" s="83" t="s">
        <v>873</v>
      </c>
      <c r="EF86" s="83"/>
      <c r="EG86" s="83"/>
      <c r="EH86" s="198" t="s">
        <v>873</v>
      </c>
      <c r="EI86" s="198"/>
      <c r="EJ86" s="83"/>
      <c r="EK86" s="198" t="s">
        <v>479</v>
      </c>
      <c r="EL86" s="550" t="s">
        <v>1691</v>
      </c>
      <c r="EM86" s="83">
        <v>315</v>
      </c>
      <c r="EN86" s="198" t="s">
        <v>479</v>
      </c>
      <c r="EO86" s="198"/>
      <c r="EP86" s="83"/>
      <c r="EQ86" s="83" t="s">
        <v>479</v>
      </c>
      <c r="ER86" s="83" t="s">
        <v>1692</v>
      </c>
      <c r="ES86" s="83">
        <v>16</v>
      </c>
      <c r="ET86" s="198" t="s">
        <v>873</v>
      </c>
      <c r="EU86" s="198"/>
      <c r="EV86" s="83"/>
      <c r="EW86" s="837">
        <v>1</v>
      </c>
      <c r="EX86" s="198"/>
      <c r="EY86" s="505" t="s">
        <v>1693</v>
      </c>
      <c r="EZ86" s="198" t="s">
        <v>873</v>
      </c>
      <c r="FA86" s="198"/>
      <c r="FB86" s="549" t="s">
        <v>1694</v>
      </c>
      <c r="FC86" s="198" t="s">
        <v>1695</v>
      </c>
      <c r="FD86" s="549" t="s">
        <v>1696</v>
      </c>
      <c r="FE86" s="550" t="s">
        <v>1697</v>
      </c>
      <c r="FF86" s="549" t="s">
        <v>1698</v>
      </c>
      <c r="FG86" s="550" t="s">
        <v>1699</v>
      </c>
      <c r="FH86" s="550" t="s">
        <v>1700</v>
      </c>
      <c r="FI86" s="550" t="s">
        <v>1701</v>
      </c>
      <c r="FJ86" s="97" t="s">
        <v>1702</v>
      </c>
      <c r="FK86" s="97" t="s">
        <v>1703</v>
      </c>
      <c r="FL86" s="94" t="s">
        <v>1704</v>
      </c>
      <c r="FM86" s="198"/>
      <c r="FN86" s="198"/>
      <c r="FO86" s="198"/>
    </row>
    <row r="87" spans="5:171" ht="40" customHeight="1" x14ac:dyDescent="0.2">
      <c r="E87" s="94" t="s">
        <v>9302</v>
      </c>
      <c r="F87" s="94" t="s">
        <v>9121</v>
      </c>
      <c r="G87" s="97" t="s">
        <v>324</v>
      </c>
      <c r="H87" s="97" t="s">
        <v>405</v>
      </c>
      <c r="I87" s="97" t="s">
        <v>8851</v>
      </c>
      <c r="J87" s="97" t="s">
        <v>8435</v>
      </c>
      <c r="K87" s="97" t="s">
        <v>8435</v>
      </c>
      <c r="L87" s="502">
        <v>2022</v>
      </c>
      <c r="M87" s="841">
        <v>44572</v>
      </c>
      <c r="N87" s="841" t="s">
        <v>8256</v>
      </c>
      <c r="O87" s="841"/>
      <c r="P87" s="841"/>
      <c r="Q87" s="841"/>
      <c r="R87" s="841"/>
      <c r="S87" s="841"/>
      <c r="T87" s="841"/>
      <c r="U87" s="841"/>
      <c r="V87" s="841"/>
      <c r="W87" s="841"/>
      <c r="X87" s="841"/>
      <c r="Y87" s="841"/>
      <c r="Z87" s="97" t="s">
        <v>8171</v>
      </c>
      <c r="AA87" s="97"/>
      <c r="AB87" s="97" t="s">
        <v>7879</v>
      </c>
      <c r="AC87" s="97" t="s">
        <v>7684</v>
      </c>
      <c r="AD87" s="97" t="s">
        <v>470</v>
      </c>
      <c r="AE87" s="97"/>
      <c r="AF87" s="97" t="s">
        <v>7176</v>
      </c>
      <c r="AG87" s="97" t="s">
        <v>7102</v>
      </c>
      <c r="AH87" s="97" t="s">
        <v>6593</v>
      </c>
      <c r="AI87" s="97" t="s">
        <v>1679</v>
      </c>
      <c r="AJ87" s="97" t="s">
        <v>6691</v>
      </c>
      <c r="AK87" s="97" t="s">
        <v>6593</v>
      </c>
      <c r="AL87" s="580">
        <f t="shared" si="7"/>
        <v>4.3488905300000003</v>
      </c>
      <c r="AM87" s="504">
        <v>4.3488905300000003</v>
      </c>
      <c r="AN87" s="516"/>
      <c r="AO87" s="97"/>
      <c r="AP87" s="97"/>
      <c r="AQ87" s="504">
        <v>4.3488905300000003</v>
      </c>
      <c r="AR87" s="507">
        <v>1</v>
      </c>
      <c r="AS87" s="507">
        <v>2.5999999999999999E-3</v>
      </c>
      <c r="AT87" s="516">
        <v>0</v>
      </c>
      <c r="AU87" s="507">
        <v>0</v>
      </c>
      <c r="AV87" s="516">
        <v>0</v>
      </c>
      <c r="AW87" s="507">
        <v>0</v>
      </c>
      <c r="AX87" s="516"/>
      <c r="AY87" s="507">
        <v>0</v>
      </c>
      <c r="AZ87" s="516"/>
      <c r="BA87" s="507"/>
      <c r="BB87" s="507"/>
      <c r="BC87" s="507"/>
      <c r="BD87" s="507"/>
      <c r="BE87" s="507" t="s">
        <v>470</v>
      </c>
      <c r="BF87" s="507" t="s">
        <v>470</v>
      </c>
      <c r="BG87" s="507" t="s">
        <v>470</v>
      </c>
      <c r="BH87" s="852">
        <v>0</v>
      </c>
      <c r="BI87" s="504">
        <v>3.7780999999999998</v>
      </c>
      <c r="BJ87" s="507">
        <v>2.2000000000000001E-3</v>
      </c>
      <c r="BK87" s="96">
        <v>11</v>
      </c>
      <c r="BL87" s="96">
        <v>1244</v>
      </c>
      <c r="BM87" s="96">
        <v>6</v>
      </c>
      <c r="BN87" s="96"/>
      <c r="BO87" s="96"/>
      <c r="BP87" s="96">
        <v>1</v>
      </c>
      <c r="BQ87" s="96"/>
      <c r="BR87" s="96">
        <v>1</v>
      </c>
      <c r="BS87" s="96">
        <v>3</v>
      </c>
      <c r="BT87" s="96"/>
      <c r="BU87" s="96">
        <v>1</v>
      </c>
      <c r="BV87" s="96"/>
      <c r="BW87" s="96"/>
      <c r="BX87" s="96"/>
      <c r="BY87" s="96"/>
      <c r="BZ87" s="96"/>
      <c r="CA87" s="96"/>
      <c r="CB87" s="96"/>
      <c r="CC87" s="96"/>
      <c r="CD87" s="96"/>
      <c r="CE87" s="96"/>
      <c r="CF87" s="96"/>
      <c r="CG87" s="96"/>
      <c r="CH87" s="96"/>
      <c r="CI87" s="96"/>
      <c r="CJ87" s="96"/>
      <c r="CK87" s="96"/>
      <c r="CL87" s="815">
        <f t="shared" si="10"/>
        <v>6</v>
      </c>
      <c r="CM87" s="824">
        <f t="shared" si="8"/>
        <v>0</v>
      </c>
      <c r="CN87" s="504">
        <v>9.5299999999999994</v>
      </c>
      <c r="CO87" s="97" t="s">
        <v>6162</v>
      </c>
      <c r="CP87" s="97"/>
      <c r="CQ87" s="97">
        <v>56.8</v>
      </c>
      <c r="CR87" s="504">
        <v>16.780999999999999</v>
      </c>
      <c r="CS87" s="887" t="s">
        <v>5927</v>
      </c>
      <c r="CT87" s="97"/>
      <c r="CU87" s="97"/>
      <c r="CV87" s="97"/>
      <c r="CW87" s="97"/>
      <c r="CX87" s="96"/>
      <c r="CY87" s="96"/>
      <c r="CZ87" s="96"/>
      <c r="DA87" s="97" t="s">
        <v>479</v>
      </c>
      <c r="DB87" s="97" t="s">
        <v>5733</v>
      </c>
      <c r="DC87" s="96">
        <v>1244</v>
      </c>
      <c r="DD87" s="97" t="s">
        <v>470</v>
      </c>
      <c r="DE87" s="97" t="s">
        <v>470</v>
      </c>
      <c r="DF87" s="96">
        <v>0</v>
      </c>
      <c r="DG87" s="97" t="s">
        <v>470</v>
      </c>
      <c r="DH87" s="97" t="s">
        <v>470</v>
      </c>
      <c r="DI87" s="96">
        <v>0</v>
      </c>
      <c r="DJ87" s="97" t="s">
        <v>470</v>
      </c>
      <c r="DK87" s="97" t="s">
        <v>470</v>
      </c>
      <c r="DL87" s="96">
        <v>0</v>
      </c>
      <c r="DM87" s="97" t="s">
        <v>470</v>
      </c>
      <c r="DN87" s="97" t="s">
        <v>470</v>
      </c>
      <c r="DO87" s="96">
        <v>0</v>
      </c>
      <c r="DP87" s="97" t="s">
        <v>470</v>
      </c>
      <c r="DQ87" s="97" t="s">
        <v>470</v>
      </c>
      <c r="DR87" s="96">
        <v>0</v>
      </c>
      <c r="DS87" s="97" t="s">
        <v>470</v>
      </c>
      <c r="DT87" s="97" t="s">
        <v>470</v>
      </c>
      <c r="DU87" s="96">
        <v>0</v>
      </c>
      <c r="DV87" s="97" t="s">
        <v>470</v>
      </c>
      <c r="DW87" s="97" t="s">
        <v>470</v>
      </c>
      <c r="DX87" s="96">
        <v>0</v>
      </c>
      <c r="DY87" s="97" t="s">
        <v>470</v>
      </c>
      <c r="DZ87" s="97" t="s">
        <v>470</v>
      </c>
      <c r="EA87" s="96">
        <v>0</v>
      </c>
      <c r="EB87" s="97" t="s">
        <v>470</v>
      </c>
      <c r="EC87" s="97" t="s">
        <v>470</v>
      </c>
      <c r="ED87" s="96">
        <v>0</v>
      </c>
      <c r="EE87" s="97" t="s">
        <v>470</v>
      </c>
      <c r="EF87" s="97" t="s">
        <v>470</v>
      </c>
      <c r="EG87" s="96">
        <v>0</v>
      </c>
      <c r="EH87" s="97" t="s">
        <v>470</v>
      </c>
      <c r="EI87" s="97" t="s">
        <v>470</v>
      </c>
      <c r="EJ87" s="96">
        <v>0</v>
      </c>
      <c r="EK87" s="97" t="s">
        <v>470</v>
      </c>
      <c r="EL87" s="97" t="s">
        <v>470</v>
      </c>
      <c r="EM87" s="96">
        <v>0</v>
      </c>
      <c r="EN87" s="97" t="s">
        <v>470</v>
      </c>
      <c r="EO87" s="97" t="s">
        <v>470</v>
      </c>
      <c r="EP87" s="96">
        <v>0</v>
      </c>
      <c r="EQ87" s="96" t="s">
        <v>479</v>
      </c>
      <c r="ER87" s="96" t="s">
        <v>5318</v>
      </c>
      <c r="ES87" s="96">
        <v>6</v>
      </c>
      <c r="ET87" s="97" t="s">
        <v>470</v>
      </c>
      <c r="EU87" s="97" t="s">
        <v>470</v>
      </c>
      <c r="EV87" s="96">
        <v>0</v>
      </c>
      <c r="EW87" s="96"/>
      <c r="EX87" s="96"/>
      <c r="EY87" s="96"/>
      <c r="EZ87" s="97" t="s">
        <v>470</v>
      </c>
      <c r="FA87" s="97" t="s">
        <v>470</v>
      </c>
      <c r="FB87" s="97" t="s">
        <v>470</v>
      </c>
      <c r="FC87" s="97" t="s">
        <v>470</v>
      </c>
      <c r="FD87" s="97" t="s">
        <v>470</v>
      </c>
      <c r="FE87" s="97" t="s">
        <v>470</v>
      </c>
      <c r="FF87" s="97" t="s">
        <v>470</v>
      </c>
      <c r="FG87" s="97" t="s">
        <v>470</v>
      </c>
      <c r="FH87" s="97" t="s">
        <v>470</v>
      </c>
      <c r="FI87" s="97" t="s">
        <v>470</v>
      </c>
      <c r="FJ87" s="97" t="s">
        <v>4545</v>
      </c>
      <c r="FK87" s="97" t="s">
        <v>4309</v>
      </c>
      <c r="FL87" s="842" t="s">
        <v>4128</v>
      </c>
      <c r="FM87" s="97"/>
      <c r="FN87" s="97"/>
      <c r="FO87" s="97"/>
    </row>
    <row r="88" spans="5:171" ht="36" customHeight="1" x14ac:dyDescent="0.2">
      <c r="E88" s="94" t="s">
        <v>9302</v>
      </c>
      <c r="F88" s="94" t="s">
        <v>9121</v>
      </c>
      <c r="G88" s="97" t="s">
        <v>324</v>
      </c>
      <c r="H88" s="97" t="s">
        <v>405</v>
      </c>
      <c r="I88" s="97" t="s">
        <v>8850</v>
      </c>
      <c r="J88" s="97" t="s">
        <v>8596</v>
      </c>
      <c r="K88" s="97" t="s">
        <v>8434</v>
      </c>
      <c r="L88" s="502">
        <v>2022</v>
      </c>
      <c r="M88" s="841">
        <v>44666</v>
      </c>
      <c r="N88" s="841">
        <v>44867</v>
      </c>
      <c r="O88" s="841"/>
      <c r="P88" s="841"/>
      <c r="Q88" s="841"/>
      <c r="R88" s="841"/>
      <c r="S88" s="841"/>
      <c r="T88" s="841"/>
      <c r="U88" s="841"/>
      <c r="V88" s="841"/>
      <c r="W88" s="841"/>
      <c r="X88" s="841"/>
      <c r="Y88" s="841"/>
      <c r="Z88" s="97" t="s">
        <v>8170</v>
      </c>
      <c r="AA88" s="842" t="s">
        <v>7995</v>
      </c>
      <c r="AB88" s="97" t="s">
        <v>656</v>
      </c>
      <c r="AC88" s="97" t="s">
        <v>656</v>
      </c>
      <c r="AD88" s="97" t="s">
        <v>7556</v>
      </c>
      <c r="AE88" s="842" t="s">
        <v>7343</v>
      </c>
      <c r="AF88" s="97" t="s">
        <v>7175</v>
      </c>
      <c r="AG88" s="842" t="s">
        <v>7101</v>
      </c>
      <c r="AH88" s="97" t="s">
        <v>6893</v>
      </c>
      <c r="AI88" s="97" t="s">
        <v>6893</v>
      </c>
      <c r="AJ88" s="97" t="s">
        <v>6745</v>
      </c>
      <c r="AK88" s="97" t="s">
        <v>6592</v>
      </c>
      <c r="AL88" s="580">
        <f t="shared" si="7"/>
        <v>3.05274</v>
      </c>
      <c r="AM88" s="504">
        <v>3.05274</v>
      </c>
      <c r="AN88" s="516"/>
      <c r="AO88" s="97"/>
      <c r="AP88" s="97"/>
      <c r="AQ88" s="504">
        <v>3.05274</v>
      </c>
      <c r="AR88" s="507">
        <v>1</v>
      </c>
      <c r="AS88" s="507">
        <v>1E-3</v>
      </c>
      <c r="AT88" s="516">
        <v>0</v>
      </c>
      <c r="AU88" s="507">
        <v>0</v>
      </c>
      <c r="AV88" s="516">
        <v>0</v>
      </c>
      <c r="AW88" s="507">
        <v>0</v>
      </c>
      <c r="AX88" s="516"/>
      <c r="AY88" s="507">
        <v>0</v>
      </c>
      <c r="AZ88" s="516"/>
      <c r="BA88" s="507"/>
      <c r="BB88" s="507"/>
      <c r="BC88" s="507"/>
      <c r="BD88" s="507"/>
      <c r="BE88" s="507" t="s">
        <v>470</v>
      </c>
      <c r="BF88" s="507" t="s">
        <v>656</v>
      </c>
      <c r="BG88" s="507" t="s">
        <v>656</v>
      </c>
      <c r="BH88" s="852" t="s">
        <v>656</v>
      </c>
      <c r="BI88" s="504">
        <v>3.0651999999999999</v>
      </c>
      <c r="BJ88" s="507">
        <v>2E-3</v>
      </c>
      <c r="BK88" s="96">
        <v>29</v>
      </c>
      <c r="BL88" s="96" t="s">
        <v>6196</v>
      </c>
      <c r="BM88" s="96" t="s">
        <v>6194</v>
      </c>
      <c r="BN88" s="96"/>
      <c r="BO88" s="96"/>
      <c r="BP88" s="96">
        <v>1</v>
      </c>
      <c r="BQ88" s="96"/>
      <c r="BR88" s="96"/>
      <c r="BS88" s="96"/>
      <c r="BT88" s="96"/>
      <c r="BU88" s="96"/>
      <c r="BV88" s="96"/>
      <c r="BW88" s="96"/>
      <c r="BX88" s="96"/>
      <c r="BY88" s="96"/>
      <c r="BZ88" s="96"/>
      <c r="CA88" s="96"/>
      <c r="CB88" s="96"/>
      <c r="CC88" s="96"/>
      <c r="CD88" s="96"/>
      <c r="CE88" s="96"/>
      <c r="CF88" s="96"/>
      <c r="CG88" s="96"/>
      <c r="CH88" s="96"/>
      <c r="CI88" s="96"/>
      <c r="CJ88" s="96"/>
      <c r="CK88" s="96"/>
      <c r="CL88" s="815">
        <f t="shared" si="10"/>
        <v>1</v>
      </c>
      <c r="CM88" s="824">
        <f t="shared" si="8"/>
        <v>0</v>
      </c>
      <c r="CN88" s="504">
        <v>5</v>
      </c>
      <c r="CO88" s="97" t="s">
        <v>6161</v>
      </c>
      <c r="CP88" s="97"/>
      <c r="CQ88" s="97">
        <v>23.1</v>
      </c>
      <c r="CR88" s="504">
        <v>21.635000000000002</v>
      </c>
      <c r="CS88" s="887" t="s">
        <v>5926</v>
      </c>
      <c r="CT88" s="97" t="s">
        <v>656</v>
      </c>
      <c r="CU88" s="97" t="s">
        <v>656</v>
      </c>
      <c r="CV88" s="97" t="s">
        <v>656</v>
      </c>
      <c r="CW88" s="97" t="s">
        <v>656</v>
      </c>
      <c r="CX88" s="96" t="s">
        <v>656</v>
      </c>
      <c r="CY88" s="96" t="s">
        <v>656</v>
      </c>
      <c r="CZ88" s="96" t="s">
        <v>656</v>
      </c>
      <c r="DA88" s="97" t="s">
        <v>479</v>
      </c>
      <c r="DB88" s="97" t="s">
        <v>5732</v>
      </c>
      <c r="DC88" s="96">
        <v>143</v>
      </c>
      <c r="DD88" s="97" t="s">
        <v>656</v>
      </c>
      <c r="DE88" s="97" t="s">
        <v>656</v>
      </c>
      <c r="DF88" s="96" t="s">
        <v>656</v>
      </c>
      <c r="DG88" s="96" t="s">
        <v>656</v>
      </c>
      <c r="DH88" s="96" t="s">
        <v>656</v>
      </c>
      <c r="DI88" s="96" t="s">
        <v>656</v>
      </c>
      <c r="DJ88" s="96" t="s">
        <v>656</v>
      </c>
      <c r="DK88" s="96" t="s">
        <v>656</v>
      </c>
      <c r="DL88" s="96" t="s">
        <v>656</v>
      </c>
      <c r="DM88" s="97" t="s">
        <v>656</v>
      </c>
      <c r="DN88" s="97" t="s">
        <v>656</v>
      </c>
      <c r="DO88" s="96" t="s">
        <v>656</v>
      </c>
      <c r="DP88" s="97" t="s">
        <v>656</v>
      </c>
      <c r="DQ88" s="97" t="s">
        <v>656</v>
      </c>
      <c r="DR88" s="96" t="s">
        <v>656</v>
      </c>
      <c r="DS88" s="97" t="s">
        <v>656</v>
      </c>
      <c r="DT88" s="97" t="s">
        <v>656</v>
      </c>
      <c r="DU88" s="96" t="s">
        <v>656</v>
      </c>
      <c r="DV88" s="97" t="s">
        <v>656</v>
      </c>
      <c r="DW88" s="97" t="s">
        <v>656</v>
      </c>
      <c r="DX88" s="96" t="s">
        <v>656</v>
      </c>
      <c r="DY88" s="97" t="s">
        <v>656</v>
      </c>
      <c r="DZ88" s="97" t="s">
        <v>656</v>
      </c>
      <c r="EA88" s="96" t="s">
        <v>656</v>
      </c>
      <c r="EB88" s="97" t="s">
        <v>656</v>
      </c>
      <c r="EC88" s="97" t="s">
        <v>656</v>
      </c>
      <c r="ED88" s="96" t="s">
        <v>656</v>
      </c>
      <c r="EE88" s="96" t="s">
        <v>656</v>
      </c>
      <c r="EF88" s="96" t="s">
        <v>656</v>
      </c>
      <c r="EG88" s="96" t="s">
        <v>656</v>
      </c>
      <c r="EH88" s="97" t="s">
        <v>656</v>
      </c>
      <c r="EI88" s="97" t="s">
        <v>656</v>
      </c>
      <c r="EJ88" s="96" t="s">
        <v>656</v>
      </c>
      <c r="EK88" s="97" t="s">
        <v>656</v>
      </c>
      <c r="EL88" s="97" t="s">
        <v>656</v>
      </c>
      <c r="EM88" s="96" t="s">
        <v>656</v>
      </c>
      <c r="EN88" s="97" t="s">
        <v>656</v>
      </c>
      <c r="EO88" s="97" t="s">
        <v>656</v>
      </c>
      <c r="EP88" s="96" t="s">
        <v>656</v>
      </c>
      <c r="EQ88" s="96" t="s">
        <v>656</v>
      </c>
      <c r="ER88" s="96" t="s">
        <v>656</v>
      </c>
      <c r="ES88" s="96" t="s">
        <v>656</v>
      </c>
      <c r="ET88" s="97" t="s">
        <v>656</v>
      </c>
      <c r="EU88" s="97" t="s">
        <v>656</v>
      </c>
      <c r="EV88" s="96" t="s">
        <v>656</v>
      </c>
      <c r="EW88" s="96"/>
      <c r="EX88" s="96"/>
      <c r="EY88" s="96"/>
      <c r="EZ88" s="97" t="s">
        <v>656</v>
      </c>
      <c r="FA88" s="97" t="s">
        <v>656</v>
      </c>
      <c r="FB88" s="97" t="s">
        <v>656</v>
      </c>
      <c r="FC88" s="842" t="s">
        <v>5017</v>
      </c>
      <c r="FD88" s="97" t="s">
        <v>656</v>
      </c>
      <c r="FE88" s="97" t="s">
        <v>4859</v>
      </c>
      <c r="FF88" s="97" t="s">
        <v>656</v>
      </c>
      <c r="FG88" s="97" t="s">
        <v>656</v>
      </c>
      <c r="FH88" s="97" t="s">
        <v>656</v>
      </c>
      <c r="FI88" s="97" t="s">
        <v>656</v>
      </c>
      <c r="FJ88" s="97" t="s">
        <v>4544</v>
      </c>
      <c r="FK88" s="97" t="s">
        <v>4308</v>
      </c>
      <c r="FL88" s="842" t="s">
        <v>4127</v>
      </c>
      <c r="FM88" s="97" t="s">
        <v>656</v>
      </c>
      <c r="FN88" s="97" t="s">
        <v>656</v>
      </c>
      <c r="FO88" s="97" t="s">
        <v>656</v>
      </c>
    </row>
    <row r="89" spans="5:171" ht="34" customHeight="1" x14ac:dyDescent="0.2">
      <c r="E89" s="94" t="s">
        <v>9302</v>
      </c>
      <c r="F89" s="94" t="s">
        <v>9121</v>
      </c>
      <c r="G89" s="97" t="s">
        <v>324</v>
      </c>
      <c r="H89" s="97" t="s">
        <v>405</v>
      </c>
      <c r="I89" s="97" t="s">
        <v>8849</v>
      </c>
      <c r="J89" s="97" t="s">
        <v>8431</v>
      </c>
      <c r="K89" s="97" t="s">
        <v>8431</v>
      </c>
      <c r="L89" s="502">
        <v>2021</v>
      </c>
      <c r="M89" s="841">
        <v>44637</v>
      </c>
      <c r="N89" s="841" t="s">
        <v>8255</v>
      </c>
      <c r="O89" s="841"/>
      <c r="P89" s="841"/>
      <c r="Q89" s="841"/>
      <c r="R89" s="841"/>
      <c r="S89" s="841"/>
      <c r="T89" s="841"/>
      <c r="U89" s="841"/>
      <c r="V89" s="841"/>
      <c r="W89" s="841"/>
      <c r="X89" s="841"/>
      <c r="Y89" s="841"/>
      <c r="Z89" s="97" t="s">
        <v>8168</v>
      </c>
      <c r="AA89" s="97" t="s">
        <v>7991</v>
      </c>
      <c r="AB89" s="97" t="s">
        <v>7878</v>
      </c>
      <c r="AC89" s="97" t="s">
        <v>7683</v>
      </c>
      <c r="AD89" s="97" t="s">
        <v>7555</v>
      </c>
      <c r="AE89" s="97" t="s">
        <v>7342</v>
      </c>
      <c r="AF89" s="97" t="s">
        <v>7174</v>
      </c>
      <c r="AG89" s="97" t="s">
        <v>7100</v>
      </c>
      <c r="AH89" s="97" t="s">
        <v>7031</v>
      </c>
      <c r="AI89" s="97" t="s">
        <v>1679</v>
      </c>
      <c r="AJ89" s="97" t="s">
        <v>6744</v>
      </c>
      <c r="AK89" s="97" t="s">
        <v>6591</v>
      </c>
      <c r="AL89" s="580">
        <f t="shared" si="7"/>
        <v>3.76268</v>
      </c>
      <c r="AM89" s="504">
        <v>3.76268</v>
      </c>
      <c r="AN89" s="516"/>
      <c r="AO89" s="97"/>
      <c r="AP89" s="97"/>
      <c r="AQ89" s="504">
        <v>3.76268</v>
      </c>
      <c r="AR89" s="507">
        <v>1</v>
      </c>
      <c r="AS89" s="507">
        <v>4.3E-3</v>
      </c>
      <c r="AT89" s="516">
        <v>0</v>
      </c>
      <c r="AU89" s="507">
        <v>0</v>
      </c>
      <c r="AV89" s="516"/>
      <c r="AW89" s="504">
        <v>0</v>
      </c>
      <c r="AX89" s="516">
        <v>0</v>
      </c>
      <c r="AY89" s="507">
        <v>0</v>
      </c>
      <c r="AZ89" s="516"/>
      <c r="BA89" s="507"/>
      <c r="BB89" s="507"/>
      <c r="BC89" s="507"/>
      <c r="BD89" s="507"/>
      <c r="BE89" s="507" t="s">
        <v>470</v>
      </c>
      <c r="BF89" s="507"/>
      <c r="BG89" s="507"/>
      <c r="BH89" s="507"/>
      <c r="BI89" s="504">
        <v>3.778</v>
      </c>
      <c r="BJ89" s="507">
        <v>4.4999999999999997E-3</v>
      </c>
      <c r="BK89" s="96">
        <v>11</v>
      </c>
      <c r="BL89" s="96">
        <v>10</v>
      </c>
      <c r="BM89" s="96">
        <v>10</v>
      </c>
      <c r="BN89" s="96"/>
      <c r="BO89" s="96"/>
      <c r="BP89" s="96">
        <v>2</v>
      </c>
      <c r="BQ89" s="96"/>
      <c r="BR89" s="96"/>
      <c r="BS89" s="96"/>
      <c r="BT89" s="96">
        <v>5</v>
      </c>
      <c r="BU89" s="96">
        <v>1</v>
      </c>
      <c r="BV89" s="96">
        <v>1</v>
      </c>
      <c r="BW89" s="96"/>
      <c r="BX89" s="96"/>
      <c r="BY89" s="96"/>
      <c r="BZ89" s="96"/>
      <c r="CA89" s="96"/>
      <c r="CB89" s="96">
        <v>1</v>
      </c>
      <c r="CC89" s="96"/>
      <c r="CD89" s="96"/>
      <c r="CE89" s="96"/>
      <c r="CF89" s="96"/>
      <c r="CG89" s="96"/>
      <c r="CH89" s="96"/>
      <c r="CI89" s="96"/>
      <c r="CJ89" s="96"/>
      <c r="CK89" s="96"/>
      <c r="CL89" s="815">
        <f t="shared" si="10"/>
        <v>10</v>
      </c>
      <c r="CM89" s="824">
        <f t="shared" si="8"/>
        <v>0</v>
      </c>
      <c r="CN89" s="97">
        <v>12.8</v>
      </c>
      <c r="CO89" s="504" t="s">
        <v>6160</v>
      </c>
      <c r="CP89" s="896" t="s">
        <v>6001</v>
      </c>
      <c r="CQ89" s="97">
        <v>82.6</v>
      </c>
      <c r="CR89" s="97">
        <v>15.496</v>
      </c>
      <c r="CS89" s="507" t="s">
        <v>5925</v>
      </c>
      <c r="CT89" s="96" t="s">
        <v>470</v>
      </c>
      <c r="CU89" s="96"/>
      <c r="CV89" s="96"/>
      <c r="CW89" s="97"/>
      <c r="CX89" s="97"/>
      <c r="CY89" s="96"/>
      <c r="CZ89" s="97"/>
      <c r="DA89" s="97" t="s">
        <v>479</v>
      </c>
      <c r="DB89" s="96" t="s">
        <v>5731</v>
      </c>
      <c r="DC89" s="96">
        <v>259</v>
      </c>
      <c r="DD89" s="96" t="s">
        <v>479</v>
      </c>
      <c r="DE89" s="96" t="s">
        <v>5651</v>
      </c>
      <c r="DF89" s="96">
        <v>138</v>
      </c>
      <c r="DG89" s="96" t="s">
        <v>470</v>
      </c>
      <c r="DH89" s="96"/>
      <c r="DI89" s="97"/>
      <c r="DJ89" s="97" t="s">
        <v>470</v>
      </c>
      <c r="DK89" s="96"/>
      <c r="DL89" s="97"/>
      <c r="DM89" s="97" t="s">
        <v>470</v>
      </c>
      <c r="DN89" s="96"/>
      <c r="DO89" s="97"/>
      <c r="DP89" s="97" t="s">
        <v>470</v>
      </c>
      <c r="DQ89" s="96"/>
      <c r="DR89" s="97"/>
      <c r="DS89" s="97" t="s">
        <v>470</v>
      </c>
      <c r="DT89" s="96"/>
      <c r="DU89" s="97"/>
      <c r="DV89" s="97"/>
      <c r="DW89" s="96"/>
      <c r="DX89" s="97"/>
      <c r="DY89" s="97" t="s">
        <v>470</v>
      </c>
      <c r="DZ89" s="96"/>
      <c r="EA89" s="96"/>
      <c r="EB89" s="96" t="s">
        <v>470</v>
      </c>
      <c r="EC89" s="96"/>
      <c r="ED89" s="97"/>
      <c r="EE89" s="97" t="s">
        <v>470</v>
      </c>
      <c r="EF89" s="96"/>
      <c r="EG89" s="97"/>
      <c r="EH89" s="97" t="s">
        <v>470</v>
      </c>
      <c r="EI89" s="96"/>
      <c r="EJ89" s="97"/>
      <c r="EK89" s="97" t="s">
        <v>470</v>
      </c>
      <c r="EL89" s="96"/>
      <c r="EM89" s="96"/>
      <c r="EN89" s="96" t="s">
        <v>479</v>
      </c>
      <c r="EO89" s="96" t="s">
        <v>5361</v>
      </c>
      <c r="EP89" s="97">
        <v>10</v>
      </c>
      <c r="EQ89" s="97" t="s">
        <v>470</v>
      </c>
      <c r="ER89" s="96"/>
      <c r="ES89" s="97"/>
      <c r="ET89" s="97"/>
      <c r="EU89" s="97"/>
      <c r="EV89" s="97"/>
      <c r="EW89" s="97"/>
      <c r="EX89" s="97"/>
      <c r="EY89" s="97"/>
      <c r="EZ89" s="97" t="s">
        <v>470</v>
      </c>
      <c r="FA89" s="97"/>
      <c r="FB89" s="97"/>
      <c r="FC89" s="97"/>
      <c r="FD89" s="97"/>
      <c r="FE89" s="97"/>
      <c r="FF89" s="97"/>
      <c r="FG89" s="97"/>
      <c r="FH89" s="97"/>
      <c r="FI89" s="97"/>
      <c r="FJ89" s="97" t="s">
        <v>4543</v>
      </c>
      <c r="FK89" s="97" t="s">
        <v>4307</v>
      </c>
      <c r="FL89" s="97" t="s">
        <v>4126</v>
      </c>
      <c r="FM89" s="97"/>
      <c r="FN89" s="97"/>
      <c r="FO89" s="97"/>
    </row>
    <row r="90" spans="5:171" ht="34" customHeight="1" x14ac:dyDescent="0.2">
      <c r="E90" s="94" t="s">
        <v>9302</v>
      </c>
      <c r="F90" s="94" t="s">
        <v>9121</v>
      </c>
      <c r="G90" s="97" t="s">
        <v>324</v>
      </c>
      <c r="H90" s="97" t="s">
        <v>405</v>
      </c>
      <c r="I90" s="97" t="s">
        <v>8848</v>
      </c>
      <c r="J90" s="97" t="s">
        <v>8431</v>
      </c>
      <c r="K90" s="97" t="s">
        <v>8431</v>
      </c>
      <c r="L90" s="502">
        <v>2021</v>
      </c>
      <c r="M90" s="841">
        <v>44662</v>
      </c>
      <c r="N90" s="841">
        <v>44925</v>
      </c>
      <c r="O90" s="841"/>
      <c r="P90" s="841"/>
      <c r="Q90" s="841"/>
      <c r="R90" s="841"/>
      <c r="S90" s="841"/>
      <c r="T90" s="841"/>
      <c r="U90" s="841"/>
      <c r="V90" s="841"/>
      <c r="W90" s="841"/>
      <c r="X90" s="841"/>
      <c r="Y90" s="841"/>
      <c r="Z90" s="97" t="s">
        <v>8169</v>
      </c>
      <c r="AA90" s="97" t="s">
        <v>7991</v>
      </c>
      <c r="AB90" s="97" t="s">
        <v>7877</v>
      </c>
      <c r="AC90" s="97" t="s">
        <v>5730</v>
      </c>
      <c r="AD90" s="872" t="s">
        <v>7554</v>
      </c>
      <c r="AE90" s="97" t="s">
        <v>7341</v>
      </c>
      <c r="AF90" s="97" t="s">
        <v>7173</v>
      </c>
      <c r="AG90" s="97" t="s">
        <v>7099</v>
      </c>
      <c r="AH90" s="97" t="s">
        <v>6590</v>
      </c>
      <c r="AI90" s="97" t="s">
        <v>6886</v>
      </c>
      <c r="AJ90" s="97" t="s">
        <v>6691</v>
      </c>
      <c r="AK90" s="97" t="s">
        <v>6590</v>
      </c>
      <c r="AL90" s="580">
        <f t="shared" si="7"/>
        <v>3.76268</v>
      </c>
      <c r="AM90" s="504">
        <v>3.76268</v>
      </c>
      <c r="AN90" s="516"/>
      <c r="AO90" s="97"/>
      <c r="AP90" s="97"/>
      <c r="AQ90" s="504">
        <v>3.76268</v>
      </c>
      <c r="AR90" s="507">
        <v>1</v>
      </c>
      <c r="AS90" s="507">
        <v>2.0000000000000002E-5</v>
      </c>
      <c r="AT90" s="516">
        <v>0</v>
      </c>
      <c r="AU90" s="507">
        <v>0</v>
      </c>
      <c r="AV90" s="516">
        <v>0</v>
      </c>
      <c r="AW90" s="507">
        <v>0</v>
      </c>
      <c r="AX90" s="516"/>
      <c r="AY90" s="507">
        <v>0</v>
      </c>
      <c r="AZ90" s="516"/>
      <c r="BA90" s="507"/>
      <c r="BB90" s="507"/>
      <c r="BC90" s="507"/>
      <c r="BD90" s="507"/>
      <c r="BE90" s="507" t="s">
        <v>470</v>
      </c>
      <c r="BF90" s="507">
        <v>0</v>
      </c>
      <c r="BG90" s="507">
        <v>0</v>
      </c>
      <c r="BH90" s="852">
        <v>0</v>
      </c>
      <c r="BI90" s="504">
        <v>3778057.6</v>
      </c>
      <c r="BJ90" s="507">
        <v>2.0000000000000002E-5</v>
      </c>
      <c r="BK90" s="96">
        <v>19</v>
      </c>
      <c r="BL90" s="96">
        <v>19</v>
      </c>
      <c r="BM90" s="96">
        <v>6</v>
      </c>
      <c r="BN90" s="96">
        <v>1</v>
      </c>
      <c r="BO90" s="96">
        <v>0</v>
      </c>
      <c r="BP90" s="96">
        <v>0</v>
      </c>
      <c r="BQ90" s="96">
        <v>0</v>
      </c>
      <c r="BR90" s="96">
        <v>0</v>
      </c>
      <c r="BS90" s="96">
        <v>1</v>
      </c>
      <c r="BT90" s="96">
        <v>0</v>
      </c>
      <c r="BU90" s="96">
        <v>1</v>
      </c>
      <c r="BV90" s="96">
        <v>1</v>
      </c>
      <c r="BW90" s="96">
        <v>0</v>
      </c>
      <c r="BX90" s="96">
        <v>1</v>
      </c>
      <c r="BY90" s="96">
        <v>0</v>
      </c>
      <c r="BZ90" s="96">
        <v>0</v>
      </c>
      <c r="CA90" s="96">
        <v>0</v>
      </c>
      <c r="CB90" s="96">
        <v>0</v>
      </c>
      <c r="CC90" s="96">
        <v>0</v>
      </c>
      <c r="CD90" s="96">
        <v>0</v>
      </c>
      <c r="CE90" s="96">
        <v>0</v>
      </c>
      <c r="CF90" s="96">
        <v>0</v>
      </c>
      <c r="CG90" s="96">
        <v>0</v>
      </c>
      <c r="CH90" s="96">
        <v>0</v>
      </c>
      <c r="CI90" s="96">
        <v>0</v>
      </c>
      <c r="CJ90" s="96">
        <v>0</v>
      </c>
      <c r="CK90" s="96">
        <v>1</v>
      </c>
      <c r="CL90" s="815">
        <f t="shared" si="10"/>
        <v>6</v>
      </c>
      <c r="CM90" s="824">
        <f t="shared" si="8"/>
        <v>0</v>
      </c>
      <c r="CN90" s="97">
        <v>11050</v>
      </c>
      <c r="CO90" s="504" t="s">
        <v>6159</v>
      </c>
      <c r="CP90" s="97"/>
      <c r="CQ90" s="97">
        <v>63.9</v>
      </c>
      <c r="CR90" s="504" t="s">
        <v>9386</v>
      </c>
      <c r="CS90" s="507"/>
      <c r="CT90" s="97" t="s">
        <v>470</v>
      </c>
      <c r="CU90" s="97"/>
      <c r="CV90" s="97"/>
      <c r="CW90" s="97"/>
      <c r="CX90" s="96"/>
      <c r="CY90" s="96"/>
      <c r="CZ90" s="96"/>
      <c r="DA90" s="97" t="s">
        <v>689</v>
      </c>
      <c r="DB90" s="97" t="s">
        <v>5730</v>
      </c>
      <c r="DC90" s="96">
        <v>64</v>
      </c>
      <c r="DD90" s="97" t="s">
        <v>470</v>
      </c>
      <c r="DE90" s="97"/>
      <c r="DF90" s="96"/>
      <c r="DG90" s="96" t="s">
        <v>470</v>
      </c>
      <c r="DH90" s="96"/>
      <c r="DI90" s="96"/>
      <c r="DJ90" s="96" t="s">
        <v>470</v>
      </c>
      <c r="DK90" s="96"/>
      <c r="DL90" s="96"/>
      <c r="DM90" s="97" t="s">
        <v>470</v>
      </c>
      <c r="DN90" s="97"/>
      <c r="DO90" s="96"/>
      <c r="DP90" s="97" t="s">
        <v>470</v>
      </c>
      <c r="DQ90" s="97"/>
      <c r="DR90" s="96"/>
      <c r="DS90" s="97" t="s">
        <v>470</v>
      </c>
      <c r="DT90" s="97"/>
      <c r="DU90" s="96"/>
      <c r="DV90" s="97" t="s">
        <v>470</v>
      </c>
      <c r="DW90" s="97"/>
      <c r="DX90" s="96"/>
      <c r="DY90" s="97"/>
      <c r="DZ90" s="97"/>
      <c r="EA90" s="96"/>
      <c r="EB90" s="97"/>
      <c r="EC90" s="97"/>
      <c r="ED90" s="96"/>
      <c r="EE90" s="96"/>
      <c r="EF90" s="96"/>
      <c r="EG90" s="96"/>
      <c r="EH90" s="97"/>
      <c r="EI90" s="97"/>
      <c r="EJ90" s="96"/>
      <c r="EK90" s="97"/>
      <c r="EL90" s="97"/>
      <c r="EM90" s="96"/>
      <c r="EN90" s="97"/>
      <c r="EO90" s="97"/>
      <c r="EP90" s="96"/>
      <c r="EQ90" s="96" t="s">
        <v>479</v>
      </c>
      <c r="ER90" s="96" t="s">
        <v>5317</v>
      </c>
      <c r="ES90" s="96">
        <v>7</v>
      </c>
      <c r="ET90" s="97"/>
      <c r="EU90" s="97"/>
      <c r="EV90" s="96"/>
      <c r="EW90" s="96"/>
      <c r="EX90" s="96"/>
      <c r="EY90" s="96"/>
      <c r="EZ90" s="97" t="s">
        <v>470</v>
      </c>
      <c r="FA90" s="97"/>
      <c r="FB90" s="97" t="s">
        <v>470</v>
      </c>
      <c r="FC90" s="97"/>
      <c r="FD90" s="97"/>
      <c r="FE90" s="97"/>
      <c r="FF90" s="97"/>
      <c r="FG90" s="97" t="s">
        <v>470</v>
      </c>
      <c r="FH90" s="97"/>
      <c r="FI90" s="97"/>
      <c r="FJ90" s="97" t="s">
        <v>4542</v>
      </c>
      <c r="FK90" s="97">
        <v>88213692551</v>
      </c>
      <c r="FL90" s="872" t="s">
        <v>4125</v>
      </c>
      <c r="FM90" s="97" t="s">
        <v>3920</v>
      </c>
      <c r="FN90" s="97">
        <v>88213692330</v>
      </c>
      <c r="FO90" s="97" t="s">
        <v>3769</v>
      </c>
    </row>
    <row r="91" spans="5:171" ht="34" customHeight="1" x14ac:dyDescent="0.2">
      <c r="E91" s="94" t="s">
        <v>9302</v>
      </c>
      <c r="F91" s="94" t="s">
        <v>9121</v>
      </c>
      <c r="G91" s="97" t="s">
        <v>324</v>
      </c>
      <c r="H91" s="97" t="s">
        <v>405</v>
      </c>
      <c r="I91" s="502" t="s">
        <v>8847</v>
      </c>
      <c r="J91" s="502" t="s">
        <v>8595</v>
      </c>
      <c r="K91" s="502" t="s">
        <v>8433</v>
      </c>
      <c r="L91" s="502">
        <v>2021</v>
      </c>
      <c r="M91" s="841" t="s">
        <v>8326</v>
      </c>
      <c r="N91" s="841" t="s">
        <v>8254</v>
      </c>
      <c r="O91" s="841"/>
      <c r="P91" s="841"/>
      <c r="Q91" s="841"/>
      <c r="R91" s="841"/>
      <c r="S91" s="841"/>
      <c r="T91" s="841"/>
      <c r="U91" s="841"/>
      <c r="V91" s="841"/>
      <c r="W91" s="841"/>
      <c r="X91" s="841"/>
      <c r="Y91" s="841"/>
      <c r="Z91" s="97" t="s">
        <v>8168</v>
      </c>
      <c r="AA91" s="97" t="s">
        <v>7991</v>
      </c>
      <c r="AB91" s="97" t="s">
        <v>7876</v>
      </c>
      <c r="AC91" s="97" t="s">
        <v>7682</v>
      </c>
      <c r="AD91" s="97" t="s">
        <v>7553</v>
      </c>
      <c r="AE91" s="97" t="s">
        <v>7340</v>
      </c>
      <c r="AF91" s="97" t="s">
        <v>7172</v>
      </c>
      <c r="AG91" s="97" t="s">
        <v>7098</v>
      </c>
      <c r="AH91" s="97" t="s">
        <v>7030</v>
      </c>
      <c r="AI91" s="97" t="s">
        <v>1679</v>
      </c>
      <c r="AJ91" s="97" t="s">
        <v>6743</v>
      </c>
      <c r="AK91" s="97" t="s">
        <v>6589</v>
      </c>
      <c r="AL91" s="580">
        <f t="shared" si="7"/>
        <v>3.7629999999999999</v>
      </c>
      <c r="AM91" s="504">
        <v>3.7629999999999999</v>
      </c>
      <c r="AN91" s="516"/>
      <c r="AO91" s="97"/>
      <c r="AP91" s="97"/>
      <c r="AQ91" s="504">
        <v>3.7629999999999999</v>
      </c>
      <c r="AR91" s="507">
        <v>1</v>
      </c>
      <c r="AS91" s="507">
        <v>6.2899999999999996E-3</v>
      </c>
      <c r="AT91" s="516"/>
      <c r="AU91" s="507"/>
      <c r="AV91" s="516"/>
      <c r="AW91" s="507"/>
      <c r="AX91" s="516"/>
      <c r="AY91" s="507"/>
      <c r="AZ91" s="516"/>
      <c r="BA91" s="507"/>
      <c r="BB91" s="507"/>
      <c r="BC91" s="507"/>
      <c r="BD91" s="507"/>
      <c r="BE91" s="507"/>
      <c r="BF91" s="507"/>
      <c r="BG91" s="507"/>
      <c r="BH91" s="852"/>
      <c r="BI91" s="504">
        <v>3.7780999999999998</v>
      </c>
      <c r="BJ91" s="507">
        <v>5.3E-3</v>
      </c>
      <c r="BK91" s="96"/>
      <c r="BL91" s="96">
        <v>6</v>
      </c>
      <c r="BM91" s="96">
        <v>1</v>
      </c>
      <c r="BN91" s="96"/>
      <c r="BO91" s="96">
        <v>1</v>
      </c>
      <c r="BP91" s="96"/>
      <c r="BQ91" s="96"/>
      <c r="BR91" s="96"/>
      <c r="BS91" s="96"/>
      <c r="BT91" s="96"/>
      <c r="BU91" s="96"/>
      <c r="BV91" s="96"/>
      <c r="BW91" s="96"/>
      <c r="BX91" s="96"/>
      <c r="BY91" s="96"/>
      <c r="BZ91" s="96"/>
      <c r="CA91" s="96"/>
      <c r="CB91" s="96"/>
      <c r="CC91" s="96"/>
      <c r="CD91" s="96"/>
      <c r="CE91" s="96"/>
      <c r="CF91" s="96"/>
      <c r="CG91" s="96"/>
      <c r="CH91" s="96"/>
      <c r="CI91" s="96"/>
      <c r="CJ91" s="96"/>
      <c r="CK91" s="96"/>
      <c r="CL91" s="815">
        <f t="shared" si="10"/>
        <v>1</v>
      </c>
      <c r="CM91" s="824">
        <f t="shared" si="8"/>
        <v>0</v>
      </c>
      <c r="CN91" s="504">
        <v>1.2</v>
      </c>
      <c r="CO91" s="97"/>
      <c r="CP91" s="97"/>
      <c r="CQ91" s="97">
        <v>15.63</v>
      </c>
      <c r="CR91" s="504">
        <v>7.68</v>
      </c>
      <c r="CS91" s="507" t="s">
        <v>5924</v>
      </c>
      <c r="CT91" s="97"/>
      <c r="CU91" s="97"/>
      <c r="CV91" s="97"/>
      <c r="CW91" s="97"/>
      <c r="CX91" s="96"/>
      <c r="CY91" s="96"/>
      <c r="CZ91" s="96"/>
      <c r="DA91" s="97" t="s">
        <v>479</v>
      </c>
      <c r="DB91" s="97" t="s">
        <v>5729</v>
      </c>
      <c r="DC91" s="96">
        <v>150</v>
      </c>
      <c r="DD91" s="97"/>
      <c r="DE91" s="97"/>
      <c r="DF91" s="96"/>
      <c r="DG91" s="96"/>
      <c r="DH91" s="96"/>
      <c r="DI91" s="96"/>
      <c r="DJ91" s="96"/>
      <c r="DK91" s="96"/>
      <c r="DL91" s="96"/>
      <c r="DM91" s="97"/>
      <c r="DN91" s="97"/>
      <c r="DO91" s="96"/>
      <c r="DP91" s="97"/>
      <c r="DQ91" s="97"/>
      <c r="DR91" s="96"/>
      <c r="DS91" s="97"/>
      <c r="DT91" s="97"/>
      <c r="DU91" s="96"/>
      <c r="DV91" s="97"/>
      <c r="DW91" s="97"/>
      <c r="DX91" s="96"/>
      <c r="DY91" s="97"/>
      <c r="DZ91" s="97"/>
      <c r="EA91" s="96"/>
      <c r="EB91" s="97"/>
      <c r="EC91" s="97"/>
      <c r="ED91" s="96"/>
      <c r="EE91" s="96"/>
      <c r="EF91" s="96"/>
      <c r="EG91" s="96"/>
      <c r="EH91" s="97"/>
      <c r="EI91" s="97"/>
      <c r="EJ91" s="96"/>
      <c r="EK91" s="97"/>
      <c r="EL91" s="97"/>
      <c r="EM91" s="96"/>
      <c r="EN91" s="97"/>
      <c r="EO91" s="97"/>
      <c r="EP91" s="96"/>
      <c r="EQ91" s="96" t="s">
        <v>479</v>
      </c>
      <c r="ER91" s="96" t="s">
        <v>5316</v>
      </c>
      <c r="ES91" s="96">
        <v>7</v>
      </c>
      <c r="ET91" s="97"/>
      <c r="EU91" s="97"/>
      <c r="EV91" s="96"/>
      <c r="EW91" s="96"/>
      <c r="EX91" s="96"/>
      <c r="EY91" s="96"/>
      <c r="EZ91" s="97"/>
      <c r="FA91" s="97"/>
      <c r="FB91" s="97"/>
      <c r="FC91" s="97"/>
      <c r="FD91" s="97"/>
      <c r="FE91" s="97"/>
      <c r="FF91" s="97"/>
      <c r="FG91" s="97"/>
      <c r="FH91" s="97"/>
      <c r="FI91" s="97"/>
      <c r="FJ91" s="97" t="s">
        <v>4541</v>
      </c>
      <c r="FK91" s="97" t="s">
        <v>4306</v>
      </c>
      <c r="FL91" s="842" t="s">
        <v>4124</v>
      </c>
      <c r="FM91" s="97"/>
      <c r="FN91" s="97"/>
      <c r="FO91" s="97"/>
    </row>
    <row r="92" spans="5:171" ht="34" customHeight="1" x14ac:dyDescent="0.2">
      <c r="E92" s="94" t="s">
        <v>9302</v>
      </c>
      <c r="F92" s="94" t="s">
        <v>9121</v>
      </c>
      <c r="G92" s="97" t="s">
        <v>324</v>
      </c>
      <c r="H92" s="97" t="s">
        <v>405</v>
      </c>
      <c r="I92" s="535" t="s">
        <v>6892</v>
      </c>
      <c r="J92" s="535" t="s">
        <v>8431</v>
      </c>
      <c r="K92" s="535" t="s">
        <v>8431</v>
      </c>
      <c r="L92" s="536">
        <v>2022</v>
      </c>
      <c r="M92" s="897">
        <v>44669</v>
      </c>
      <c r="N92" s="897">
        <v>44681</v>
      </c>
      <c r="O92" s="897"/>
      <c r="P92" s="897"/>
      <c r="Q92" s="897"/>
      <c r="R92" s="897"/>
      <c r="S92" s="897"/>
      <c r="T92" s="897"/>
      <c r="U92" s="897"/>
      <c r="V92" s="897"/>
      <c r="W92" s="897"/>
      <c r="X92" s="897"/>
      <c r="Y92" s="897"/>
      <c r="Z92" s="535" t="s">
        <v>8167</v>
      </c>
      <c r="AA92" s="535" t="s">
        <v>7994</v>
      </c>
      <c r="AB92" s="535" t="s">
        <v>2234</v>
      </c>
      <c r="AC92" s="535" t="s">
        <v>2234</v>
      </c>
      <c r="AD92" s="535" t="s">
        <v>7552</v>
      </c>
      <c r="AE92" s="535" t="s">
        <v>2234</v>
      </c>
      <c r="AF92" s="535" t="s">
        <v>2234</v>
      </c>
      <c r="AG92" s="535" t="s">
        <v>2234</v>
      </c>
      <c r="AH92" s="535" t="s">
        <v>6892</v>
      </c>
      <c r="AI92" s="535" t="s">
        <v>6892</v>
      </c>
      <c r="AJ92" s="535" t="s">
        <v>6742</v>
      </c>
      <c r="AK92" s="535" t="s">
        <v>6588</v>
      </c>
      <c r="AL92" s="580">
        <f t="shared" si="7"/>
        <v>0</v>
      </c>
      <c r="AM92" s="504">
        <v>0</v>
      </c>
      <c r="AN92" s="516"/>
      <c r="AO92" s="97"/>
      <c r="AP92" s="97"/>
      <c r="AQ92" s="504"/>
      <c r="AR92" s="507" t="s">
        <v>2234</v>
      </c>
      <c r="AS92" s="507" t="s">
        <v>2234</v>
      </c>
      <c r="AT92" s="516"/>
      <c r="AU92" s="507" t="s">
        <v>2234</v>
      </c>
      <c r="AV92" s="516"/>
      <c r="AW92" s="507" t="s">
        <v>2234</v>
      </c>
      <c r="AX92" s="516"/>
      <c r="AY92" s="507" t="s">
        <v>2234</v>
      </c>
      <c r="AZ92" s="516"/>
      <c r="BA92" s="539"/>
      <c r="BB92" s="539"/>
      <c r="BC92" s="539"/>
      <c r="BD92" s="539"/>
      <c r="BE92" s="539" t="s">
        <v>2234</v>
      </c>
      <c r="BF92" s="539" t="s">
        <v>2234</v>
      </c>
      <c r="BG92" s="539" t="s">
        <v>2234</v>
      </c>
      <c r="BH92" s="540" t="s">
        <v>2234</v>
      </c>
      <c r="BI92" s="541" t="s">
        <v>2234</v>
      </c>
      <c r="BJ92" s="539" t="s">
        <v>2234</v>
      </c>
      <c r="BK92" s="542">
        <v>20</v>
      </c>
      <c r="BL92" s="542">
        <v>20</v>
      </c>
      <c r="BM92" s="542">
        <v>7</v>
      </c>
      <c r="BN92" s="542">
        <v>0</v>
      </c>
      <c r="BO92" s="542">
        <v>4</v>
      </c>
      <c r="BP92" s="542">
        <v>1</v>
      </c>
      <c r="BQ92" s="542">
        <v>0</v>
      </c>
      <c r="BR92" s="542">
        <v>0</v>
      </c>
      <c r="BS92" s="542">
        <v>0</v>
      </c>
      <c r="BT92" s="542">
        <v>0</v>
      </c>
      <c r="BU92" s="542">
        <v>0</v>
      </c>
      <c r="BV92" s="542">
        <v>0</v>
      </c>
      <c r="BW92" s="542">
        <v>0</v>
      </c>
      <c r="BX92" s="542">
        <v>0</v>
      </c>
      <c r="BY92" s="542">
        <v>0</v>
      </c>
      <c r="BZ92" s="542">
        <v>0</v>
      </c>
      <c r="CA92" s="542">
        <v>2</v>
      </c>
      <c r="CB92" s="542">
        <v>0</v>
      </c>
      <c r="CC92" s="542">
        <v>0</v>
      </c>
      <c r="CD92" s="542">
        <v>0</v>
      </c>
      <c r="CE92" s="542">
        <v>0</v>
      </c>
      <c r="CF92" s="542">
        <v>0</v>
      </c>
      <c r="CG92" s="542">
        <v>0</v>
      </c>
      <c r="CH92" s="542">
        <v>0</v>
      </c>
      <c r="CI92" s="542">
        <v>0</v>
      </c>
      <c r="CJ92" s="542">
        <v>0</v>
      </c>
      <c r="CK92" s="542">
        <v>0</v>
      </c>
      <c r="CL92" s="543">
        <f t="shared" si="10"/>
        <v>7</v>
      </c>
      <c r="CM92" s="824">
        <f t="shared" si="8"/>
        <v>0</v>
      </c>
      <c r="CN92" s="541"/>
      <c r="CO92" s="535" t="s">
        <v>6158</v>
      </c>
      <c r="CP92" s="535" t="s">
        <v>2234</v>
      </c>
      <c r="CQ92" s="539">
        <v>0.97</v>
      </c>
      <c r="CR92" s="541">
        <v>10.481</v>
      </c>
      <c r="CS92" s="539" t="s">
        <v>5917</v>
      </c>
      <c r="CT92" s="535" t="s">
        <v>470</v>
      </c>
      <c r="CU92" s="535" t="s">
        <v>2234</v>
      </c>
      <c r="CV92" s="535" t="s">
        <v>2234</v>
      </c>
      <c r="CW92" s="535" t="s">
        <v>2234</v>
      </c>
      <c r="CX92" s="542" t="s">
        <v>2234</v>
      </c>
      <c r="CY92" s="542" t="s">
        <v>2234</v>
      </c>
      <c r="CZ92" s="542" t="s">
        <v>2234</v>
      </c>
      <c r="DA92" s="535" t="s">
        <v>479</v>
      </c>
      <c r="DB92" s="535" t="s">
        <v>5728</v>
      </c>
      <c r="DC92" s="542">
        <v>281</v>
      </c>
      <c r="DD92" s="535" t="s">
        <v>2234</v>
      </c>
      <c r="DE92" s="535" t="s">
        <v>2234</v>
      </c>
      <c r="DF92" s="542" t="s">
        <v>2234</v>
      </c>
      <c r="DG92" s="542" t="s">
        <v>2234</v>
      </c>
      <c r="DH92" s="542" t="s">
        <v>2234</v>
      </c>
      <c r="DI92" s="542" t="s">
        <v>2234</v>
      </c>
      <c r="DJ92" s="542" t="s">
        <v>2234</v>
      </c>
      <c r="DK92" s="542" t="s">
        <v>2234</v>
      </c>
      <c r="DL92" s="542" t="s">
        <v>2234</v>
      </c>
      <c r="DM92" s="535" t="s">
        <v>479</v>
      </c>
      <c r="DN92" s="535" t="s">
        <v>9613</v>
      </c>
      <c r="DO92" s="542">
        <v>281</v>
      </c>
      <c r="DP92" s="535" t="s">
        <v>2234</v>
      </c>
      <c r="DQ92" s="535" t="s">
        <v>2234</v>
      </c>
      <c r="DR92" s="542" t="s">
        <v>2234</v>
      </c>
      <c r="DS92" s="535" t="s">
        <v>2234</v>
      </c>
      <c r="DT92" s="535" t="s">
        <v>2234</v>
      </c>
      <c r="DU92" s="542" t="s">
        <v>2234</v>
      </c>
      <c r="DV92" s="535"/>
      <c r="DW92" s="535" t="s">
        <v>2234</v>
      </c>
      <c r="DX92" s="542" t="s">
        <v>2234</v>
      </c>
      <c r="DY92" s="535" t="s">
        <v>2234</v>
      </c>
      <c r="DZ92" s="535" t="s">
        <v>2234</v>
      </c>
      <c r="EA92" s="542" t="s">
        <v>2234</v>
      </c>
      <c r="EB92" s="535" t="s">
        <v>2234</v>
      </c>
      <c r="EC92" s="535" t="s">
        <v>2234</v>
      </c>
      <c r="ED92" s="542" t="s">
        <v>2234</v>
      </c>
      <c r="EE92" s="535" t="s">
        <v>2234</v>
      </c>
      <c r="EF92" s="535" t="s">
        <v>2234</v>
      </c>
      <c r="EG92" s="542" t="s">
        <v>2234</v>
      </c>
      <c r="EH92" s="535" t="s">
        <v>2234</v>
      </c>
      <c r="EI92" s="535" t="s">
        <v>2234</v>
      </c>
      <c r="EJ92" s="542" t="s">
        <v>2234</v>
      </c>
      <c r="EK92" s="535" t="s">
        <v>2234</v>
      </c>
      <c r="EL92" s="535" t="s">
        <v>2234</v>
      </c>
      <c r="EM92" s="542" t="s">
        <v>2234</v>
      </c>
      <c r="EN92" s="535" t="s">
        <v>2234</v>
      </c>
      <c r="EO92" s="535" t="s">
        <v>2234</v>
      </c>
      <c r="EP92" s="542" t="s">
        <v>2234</v>
      </c>
      <c r="EQ92" s="535" t="s">
        <v>2234</v>
      </c>
      <c r="ER92" s="535" t="s">
        <v>2234</v>
      </c>
      <c r="ES92" s="542" t="s">
        <v>2234</v>
      </c>
      <c r="ET92" s="535" t="s">
        <v>2234</v>
      </c>
      <c r="EU92" s="535" t="s">
        <v>2234</v>
      </c>
      <c r="EV92" s="542" t="s">
        <v>2234</v>
      </c>
      <c r="EW92" s="542"/>
      <c r="EX92" s="542"/>
      <c r="EY92" s="542"/>
      <c r="EZ92" s="535" t="s">
        <v>2234</v>
      </c>
      <c r="FA92" s="535" t="s">
        <v>2234</v>
      </c>
      <c r="FB92" s="542" t="s">
        <v>5178</v>
      </c>
      <c r="FC92" s="535" t="s">
        <v>5016</v>
      </c>
      <c r="FD92" s="535" t="s">
        <v>2234</v>
      </c>
      <c r="FE92" s="535" t="s">
        <v>9614</v>
      </c>
      <c r="FF92" s="535" t="s">
        <v>2234</v>
      </c>
      <c r="FG92" s="535" t="s">
        <v>2234</v>
      </c>
      <c r="FH92" s="535" t="s">
        <v>2234</v>
      </c>
      <c r="FI92" s="535" t="s">
        <v>2234</v>
      </c>
      <c r="FJ92" s="535" t="s">
        <v>4540</v>
      </c>
      <c r="FK92" s="535" t="s">
        <v>4305</v>
      </c>
      <c r="FL92" s="535" t="s">
        <v>9615</v>
      </c>
      <c r="FM92" s="535" t="s">
        <v>3919</v>
      </c>
      <c r="FN92" s="535" t="s">
        <v>3837</v>
      </c>
      <c r="FO92" s="535" t="s">
        <v>3768</v>
      </c>
    </row>
    <row r="93" spans="5:171" ht="34" customHeight="1" x14ac:dyDescent="0.2">
      <c r="E93" s="94" t="s">
        <v>9302</v>
      </c>
      <c r="F93" s="94" t="s">
        <v>9121</v>
      </c>
      <c r="G93" s="97" t="s">
        <v>324</v>
      </c>
      <c r="H93" s="97" t="s">
        <v>405</v>
      </c>
      <c r="I93" s="97" t="s">
        <v>8846</v>
      </c>
      <c r="J93" s="97" t="s">
        <v>8594</v>
      </c>
      <c r="K93" s="97" t="s">
        <v>656</v>
      </c>
      <c r="L93" s="502">
        <v>2022</v>
      </c>
      <c r="M93" s="841">
        <v>44652</v>
      </c>
      <c r="N93" s="841">
        <v>44671</v>
      </c>
      <c r="O93" s="841"/>
      <c r="P93" s="841"/>
      <c r="Q93" s="841"/>
      <c r="R93" s="841"/>
      <c r="S93" s="841"/>
      <c r="T93" s="841"/>
      <c r="U93" s="841"/>
      <c r="V93" s="841"/>
      <c r="W93" s="841"/>
      <c r="X93" s="841"/>
      <c r="Y93" s="841"/>
      <c r="Z93" s="97" t="s">
        <v>8166</v>
      </c>
      <c r="AA93" s="842" t="s">
        <v>7993</v>
      </c>
      <c r="AB93" s="97" t="s">
        <v>5315</v>
      </c>
      <c r="AC93" s="842" t="s">
        <v>5177</v>
      </c>
      <c r="AD93" s="97" t="s">
        <v>7551</v>
      </c>
      <c r="AE93" s="842" t="s">
        <v>7339</v>
      </c>
      <c r="AF93" s="97" t="s">
        <v>7171</v>
      </c>
      <c r="AG93" s="842" t="s">
        <v>7097</v>
      </c>
      <c r="AH93" s="97" t="s">
        <v>7029</v>
      </c>
      <c r="AI93" s="97" t="s">
        <v>6891</v>
      </c>
      <c r="AJ93" s="97" t="s">
        <v>6741</v>
      </c>
      <c r="AK93" s="97" t="s">
        <v>6587</v>
      </c>
      <c r="AL93" s="580">
        <f t="shared" ca="1" si="7"/>
        <v>3.05274</v>
      </c>
      <c r="AM93" s="504">
        <v>3.05274</v>
      </c>
      <c r="AN93" s="516"/>
      <c r="AO93" s="97"/>
      <c r="AP93" s="97"/>
      <c r="AQ93" s="504">
        <f ca="1">AL93</f>
        <v>3.05274</v>
      </c>
      <c r="AR93" s="507">
        <v>1</v>
      </c>
      <c r="AS93" s="507">
        <v>5.9999999999999995E-4</v>
      </c>
      <c r="AT93" s="516">
        <v>0</v>
      </c>
      <c r="AU93" s="507">
        <v>0</v>
      </c>
      <c r="AV93" s="516">
        <v>0</v>
      </c>
      <c r="AW93" s="507">
        <v>0</v>
      </c>
      <c r="AX93" s="516"/>
      <c r="AY93" s="507">
        <v>0</v>
      </c>
      <c r="AZ93" s="516"/>
      <c r="BA93" s="507"/>
      <c r="BB93" s="507"/>
      <c r="BC93" s="507"/>
      <c r="BD93" s="507"/>
      <c r="BE93" s="507" t="s">
        <v>470</v>
      </c>
      <c r="BF93" s="507"/>
      <c r="BG93" s="507"/>
      <c r="BH93" s="852"/>
      <c r="BI93" s="504">
        <v>3.0651999999999999</v>
      </c>
      <c r="BJ93" s="507">
        <v>6.9999999999999999E-4</v>
      </c>
      <c r="BK93" s="96">
        <v>13</v>
      </c>
      <c r="BL93" s="96">
        <v>13</v>
      </c>
      <c r="BM93" s="96">
        <v>1</v>
      </c>
      <c r="BN93" s="96">
        <v>0</v>
      </c>
      <c r="BO93" s="96">
        <v>3</v>
      </c>
      <c r="BP93" s="96">
        <v>0</v>
      </c>
      <c r="BQ93" s="96">
        <v>0</v>
      </c>
      <c r="BR93" s="96">
        <v>0</v>
      </c>
      <c r="BS93" s="96">
        <v>1</v>
      </c>
      <c r="BT93" s="96">
        <v>0</v>
      </c>
      <c r="BU93" s="96">
        <v>2</v>
      </c>
      <c r="BV93" s="96">
        <v>3</v>
      </c>
      <c r="BW93" s="96">
        <v>0</v>
      </c>
      <c r="BX93" s="96">
        <v>0</v>
      </c>
      <c r="BY93" s="96">
        <v>2</v>
      </c>
      <c r="BZ93" s="96">
        <v>1</v>
      </c>
      <c r="CA93" s="96">
        <v>0</v>
      </c>
      <c r="CB93" s="96">
        <v>0</v>
      </c>
      <c r="CC93" s="96">
        <v>0</v>
      </c>
      <c r="CD93" s="96">
        <v>0</v>
      </c>
      <c r="CE93" s="96">
        <v>0</v>
      </c>
      <c r="CF93" s="96">
        <v>0</v>
      </c>
      <c r="CG93" s="96">
        <v>0</v>
      </c>
      <c r="CH93" s="96">
        <v>0</v>
      </c>
      <c r="CI93" s="96">
        <v>1</v>
      </c>
      <c r="CJ93" s="96">
        <v>0</v>
      </c>
      <c r="CK93" s="96">
        <v>0</v>
      </c>
      <c r="CL93" s="815">
        <f t="shared" si="10"/>
        <v>13</v>
      </c>
      <c r="CM93" s="824">
        <f t="shared" si="8"/>
        <v>0</v>
      </c>
      <c r="CN93" s="504">
        <v>2.92</v>
      </c>
      <c r="CO93" s="97"/>
      <c r="CP93" s="97"/>
      <c r="CQ93" s="516">
        <v>4.0999999999999996</v>
      </c>
      <c r="CR93" s="504">
        <v>71.278999999999996</v>
      </c>
      <c r="CS93" s="887" t="s">
        <v>1902</v>
      </c>
      <c r="CT93" s="97" t="s">
        <v>470</v>
      </c>
      <c r="CU93" s="97"/>
      <c r="CV93" s="97"/>
      <c r="CW93" s="97"/>
      <c r="CX93" s="96"/>
      <c r="CY93" s="96"/>
      <c r="CZ93" s="96"/>
      <c r="DA93" s="97" t="s">
        <v>479</v>
      </c>
      <c r="DB93" s="97" t="s">
        <v>5315</v>
      </c>
      <c r="DC93" s="96">
        <v>30</v>
      </c>
      <c r="DD93" s="97" t="s">
        <v>470</v>
      </c>
      <c r="DE93" s="97"/>
      <c r="DF93" s="96"/>
      <c r="DG93" s="96" t="s">
        <v>470</v>
      </c>
      <c r="DH93" s="96"/>
      <c r="DI93" s="96"/>
      <c r="DJ93" s="96" t="s">
        <v>470</v>
      </c>
      <c r="DK93" s="96"/>
      <c r="DL93" s="96"/>
      <c r="DM93" s="97" t="s">
        <v>470</v>
      </c>
      <c r="DN93" s="97"/>
      <c r="DO93" s="96"/>
      <c r="DP93" s="97" t="s">
        <v>470</v>
      </c>
      <c r="DQ93" s="97"/>
      <c r="DR93" s="96"/>
      <c r="DS93" s="97" t="s">
        <v>470</v>
      </c>
      <c r="DT93" s="97"/>
      <c r="DU93" s="96"/>
      <c r="DV93" s="97"/>
      <c r="DW93" s="97"/>
      <c r="DX93" s="96"/>
      <c r="DY93" s="97" t="s">
        <v>470</v>
      </c>
      <c r="DZ93" s="97"/>
      <c r="EA93" s="96"/>
      <c r="EB93" s="97" t="s">
        <v>470</v>
      </c>
      <c r="EC93" s="97"/>
      <c r="ED93" s="96"/>
      <c r="EE93" s="96" t="s">
        <v>470</v>
      </c>
      <c r="EF93" s="96"/>
      <c r="EG93" s="96"/>
      <c r="EH93" s="97" t="s">
        <v>470</v>
      </c>
      <c r="EI93" s="97"/>
      <c r="EJ93" s="96"/>
      <c r="EK93" s="97" t="s">
        <v>470</v>
      </c>
      <c r="EL93" s="97"/>
      <c r="EM93" s="96"/>
      <c r="EN93" s="97" t="s">
        <v>470</v>
      </c>
      <c r="EO93" s="97"/>
      <c r="EP93" s="96"/>
      <c r="EQ93" s="96" t="s">
        <v>479</v>
      </c>
      <c r="ER93" s="97" t="s">
        <v>5315</v>
      </c>
      <c r="ES93" s="96">
        <v>11</v>
      </c>
      <c r="ET93" s="97"/>
      <c r="EU93" s="97"/>
      <c r="EV93" s="96"/>
      <c r="EW93" s="96"/>
      <c r="EX93" s="96"/>
      <c r="EY93" s="96"/>
      <c r="EZ93" s="97" t="s">
        <v>470</v>
      </c>
      <c r="FA93" s="97"/>
      <c r="FB93" s="842" t="s">
        <v>5177</v>
      </c>
      <c r="FC93" s="842" t="s">
        <v>5015</v>
      </c>
      <c r="FD93" s="97"/>
      <c r="FE93" s="97" t="s">
        <v>4858</v>
      </c>
      <c r="FF93" s="97"/>
      <c r="FG93" s="97" t="s">
        <v>1750</v>
      </c>
      <c r="FH93" s="97">
        <v>0</v>
      </c>
      <c r="FI93" s="97">
        <v>0</v>
      </c>
      <c r="FJ93" s="97" t="s">
        <v>4539</v>
      </c>
      <c r="FK93" s="199" t="s">
        <v>4304</v>
      </c>
      <c r="FL93" s="97" t="s">
        <v>4123</v>
      </c>
      <c r="FM93" s="97" t="s">
        <v>3918</v>
      </c>
      <c r="FN93" s="199" t="s">
        <v>3836</v>
      </c>
      <c r="FO93" s="842" t="s">
        <v>3767</v>
      </c>
    </row>
    <row r="94" spans="5:171" ht="34" customHeight="1" x14ac:dyDescent="0.2">
      <c r="E94" s="94" t="s">
        <v>9302</v>
      </c>
      <c r="F94" s="94" t="s">
        <v>9121</v>
      </c>
      <c r="G94" s="97" t="s">
        <v>324</v>
      </c>
      <c r="H94" s="97" t="s">
        <v>405</v>
      </c>
      <c r="I94" s="97" t="s">
        <v>8845</v>
      </c>
      <c r="J94" s="97" t="s">
        <v>8593</v>
      </c>
      <c r="K94" s="97" t="s">
        <v>5242</v>
      </c>
      <c r="L94" s="502">
        <v>2021</v>
      </c>
      <c r="M94" s="841">
        <v>44743</v>
      </c>
      <c r="N94" s="841">
        <v>44925</v>
      </c>
      <c r="O94" s="841"/>
      <c r="P94" s="841"/>
      <c r="Q94" s="841"/>
      <c r="R94" s="841"/>
      <c r="S94" s="841"/>
      <c r="T94" s="841"/>
      <c r="U94" s="841"/>
      <c r="V94" s="841"/>
      <c r="W94" s="841"/>
      <c r="X94" s="841"/>
      <c r="Y94" s="841"/>
      <c r="Z94" s="97" t="s">
        <v>8165</v>
      </c>
      <c r="AA94" s="97"/>
      <c r="AB94" s="97"/>
      <c r="AC94" s="842"/>
      <c r="AD94" s="97"/>
      <c r="AE94" s="97"/>
      <c r="AF94" s="97"/>
      <c r="AG94" s="97"/>
      <c r="AH94" s="97" t="s">
        <v>7028</v>
      </c>
      <c r="AI94" s="97"/>
      <c r="AJ94" s="97" t="s">
        <v>6736</v>
      </c>
      <c r="AK94" s="97" t="s">
        <v>6586</v>
      </c>
      <c r="AL94" s="580">
        <f t="shared" si="7"/>
        <v>3.76</v>
      </c>
      <c r="AM94" s="504">
        <v>3.76</v>
      </c>
      <c r="AN94" s="516"/>
      <c r="AO94" s="97"/>
      <c r="AP94" s="97"/>
      <c r="AQ94" s="504">
        <v>3.76</v>
      </c>
      <c r="AR94" s="507"/>
      <c r="AS94" s="507">
        <v>1</v>
      </c>
      <c r="AT94" s="516"/>
      <c r="AU94" s="507"/>
      <c r="AV94" s="516"/>
      <c r="AW94" s="507"/>
      <c r="AX94" s="516"/>
      <c r="AY94" s="507"/>
      <c r="AZ94" s="516"/>
      <c r="BA94" s="507"/>
      <c r="BB94" s="507"/>
      <c r="BC94" s="507"/>
      <c r="BD94" s="507"/>
      <c r="BE94" s="507"/>
      <c r="BF94" s="507"/>
      <c r="BG94" s="507"/>
      <c r="BH94" s="852"/>
      <c r="BI94" s="504">
        <v>3.78</v>
      </c>
      <c r="BJ94" s="507">
        <v>3.0000000000000001E-3</v>
      </c>
      <c r="BK94" s="96"/>
      <c r="BL94" s="96">
        <v>10</v>
      </c>
      <c r="BM94" s="96">
        <v>10</v>
      </c>
      <c r="BN94" s="96">
        <v>2</v>
      </c>
      <c r="BO94" s="96">
        <v>2</v>
      </c>
      <c r="BP94" s="96"/>
      <c r="BQ94" s="96"/>
      <c r="BR94" s="96"/>
      <c r="BS94" s="96"/>
      <c r="BT94" s="96"/>
      <c r="BU94" s="96"/>
      <c r="BV94" s="96">
        <v>1</v>
      </c>
      <c r="BW94" s="96">
        <v>1</v>
      </c>
      <c r="BX94" s="96"/>
      <c r="BY94" s="96">
        <v>1</v>
      </c>
      <c r="BZ94" s="96"/>
      <c r="CA94" s="96">
        <v>1</v>
      </c>
      <c r="CB94" s="96"/>
      <c r="CC94" s="96"/>
      <c r="CD94" s="96"/>
      <c r="CE94" s="96">
        <v>1</v>
      </c>
      <c r="CF94" s="96"/>
      <c r="CG94" s="96"/>
      <c r="CH94" s="96"/>
      <c r="CI94" s="96"/>
      <c r="CJ94" s="96">
        <v>1</v>
      </c>
      <c r="CK94" s="96"/>
      <c r="CL94" s="815">
        <f t="shared" si="10"/>
        <v>10</v>
      </c>
      <c r="CM94" s="824">
        <f t="shared" si="8"/>
        <v>0</v>
      </c>
      <c r="CN94" s="504">
        <v>6278</v>
      </c>
      <c r="CO94" s="97" t="s">
        <v>6157</v>
      </c>
      <c r="CP94" s="97" t="s">
        <v>6000</v>
      </c>
      <c r="CQ94" s="97">
        <v>35.67</v>
      </c>
      <c r="CR94" s="504">
        <v>17.600000000000001</v>
      </c>
      <c r="CS94" s="507" t="s">
        <v>5923</v>
      </c>
      <c r="CT94" s="97" t="s">
        <v>539</v>
      </c>
      <c r="CU94" s="97"/>
      <c r="CV94" s="97"/>
      <c r="CW94" s="97"/>
      <c r="CX94" s="96"/>
      <c r="CY94" s="96"/>
      <c r="CZ94" s="96">
        <v>1</v>
      </c>
      <c r="DA94" s="97" t="s">
        <v>539</v>
      </c>
      <c r="DB94" s="97"/>
      <c r="DC94" s="96"/>
      <c r="DD94" s="97"/>
      <c r="DE94" s="97"/>
      <c r="DF94" s="96"/>
      <c r="DG94" s="96"/>
      <c r="DH94" s="96"/>
      <c r="DI94" s="96"/>
      <c r="DJ94" s="96"/>
      <c r="DK94" s="96"/>
      <c r="DL94" s="96"/>
      <c r="DM94" s="97"/>
      <c r="DN94" s="97"/>
      <c r="DO94" s="96"/>
      <c r="DP94" s="97"/>
      <c r="DQ94" s="97"/>
      <c r="DR94" s="96"/>
      <c r="DS94" s="97"/>
      <c r="DT94" s="97"/>
      <c r="DU94" s="96"/>
      <c r="DV94" s="97" t="s">
        <v>5516</v>
      </c>
      <c r="DW94" s="97"/>
      <c r="DX94" s="96"/>
      <c r="DY94" s="97"/>
      <c r="DZ94" s="97"/>
      <c r="EA94" s="96"/>
      <c r="EB94" s="97"/>
      <c r="EC94" s="97"/>
      <c r="ED94" s="96"/>
      <c r="EE94" s="96"/>
      <c r="EF94" s="96"/>
      <c r="EG94" s="96"/>
      <c r="EH94" s="97"/>
      <c r="EI94" s="97"/>
      <c r="EJ94" s="96"/>
      <c r="EK94" s="97"/>
      <c r="EL94" s="97"/>
      <c r="EM94" s="96"/>
      <c r="EN94" s="97"/>
      <c r="EO94" s="97"/>
      <c r="EP94" s="96"/>
      <c r="EQ94" s="96"/>
      <c r="ER94" s="96"/>
      <c r="ES94" s="96"/>
      <c r="ET94" s="97" t="s">
        <v>5252</v>
      </c>
      <c r="EU94" s="97"/>
      <c r="EV94" s="96"/>
      <c r="EW94" s="96"/>
      <c r="EX94" s="96"/>
      <c r="EY94" s="96"/>
      <c r="EZ94" s="97" t="s">
        <v>539</v>
      </c>
      <c r="FA94" s="97"/>
      <c r="FB94" s="97"/>
      <c r="FC94" s="97"/>
      <c r="FD94" s="97"/>
      <c r="FE94" s="97"/>
      <c r="FF94" s="97"/>
      <c r="FG94" s="97" t="s">
        <v>4662</v>
      </c>
      <c r="FH94" s="97">
        <v>5</v>
      </c>
      <c r="FI94" s="97">
        <v>126</v>
      </c>
      <c r="FJ94" s="97" t="s">
        <v>4538</v>
      </c>
      <c r="FK94" s="96">
        <v>88213323189</v>
      </c>
      <c r="FL94" s="842" t="s">
        <v>4122</v>
      </c>
      <c r="FM94" s="97" t="s">
        <v>3917</v>
      </c>
      <c r="FN94" s="96">
        <v>88213321223</v>
      </c>
      <c r="FO94" s="842" t="s">
        <v>3766</v>
      </c>
    </row>
    <row r="95" spans="5:171" ht="34" customHeight="1" x14ac:dyDescent="0.2">
      <c r="E95" s="94" t="s">
        <v>9302</v>
      </c>
      <c r="F95" s="94" t="s">
        <v>9121</v>
      </c>
      <c r="G95" s="97" t="s">
        <v>324</v>
      </c>
      <c r="H95" s="97" t="s">
        <v>405</v>
      </c>
      <c r="I95" s="97" t="s">
        <v>8844</v>
      </c>
      <c r="J95" s="97" t="s">
        <v>8592</v>
      </c>
      <c r="K95" s="97" t="s">
        <v>5242</v>
      </c>
      <c r="L95" s="502">
        <v>2021</v>
      </c>
      <c r="M95" s="841">
        <v>44681</v>
      </c>
      <c r="N95" s="841">
        <v>44896</v>
      </c>
      <c r="O95" s="841"/>
      <c r="P95" s="841"/>
      <c r="Q95" s="841"/>
      <c r="R95" s="841"/>
      <c r="S95" s="841"/>
      <c r="T95" s="841"/>
      <c r="U95" s="841"/>
      <c r="V95" s="841"/>
      <c r="W95" s="841"/>
      <c r="X95" s="841"/>
      <c r="Y95" s="841"/>
      <c r="Z95" s="97" t="s">
        <v>8164</v>
      </c>
      <c r="AA95" s="97" t="s">
        <v>7992</v>
      </c>
      <c r="AB95" s="97"/>
      <c r="AC95" s="97"/>
      <c r="AD95" s="97"/>
      <c r="AE95" s="97"/>
      <c r="AF95" s="97"/>
      <c r="AG95" s="97"/>
      <c r="AH95" s="97" t="s">
        <v>6585</v>
      </c>
      <c r="AI95" s="97" t="s">
        <v>1679</v>
      </c>
      <c r="AJ95" s="97" t="s">
        <v>6740</v>
      </c>
      <c r="AK95" s="97" t="s">
        <v>6585</v>
      </c>
      <c r="AL95" s="580">
        <f t="shared" si="7"/>
        <v>3.05274</v>
      </c>
      <c r="AM95" s="504">
        <v>3.05274</v>
      </c>
      <c r="AN95" s="516"/>
      <c r="AO95" s="97"/>
      <c r="AP95" s="97"/>
      <c r="AQ95" s="504">
        <v>3.05274</v>
      </c>
      <c r="AR95" s="507">
        <v>1</v>
      </c>
      <c r="AS95" s="507">
        <v>1.2999999999999999E-3</v>
      </c>
      <c r="AT95" s="516">
        <v>0</v>
      </c>
      <c r="AU95" s="507"/>
      <c r="AV95" s="516">
        <v>0</v>
      </c>
      <c r="AW95" s="507"/>
      <c r="AX95" s="516"/>
      <c r="AY95" s="507"/>
      <c r="AZ95" s="516"/>
      <c r="BA95" s="507"/>
      <c r="BB95" s="507"/>
      <c r="BC95" s="507"/>
      <c r="BD95" s="507"/>
      <c r="BE95" s="507" t="s">
        <v>470</v>
      </c>
      <c r="BF95" s="507"/>
      <c r="BG95" s="507"/>
      <c r="BH95" s="852"/>
      <c r="BI95" s="504">
        <v>3.778</v>
      </c>
      <c r="BJ95" s="507">
        <v>1.6000000000000001E-3</v>
      </c>
      <c r="BK95" s="96">
        <v>11</v>
      </c>
      <c r="BL95" s="96">
        <v>11</v>
      </c>
      <c r="BM95" s="96">
        <v>9</v>
      </c>
      <c r="BN95" s="96"/>
      <c r="BO95" s="96"/>
      <c r="BP95" s="96"/>
      <c r="BQ95" s="96"/>
      <c r="BR95" s="96">
        <v>1</v>
      </c>
      <c r="BS95" s="96"/>
      <c r="BT95" s="96"/>
      <c r="BU95" s="96">
        <v>3</v>
      </c>
      <c r="BV95" s="96">
        <v>3</v>
      </c>
      <c r="BW95" s="96"/>
      <c r="BX95" s="96">
        <v>1</v>
      </c>
      <c r="BY95" s="96"/>
      <c r="BZ95" s="96">
        <v>1</v>
      </c>
      <c r="CA95" s="96"/>
      <c r="CB95" s="96"/>
      <c r="CC95" s="96"/>
      <c r="CD95" s="96"/>
      <c r="CE95" s="96"/>
      <c r="CF95" s="96"/>
      <c r="CG95" s="96"/>
      <c r="CH95" s="96"/>
      <c r="CI95" s="96"/>
      <c r="CJ95" s="96"/>
      <c r="CK95" s="96"/>
      <c r="CL95" s="815">
        <f t="shared" si="10"/>
        <v>9</v>
      </c>
      <c r="CM95" s="824">
        <f t="shared" si="8"/>
        <v>0</v>
      </c>
      <c r="CN95" s="504">
        <v>7.758</v>
      </c>
      <c r="CO95" s="97" t="s">
        <v>6156</v>
      </c>
      <c r="CP95" s="97"/>
      <c r="CQ95" s="97">
        <v>17.8</v>
      </c>
      <c r="CR95" s="504">
        <v>43.65</v>
      </c>
      <c r="CS95" s="507" t="s">
        <v>5922</v>
      </c>
      <c r="CT95" s="97" t="s">
        <v>470</v>
      </c>
      <c r="CU95" s="97"/>
      <c r="CV95" s="97"/>
      <c r="CW95" s="97"/>
      <c r="CX95" s="96"/>
      <c r="CY95" s="96"/>
      <c r="CZ95" s="96"/>
      <c r="DA95" s="97" t="s">
        <v>479</v>
      </c>
      <c r="DB95" s="97" t="s">
        <v>1336</v>
      </c>
      <c r="DC95" s="96">
        <v>226</v>
      </c>
      <c r="DD95" s="97" t="s">
        <v>470</v>
      </c>
      <c r="DE95" s="97"/>
      <c r="DF95" s="96"/>
      <c r="DG95" s="96" t="s">
        <v>470</v>
      </c>
      <c r="DH95" s="96"/>
      <c r="DI95" s="96"/>
      <c r="DJ95" s="96" t="s">
        <v>470</v>
      </c>
      <c r="DK95" s="96"/>
      <c r="DL95" s="96"/>
      <c r="DM95" s="97" t="s">
        <v>479</v>
      </c>
      <c r="DN95" s="97" t="s">
        <v>1336</v>
      </c>
      <c r="DO95" s="96">
        <v>226</v>
      </c>
      <c r="DP95" s="97" t="s">
        <v>470</v>
      </c>
      <c r="DQ95" s="97"/>
      <c r="DR95" s="96"/>
      <c r="DS95" s="97" t="s">
        <v>470</v>
      </c>
      <c r="DT95" s="97"/>
      <c r="DU95" s="96"/>
      <c r="DV95" s="97"/>
      <c r="DW95" s="97"/>
      <c r="DX95" s="96"/>
      <c r="DY95" s="97" t="s">
        <v>470</v>
      </c>
      <c r="DZ95" s="97"/>
      <c r="EA95" s="96"/>
      <c r="EB95" s="97" t="s">
        <v>470</v>
      </c>
      <c r="EC95" s="97"/>
      <c r="ED95" s="96"/>
      <c r="EE95" s="96" t="s">
        <v>470</v>
      </c>
      <c r="EF95" s="96"/>
      <c r="EG95" s="96"/>
      <c r="EH95" s="97" t="s">
        <v>470</v>
      </c>
      <c r="EI95" s="97"/>
      <c r="EJ95" s="96"/>
      <c r="EK95" s="97" t="s">
        <v>470</v>
      </c>
      <c r="EL95" s="97"/>
      <c r="EM95" s="96"/>
      <c r="EN95" s="97" t="s">
        <v>470</v>
      </c>
      <c r="EO95" s="97"/>
      <c r="EP95" s="96"/>
      <c r="EQ95" s="96" t="s">
        <v>479</v>
      </c>
      <c r="ER95" s="96" t="s">
        <v>640</v>
      </c>
      <c r="ES95" s="96">
        <v>8</v>
      </c>
      <c r="ET95" s="97"/>
      <c r="EU95" s="97"/>
      <c r="EV95" s="96"/>
      <c r="EW95" s="96"/>
      <c r="EX95" s="96"/>
      <c r="EY95" s="96"/>
      <c r="EZ95" s="97" t="s">
        <v>470</v>
      </c>
      <c r="FA95" s="97"/>
      <c r="FB95" s="97" t="s">
        <v>470</v>
      </c>
      <c r="FC95" s="97"/>
      <c r="FD95" s="97"/>
      <c r="FE95" s="97"/>
      <c r="FF95" s="97"/>
      <c r="FG95" s="97" t="s">
        <v>470</v>
      </c>
      <c r="FH95" s="97"/>
      <c r="FI95" s="97"/>
      <c r="FJ95" s="97" t="s">
        <v>4537</v>
      </c>
      <c r="FK95" s="97" t="s">
        <v>4303</v>
      </c>
      <c r="FL95" s="842" t="s">
        <v>4121</v>
      </c>
      <c r="FM95" s="97" t="s">
        <v>3916</v>
      </c>
      <c r="FN95" s="97" t="s">
        <v>3835</v>
      </c>
      <c r="FO95" s="842" t="s">
        <v>3765</v>
      </c>
    </row>
    <row r="96" spans="5:171" ht="34" customHeight="1" x14ac:dyDescent="0.2">
      <c r="E96" s="94" t="s">
        <v>9302</v>
      </c>
      <c r="F96" s="94" t="s">
        <v>9121</v>
      </c>
      <c r="G96" s="97" t="s">
        <v>324</v>
      </c>
      <c r="H96" s="97" t="s">
        <v>405</v>
      </c>
      <c r="I96" s="97" t="s">
        <v>8843</v>
      </c>
      <c r="J96" s="97"/>
      <c r="K96" s="97" t="s">
        <v>8431</v>
      </c>
      <c r="L96" s="502">
        <v>2021</v>
      </c>
      <c r="M96" s="841">
        <v>44659</v>
      </c>
      <c r="N96" s="841" t="s">
        <v>8253</v>
      </c>
      <c r="O96" s="841"/>
      <c r="P96" s="841"/>
      <c r="Q96" s="841"/>
      <c r="R96" s="841"/>
      <c r="S96" s="841"/>
      <c r="T96" s="841"/>
      <c r="U96" s="841"/>
      <c r="V96" s="841"/>
      <c r="W96" s="841"/>
      <c r="X96" s="841"/>
      <c r="Y96" s="841"/>
      <c r="Z96" s="97" t="s">
        <v>8163</v>
      </c>
      <c r="AA96" s="97"/>
      <c r="AB96" s="97" t="s">
        <v>7875</v>
      </c>
      <c r="AC96" s="97"/>
      <c r="AD96" s="97" t="s">
        <v>7550</v>
      </c>
      <c r="AE96" s="97"/>
      <c r="AF96" s="97" t="s">
        <v>7170</v>
      </c>
      <c r="AG96" s="97"/>
      <c r="AH96" s="97" t="s">
        <v>6584</v>
      </c>
      <c r="AI96" s="97" t="s">
        <v>1679</v>
      </c>
      <c r="AJ96" s="97" t="s">
        <v>6736</v>
      </c>
      <c r="AK96" s="97" t="s">
        <v>6584</v>
      </c>
      <c r="AL96" s="580">
        <f t="shared" si="7"/>
        <v>2.9820000000000002</v>
      </c>
      <c r="AM96" s="504">
        <v>2.9820000000000002</v>
      </c>
      <c r="AN96" s="516"/>
      <c r="AO96" s="97"/>
      <c r="AP96" s="97"/>
      <c r="AQ96" s="504">
        <v>2.9820000000000002</v>
      </c>
      <c r="AR96" s="507">
        <v>1</v>
      </c>
      <c r="AS96" s="507">
        <v>1.9E-3</v>
      </c>
      <c r="AT96" s="516">
        <v>0</v>
      </c>
      <c r="AU96" s="507">
        <v>0</v>
      </c>
      <c r="AV96" s="516">
        <v>0</v>
      </c>
      <c r="AW96" s="507">
        <v>0</v>
      </c>
      <c r="AX96" s="516"/>
      <c r="AY96" s="507">
        <v>0</v>
      </c>
      <c r="AZ96" s="516"/>
      <c r="BA96" s="507"/>
      <c r="BB96" s="507"/>
      <c r="BC96" s="507"/>
      <c r="BD96" s="507"/>
      <c r="BE96" s="507" t="s">
        <v>470</v>
      </c>
      <c r="BF96" s="507"/>
      <c r="BG96" s="507"/>
      <c r="BH96" s="852"/>
      <c r="BI96" s="504">
        <v>3.778</v>
      </c>
      <c r="BJ96" s="507">
        <v>2.7000000000000001E-3</v>
      </c>
      <c r="BK96" s="96">
        <v>3</v>
      </c>
      <c r="BL96" s="96">
        <v>3</v>
      </c>
      <c r="BM96" s="96">
        <v>1</v>
      </c>
      <c r="BN96" s="96"/>
      <c r="BO96" s="96">
        <v>1</v>
      </c>
      <c r="BP96" s="96"/>
      <c r="BQ96" s="96"/>
      <c r="BR96" s="96"/>
      <c r="BS96" s="96"/>
      <c r="BT96" s="96"/>
      <c r="BU96" s="96"/>
      <c r="BV96" s="96"/>
      <c r="BW96" s="96"/>
      <c r="BX96" s="96"/>
      <c r="BY96" s="96"/>
      <c r="BZ96" s="96"/>
      <c r="CA96" s="96"/>
      <c r="CB96" s="96"/>
      <c r="CC96" s="96"/>
      <c r="CD96" s="96"/>
      <c r="CE96" s="96"/>
      <c r="CF96" s="96"/>
      <c r="CG96" s="96"/>
      <c r="CH96" s="96"/>
      <c r="CI96" s="96"/>
      <c r="CJ96" s="96"/>
      <c r="CK96" s="96"/>
      <c r="CL96" s="815">
        <f t="shared" si="10"/>
        <v>1</v>
      </c>
      <c r="CM96" s="824">
        <f t="shared" si="8"/>
        <v>0</v>
      </c>
      <c r="CN96" s="504">
        <v>25</v>
      </c>
      <c r="CO96" s="97" t="s">
        <v>6155</v>
      </c>
      <c r="CP96" s="97"/>
      <c r="CQ96" s="97">
        <v>59</v>
      </c>
      <c r="CR96" s="504">
        <v>41.968000000000004</v>
      </c>
      <c r="CS96" s="507" t="s">
        <v>5921</v>
      </c>
      <c r="CT96" s="97" t="s">
        <v>470</v>
      </c>
      <c r="CU96" s="97"/>
      <c r="CV96" s="97"/>
      <c r="CW96" s="97"/>
      <c r="CX96" s="96"/>
      <c r="CY96" s="96"/>
      <c r="CZ96" s="96"/>
      <c r="DA96" s="97" t="s">
        <v>479</v>
      </c>
      <c r="DB96" s="97" t="s">
        <v>5727</v>
      </c>
      <c r="DC96" s="96">
        <v>52</v>
      </c>
      <c r="DD96" s="97" t="s">
        <v>470</v>
      </c>
      <c r="DE96" s="97"/>
      <c r="DF96" s="96"/>
      <c r="DG96" s="96" t="s">
        <v>470</v>
      </c>
      <c r="DH96" s="96"/>
      <c r="DI96" s="96"/>
      <c r="DJ96" s="96" t="s">
        <v>470</v>
      </c>
      <c r="DK96" s="96"/>
      <c r="DL96" s="96"/>
      <c r="DM96" s="97" t="s">
        <v>479</v>
      </c>
      <c r="DN96" s="97" t="s">
        <v>5548</v>
      </c>
      <c r="DO96" s="96">
        <v>52</v>
      </c>
      <c r="DP96" s="97" t="s">
        <v>470</v>
      </c>
      <c r="DQ96" s="97"/>
      <c r="DR96" s="96"/>
      <c r="DS96" s="97" t="s">
        <v>470</v>
      </c>
      <c r="DT96" s="97"/>
      <c r="DU96" s="96"/>
      <c r="DV96" s="97" t="s">
        <v>470</v>
      </c>
      <c r="DW96" s="97"/>
      <c r="DX96" s="96"/>
      <c r="DY96" s="97" t="s">
        <v>470</v>
      </c>
      <c r="DZ96" s="97"/>
      <c r="EA96" s="96"/>
      <c r="EB96" s="97" t="s">
        <v>470</v>
      </c>
      <c r="EC96" s="97"/>
      <c r="ED96" s="96"/>
      <c r="EE96" s="96" t="s">
        <v>470</v>
      </c>
      <c r="EF96" s="96"/>
      <c r="EG96" s="96"/>
      <c r="EH96" s="97" t="s">
        <v>470</v>
      </c>
      <c r="EI96" s="97"/>
      <c r="EJ96" s="96"/>
      <c r="EK96" s="97" t="s">
        <v>470</v>
      </c>
      <c r="EL96" s="97"/>
      <c r="EM96" s="96"/>
      <c r="EN96" s="97" t="s">
        <v>470</v>
      </c>
      <c r="EO96" s="97"/>
      <c r="EP96" s="96"/>
      <c r="EQ96" s="96" t="s">
        <v>479</v>
      </c>
      <c r="ER96" s="96" t="s">
        <v>5314</v>
      </c>
      <c r="ES96" s="96">
        <v>6</v>
      </c>
      <c r="ET96" s="97" t="s">
        <v>470</v>
      </c>
      <c r="EU96" s="97"/>
      <c r="EV96" s="96"/>
      <c r="EW96" s="96"/>
      <c r="EX96" s="96"/>
      <c r="EY96" s="96"/>
      <c r="EZ96" s="97" t="s">
        <v>470</v>
      </c>
      <c r="FA96" s="97"/>
      <c r="FB96" s="97"/>
      <c r="FC96" s="97"/>
      <c r="FD96" s="97"/>
      <c r="FE96" s="97"/>
      <c r="FF96" s="97"/>
      <c r="FG96" s="97"/>
      <c r="FH96" s="97"/>
      <c r="FI96" s="97"/>
      <c r="FJ96" s="97" t="s">
        <v>4536</v>
      </c>
      <c r="FK96" s="97" t="s">
        <v>4302</v>
      </c>
      <c r="FL96" s="97" t="s">
        <v>4120</v>
      </c>
      <c r="FM96" s="97"/>
      <c r="FN96" s="97"/>
      <c r="FO96" s="97"/>
    </row>
    <row r="97" spans="5:195" ht="34" customHeight="1" x14ac:dyDescent="0.2">
      <c r="E97" s="94" t="s">
        <v>9302</v>
      </c>
      <c r="F97" s="94" t="s">
        <v>9121</v>
      </c>
      <c r="G97" s="97" t="s">
        <v>324</v>
      </c>
      <c r="H97" s="97" t="s">
        <v>405</v>
      </c>
      <c r="I97" s="97" t="s">
        <v>8842</v>
      </c>
      <c r="J97" s="97" t="s">
        <v>8591</v>
      </c>
      <c r="K97" s="97" t="s">
        <v>5242</v>
      </c>
      <c r="L97" s="502">
        <v>2020</v>
      </c>
      <c r="M97" s="841">
        <v>44651</v>
      </c>
      <c r="N97" s="841">
        <v>44910</v>
      </c>
      <c r="O97" s="841"/>
      <c r="P97" s="841"/>
      <c r="Q97" s="841"/>
      <c r="R97" s="841"/>
      <c r="S97" s="841"/>
      <c r="T97" s="841"/>
      <c r="U97" s="841"/>
      <c r="V97" s="841"/>
      <c r="W97" s="841"/>
      <c r="X97" s="841"/>
      <c r="Y97" s="841"/>
      <c r="Z97" s="97" t="s">
        <v>8162</v>
      </c>
      <c r="AA97" s="842" t="s">
        <v>5176</v>
      </c>
      <c r="AB97" s="97" t="s">
        <v>470</v>
      </c>
      <c r="AC97" s="97"/>
      <c r="AD97" s="97" t="s">
        <v>7549</v>
      </c>
      <c r="AE97" s="842" t="s">
        <v>7338</v>
      </c>
      <c r="AF97" s="97" t="s">
        <v>470</v>
      </c>
      <c r="AG97" s="97"/>
      <c r="AH97" s="97" t="s">
        <v>7027</v>
      </c>
      <c r="AI97" s="97" t="s">
        <v>6890</v>
      </c>
      <c r="AJ97" s="97" t="s">
        <v>6702</v>
      </c>
      <c r="AK97" s="97" t="s">
        <v>6583</v>
      </c>
      <c r="AL97" s="580">
        <f t="shared" si="7"/>
        <v>3.762</v>
      </c>
      <c r="AM97" s="504">
        <v>3.762</v>
      </c>
      <c r="AN97" s="516"/>
      <c r="AO97" s="97"/>
      <c r="AP97" s="97"/>
      <c r="AQ97" s="504">
        <v>3.762</v>
      </c>
      <c r="AR97" s="507"/>
      <c r="AS97" s="507"/>
      <c r="AT97" s="516"/>
      <c r="AU97" s="507"/>
      <c r="AV97" s="516"/>
      <c r="AW97" s="507"/>
      <c r="AX97" s="516"/>
      <c r="AY97" s="507"/>
      <c r="AZ97" s="516"/>
      <c r="BA97" s="507"/>
      <c r="BB97" s="507"/>
      <c r="BC97" s="507"/>
      <c r="BD97" s="507"/>
      <c r="BE97" s="507"/>
      <c r="BF97" s="507"/>
      <c r="BG97" s="507"/>
      <c r="BH97" s="852"/>
      <c r="BI97" s="504">
        <v>3.778</v>
      </c>
      <c r="BJ97" s="507">
        <v>4.5999999999999999E-3</v>
      </c>
      <c r="BK97" s="96">
        <v>91</v>
      </c>
      <c r="BL97" s="96">
        <v>91</v>
      </c>
      <c r="BM97" s="96">
        <v>9</v>
      </c>
      <c r="BN97" s="96">
        <v>2</v>
      </c>
      <c r="BO97" s="96"/>
      <c r="BP97" s="96"/>
      <c r="BQ97" s="96">
        <v>1</v>
      </c>
      <c r="BR97" s="96"/>
      <c r="BS97" s="96">
        <v>3</v>
      </c>
      <c r="BT97" s="96"/>
      <c r="BU97" s="96">
        <v>3</v>
      </c>
      <c r="BV97" s="96"/>
      <c r="BW97" s="96"/>
      <c r="BX97" s="96"/>
      <c r="BY97" s="96"/>
      <c r="BZ97" s="96"/>
      <c r="CA97" s="96"/>
      <c r="CB97" s="96"/>
      <c r="CC97" s="96"/>
      <c r="CD97" s="96"/>
      <c r="CE97" s="96"/>
      <c r="CF97" s="96"/>
      <c r="CG97" s="96"/>
      <c r="CH97" s="96"/>
      <c r="CI97" s="96"/>
      <c r="CJ97" s="96"/>
      <c r="CK97" s="96"/>
      <c r="CL97" s="815">
        <f t="shared" si="10"/>
        <v>9</v>
      </c>
      <c r="CM97" s="824">
        <f t="shared" si="8"/>
        <v>0</v>
      </c>
      <c r="CN97" s="504">
        <v>9.8759999999999994</v>
      </c>
      <c r="CO97" s="97" t="s">
        <v>6154</v>
      </c>
      <c r="CP97" s="97"/>
      <c r="CQ97" s="97">
        <v>82.93</v>
      </c>
      <c r="CR97" s="504">
        <v>11.909000000000001</v>
      </c>
      <c r="CS97" s="507" t="s">
        <v>5917</v>
      </c>
      <c r="CT97" s="97"/>
      <c r="CU97" s="97"/>
      <c r="CV97" s="97"/>
      <c r="CW97" s="97"/>
      <c r="CX97" s="96"/>
      <c r="CY97" s="96"/>
      <c r="CZ97" s="96"/>
      <c r="DA97" s="97" t="s">
        <v>479</v>
      </c>
      <c r="DB97" s="97" t="s">
        <v>5723</v>
      </c>
      <c r="DC97" s="96">
        <v>548</v>
      </c>
      <c r="DD97" s="97" t="s">
        <v>470</v>
      </c>
      <c r="DE97" s="97"/>
      <c r="DF97" s="96"/>
      <c r="DG97" s="96" t="s">
        <v>470</v>
      </c>
      <c r="DH97" s="96"/>
      <c r="DI97" s="96"/>
      <c r="DJ97" s="96" t="s">
        <v>470</v>
      </c>
      <c r="DK97" s="96"/>
      <c r="DL97" s="96"/>
      <c r="DM97" s="97" t="s">
        <v>5549</v>
      </c>
      <c r="DN97" s="97"/>
      <c r="DO97" s="96"/>
      <c r="DP97" s="97" t="s">
        <v>470</v>
      </c>
      <c r="DQ97" s="97"/>
      <c r="DR97" s="96"/>
      <c r="DS97" s="97" t="s">
        <v>470</v>
      </c>
      <c r="DT97" s="97"/>
      <c r="DU97" s="96"/>
      <c r="DV97" s="97" t="s">
        <v>470</v>
      </c>
      <c r="DW97" s="97"/>
      <c r="DX97" s="96"/>
      <c r="DY97" s="97" t="s">
        <v>470</v>
      </c>
      <c r="DZ97" s="97"/>
      <c r="EA97" s="96"/>
      <c r="EB97" s="97" t="s">
        <v>470</v>
      </c>
      <c r="EC97" s="97"/>
      <c r="ED97" s="96"/>
      <c r="EE97" s="96" t="s">
        <v>470</v>
      </c>
      <c r="EF97" s="96"/>
      <c r="EG97" s="96"/>
      <c r="EH97" s="97" t="s">
        <v>470</v>
      </c>
      <c r="EI97" s="97"/>
      <c r="EJ97" s="96"/>
      <c r="EK97" s="97" t="s">
        <v>470</v>
      </c>
      <c r="EL97" s="97"/>
      <c r="EM97" s="96"/>
      <c r="EN97" s="97" t="s">
        <v>479</v>
      </c>
      <c r="EO97" s="97" t="s">
        <v>5360</v>
      </c>
      <c r="EP97" s="96">
        <v>4</v>
      </c>
      <c r="EQ97" s="96" t="s">
        <v>470</v>
      </c>
      <c r="ER97" s="96"/>
      <c r="ES97" s="96"/>
      <c r="ET97" s="97" t="s">
        <v>5251</v>
      </c>
      <c r="EU97" s="97" t="s">
        <v>5233</v>
      </c>
      <c r="EV97" s="96">
        <v>7</v>
      </c>
      <c r="EW97" s="96"/>
      <c r="EX97" s="96"/>
      <c r="EY97" s="96"/>
      <c r="EZ97" s="97" t="s">
        <v>470</v>
      </c>
      <c r="FA97" s="97"/>
      <c r="FB97" s="842" t="s">
        <v>5176</v>
      </c>
      <c r="FC97" s="97" t="s">
        <v>5014</v>
      </c>
      <c r="FD97" s="97"/>
      <c r="FE97" s="97" t="s">
        <v>4857</v>
      </c>
      <c r="FF97" s="97"/>
      <c r="FG97" s="97" t="s">
        <v>470</v>
      </c>
      <c r="FH97" s="97"/>
      <c r="FI97" s="97"/>
      <c r="FJ97" s="97" t="s">
        <v>4535</v>
      </c>
      <c r="FK97" s="97" t="s">
        <v>4301</v>
      </c>
      <c r="FL97" s="842" t="s">
        <v>4119</v>
      </c>
      <c r="FM97" s="97"/>
      <c r="FN97" s="97"/>
      <c r="FO97" s="97"/>
    </row>
    <row r="98" spans="5:195" ht="40" customHeight="1" x14ac:dyDescent="0.2">
      <c r="E98" s="94" t="s">
        <v>9302</v>
      </c>
      <c r="F98" s="94" t="s">
        <v>9121</v>
      </c>
      <c r="G98" s="97" t="s">
        <v>324</v>
      </c>
      <c r="H98" s="97" t="s">
        <v>405</v>
      </c>
      <c r="I98" s="535" t="s">
        <v>8841</v>
      </c>
      <c r="J98" s="535" t="s">
        <v>8432</v>
      </c>
      <c r="K98" s="535" t="s">
        <v>8432</v>
      </c>
      <c r="L98" s="536">
        <v>2022</v>
      </c>
      <c r="M98" s="897">
        <v>44743</v>
      </c>
      <c r="N98" s="897">
        <v>44925</v>
      </c>
      <c r="O98" s="897"/>
      <c r="P98" s="897"/>
      <c r="Q98" s="897"/>
      <c r="R98" s="897"/>
      <c r="S98" s="897"/>
      <c r="T98" s="897"/>
      <c r="U98" s="897"/>
      <c r="V98" s="897"/>
      <c r="W98" s="897"/>
      <c r="X98" s="897"/>
      <c r="Y98" s="897"/>
      <c r="Z98" s="535" t="s">
        <v>8161</v>
      </c>
      <c r="AA98" s="535"/>
      <c r="AB98" s="535"/>
      <c r="AC98" s="535"/>
      <c r="AD98" s="535" t="s">
        <v>7548</v>
      </c>
      <c r="AE98" s="535"/>
      <c r="AF98" s="535" t="s">
        <v>7169</v>
      </c>
      <c r="AG98" s="535"/>
      <c r="AH98" s="535" t="s">
        <v>6582</v>
      </c>
      <c r="AI98" s="898" t="s">
        <v>1679</v>
      </c>
      <c r="AJ98" s="898" t="s">
        <v>6691</v>
      </c>
      <c r="AK98" s="535" t="s">
        <v>6582</v>
      </c>
      <c r="AL98" s="580">
        <f t="shared" si="7"/>
        <v>3.7629999999999999</v>
      </c>
      <c r="AM98" s="504">
        <v>3.7629999999999999</v>
      </c>
      <c r="AN98" s="516"/>
      <c r="AO98" s="97"/>
      <c r="AP98" s="97"/>
      <c r="AQ98" s="504">
        <v>3.7629999999999999</v>
      </c>
      <c r="AR98" s="507">
        <v>1</v>
      </c>
      <c r="AS98" s="507">
        <v>1E-3</v>
      </c>
      <c r="AT98" s="516">
        <v>0</v>
      </c>
      <c r="AU98" s="507">
        <v>0</v>
      </c>
      <c r="AV98" s="516">
        <v>0</v>
      </c>
      <c r="AW98" s="507">
        <v>0</v>
      </c>
      <c r="AX98" s="516"/>
      <c r="AY98" s="507">
        <v>0</v>
      </c>
      <c r="AZ98" s="516"/>
      <c r="BA98" s="539"/>
      <c r="BB98" s="539"/>
      <c r="BC98" s="539"/>
      <c r="BD98" s="539"/>
      <c r="BE98" s="539" t="s">
        <v>470</v>
      </c>
      <c r="BF98" s="539"/>
      <c r="BG98" s="539"/>
      <c r="BH98" s="540">
        <v>0</v>
      </c>
      <c r="BI98" s="541">
        <v>2.778</v>
      </c>
      <c r="BJ98" s="539">
        <v>6.9999999999999999E-4</v>
      </c>
      <c r="BK98" s="542">
        <v>1</v>
      </c>
      <c r="BL98" s="542">
        <v>1</v>
      </c>
      <c r="BM98" s="542">
        <v>1</v>
      </c>
      <c r="BN98" s="542"/>
      <c r="BO98" s="542">
        <v>1</v>
      </c>
      <c r="BP98" s="542"/>
      <c r="BQ98" s="542"/>
      <c r="BR98" s="542"/>
      <c r="BS98" s="542"/>
      <c r="BT98" s="542"/>
      <c r="BU98" s="542"/>
      <c r="BV98" s="542"/>
      <c r="BW98" s="542"/>
      <c r="BX98" s="542"/>
      <c r="BY98" s="542"/>
      <c r="BZ98" s="542"/>
      <c r="CA98" s="542"/>
      <c r="CB98" s="542"/>
      <c r="CC98" s="542"/>
      <c r="CD98" s="542"/>
      <c r="CE98" s="542"/>
      <c r="CF98" s="542"/>
      <c r="CG98" s="542"/>
      <c r="CH98" s="542"/>
      <c r="CI98" s="542"/>
      <c r="CJ98" s="542"/>
      <c r="CK98" s="542"/>
      <c r="CL98" s="543">
        <f t="shared" si="10"/>
        <v>1</v>
      </c>
      <c r="CM98" s="824">
        <f t="shared" si="8"/>
        <v>0</v>
      </c>
      <c r="CN98" s="541">
        <v>1.7130000000000001</v>
      </c>
      <c r="CO98" s="535" t="s">
        <v>6153</v>
      </c>
      <c r="CP98" s="535"/>
      <c r="CQ98" s="535">
        <v>12.6</v>
      </c>
      <c r="CR98" s="541">
        <v>13.539</v>
      </c>
      <c r="CS98" s="539"/>
      <c r="CT98" s="535" t="s">
        <v>470</v>
      </c>
      <c r="CU98" s="535"/>
      <c r="CV98" s="535"/>
      <c r="CW98" s="535"/>
      <c r="CX98" s="542"/>
      <c r="CY98" s="542"/>
      <c r="CZ98" s="542"/>
      <c r="DA98" s="535" t="s">
        <v>5737</v>
      </c>
      <c r="DB98" s="535"/>
      <c r="DC98" s="542"/>
      <c r="DD98" s="535" t="s">
        <v>5659</v>
      </c>
      <c r="DE98" s="535"/>
      <c r="DF98" s="542"/>
      <c r="DG98" s="542" t="s">
        <v>470</v>
      </c>
      <c r="DH98" s="542"/>
      <c r="DI98" s="542"/>
      <c r="DJ98" s="542" t="s">
        <v>470</v>
      </c>
      <c r="DK98" s="542"/>
      <c r="DL98" s="542"/>
      <c r="DM98" s="535" t="s">
        <v>479</v>
      </c>
      <c r="DN98" s="535"/>
      <c r="DO98" s="542"/>
      <c r="DP98" s="535" t="s">
        <v>470</v>
      </c>
      <c r="DQ98" s="535"/>
      <c r="DR98" s="542"/>
      <c r="DS98" s="535" t="s">
        <v>470</v>
      </c>
      <c r="DT98" s="535"/>
      <c r="DU98" s="542"/>
      <c r="DV98" s="535" t="s">
        <v>470</v>
      </c>
      <c r="DW98" s="535"/>
      <c r="DX98" s="542"/>
      <c r="DY98" s="535" t="s">
        <v>470</v>
      </c>
      <c r="DZ98" s="535"/>
      <c r="EA98" s="542"/>
      <c r="EB98" s="535" t="s">
        <v>470</v>
      </c>
      <c r="EC98" s="535"/>
      <c r="ED98" s="542"/>
      <c r="EE98" s="542" t="s">
        <v>470</v>
      </c>
      <c r="EF98" s="542"/>
      <c r="EG98" s="542"/>
      <c r="EH98" s="535" t="s">
        <v>470</v>
      </c>
      <c r="EI98" s="535"/>
      <c r="EJ98" s="542"/>
      <c r="EK98" s="535" t="s">
        <v>470</v>
      </c>
      <c r="EL98" s="535"/>
      <c r="EM98" s="542"/>
      <c r="EN98" s="535" t="s">
        <v>470</v>
      </c>
      <c r="EO98" s="535"/>
      <c r="EP98" s="542"/>
      <c r="EQ98" s="542" t="s">
        <v>479</v>
      </c>
      <c r="ER98" s="542"/>
      <c r="ES98" s="542"/>
      <c r="ET98" s="535" t="s">
        <v>470</v>
      </c>
      <c r="EU98" s="535"/>
      <c r="EV98" s="542"/>
      <c r="EW98" s="542"/>
      <c r="EX98" s="542"/>
      <c r="EY98" s="542"/>
      <c r="EZ98" s="899" t="s">
        <v>5220</v>
      </c>
      <c r="FA98" s="535"/>
      <c r="FB98" s="899" t="s">
        <v>5175</v>
      </c>
      <c r="FC98" s="535"/>
      <c r="FD98" s="535"/>
      <c r="FE98" s="535"/>
      <c r="FF98" s="535"/>
      <c r="FG98" s="535" t="s">
        <v>470</v>
      </c>
      <c r="FH98" s="535"/>
      <c r="FI98" s="535"/>
      <c r="FJ98" s="535" t="s">
        <v>4534</v>
      </c>
      <c r="FK98" s="535" t="s">
        <v>4300</v>
      </c>
      <c r="FL98" s="535" t="s">
        <v>4118</v>
      </c>
      <c r="FM98" s="535"/>
      <c r="FN98" s="535"/>
      <c r="FO98" s="535"/>
    </row>
    <row r="99" spans="5:195" ht="36" customHeight="1" x14ac:dyDescent="0.2">
      <c r="E99" s="94" t="s">
        <v>9302</v>
      </c>
      <c r="F99" s="94" t="s">
        <v>9121</v>
      </c>
      <c r="G99" s="97" t="s">
        <v>324</v>
      </c>
      <c r="H99" s="97" t="s">
        <v>405</v>
      </c>
      <c r="I99" s="97" t="s">
        <v>8840</v>
      </c>
      <c r="J99" s="97" t="s">
        <v>8590</v>
      </c>
      <c r="K99" s="97" t="s">
        <v>5242</v>
      </c>
      <c r="L99" s="502">
        <v>2022</v>
      </c>
      <c r="M99" s="841">
        <v>44774</v>
      </c>
      <c r="N99" s="841">
        <v>44896</v>
      </c>
      <c r="O99" s="841"/>
      <c r="P99" s="841"/>
      <c r="Q99" s="841"/>
      <c r="R99" s="841"/>
      <c r="S99" s="841"/>
      <c r="T99" s="841"/>
      <c r="U99" s="841"/>
      <c r="V99" s="841"/>
      <c r="W99" s="841"/>
      <c r="X99" s="841"/>
      <c r="Y99" s="841"/>
      <c r="Z99" s="97" t="s">
        <v>8160</v>
      </c>
      <c r="AA99" s="97"/>
      <c r="AB99" s="97"/>
      <c r="AC99" s="97"/>
      <c r="AD99" s="97"/>
      <c r="AE99" s="97"/>
      <c r="AF99" s="97"/>
      <c r="AG99" s="97"/>
      <c r="AH99" s="97" t="s">
        <v>7026</v>
      </c>
      <c r="AI99" s="97" t="s">
        <v>6889</v>
      </c>
      <c r="AJ99" s="97" t="s">
        <v>6739</v>
      </c>
      <c r="AK99" s="97" t="s">
        <v>6581</v>
      </c>
      <c r="AL99" s="580">
        <f t="shared" si="7"/>
        <v>2.0005799999999998</v>
      </c>
      <c r="AM99" s="504">
        <v>2.0005799999999998</v>
      </c>
      <c r="AN99" s="516"/>
      <c r="AO99" s="97"/>
      <c r="AP99" s="97"/>
      <c r="AQ99" s="97">
        <v>2.0005799999999998</v>
      </c>
      <c r="AR99" s="507">
        <v>1</v>
      </c>
      <c r="AS99" s="507">
        <v>1</v>
      </c>
      <c r="AT99" s="516">
        <v>0</v>
      </c>
      <c r="AU99" s="507">
        <v>0</v>
      </c>
      <c r="AV99" s="516">
        <v>0</v>
      </c>
      <c r="AW99" s="507">
        <v>0</v>
      </c>
      <c r="AX99" s="516"/>
      <c r="AY99" s="507">
        <v>0</v>
      </c>
      <c r="AZ99" s="516"/>
      <c r="BA99" s="507"/>
      <c r="BB99" s="507"/>
      <c r="BC99" s="507"/>
      <c r="BD99" s="507"/>
      <c r="BE99" s="507" t="s">
        <v>470</v>
      </c>
      <c r="BF99" s="507"/>
      <c r="BG99" s="507"/>
      <c r="BH99" s="852"/>
      <c r="BI99" s="504">
        <v>0</v>
      </c>
      <c r="BJ99" s="507">
        <v>0</v>
      </c>
      <c r="BK99" s="96">
        <v>3</v>
      </c>
      <c r="BL99" s="96">
        <v>3</v>
      </c>
      <c r="BM99" s="96">
        <v>3</v>
      </c>
      <c r="BN99" s="96"/>
      <c r="BO99" s="96"/>
      <c r="BP99" s="96"/>
      <c r="BQ99" s="96"/>
      <c r="BR99" s="96"/>
      <c r="BS99" s="96"/>
      <c r="BT99" s="96">
        <v>1</v>
      </c>
      <c r="BU99" s="96">
        <v>2</v>
      </c>
      <c r="BV99" s="96"/>
      <c r="BW99" s="96"/>
      <c r="BX99" s="96"/>
      <c r="BY99" s="96"/>
      <c r="BZ99" s="96"/>
      <c r="CA99" s="96"/>
      <c r="CB99" s="96"/>
      <c r="CC99" s="96"/>
      <c r="CD99" s="96"/>
      <c r="CE99" s="96"/>
      <c r="CF99" s="96"/>
      <c r="CG99" s="96"/>
      <c r="CH99" s="96"/>
      <c r="CI99" s="96"/>
      <c r="CJ99" s="96"/>
      <c r="CK99" s="96"/>
      <c r="CL99" s="815">
        <f t="shared" si="10"/>
        <v>3</v>
      </c>
      <c r="CM99" s="824">
        <f t="shared" si="8"/>
        <v>0</v>
      </c>
      <c r="CN99" s="504">
        <v>5.2</v>
      </c>
      <c r="CO99" s="97"/>
      <c r="CP99" s="97"/>
      <c r="CQ99" s="97">
        <v>2</v>
      </c>
      <c r="CR99" s="504">
        <v>258.43700000000001</v>
      </c>
      <c r="CS99" s="507"/>
      <c r="CT99" s="97" t="s">
        <v>470</v>
      </c>
      <c r="CU99" s="97"/>
      <c r="CV99" s="97"/>
      <c r="CW99" s="97"/>
      <c r="CX99" s="96"/>
      <c r="CY99" s="96"/>
      <c r="CZ99" s="96"/>
      <c r="DA99" s="97" t="s">
        <v>479</v>
      </c>
      <c r="DB99" s="97" t="s">
        <v>5726</v>
      </c>
      <c r="DC99" s="96">
        <f>337+114+246</f>
        <v>697</v>
      </c>
      <c r="DD99" s="97" t="s">
        <v>479</v>
      </c>
      <c r="DE99" s="97"/>
      <c r="DF99" s="96">
        <f>37+12+36</f>
        <v>85</v>
      </c>
      <c r="DG99" s="96" t="s">
        <v>470</v>
      </c>
      <c r="DH99" s="96"/>
      <c r="DI99" s="96"/>
      <c r="DJ99" s="96" t="s">
        <v>470</v>
      </c>
      <c r="DK99" s="96"/>
      <c r="DL99" s="96"/>
      <c r="DM99" s="97" t="s">
        <v>470</v>
      </c>
      <c r="DN99" s="97"/>
      <c r="DO99" s="96"/>
      <c r="DP99" s="97" t="s">
        <v>470</v>
      </c>
      <c r="DQ99" s="97"/>
      <c r="DR99" s="96"/>
      <c r="DS99" s="97" t="s">
        <v>470</v>
      </c>
      <c r="DT99" s="97"/>
      <c r="DU99" s="96"/>
      <c r="DV99" s="97"/>
      <c r="DW99" s="97"/>
      <c r="DX99" s="96"/>
      <c r="DY99" s="97" t="s">
        <v>470</v>
      </c>
      <c r="DZ99" s="97"/>
      <c r="EA99" s="96"/>
      <c r="EB99" s="97" t="s">
        <v>470</v>
      </c>
      <c r="EC99" s="97"/>
      <c r="ED99" s="96"/>
      <c r="EE99" s="96" t="s">
        <v>470</v>
      </c>
      <c r="EF99" s="96"/>
      <c r="EG99" s="96"/>
      <c r="EH99" s="97" t="s">
        <v>470</v>
      </c>
      <c r="EI99" s="97"/>
      <c r="EJ99" s="96"/>
      <c r="EK99" s="97" t="s">
        <v>470</v>
      </c>
      <c r="EL99" s="97"/>
      <c r="EM99" s="96"/>
      <c r="EN99" s="97" t="s">
        <v>470</v>
      </c>
      <c r="EO99" s="97"/>
      <c r="EP99" s="97"/>
      <c r="EQ99" s="96" t="s">
        <v>470</v>
      </c>
      <c r="ER99" s="96"/>
      <c r="ES99" s="96"/>
      <c r="ET99" s="97" t="s">
        <v>5250</v>
      </c>
      <c r="EU99" s="97" t="s">
        <v>5232</v>
      </c>
      <c r="EV99" s="96">
        <v>25</v>
      </c>
      <c r="EW99" s="96"/>
      <c r="EX99" s="96"/>
      <c r="EY99" s="96"/>
      <c r="EZ99" s="97" t="s">
        <v>470</v>
      </c>
      <c r="FA99" s="97"/>
      <c r="FB99" s="872" t="s">
        <v>5174</v>
      </c>
      <c r="FC99" s="97"/>
      <c r="FD99" s="97"/>
      <c r="FE99" s="97"/>
      <c r="FF99" s="97"/>
      <c r="FG99" s="97" t="s">
        <v>873</v>
      </c>
      <c r="FH99" s="97"/>
      <c r="FI99" s="97"/>
      <c r="FJ99" s="97" t="s">
        <v>4533</v>
      </c>
      <c r="FK99" s="97" t="s">
        <v>4299</v>
      </c>
      <c r="FL99" s="872" t="s">
        <v>4117</v>
      </c>
      <c r="FM99" s="97"/>
      <c r="FN99" s="97"/>
      <c r="FO99" s="97"/>
    </row>
    <row r="100" spans="5:195" ht="34" customHeight="1" x14ac:dyDescent="0.2">
      <c r="E100" s="94" t="s">
        <v>9302</v>
      </c>
      <c r="F100" s="94" t="s">
        <v>9121</v>
      </c>
      <c r="G100" s="97" t="s">
        <v>324</v>
      </c>
      <c r="H100" s="97" t="s">
        <v>405</v>
      </c>
      <c r="I100" s="97" t="s">
        <v>8839</v>
      </c>
      <c r="J100" s="97" t="s">
        <v>8431</v>
      </c>
      <c r="K100" s="97" t="s">
        <v>8431</v>
      </c>
      <c r="L100" s="502">
        <v>2021</v>
      </c>
      <c r="M100" s="900">
        <v>44637</v>
      </c>
      <c r="N100" s="900">
        <v>44921</v>
      </c>
      <c r="O100" s="900"/>
      <c r="P100" s="900"/>
      <c r="Q100" s="900"/>
      <c r="R100" s="900"/>
      <c r="S100" s="900"/>
      <c r="T100" s="900"/>
      <c r="U100" s="900"/>
      <c r="V100" s="900"/>
      <c r="W100" s="900"/>
      <c r="X100" s="900"/>
      <c r="Y100" s="900"/>
      <c r="Z100" s="97" t="s">
        <v>8159</v>
      </c>
      <c r="AA100" s="97" t="s">
        <v>7991</v>
      </c>
      <c r="AB100" s="97" t="s">
        <v>7874</v>
      </c>
      <c r="AC100" s="97"/>
      <c r="AD100" s="97"/>
      <c r="AE100" s="97"/>
      <c r="AF100" s="97"/>
      <c r="AG100" s="97"/>
      <c r="AH100" s="97" t="s">
        <v>7025</v>
      </c>
      <c r="AI100" s="97" t="s">
        <v>1679</v>
      </c>
      <c r="AJ100" s="97" t="s">
        <v>6691</v>
      </c>
      <c r="AK100" s="97" t="s">
        <v>6580</v>
      </c>
      <c r="AL100" s="580">
        <f t="shared" si="7"/>
        <v>3.7629999999999999</v>
      </c>
      <c r="AM100" s="504">
        <v>3.7629999999999999</v>
      </c>
      <c r="AN100" s="516"/>
      <c r="AO100" s="97"/>
      <c r="AP100" s="97"/>
      <c r="AQ100" s="504">
        <v>3.7629999999999999</v>
      </c>
      <c r="AR100" s="507">
        <v>1</v>
      </c>
      <c r="AS100" s="507">
        <v>2.2000000000000001E-3</v>
      </c>
      <c r="AT100" s="516"/>
      <c r="AU100" s="507"/>
      <c r="AV100" s="516"/>
      <c r="AW100" s="507"/>
      <c r="AX100" s="516"/>
      <c r="AY100" s="507"/>
      <c r="AZ100" s="516"/>
      <c r="BA100" s="507"/>
      <c r="BB100" s="507"/>
      <c r="BC100" s="507"/>
      <c r="BD100" s="507"/>
      <c r="BE100" s="507" t="s">
        <v>470</v>
      </c>
      <c r="BF100" s="507"/>
      <c r="BG100" s="507"/>
      <c r="BH100" s="852"/>
      <c r="BI100" s="504">
        <v>3.778</v>
      </c>
      <c r="BJ100" s="507">
        <v>2E-3</v>
      </c>
      <c r="BK100" s="96">
        <v>14</v>
      </c>
      <c r="BL100" s="96">
        <v>14</v>
      </c>
      <c r="BM100" s="96">
        <v>14</v>
      </c>
      <c r="BN100" s="96">
        <v>2</v>
      </c>
      <c r="BO100" s="96"/>
      <c r="BP100" s="96"/>
      <c r="BQ100" s="96"/>
      <c r="BR100" s="96"/>
      <c r="BS100" s="96"/>
      <c r="BT100" s="96">
        <v>1</v>
      </c>
      <c r="BU100" s="96">
        <v>5</v>
      </c>
      <c r="BV100" s="96"/>
      <c r="BW100" s="96"/>
      <c r="BX100" s="96"/>
      <c r="BY100" s="96">
        <v>4</v>
      </c>
      <c r="BZ100" s="96"/>
      <c r="CA100" s="96"/>
      <c r="CB100" s="96"/>
      <c r="CC100" s="96"/>
      <c r="CD100" s="96"/>
      <c r="CE100" s="96"/>
      <c r="CF100" s="96"/>
      <c r="CG100" s="96"/>
      <c r="CH100" s="96"/>
      <c r="CI100" s="96"/>
      <c r="CJ100" s="96"/>
      <c r="CK100" s="96">
        <v>2</v>
      </c>
      <c r="CL100" s="815">
        <f t="shared" si="10"/>
        <v>14</v>
      </c>
      <c r="CM100" s="824">
        <f t="shared" si="8"/>
        <v>0</v>
      </c>
      <c r="CN100" s="504">
        <v>4.5</v>
      </c>
      <c r="CO100" s="97"/>
      <c r="CP100" s="97"/>
      <c r="CQ100" s="97">
        <v>19.86</v>
      </c>
      <c r="CR100" s="504">
        <v>22661</v>
      </c>
      <c r="CS100" s="887" t="s">
        <v>5920</v>
      </c>
      <c r="CT100" s="97" t="s">
        <v>470</v>
      </c>
      <c r="CU100" s="97"/>
      <c r="CV100" s="97"/>
      <c r="CW100" s="97"/>
      <c r="CX100" s="96"/>
      <c r="CY100" s="96"/>
      <c r="CZ100" s="96">
        <v>1</v>
      </c>
      <c r="DA100" s="97" t="s">
        <v>479</v>
      </c>
      <c r="DB100" s="97" t="s">
        <v>5723</v>
      </c>
      <c r="DC100" s="96">
        <v>356</v>
      </c>
      <c r="DD100" s="97" t="s">
        <v>470</v>
      </c>
      <c r="DE100" s="97"/>
      <c r="DF100" s="96"/>
      <c r="DG100" s="96" t="s">
        <v>470</v>
      </c>
      <c r="DH100" s="96"/>
      <c r="DI100" s="96"/>
      <c r="DJ100" s="96" t="s">
        <v>470</v>
      </c>
      <c r="DK100" s="96"/>
      <c r="DL100" s="96"/>
      <c r="DM100" s="97" t="s">
        <v>470</v>
      </c>
      <c r="DN100" s="97"/>
      <c r="DO100" s="96"/>
      <c r="DP100" s="97" t="s">
        <v>470</v>
      </c>
      <c r="DQ100" s="97"/>
      <c r="DR100" s="96"/>
      <c r="DS100" s="97" t="s">
        <v>470</v>
      </c>
      <c r="DT100" s="97"/>
      <c r="DU100" s="96"/>
      <c r="DV100" s="97"/>
      <c r="DW100" s="97"/>
      <c r="DX100" s="96"/>
      <c r="DY100" s="97" t="s">
        <v>470</v>
      </c>
      <c r="DZ100" s="97"/>
      <c r="EA100" s="96"/>
      <c r="EB100" s="97" t="s">
        <v>470</v>
      </c>
      <c r="EC100" s="97"/>
      <c r="ED100" s="96"/>
      <c r="EE100" s="96" t="s">
        <v>470</v>
      </c>
      <c r="EF100" s="96"/>
      <c r="EG100" s="96"/>
      <c r="EH100" s="97" t="s">
        <v>470</v>
      </c>
      <c r="EI100" s="97"/>
      <c r="EJ100" s="96"/>
      <c r="EK100" s="97" t="s">
        <v>470</v>
      </c>
      <c r="EL100" s="97"/>
      <c r="EM100" s="96"/>
      <c r="EN100" s="97" t="s">
        <v>479</v>
      </c>
      <c r="EO100" s="97" t="s">
        <v>640</v>
      </c>
      <c r="EP100" s="96">
        <v>5</v>
      </c>
      <c r="EQ100" s="96" t="s">
        <v>470</v>
      </c>
      <c r="ER100" s="96"/>
      <c r="ES100" s="96"/>
      <c r="ET100" s="97"/>
      <c r="EU100" s="97"/>
      <c r="EV100" s="96"/>
      <c r="EW100" s="96"/>
      <c r="EX100" s="96"/>
      <c r="EY100" s="96"/>
      <c r="EZ100" s="97"/>
      <c r="FA100" s="97"/>
      <c r="FB100" s="97"/>
      <c r="FC100" s="842" t="s">
        <v>5013</v>
      </c>
      <c r="FD100" s="97"/>
      <c r="FE100" s="97"/>
      <c r="FF100" s="97"/>
      <c r="FG100" s="97"/>
      <c r="FH100" s="97"/>
      <c r="FI100" s="97"/>
      <c r="FJ100" s="97" t="s">
        <v>4532</v>
      </c>
      <c r="FK100" s="97" t="s">
        <v>4298</v>
      </c>
      <c r="FL100" s="842" t="s">
        <v>4116</v>
      </c>
      <c r="FM100" s="97"/>
      <c r="FN100" s="97"/>
      <c r="FO100" s="97"/>
    </row>
    <row r="101" spans="5:195" ht="34" customHeight="1" x14ac:dyDescent="0.2">
      <c r="E101" s="94" t="s">
        <v>9302</v>
      </c>
      <c r="F101" s="94" t="s">
        <v>9121</v>
      </c>
      <c r="G101" s="97" t="s">
        <v>324</v>
      </c>
      <c r="H101" s="97" t="s">
        <v>405</v>
      </c>
      <c r="I101" s="97" t="s">
        <v>8838</v>
      </c>
      <c r="J101" s="97" t="s">
        <v>7873</v>
      </c>
      <c r="K101" s="97" t="s">
        <v>8431</v>
      </c>
      <c r="L101" s="502">
        <v>2022</v>
      </c>
      <c r="M101" s="841">
        <v>44670</v>
      </c>
      <c r="N101" s="841">
        <v>44706</v>
      </c>
      <c r="O101" s="841"/>
      <c r="P101" s="841"/>
      <c r="Q101" s="841"/>
      <c r="R101" s="841"/>
      <c r="S101" s="841"/>
      <c r="T101" s="841"/>
      <c r="U101" s="841"/>
      <c r="V101" s="841"/>
      <c r="W101" s="841"/>
      <c r="X101" s="841"/>
      <c r="Y101" s="841"/>
      <c r="Z101" s="97" t="s">
        <v>8158</v>
      </c>
      <c r="AA101" s="97"/>
      <c r="AB101" s="97" t="s">
        <v>7873</v>
      </c>
      <c r="AC101" s="842" t="s">
        <v>7681</v>
      </c>
      <c r="AD101" s="97" t="s">
        <v>7547</v>
      </c>
      <c r="AE101" s="842" t="s">
        <v>7337</v>
      </c>
      <c r="AF101" s="97" t="s">
        <v>7168</v>
      </c>
      <c r="AG101" s="842" t="s">
        <v>7096</v>
      </c>
      <c r="AH101" s="97" t="s">
        <v>7024</v>
      </c>
      <c r="AI101" s="97" t="s">
        <v>1679</v>
      </c>
      <c r="AJ101" s="97" t="s">
        <v>6738</v>
      </c>
      <c r="AK101" s="97" t="s">
        <v>6579</v>
      </c>
      <c r="AL101" s="580">
        <f t="shared" si="7"/>
        <v>3.7629999999999999</v>
      </c>
      <c r="AM101" s="504">
        <v>3.7629999999999999</v>
      </c>
      <c r="AN101" s="516"/>
      <c r="AO101" s="97"/>
      <c r="AP101" s="97"/>
      <c r="AQ101" s="504">
        <v>3.7629999999999999</v>
      </c>
      <c r="AR101" s="507">
        <v>1</v>
      </c>
      <c r="AS101" s="507">
        <v>2.3E-3</v>
      </c>
      <c r="AT101" s="516">
        <v>0</v>
      </c>
      <c r="AU101" s="507">
        <v>0</v>
      </c>
      <c r="AV101" s="516">
        <v>0</v>
      </c>
      <c r="AW101" s="507">
        <v>0</v>
      </c>
      <c r="AX101" s="516"/>
      <c r="AY101" s="507" t="s">
        <v>470</v>
      </c>
      <c r="AZ101" s="516"/>
      <c r="BA101" s="507"/>
      <c r="BB101" s="507"/>
      <c r="BC101" s="507"/>
      <c r="BD101" s="507"/>
      <c r="BE101" s="507" t="s">
        <v>470</v>
      </c>
      <c r="BF101" s="507" t="s">
        <v>470</v>
      </c>
      <c r="BG101" s="507" t="s">
        <v>470</v>
      </c>
      <c r="BH101" s="852" t="s">
        <v>470</v>
      </c>
      <c r="BI101" s="504">
        <v>3.778</v>
      </c>
      <c r="BJ101" s="507">
        <v>1.5E-3</v>
      </c>
      <c r="BK101" s="96">
        <v>36</v>
      </c>
      <c r="BL101" s="96">
        <v>36</v>
      </c>
      <c r="BM101" s="96">
        <v>7</v>
      </c>
      <c r="BN101" s="96" t="s">
        <v>470</v>
      </c>
      <c r="BO101" s="96">
        <v>1</v>
      </c>
      <c r="BP101" s="96">
        <v>2</v>
      </c>
      <c r="BQ101" s="96">
        <v>1</v>
      </c>
      <c r="BR101" s="96" t="s">
        <v>470</v>
      </c>
      <c r="BS101" s="96" t="s">
        <v>470</v>
      </c>
      <c r="BT101" s="96">
        <v>1</v>
      </c>
      <c r="BU101" s="96" t="s">
        <v>470</v>
      </c>
      <c r="BV101" s="96">
        <v>1</v>
      </c>
      <c r="BW101" s="96" t="s">
        <v>470</v>
      </c>
      <c r="BX101" s="96" t="s">
        <v>470</v>
      </c>
      <c r="BY101" s="96" t="s">
        <v>470</v>
      </c>
      <c r="BZ101" s="96">
        <v>1</v>
      </c>
      <c r="CA101" s="96" t="s">
        <v>470</v>
      </c>
      <c r="CB101" s="96" t="s">
        <v>470</v>
      </c>
      <c r="CC101" s="96" t="s">
        <v>470</v>
      </c>
      <c r="CD101" s="96" t="s">
        <v>470</v>
      </c>
      <c r="CE101" s="96" t="s">
        <v>470</v>
      </c>
      <c r="CF101" s="96" t="s">
        <v>470</v>
      </c>
      <c r="CG101" s="96" t="s">
        <v>470</v>
      </c>
      <c r="CH101" s="96" t="s">
        <v>470</v>
      </c>
      <c r="CI101" s="96" t="s">
        <v>470</v>
      </c>
      <c r="CJ101" s="96" t="s">
        <v>470</v>
      </c>
      <c r="CK101" s="96" t="s">
        <v>470</v>
      </c>
      <c r="CL101" s="815">
        <f t="shared" si="10"/>
        <v>7</v>
      </c>
      <c r="CM101" s="824">
        <f t="shared" si="8"/>
        <v>0</v>
      </c>
      <c r="CN101" s="504">
        <v>3.254</v>
      </c>
      <c r="CO101" s="97" t="s">
        <v>6152</v>
      </c>
      <c r="CP101" s="97" t="s">
        <v>470</v>
      </c>
      <c r="CQ101" s="97">
        <v>13.5</v>
      </c>
      <c r="CR101" s="504">
        <v>24.103000000000002</v>
      </c>
      <c r="CS101" s="887" t="s">
        <v>5919</v>
      </c>
      <c r="CT101" s="97" t="s">
        <v>470</v>
      </c>
      <c r="CU101" s="97" t="s">
        <v>470</v>
      </c>
      <c r="CV101" s="97" t="s">
        <v>470</v>
      </c>
      <c r="CW101" s="97" t="s">
        <v>470</v>
      </c>
      <c r="CX101" s="96" t="s">
        <v>470</v>
      </c>
      <c r="CY101" s="96" t="s">
        <v>470</v>
      </c>
      <c r="CZ101" s="96" t="s">
        <v>470</v>
      </c>
      <c r="DA101" s="97" t="s">
        <v>540</v>
      </c>
      <c r="DB101" s="97" t="s">
        <v>5725</v>
      </c>
      <c r="DC101" s="96">
        <v>840</v>
      </c>
      <c r="DD101" s="97" t="s">
        <v>470</v>
      </c>
      <c r="DE101" s="97" t="s">
        <v>470</v>
      </c>
      <c r="DF101" s="96" t="s">
        <v>470</v>
      </c>
      <c r="DG101" s="96" t="s">
        <v>470</v>
      </c>
      <c r="DH101" s="96" t="s">
        <v>470</v>
      </c>
      <c r="DI101" s="96" t="s">
        <v>470</v>
      </c>
      <c r="DJ101" s="96" t="s">
        <v>470</v>
      </c>
      <c r="DK101" s="96" t="s">
        <v>470</v>
      </c>
      <c r="DL101" s="96" t="s">
        <v>470</v>
      </c>
      <c r="DM101" s="97" t="s">
        <v>540</v>
      </c>
      <c r="DN101" s="97" t="s">
        <v>5547</v>
      </c>
      <c r="DO101" s="96">
        <v>840</v>
      </c>
      <c r="DP101" s="97" t="s">
        <v>470</v>
      </c>
      <c r="DQ101" s="97" t="s">
        <v>470</v>
      </c>
      <c r="DR101" s="96" t="s">
        <v>470</v>
      </c>
      <c r="DS101" s="97" t="s">
        <v>470</v>
      </c>
      <c r="DT101" s="97" t="s">
        <v>470</v>
      </c>
      <c r="DU101" s="96" t="s">
        <v>470</v>
      </c>
      <c r="DV101" s="97" t="s">
        <v>470</v>
      </c>
      <c r="DW101" s="97" t="s">
        <v>470</v>
      </c>
      <c r="DX101" s="96" t="s">
        <v>470</v>
      </c>
      <c r="DY101" s="97" t="s">
        <v>470</v>
      </c>
      <c r="DZ101" s="97" t="s">
        <v>470</v>
      </c>
      <c r="EA101" s="96" t="s">
        <v>470</v>
      </c>
      <c r="EB101" s="97" t="s">
        <v>470</v>
      </c>
      <c r="EC101" s="97" t="s">
        <v>470</v>
      </c>
      <c r="ED101" s="96" t="s">
        <v>470</v>
      </c>
      <c r="EE101" s="96" t="s">
        <v>470</v>
      </c>
      <c r="EF101" s="96" t="s">
        <v>470</v>
      </c>
      <c r="EG101" s="96" t="s">
        <v>470</v>
      </c>
      <c r="EH101" s="96" t="s">
        <v>470</v>
      </c>
      <c r="EI101" s="96" t="s">
        <v>470</v>
      </c>
      <c r="EJ101" s="96" t="s">
        <v>470</v>
      </c>
      <c r="EK101" s="97" t="s">
        <v>470</v>
      </c>
      <c r="EL101" s="97" t="s">
        <v>470</v>
      </c>
      <c r="EM101" s="96" t="s">
        <v>470</v>
      </c>
      <c r="EN101" s="97" t="s">
        <v>470</v>
      </c>
      <c r="EO101" s="97" t="s">
        <v>470</v>
      </c>
      <c r="EP101" s="96" t="s">
        <v>470</v>
      </c>
      <c r="EQ101" s="96" t="s">
        <v>540</v>
      </c>
      <c r="ER101" s="96" t="s">
        <v>5313</v>
      </c>
      <c r="ES101" s="96">
        <v>8</v>
      </c>
      <c r="ET101" s="97" t="s">
        <v>470</v>
      </c>
      <c r="EU101" s="97" t="s">
        <v>470</v>
      </c>
      <c r="EV101" s="96" t="s">
        <v>470</v>
      </c>
      <c r="EW101" s="96"/>
      <c r="EX101" s="96"/>
      <c r="EY101" s="96"/>
      <c r="EZ101" s="97" t="s">
        <v>470</v>
      </c>
      <c r="FA101" s="97" t="s">
        <v>470</v>
      </c>
      <c r="FB101" s="97" t="s">
        <v>470</v>
      </c>
      <c r="FC101" s="97" t="s">
        <v>470</v>
      </c>
      <c r="FD101" s="97" t="s">
        <v>470</v>
      </c>
      <c r="FE101" s="97" t="s">
        <v>470</v>
      </c>
      <c r="FF101" s="97" t="s">
        <v>470</v>
      </c>
      <c r="FG101" s="97" t="s">
        <v>470</v>
      </c>
      <c r="FH101" s="97" t="s">
        <v>470</v>
      </c>
      <c r="FI101" s="97" t="s">
        <v>470</v>
      </c>
      <c r="FJ101" s="97" t="s">
        <v>4531</v>
      </c>
      <c r="FK101" s="97">
        <v>88213428231</v>
      </c>
      <c r="FL101" s="97" t="s">
        <v>4115</v>
      </c>
      <c r="FM101" s="97" t="s">
        <v>470</v>
      </c>
      <c r="FN101" s="97" t="s">
        <v>470</v>
      </c>
      <c r="FO101" s="97" t="s">
        <v>470</v>
      </c>
    </row>
    <row r="102" spans="5:195" ht="34" customHeight="1" x14ac:dyDescent="0.2">
      <c r="E102" s="94" t="s">
        <v>9302</v>
      </c>
      <c r="F102" s="94" t="s">
        <v>9121</v>
      </c>
      <c r="G102" s="97" t="s">
        <v>324</v>
      </c>
      <c r="H102" s="97" t="s">
        <v>405</v>
      </c>
      <c r="I102" s="97" t="s">
        <v>8837</v>
      </c>
      <c r="J102" s="97" t="s">
        <v>8431</v>
      </c>
      <c r="K102" s="97" t="s">
        <v>8431</v>
      </c>
      <c r="L102" s="502">
        <v>2021</v>
      </c>
      <c r="M102" s="841" t="s">
        <v>8325</v>
      </c>
      <c r="N102" s="841">
        <v>44648</v>
      </c>
      <c r="O102" s="841"/>
      <c r="P102" s="841"/>
      <c r="Q102" s="841"/>
      <c r="R102" s="841"/>
      <c r="S102" s="841"/>
      <c r="T102" s="841"/>
      <c r="U102" s="841"/>
      <c r="V102" s="841"/>
      <c r="W102" s="841"/>
      <c r="X102" s="841"/>
      <c r="Y102" s="841"/>
      <c r="Z102" s="97" t="s">
        <v>8157</v>
      </c>
      <c r="AA102" s="97" t="s">
        <v>656</v>
      </c>
      <c r="AB102" s="97" t="s">
        <v>7872</v>
      </c>
      <c r="AC102" s="97" t="s">
        <v>656</v>
      </c>
      <c r="AD102" s="97" t="s">
        <v>7546</v>
      </c>
      <c r="AE102" s="97" t="s">
        <v>656</v>
      </c>
      <c r="AF102" s="97" t="s">
        <v>656</v>
      </c>
      <c r="AG102" s="97" t="s">
        <v>656</v>
      </c>
      <c r="AH102" s="97" t="s">
        <v>7023</v>
      </c>
      <c r="AI102" s="97" t="s">
        <v>1679</v>
      </c>
      <c r="AJ102" s="97" t="s">
        <v>6691</v>
      </c>
      <c r="AK102" s="97" t="s">
        <v>6578</v>
      </c>
      <c r="AL102" s="580">
        <f t="shared" si="7"/>
        <v>3.7629999999999999</v>
      </c>
      <c r="AM102" s="504">
        <v>3.7629999999999999</v>
      </c>
      <c r="AN102" s="516"/>
      <c r="AO102" s="97"/>
      <c r="AP102" s="97"/>
      <c r="AQ102" s="504">
        <v>3.7629999999999999</v>
      </c>
      <c r="AR102" s="507">
        <v>1</v>
      </c>
      <c r="AS102" s="507">
        <v>3.0000000000000001E-3</v>
      </c>
      <c r="AT102" s="516"/>
      <c r="AU102" s="507" t="s">
        <v>656</v>
      </c>
      <c r="AV102" s="516"/>
      <c r="AW102" s="507" t="s">
        <v>656</v>
      </c>
      <c r="AX102" s="516"/>
      <c r="AY102" s="507" t="s">
        <v>656</v>
      </c>
      <c r="AZ102" s="516"/>
      <c r="BA102" s="507"/>
      <c r="BB102" s="507"/>
      <c r="BC102" s="507"/>
      <c r="BD102" s="507"/>
      <c r="BE102" s="507" t="s">
        <v>656</v>
      </c>
      <c r="BF102" s="507" t="s">
        <v>656</v>
      </c>
      <c r="BG102" s="507" t="s">
        <v>656</v>
      </c>
      <c r="BH102" s="852" t="s">
        <v>656</v>
      </c>
      <c r="BI102" s="504">
        <v>3.778</v>
      </c>
      <c r="BJ102" s="507">
        <v>3.2000000000000002E-3</v>
      </c>
      <c r="BK102" s="96"/>
      <c r="BL102" s="96">
        <v>8</v>
      </c>
      <c r="BM102" s="96">
        <v>8</v>
      </c>
      <c r="BN102" s="96">
        <v>1</v>
      </c>
      <c r="BO102" s="96">
        <v>5</v>
      </c>
      <c r="BP102" s="96" t="s">
        <v>656</v>
      </c>
      <c r="BQ102" s="96">
        <v>1</v>
      </c>
      <c r="BR102" s="96">
        <v>2</v>
      </c>
      <c r="BS102" s="96">
        <v>1</v>
      </c>
      <c r="BT102" s="96" t="s">
        <v>656</v>
      </c>
      <c r="BU102" s="96" t="s">
        <v>656</v>
      </c>
      <c r="BV102" s="96" t="s">
        <v>656</v>
      </c>
      <c r="BW102" s="96" t="s">
        <v>656</v>
      </c>
      <c r="BX102" s="96" t="s">
        <v>656</v>
      </c>
      <c r="BY102" s="96" t="s">
        <v>656</v>
      </c>
      <c r="BZ102" s="96" t="s">
        <v>656</v>
      </c>
      <c r="CA102" s="96" t="s">
        <v>656</v>
      </c>
      <c r="CB102" s="96" t="s">
        <v>656</v>
      </c>
      <c r="CC102" s="96">
        <v>3</v>
      </c>
      <c r="CD102" s="96" t="s">
        <v>656</v>
      </c>
      <c r="CE102" s="96" t="s">
        <v>656</v>
      </c>
      <c r="CF102" s="96" t="s">
        <v>656</v>
      </c>
      <c r="CG102" s="96" t="s">
        <v>656</v>
      </c>
      <c r="CH102" s="96" t="s">
        <v>656</v>
      </c>
      <c r="CI102" s="96" t="s">
        <v>656</v>
      </c>
      <c r="CJ102" s="96" t="s">
        <v>656</v>
      </c>
      <c r="CK102" s="96">
        <v>1</v>
      </c>
      <c r="CL102" s="815">
        <f t="shared" si="10"/>
        <v>14</v>
      </c>
      <c r="CM102" s="824">
        <f t="shared" si="8"/>
        <v>0</v>
      </c>
      <c r="CN102" s="504">
        <v>9.0500000000000007</v>
      </c>
      <c r="CO102" s="97" t="s">
        <v>6151</v>
      </c>
      <c r="CP102" s="97"/>
      <c r="CQ102" s="876">
        <v>0.84699999999999998</v>
      </c>
      <c r="CR102" s="504">
        <v>10.683999999999999</v>
      </c>
      <c r="CS102" s="887" t="s">
        <v>5917</v>
      </c>
      <c r="CT102" s="97" t="s">
        <v>470</v>
      </c>
      <c r="CU102" s="97" t="s">
        <v>656</v>
      </c>
      <c r="CV102" s="97" t="s">
        <v>656</v>
      </c>
      <c r="CW102" s="97" t="s">
        <v>656</v>
      </c>
      <c r="CX102" s="96" t="s">
        <v>656</v>
      </c>
      <c r="CY102" s="96" t="s">
        <v>656</v>
      </c>
      <c r="CZ102" s="96" t="s">
        <v>656</v>
      </c>
      <c r="DA102" s="97" t="s">
        <v>479</v>
      </c>
      <c r="DB102" s="97" t="s">
        <v>5724</v>
      </c>
      <c r="DC102" s="96">
        <v>65</v>
      </c>
      <c r="DD102" s="97" t="s">
        <v>470</v>
      </c>
      <c r="DE102" s="97" t="s">
        <v>656</v>
      </c>
      <c r="DF102" s="96" t="s">
        <v>656</v>
      </c>
      <c r="DG102" s="96" t="s">
        <v>470</v>
      </c>
      <c r="DH102" s="96" t="s">
        <v>656</v>
      </c>
      <c r="DI102" s="96" t="s">
        <v>656</v>
      </c>
      <c r="DJ102" s="96" t="s">
        <v>470</v>
      </c>
      <c r="DK102" s="96" t="s">
        <v>656</v>
      </c>
      <c r="DL102" s="96" t="s">
        <v>656</v>
      </c>
      <c r="DM102" s="97" t="s">
        <v>470</v>
      </c>
      <c r="DN102" s="97" t="s">
        <v>656</v>
      </c>
      <c r="DO102" s="96" t="s">
        <v>656</v>
      </c>
      <c r="DP102" s="97" t="s">
        <v>470</v>
      </c>
      <c r="DQ102" s="97" t="s">
        <v>656</v>
      </c>
      <c r="DR102" s="96" t="s">
        <v>656</v>
      </c>
      <c r="DS102" s="97" t="s">
        <v>470</v>
      </c>
      <c r="DT102" s="97" t="s">
        <v>656</v>
      </c>
      <c r="DU102" s="96" t="s">
        <v>656</v>
      </c>
      <c r="DV102" s="97" t="s">
        <v>470</v>
      </c>
      <c r="DW102" s="97" t="s">
        <v>656</v>
      </c>
      <c r="DX102" s="96" t="s">
        <v>656</v>
      </c>
      <c r="DY102" s="97" t="s">
        <v>470</v>
      </c>
      <c r="DZ102" s="97" t="s">
        <v>656</v>
      </c>
      <c r="EA102" s="96" t="s">
        <v>656</v>
      </c>
      <c r="EB102" s="97" t="s">
        <v>470</v>
      </c>
      <c r="EC102" s="97" t="s">
        <v>656</v>
      </c>
      <c r="ED102" s="96" t="s">
        <v>656</v>
      </c>
      <c r="EE102" s="96" t="s">
        <v>470</v>
      </c>
      <c r="EF102" s="96" t="s">
        <v>656</v>
      </c>
      <c r="EG102" s="96" t="s">
        <v>656</v>
      </c>
      <c r="EH102" s="97" t="s">
        <v>470</v>
      </c>
      <c r="EI102" s="97" t="s">
        <v>656</v>
      </c>
      <c r="EJ102" s="96" t="s">
        <v>656</v>
      </c>
      <c r="EK102" s="97" t="s">
        <v>470</v>
      </c>
      <c r="EL102" s="97" t="s">
        <v>656</v>
      </c>
      <c r="EM102" s="96" t="s">
        <v>656</v>
      </c>
      <c r="EN102" s="97" t="s">
        <v>479</v>
      </c>
      <c r="EO102" s="97" t="s">
        <v>5359</v>
      </c>
      <c r="EP102" s="96">
        <v>5</v>
      </c>
      <c r="EQ102" s="96" t="s">
        <v>470</v>
      </c>
      <c r="ER102" s="96" t="s">
        <v>656</v>
      </c>
      <c r="ES102" s="96" t="s">
        <v>656</v>
      </c>
      <c r="ET102" s="97" t="s">
        <v>470</v>
      </c>
      <c r="EU102" s="97" t="s">
        <v>656</v>
      </c>
      <c r="EV102" s="96" t="s">
        <v>656</v>
      </c>
      <c r="EW102" s="96"/>
      <c r="EX102" s="96"/>
      <c r="EY102" s="96"/>
      <c r="EZ102" s="97" t="s">
        <v>470</v>
      </c>
      <c r="FA102" s="97" t="s">
        <v>656</v>
      </c>
      <c r="FB102" s="97" t="s">
        <v>656</v>
      </c>
      <c r="FC102" s="97" t="s">
        <v>656</v>
      </c>
      <c r="FD102" s="97" t="s">
        <v>656</v>
      </c>
      <c r="FE102" s="97" t="s">
        <v>656</v>
      </c>
      <c r="FF102" s="97" t="s">
        <v>656</v>
      </c>
      <c r="FG102" s="97" t="s">
        <v>656</v>
      </c>
      <c r="FH102" s="97" t="s">
        <v>656</v>
      </c>
      <c r="FI102" s="97" t="s">
        <v>656</v>
      </c>
      <c r="FJ102" s="97" t="s">
        <v>4530</v>
      </c>
      <c r="FK102" s="97">
        <v>88214191935</v>
      </c>
      <c r="FL102" s="842" t="s">
        <v>4114</v>
      </c>
      <c r="FM102" s="97"/>
      <c r="FN102" s="97"/>
      <c r="FO102" s="97"/>
    </row>
    <row r="103" spans="5:195" ht="34" customHeight="1" x14ac:dyDescent="0.2">
      <c r="E103" s="94" t="s">
        <v>9302</v>
      </c>
      <c r="F103" s="94" t="s">
        <v>9121</v>
      </c>
      <c r="G103" s="97" t="s">
        <v>324</v>
      </c>
      <c r="H103" s="97" t="s">
        <v>405</v>
      </c>
      <c r="I103" s="97" t="s">
        <v>8836</v>
      </c>
      <c r="J103" s="97" t="s">
        <v>8431</v>
      </c>
      <c r="K103" s="97" t="s">
        <v>8431</v>
      </c>
      <c r="L103" s="502">
        <v>2022</v>
      </c>
      <c r="M103" s="841">
        <v>44650</v>
      </c>
      <c r="N103" s="841">
        <v>44805</v>
      </c>
      <c r="O103" s="841"/>
      <c r="P103" s="841"/>
      <c r="Q103" s="841"/>
      <c r="R103" s="841"/>
      <c r="S103" s="841"/>
      <c r="T103" s="841"/>
      <c r="U103" s="841"/>
      <c r="V103" s="841"/>
      <c r="W103" s="841"/>
      <c r="X103" s="841"/>
      <c r="Y103" s="841"/>
      <c r="Z103" s="97" t="s">
        <v>8156</v>
      </c>
      <c r="AA103" s="872" t="s">
        <v>7990</v>
      </c>
      <c r="AB103" s="97"/>
      <c r="AC103" s="97"/>
      <c r="AD103" s="97" t="s">
        <v>7545</v>
      </c>
      <c r="AE103" s="97" t="s">
        <v>7336</v>
      </c>
      <c r="AF103" s="97"/>
      <c r="AG103" s="97"/>
      <c r="AH103" s="97" t="s">
        <v>6888</v>
      </c>
      <c r="AI103" s="97" t="s">
        <v>6888</v>
      </c>
      <c r="AJ103" s="97" t="s">
        <v>6691</v>
      </c>
      <c r="AK103" s="97" t="s">
        <v>6577</v>
      </c>
      <c r="AL103" s="580">
        <f t="shared" si="7"/>
        <v>3.7629999999999999</v>
      </c>
      <c r="AM103" s="504">
        <v>3.7629999999999999</v>
      </c>
      <c r="AN103" s="516"/>
      <c r="AO103" s="97"/>
      <c r="AP103" s="97"/>
      <c r="AQ103" s="504">
        <v>3.7629999999999999</v>
      </c>
      <c r="AR103" s="507">
        <v>1</v>
      </c>
      <c r="AS103" s="507">
        <v>1</v>
      </c>
      <c r="AT103" s="516">
        <v>0</v>
      </c>
      <c r="AU103" s="507">
        <v>0</v>
      </c>
      <c r="AV103" s="516">
        <v>0</v>
      </c>
      <c r="AW103" s="507">
        <v>0</v>
      </c>
      <c r="AX103" s="516"/>
      <c r="AY103" s="507">
        <v>0</v>
      </c>
      <c r="AZ103" s="516"/>
      <c r="BA103" s="507"/>
      <c r="BB103" s="507"/>
      <c r="BC103" s="507"/>
      <c r="BD103" s="507"/>
      <c r="BE103" s="507" t="s">
        <v>470</v>
      </c>
      <c r="BF103" s="507" t="s">
        <v>2654</v>
      </c>
      <c r="BG103" s="507"/>
      <c r="BH103" s="852">
        <v>0</v>
      </c>
      <c r="BI103" s="504">
        <v>3.778</v>
      </c>
      <c r="BJ103" s="507">
        <v>1</v>
      </c>
      <c r="BK103" s="96">
        <v>21</v>
      </c>
      <c r="BL103" s="96">
        <v>5</v>
      </c>
      <c r="BM103" s="96">
        <v>5</v>
      </c>
      <c r="BN103" s="96"/>
      <c r="BO103" s="96"/>
      <c r="BP103" s="96"/>
      <c r="BQ103" s="96"/>
      <c r="BR103" s="96"/>
      <c r="BS103" s="96"/>
      <c r="BT103" s="96">
        <v>2</v>
      </c>
      <c r="BU103" s="96"/>
      <c r="BV103" s="96">
        <v>1</v>
      </c>
      <c r="BW103" s="96"/>
      <c r="BX103" s="96"/>
      <c r="BY103" s="96"/>
      <c r="BZ103" s="96"/>
      <c r="CA103" s="96">
        <v>2</v>
      </c>
      <c r="CB103" s="96"/>
      <c r="CC103" s="96"/>
      <c r="CD103" s="96"/>
      <c r="CE103" s="96"/>
      <c r="CF103" s="96"/>
      <c r="CG103" s="96"/>
      <c r="CH103" s="96"/>
      <c r="CI103" s="96"/>
      <c r="CJ103" s="96"/>
      <c r="CK103" s="96"/>
      <c r="CL103" s="815">
        <f t="shared" si="10"/>
        <v>5</v>
      </c>
      <c r="CM103" s="824">
        <f t="shared" si="8"/>
        <v>0</v>
      </c>
      <c r="CN103" s="504">
        <v>1.8520000000000001</v>
      </c>
      <c r="CO103" s="97"/>
      <c r="CP103" s="97"/>
      <c r="CQ103" s="97"/>
      <c r="CR103" s="504">
        <v>43.381</v>
      </c>
      <c r="CS103" s="507" t="s">
        <v>5918</v>
      </c>
      <c r="CT103" s="97" t="s">
        <v>470</v>
      </c>
      <c r="CU103" s="97"/>
      <c r="CV103" s="97"/>
      <c r="CW103" s="97"/>
      <c r="CX103" s="96"/>
      <c r="CY103" s="96"/>
      <c r="CZ103" s="96"/>
      <c r="DA103" s="97" t="s">
        <v>479</v>
      </c>
      <c r="DB103" s="97" t="s">
        <v>5723</v>
      </c>
      <c r="DC103" s="96">
        <v>1571</v>
      </c>
      <c r="DD103" s="97" t="s">
        <v>470</v>
      </c>
      <c r="DE103" s="97"/>
      <c r="DF103" s="96"/>
      <c r="DG103" s="96" t="s">
        <v>470</v>
      </c>
      <c r="DH103" s="96"/>
      <c r="DI103" s="96"/>
      <c r="DJ103" s="96" t="s">
        <v>470</v>
      </c>
      <c r="DK103" s="96"/>
      <c r="DL103" s="96"/>
      <c r="DM103" s="97" t="s">
        <v>470</v>
      </c>
      <c r="DN103" s="97"/>
      <c r="DO103" s="96"/>
      <c r="DP103" s="97" t="s">
        <v>470</v>
      </c>
      <c r="DQ103" s="97"/>
      <c r="DR103" s="96"/>
      <c r="DS103" s="97" t="s">
        <v>470</v>
      </c>
      <c r="DT103" s="97"/>
      <c r="DU103" s="96"/>
      <c r="DV103" s="97"/>
      <c r="DW103" s="97"/>
      <c r="DX103" s="96"/>
      <c r="DY103" s="97" t="s">
        <v>470</v>
      </c>
      <c r="DZ103" s="97"/>
      <c r="EA103" s="96"/>
      <c r="EB103" s="97" t="s">
        <v>470</v>
      </c>
      <c r="EC103" s="97"/>
      <c r="ED103" s="96"/>
      <c r="EE103" s="96" t="s">
        <v>470</v>
      </c>
      <c r="EF103" s="96"/>
      <c r="EG103" s="96"/>
      <c r="EH103" s="97" t="s">
        <v>470</v>
      </c>
      <c r="EI103" s="97"/>
      <c r="EJ103" s="96"/>
      <c r="EK103" s="97" t="s">
        <v>470</v>
      </c>
      <c r="EL103" s="97"/>
      <c r="EM103" s="96"/>
      <c r="EN103" s="97" t="s">
        <v>470</v>
      </c>
      <c r="EO103" s="97"/>
      <c r="EP103" s="96"/>
      <c r="EQ103" s="96" t="s">
        <v>479</v>
      </c>
      <c r="ER103" s="96" t="s">
        <v>640</v>
      </c>
      <c r="ES103" s="96">
        <v>10</v>
      </c>
      <c r="ET103" s="97"/>
      <c r="EU103" s="97"/>
      <c r="EV103" s="96"/>
      <c r="EW103" s="96"/>
      <c r="EX103" s="96"/>
      <c r="EY103" s="96"/>
      <c r="EZ103" s="97"/>
      <c r="FA103" s="97"/>
      <c r="FB103" s="97" t="s">
        <v>5173</v>
      </c>
      <c r="FC103" s="97" t="s">
        <v>5012</v>
      </c>
      <c r="FD103" s="97"/>
      <c r="FE103" s="97" t="s">
        <v>4856</v>
      </c>
      <c r="FF103" s="97"/>
      <c r="FG103" s="97"/>
      <c r="FH103" s="97"/>
      <c r="FI103" s="97"/>
      <c r="FJ103" s="97" t="s">
        <v>4529</v>
      </c>
      <c r="FK103" s="97" t="s">
        <v>4297</v>
      </c>
      <c r="FL103" s="872" t="s">
        <v>4113</v>
      </c>
      <c r="FM103" s="97"/>
      <c r="FN103" s="97"/>
      <c r="FO103" s="97"/>
    </row>
    <row r="104" spans="5:195" ht="34" customHeight="1" x14ac:dyDescent="0.2">
      <c r="E104" s="94" t="s">
        <v>9313</v>
      </c>
      <c r="F104" s="94" t="s">
        <v>9121</v>
      </c>
      <c r="G104" s="97" t="s">
        <v>324</v>
      </c>
      <c r="H104" s="97" t="s">
        <v>405</v>
      </c>
      <c r="I104" s="97" t="s">
        <v>8835</v>
      </c>
      <c r="J104" s="97" t="s">
        <v>1414</v>
      </c>
      <c r="K104" s="97" t="s">
        <v>470</v>
      </c>
      <c r="L104" s="502">
        <v>2017</v>
      </c>
      <c r="M104" s="841">
        <v>44228</v>
      </c>
      <c r="N104" s="841">
        <v>44685</v>
      </c>
      <c r="O104" s="841"/>
      <c r="P104" s="841"/>
      <c r="Q104" s="841"/>
      <c r="R104" s="841"/>
      <c r="S104" s="841"/>
      <c r="T104" s="841"/>
      <c r="U104" s="841"/>
      <c r="V104" s="841"/>
      <c r="W104" s="841"/>
      <c r="X104" s="841"/>
      <c r="Y104" s="841"/>
      <c r="Z104" s="97" t="s">
        <v>8155</v>
      </c>
      <c r="AA104" s="97" t="s">
        <v>7989</v>
      </c>
      <c r="AB104" s="97" t="s">
        <v>470</v>
      </c>
      <c r="AC104" s="97" t="s">
        <v>470</v>
      </c>
      <c r="AD104" s="513" t="s">
        <v>7544</v>
      </c>
      <c r="AE104" s="513" t="s">
        <v>7335</v>
      </c>
      <c r="AF104" s="513" t="s">
        <v>7167</v>
      </c>
      <c r="AG104" s="513" t="s">
        <v>7095</v>
      </c>
      <c r="AH104" s="513" t="s">
        <v>7022</v>
      </c>
      <c r="AI104" s="97" t="s">
        <v>6887</v>
      </c>
      <c r="AJ104" s="97" t="s">
        <v>6737</v>
      </c>
      <c r="AK104" s="97" t="s">
        <v>6576</v>
      </c>
      <c r="AL104" s="580">
        <f t="shared" si="7"/>
        <v>3.6389999999999998</v>
      </c>
      <c r="AM104" s="504">
        <v>3.6389999999999998</v>
      </c>
      <c r="AN104" s="516"/>
      <c r="AO104" s="97"/>
      <c r="AP104" s="97"/>
      <c r="AQ104" s="504">
        <v>2.3719999999999999</v>
      </c>
      <c r="AR104" s="507">
        <v>8.7499999999999994E-2</v>
      </c>
      <c r="AS104" s="507">
        <v>2.0999999999999999E-3</v>
      </c>
      <c r="AT104" s="516">
        <v>0.20300000000000001</v>
      </c>
      <c r="AU104" s="507">
        <v>7.4999999999999997E-3</v>
      </c>
      <c r="AV104" s="516">
        <v>1.0640000000000001</v>
      </c>
      <c r="AW104" s="507">
        <v>3.9E-2</v>
      </c>
      <c r="AX104" s="516"/>
      <c r="AY104" s="507">
        <v>0</v>
      </c>
      <c r="AZ104" s="516"/>
      <c r="BA104" s="507"/>
      <c r="BB104" s="507"/>
      <c r="BC104" s="507"/>
      <c r="BD104" s="507"/>
      <c r="BE104" s="507" t="s">
        <v>470</v>
      </c>
      <c r="BF104" s="507"/>
      <c r="BG104" s="507"/>
      <c r="BH104" s="852">
        <v>0</v>
      </c>
      <c r="BI104" s="504">
        <v>3.335</v>
      </c>
      <c r="BJ104" s="507">
        <v>9.1999999999999998E-2</v>
      </c>
      <c r="BK104" s="96">
        <v>96</v>
      </c>
      <c r="BL104" s="96">
        <v>59</v>
      </c>
      <c r="BM104" s="96">
        <v>29</v>
      </c>
      <c r="BN104" s="96">
        <v>3</v>
      </c>
      <c r="BO104" s="96">
        <v>5</v>
      </c>
      <c r="BP104" s="96">
        <v>0</v>
      </c>
      <c r="BQ104" s="96">
        <v>0</v>
      </c>
      <c r="BR104" s="96">
        <v>0</v>
      </c>
      <c r="BS104" s="96">
        <v>0</v>
      </c>
      <c r="BT104" s="96">
        <v>3</v>
      </c>
      <c r="BU104" s="96">
        <v>3</v>
      </c>
      <c r="BV104" s="96">
        <v>3</v>
      </c>
      <c r="BW104" s="96">
        <v>0</v>
      </c>
      <c r="BX104" s="96">
        <v>1</v>
      </c>
      <c r="BY104" s="96">
        <v>2</v>
      </c>
      <c r="BZ104" s="96">
        <v>0</v>
      </c>
      <c r="CA104" s="96">
        <v>0</v>
      </c>
      <c r="CB104" s="96">
        <v>1</v>
      </c>
      <c r="CC104" s="96">
        <v>0</v>
      </c>
      <c r="CD104" s="96">
        <v>0</v>
      </c>
      <c r="CE104" s="96">
        <v>1</v>
      </c>
      <c r="CF104" s="96">
        <v>1</v>
      </c>
      <c r="CG104" s="96">
        <v>3</v>
      </c>
      <c r="CH104" s="96">
        <v>2</v>
      </c>
      <c r="CI104" s="96">
        <v>1</v>
      </c>
      <c r="CJ104" s="96">
        <v>0</v>
      </c>
      <c r="CK104" s="96">
        <v>0</v>
      </c>
      <c r="CL104" s="815">
        <f t="shared" si="10"/>
        <v>29</v>
      </c>
      <c r="CM104" s="824">
        <f t="shared" si="8"/>
        <v>0</v>
      </c>
      <c r="CN104" s="504">
        <v>11.345000000000001</v>
      </c>
      <c r="CO104" s="97" t="s">
        <v>1924</v>
      </c>
      <c r="CP104" s="97" t="s">
        <v>1924</v>
      </c>
      <c r="CQ104" s="97">
        <v>88.8</v>
      </c>
      <c r="CR104" s="504">
        <v>12.775</v>
      </c>
      <c r="CS104" s="507" t="s">
        <v>5917</v>
      </c>
      <c r="CT104" s="97" t="s">
        <v>470</v>
      </c>
      <c r="CU104" s="97" t="s">
        <v>470</v>
      </c>
      <c r="CV104" s="97" t="s">
        <v>470</v>
      </c>
      <c r="CW104" s="97" t="s">
        <v>470</v>
      </c>
      <c r="CX104" s="96">
        <v>0</v>
      </c>
      <c r="CY104" s="96">
        <v>0</v>
      </c>
      <c r="CZ104" s="96">
        <v>0</v>
      </c>
      <c r="DA104" s="97" t="s">
        <v>479</v>
      </c>
      <c r="DB104" s="97"/>
      <c r="DC104" s="96"/>
      <c r="DD104" s="97" t="s">
        <v>470</v>
      </c>
      <c r="DE104" s="97"/>
      <c r="DF104" s="96"/>
      <c r="DG104" s="96" t="s">
        <v>479</v>
      </c>
      <c r="DH104" s="96"/>
      <c r="DI104" s="96"/>
      <c r="DJ104" s="96" t="s">
        <v>470</v>
      </c>
      <c r="DK104" s="96"/>
      <c r="DL104" s="96"/>
      <c r="DM104" s="97" t="s">
        <v>470</v>
      </c>
      <c r="DN104" s="97"/>
      <c r="DO104" s="96"/>
      <c r="DP104" s="97" t="s">
        <v>470</v>
      </c>
      <c r="DQ104" s="97"/>
      <c r="DR104" s="96"/>
      <c r="DS104" s="97" t="s">
        <v>470</v>
      </c>
      <c r="DT104" s="97"/>
      <c r="DU104" s="96"/>
      <c r="DV104" s="97" t="s">
        <v>470</v>
      </c>
      <c r="DW104" s="97"/>
      <c r="DX104" s="96"/>
      <c r="DY104" s="97" t="s">
        <v>470</v>
      </c>
      <c r="DZ104" s="97"/>
      <c r="EA104" s="96"/>
      <c r="EB104" s="97" t="s">
        <v>479</v>
      </c>
      <c r="EC104" s="97"/>
      <c r="ED104" s="96"/>
      <c r="EE104" s="96" t="s">
        <v>470</v>
      </c>
      <c r="EF104" s="96"/>
      <c r="EG104" s="96"/>
      <c r="EH104" s="97" t="s">
        <v>470</v>
      </c>
      <c r="EI104" s="97"/>
      <c r="EJ104" s="96"/>
      <c r="EK104" s="97" t="s">
        <v>479</v>
      </c>
      <c r="EL104" s="97"/>
      <c r="EM104" s="96">
        <v>45</v>
      </c>
      <c r="EN104" s="97" t="s">
        <v>479</v>
      </c>
      <c r="EO104" s="97"/>
      <c r="EP104" s="96">
        <v>9</v>
      </c>
      <c r="EQ104" s="96" t="s">
        <v>470</v>
      </c>
      <c r="ER104" s="96"/>
      <c r="ES104" s="96"/>
      <c r="ET104" s="97" t="s">
        <v>470</v>
      </c>
      <c r="EU104" s="97"/>
      <c r="EV104" s="96"/>
      <c r="EW104" s="96"/>
      <c r="EX104" s="96"/>
      <c r="EY104" s="96"/>
      <c r="EZ104" s="97" t="s">
        <v>470</v>
      </c>
      <c r="FA104" s="97"/>
      <c r="FB104" s="97" t="s">
        <v>5172</v>
      </c>
      <c r="FC104" s="97"/>
      <c r="FD104" s="97"/>
      <c r="FE104" s="97"/>
      <c r="FF104" s="97"/>
      <c r="FG104" s="97" t="s">
        <v>4661</v>
      </c>
      <c r="FH104" s="97">
        <v>1</v>
      </c>
      <c r="FI104" s="97">
        <v>45</v>
      </c>
      <c r="FJ104" s="513" t="s">
        <v>4528</v>
      </c>
      <c r="FK104" s="513" t="s">
        <v>4296</v>
      </c>
      <c r="FL104" s="842" t="s">
        <v>4112</v>
      </c>
      <c r="FM104" s="513" t="s">
        <v>3915</v>
      </c>
      <c r="FN104" s="513" t="s">
        <v>3834</v>
      </c>
      <c r="FO104" s="842" t="s">
        <v>3764</v>
      </c>
    </row>
    <row r="105" spans="5:195" ht="34" customHeight="1" x14ac:dyDescent="0.2">
      <c r="E105" s="94" t="s">
        <v>9302</v>
      </c>
      <c r="F105" s="94" t="s">
        <v>9121</v>
      </c>
      <c r="G105" s="97" t="s">
        <v>324</v>
      </c>
      <c r="H105" s="97" t="s">
        <v>405</v>
      </c>
      <c r="I105" s="97" t="s">
        <v>8834</v>
      </c>
      <c r="J105" s="97" t="s">
        <v>8431</v>
      </c>
      <c r="K105" s="97" t="s">
        <v>8430</v>
      </c>
      <c r="L105" s="502">
        <v>2022</v>
      </c>
      <c r="M105" s="841" t="s">
        <v>8324</v>
      </c>
      <c r="N105" s="841" t="s">
        <v>554</v>
      </c>
      <c r="O105" s="841"/>
      <c r="P105" s="841"/>
      <c r="Q105" s="841"/>
      <c r="R105" s="841"/>
      <c r="S105" s="841"/>
      <c r="T105" s="841"/>
      <c r="U105" s="841"/>
      <c r="V105" s="841"/>
      <c r="W105" s="841"/>
      <c r="X105" s="841"/>
      <c r="Y105" s="841"/>
      <c r="Z105" s="97"/>
      <c r="AA105" s="97"/>
      <c r="AB105" s="97"/>
      <c r="AC105" s="97"/>
      <c r="AD105" s="97"/>
      <c r="AE105" s="97"/>
      <c r="AF105" s="97"/>
      <c r="AG105" s="97"/>
      <c r="AH105" s="97" t="s">
        <v>6575</v>
      </c>
      <c r="AI105" s="97" t="s">
        <v>1679</v>
      </c>
      <c r="AJ105" s="97" t="s">
        <v>6691</v>
      </c>
      <c r="AK105" s="97" t="s">
        <v>6575</v>
      </c>
      <c r="AL105" s="580">
        <f t="shared" si="7"/>
        <v>3.56</v>
      </c>
      <c r="AM105" s="504">
        <v>3.56</v>
      </c>
      <c r="AN105" s="516"/>
      <c r="AO105" s="97"/>
      <c r="AP105" s="97"/>
      <c r="AQ105" s="504">
        <v>3.56</v>
      </c>
      <c r="AR105" s="507"/>
      <c r="AS105" s="507"/>
      <c r="AT105" s="516">
        <v>0</v>
      </c>
      <c r="AU105" s="507">
        <v>0</v>
      </c>
      <c r="AV105" s="516">
        <v>0</v>
      </c>
      <c r="AW105" s="507">
        <v>0</v>
      </c>
      <c r="AX105" s="516"/>
      <c r="AY105" s="507"/>
      <c r="AZ105" s="516"/>
      <c r="BA105" s="507"/>
      <c r="BB105" s="507"/>
      <c r="BC105" s="507"/>
      <c r="BD105" s="507"/>
      <c r="BE105" s="507"/>
      <c r="BF105" s="507"/>
      <c r="BG105" s="507"/>
      <c r="BH105" s="852"/>
      <c r="BI105" s="504"/>
      <c r="BJ105" s="507"/>
      <c r="BK105" s="96"/>
      <c r="BL105" s="96">
        <v>22</v>
      </c>
      <c r="BM105" s="96">
        <v>22</v>
      </c>
      <c r="BN105" s="96"/>
      <c r="BO105" s="96">
        <v>1</v>
      </c>
      <c r="BP105" s="96">
        <v>1</v>
      </c>
      <c r="BQ105" s="96">
        <v>1</v>
      </c>
      <c r="BR105" s="96"/>
      <c r="BS105" s="96">
        <v>3</v>
      </c>
      <c r="BT105" s="96">
        <v>8</v>
      </c>
      <c r="BU105" s="96">
        <v>2</v>
      </c>
      <c r="BV105" s="96">
        <v>1</v>
      </c>
      <c r="BW105" s="96">
        <v>2</v>
      </c>
      <c r="BX105" s="96">
        <v>3</v>
      </c>
      <c r="BY105" s="96"/>
      <c r="BZ105" s="96"/>
      <c r="CA105" s="96"/>
      <c r="CB105" s="96"/>
      <c r="CC105" s="96"/>
      <c r="CD105" s="96"/>
      <c r="CE105" s="96"/>
      <c r="CF105" s="96"/>
      <c r="CG105" s="96"/>
      <c r="CH105" s="96"/>
      <c r="CI105" s="96"/>
      <c r="CJ105" s="96"/>
      <c r="CK105" s="96"/>
      <c r="CL105" s="815">
        <f t="shared" si="10"/>
        <v>22</v>
      </c>
      <c r="CM105" s="824">
        <f t="shared" si="8"/>
        <v>0</v>
      </c>
      <c r="CN105" s="504">
        <v>3.5</v>
      </c>
      <c r="CO105" s="97"/>
      <c r="CP105" s="97"/>
      <c r="CQ105" s="97"/>
      <c r="CR105" s="504">
        <v>10.035</v>
      </c>
      <c r="CS105" s="507"/>
      <c r="CT105" s="97"/>
      <c r="CU105" s="97"/>
      <c r="CV105" s="97"/>
      <c r="CW105" s="97"/>
      <c r="CX105" s="96"/>
      <c r="CY105" s="96"/>
      <c r="CZ105" s="96"/>
      <c r="DA105" s="97"/>
      <c r="DB105" s="97"/>
      <c r="DC105" s="96"/>
      <c r="DD105" s="97"/>
      <c r="DE105" s="97"/>
      <c r="DF105" s="96"/>
      <c r="DG105" s="96"/>
      <c r="DH105" s="96"/>
      <c r="DI105" s="96"/>
      <c r="DJ105" s="96"/>
      <c r="DK105" s="96"/>
      <c r="DL105" s="96"/>
      <c r="DM105" s="97"/>
      <c r="DN105" s="97"/>
      <c r="DO105" s="96"/>
      <c r="DP105" s="97"/>
      <c r="DQ105" s="97"/>
      <c r="DR105" s="96"/>
      <c r="DS105" s="97"/>
      <c r="DT105" s="97"/>
      <c r="DU105" s="96"/>
      <c r="DV105" s="97"/>
      <c r="DW105" s="97"/>
      <c r="DX105" s="96"/>
      <c r="DY105" s="97"/>
      <c r="DZ105" s="97"/>
      <c r="EA105" s="96"/>
      <c r="EB105" s="97"/>
      <c r="EC105" s="97"/>
      <c r="ED105" s="96"/>
      <c r="EE105" s="96"/>
      <c r="EF105" s="96"/>
      <c r="EG105" s="96"/>
      <c r="EH105" s="97"/>
      <c r="EI105" s="97"/>
      <c r="EJ105" s="96"/>
      <c r="EK105" s="97"/>
      <c r="EL105" s="97"/>
      <c r="EM105" s="96"/>
      <c r="EN105" s="97"/>
      <c r="EO105" s="97"/>
      <c r="EP105" s="96"/>
      <c r="EQ105" s="96" t="s">
        <v>479</v>
      </c>
      <c r="ER105" s="96"/>
      <c r="ES105" s="96">
        <v>3</v>
      </c>
      <c r="ET105" s="97"/>
      <c r="EU105" s="97"/>
      <c r="EV105" s="96"/>
      <c r="EW105" s="96"/>
      <c r="EX105" s="96"/>
      <c r="EY105" s="96"/>
      <c r="EZ105" s="97"/>
      <c r="FA105" s="97"/>
      <c r="FB105" s="97"/>
      <c r="FC105" s="97"/>
      <c r="FD105" s="97"/>
      <c r="FE105" s="97"/>
      <c r="FF105" s="97"/>
      <c r="FG105" s="97"/>
      <c r="FH105" s="97"/>
      <c r="FI105" s="97"/>
      <c r="FJ105" s="97" t="s">
        <v>4527</v>
      </c>
      <c r="FK105" s="97" t="s">
        <v>4295</v>
      </c>
      <c r="FL105" s="97" t="s">
        <v>4111</v>
      </c>
      <c r="FM105" s="97"/>
      <c r="FN105" s="97"/>
      <c r="FO105" s="97"/>
    </row>
    <row r="106" spans="5:195" ht="34" customHeight="1" x14ac:dyDescent="0.2">
      <c r="E106" s="94" t="s">
        <v>9302</v>
      </c>
      <c r="F106" s="94" t="s">
        <v>9121</v>
      </c>
      <c r="G106" s="97" t="s">
        <v>324</v>
      </c>
      <c r="H106" s="97" t="s">
        <v>405</v>
      </c>
      <c r="I106" s="97" t="s">
        <v>6574</v>
      </c>
      <c r="J106" s="97" t="s">
        <v>8431</v>
      </c>
      <c r="K106" s="97" t="s">
        <v>5242</v>
      </c>
      <c r="L106" s="502">
        <v>2022</v>
      </c>
      <c r="M106" s="841" t="s">
        <v>8323</v>
      </c>
      <c r="N106" s="841" t="s">
        <v>8252</v>
      </c>
      <c r="O106" s="841"/>
      <c r="P106" s="841"/>
      <c r="Q106" s="841"/>
      <c r="R106" s="841"/>
      <c r="S106" s="841"/>
      <c r="T106" s="841"/>
      <c r="U106" s="841"/>
      <c r="V106" s="841"/>
      <c r="W106" s="841"/>
      <c r="X106" s="841"/>
      <c r="Y106" s="841"/>
      <c r="Z106" s="97" t="s">
        <v>8154</v>
      </c>
      <c r="AA106" s="97"/>
      <c r="AB106" s="97"/>
      <c r="AC106" s="97"/>
      <c r="AD106" s="97"/>
      <c r="AE106" s="97"/>
      <c r="AF106" s="97"/>
      <c r="AG106" s="97"/>
      <c r="AH106" s="97" t="s">
        <v>7021</v>
      </c>
      <c r="AI106" s="97" t="s">
        <v>6886</v>
      </c>
      <c r="AJ106" s="97" t="s">
        <v>6736</v>
      </c>
      <c r="AK106" s="97" t="s">
        <v>6574</v>
      </c>
      <c r="AL106" s="580">
        <f t="shared" si="7"/>
        <v>3.1532300000000002</v>
      </c>
      <c r="AM106" s="504">
        <v>3.1532300000000002</v>
      </c>
      <c r="AN106" s="516"/>
      <c r="AO106" s="97"/>
      <c r="AP106" s="97"/>
      <c r="AQ106" s="516">
        <v>3.1532300000000002</v>
      </c>
      <c r="AR106" s="507"/>
      <c r="AS106" s="507">
        <v>5.9999999999999995E-4</v>
      </c>
      <c r="AT106" s="516">
        <v>0</v>
      </c>
      <c r="AU106" s="507"/>
      <c r="AV106" s="516">
        <v>0</v>
      </c>
      <c r="AW106" s="507">
        <v>0</v>
      </c>
      <c r="AX106" s="516">
        <v>0</v>
      </c>
      <c r="AY106" s="507">
        <v>0</v>
      </c>
      <c r="AZ106" s="516"/>
      <c r="BA106" s="507"/>
      <c r="BB106" s="507"/>
      <c r="BC106" s="507"/>
      <c r="BD106" s="507"/>
      <c r="BE106" s="507" t="s">
        <v>470</v>
      </c>
      <c r="BF106" s="507"/>
      <c r="BG106" s="507"/>
      <c r="BH106" s="852"/>
      <c r="BI106" s="97">
        <v>3.8187000000000002</v>
      </c>
      <c r="BJ106" s="507">
        <v>6.9999999999999999E-4</v>
      </c>
      <c r="BK106" s="96">
        <v>1</v>
      </c>
      <c r="BL106" s="96">
        <v>306</v>
      </c>
      <c r="BM106" s="96">
        <v>1</v>
      </c>
      <c r="BN106" s="96"/>
      <c r="BO106" s="96"/>
      <c r="BP106" s="96">
        <v>1</v>
      </c>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815">
        <f t="shared" si="10"/>
        <v>1</v>
      </c>
      <c r="CM106" s="824">
        <f t="shared" si="8"/>
        <v>0</v>
      </c>
      <c r="CN106" s="504">
        <v>110</v>
      </c>
      <c r="CO106" s="97"/>
      <c r="CP106" s="97"/>
      <c r="CQ106" s="97"/>
      <c r="CR106" s="504">
        <v>110.60599999999999</v>
      </c>
      <c r="CS106" s="888" t="s">
        <v>5916</v>
      </c>
      <c r="CT106" s="97" t="s">
        <v>470</v>
      </c>
      <c r="CU106" s="97"/>
      <c r="CV106" s="97"/>
      <c r="CW106" s="97"/>
      <c r="CX106" s="96"/>
      <c r="CY106" s="96"/>
      <c r="CZ106" s="96">
        <v>4</v>
      </c>
      <c r="DA106" s="97" t="s">
        <v>479</v>
      </c>
      <c r="DB106" s="97" t="s">
        <v>5722</v>
      </c>
      <c r="DC106" s="96" t="s">
        <v>5662</v>
      </c>
      <c r="DD106" s="97" t="s">
        <v>470</v>
      </c>
      <c r="DE106" s="97"/>
      <c r="DF106" s="96"/>
      <c r="DG106" s="96" t="s">
        <v>470</v>
      </c>
      <c r="DH106" s="96"/>
      <c r="DI106" s="96"/>
      <c r="DJ106" s="96" t="s">
        <v>470</v>
      </c>
      <c r="DK106" s="96"/>
      <c r="DL106" s="96"/>
      <c r="DM106" s="97" t="s">
        <v>470</v>
      </c>
      <c r="DN106" s="97"/>
      <c r="DO106" s="96"/>
      <c r="DP106" s="97" t="s">
        <v>470</v>
      </c>
      <c r="DQ106" s="97"/>
      <c r="DR106" s="96"/>
      <c r="DS106" s="97" t="s">
        <v>470</v>
      </c>
      <c r="DT106" s="97"/>
      <c r="DU106" s="96"/>
      <c r="DV106" s="97"/>
      <c r="DW106" s="97"/>
      <c r="DX106" s="96"/>
      <c r="DY106" s="97" t="s">
        <v>470</v>
      </c>
      <c r="DZ106" s="97"/>
      <c r="EA106" s="96"/>
      <c r="EB106" s="97" t="s">
        <v>470</v>
      </c>
      <c r="EC106" s="97"/>
      <c r="ED106" s="96"/>
      <c r="EE106" s="96" t="s">
        <v>470</v>
      </c>
      <c r="EF106" s="96"/>
      <c r="EG106" s="96"/>
      <c r="EH106" s="97" t="s">
        <v>470</v>
      </c>
      <c r="EI106" s="97"/>
      <c r="EJ106" s="96"/>
      <c r="EK106" s="97" t="s">
        <v>470</v>
      </c>
      <c r="EL106" s="97"/>
      <c r="EM106" s="96"/>
      <c r="EN106" s="97" t="s">
        <v>470</v>
      </c>
      <c r="EO106" s="97"/>
      <c r="EP106" s="96"/>
      <c r="EQ106" s="96" t="s">
        <v>479</v>
      </c>
      <c r="ER106" s="96"/>
      <c r="ES106" s="96"/>
      <c r="ET106" s="97"/>
      <c r="EU106" s="97"/>
      <c r="EV106" s="96"/>
      <c r="EW106" s="96"/>
      <c r="EX106" s="96"/>
      <c r="EY106" s="96"/>
      <c r="EZ106" s="97" t="s">
        <v>470</v>
      </c>
      <c r="FA106" s="97"/>
      <c r="FB106" s="513" t="s">
        <v>5171</v>
      </c>
      <c r="FC106" s="513" t="s">
        <v>5011</v>
      </c>
      <c r="FD106" s="97"/>
      <c r="FE106" s="513" t="s">
        <v>4855</v>
      </c>
      <c r="FF106" s="97"/>
      <c r="FG106" s="97"/>
      <c r="FH106" s="97"/>
      <c r="FI106" s="97"/>
      <c r="FJ106" s="97" t="s">
        <v>4526</v>
      </c>
      <c r="FK106" s="97" t="s">
        <v>4294</v>
      </c>
      <c r="FL106" s="872" t="s">
        <v>4110</v>
      </c>
      <c r="FM106" s="97"/>
      <c r="FN106" s="97"/>
      <c r="FO106" s="97"/>
    </row>
    <row r="107" spans="5:195" ht="104" customHeight="1" x14ac:dyDescent="0.2">
      <c r="E107" s="94" t="s">
        <v>9303</v>
      </c>
      <c r="F107" s="94" t="s">
        <v>9120</v>
      </c>
      <c r="G107" s="198" t="s">
        <v>325</v>
      </c>
      <c r="H107" s="198" t="s">
        <v>406</v>
      </c>
      <c r="I107" s="198"/>
      <c r="J107" s="198" t="s">
        <v>1044</v>
      </c>
      <c r="K107" s="198" t="s">
        <v>1045</v>
      </c>
      <c r="L107" s="578">
        <v>2020</v>
      </c>
      <c r="M107" s="822">
        <v>44713</v>
      </c>
      <c r="N107" s="822">
        <v>44925</v>
      </c>
      <c r="O107" s="198" t="s">
        <v>1046</v>
      </c>
      <c r="P107" s="198" t="s">
        <v>1046</v>
      </c>
      <c r="Q107" s="549" t="s">
        <v>1047</v>
      </c>
      <c r="R107" s="198" t="s">
        <v>656</v>
      </c>
      <c r="S107" s="198" t="s">
        <v>656</v>
      </c>
      <c r="T107" s="198"/>
      <c r="U107" s="549"/>
      <c r="V107" s="198"/>
      <c r="W107" s="198"/>
      <c r="X107" s="198" t="s">
        <v>656</v>
      </c>
      <c r="Y107" s="198" t="s">
        <v>656</v>
      </c>
      <c r="Z107" s="198"/>
      <c r="AA107" s="198"/>
      <c r="AB107" s="198"/>
      <c r="AC107" s="198"/>
      <c r="AD107" s="198"/>
      <c r="AE107" s="198"/>
      <c r="AF107" s="198"/>
      <c r="AG107" s="198"/>
      <c r="AH107" s="198" t="s">
        <v>1048</v>
      </c>
      <c r="AI107" s="198" t="s">
        <v>1048</v>
      </c>
      <c r="AJ107" s="198" t="s">
        <v>504</v>
      </c>
      <c r="AK107" s="198" t="s">
        <v>1049</v>
      </c>
      <c r="AL107" s="580">
        <f t="shared" si="7"/>
        <v>6.7128479999999993</v>
      </c>
      <c r="AM107" s="504">
        <v>6.7128479999999993</v>
      </c>
      <c r="AN107" s="516">
        <v>2.1999999999999999E-2</v>
      </c>
      <c r="AO107" s="137">
        <f>AN107/AL107</f>
        <v>3.2772975047252674E-3</v>
      </c>
      <c r="AP107" s="137">
        <f>AN107/52366.57</f>
        <v>4.2011535221802761E-7</v>
      </c>
      <c r="AQ107" s="504">
        <v>4.0825480000000001</v>
      </c>
      <c r="AR107" s="137">
        <f>AQ107/AL107</f>
        <v>0.60816928969641504</v>
      </c>
      <c r="AS107" s="137"/>
      <c r="AT107" s="520">
        <v>0.3649</v>
      </c>
      <c r="AU107" s="137">
        <f>AT107/AL107</f>
        <v>5.4358448157920458E-2</v>
      </c>
      <c r="AV107" s="520">
        <v>0.05</v>
      </c>
      <c r="AW107" s="137">
        <f>AV107/AL107</f>
        <v>7.4484034198301534E-3</v>
      </c>
      <c r="AX107" s="520"/>
      <c r="AY107" s="137">
        <v>0</v>
      </c>
      <c r="AZ107" s="520">
        <v>2.1934</v>
      </c>
      <c r="BA107" s="137">
        <f>AZ107/AL107</f>
        <v>0.32674656122110918</v>
      </c>
      <c r="BB107" s="198" t="s">
        <v>1050</v>
      </c>
      <c r="BC107" s="198" t="s">
        <v>875</v>
      </c>
      <c r="BD107" s="198" t="s">
        <v>1048</v>
      </c>
      <c r="BE107" s="198" t="s">
        <v>479</v>
      </c>
      <c r="BF107" s="198" t="s">
        <v>1051</v>
      </c>
      <c r="BG107" s="198" t="s">
        <v>1047</v>
      </c>
      <c r="BH107" s="198">
        <v>0.41489999999999999</v>
      </c>
      <c r="BI107" s="520">
        <v>2.1499999999999998E-2</v>
      </c>
      <c r="BJ107" s="137">
        <f>21500/607331300</f>
        <v>3.5400777137618295E-5</v>
      </c>
      <c r="BK107" s="83">
        <v>34</v>
      </c>
      <c r="BL107" s="83">
        <v>34</v>
      </c>
      <c r="BM107" s="83">
        <v>8</v>
      </c>
      <c r="BN107" s="83" t="s">
        <v>656</v>
      </c>
      <c r="BO107" s="83">
        <v>1</v>
      </c>
      <c r="BP107" s="83">
        <v>2</v>
      </c>
      <c r="BQ107" s="83" t="s">
        <v>656</v>
      </c>
      <c r="BR107" s="83" t="s">
        <v>656</v>
      </c>
      <c r="BS107" s="83" t="s">
        <v>656</v>
      </c>
      <c r="BT107" s="83" t="s">
        <v>656</v>
      </c>
      <c r="BU107" s="83" t="s">
        <v>656</v>
      </c>
      <c r="BV107" s="83">
        <v>2</v>
      </c>
      <c r="BW107" s="83" t="s">
        <v>656</v>
      </c>
      <c r="BX107" s="83">
        <v>1</v>
      </c>
      <c r="BY107" s="83" t="s">
        <v>656</v>
      </c>
      <c r="BZ107" s="83" t="s">
        <v>656</v>
      </c>
      <c r="CA107" s="83">
        <v>2</v>
      </c>
      <c r="CB107" s="83" t="s">
        <v>656</v>
      </c>
      <c r="CC107" s="83" t="s">
        <v>656</v>
      </c>
      <c r="CD107" s="83" t="s">
        <v>656</v>
      </c>
      <c r="CE107" s="83" t="s">
        <v>656</v>
      </c>
      <c r="CF107" s="83" t="s">
        <v>656</v>
      </c>
      <c r="CG107" s="83" t="s">
        <v>656</v>
      </c>
      <c r="CH107" s="83" t="s">
        <v>656</v>
      </c>
      <c r="CI107" s="83" t="s">
        <v>656</v>
      </c>
      <c r="CJ107" s="83" t="s">
        <v>656</v>
      </c>
      <c r="CK107" s="83" t="s">
        <v>656</v>
      </c>
      <c r="CL107" s="824">
        <f t="shared" si="10"/>
        <v>8</v>
      </c>
      <c r="CM107" s="824">
        <f t="shared" si="8"/>
        <v>0</v>
      </c>
      <c r="CN107" s="580">
        <v>4.4550000000000001</v>
      </c>
      <c r="CO107" s="198" t="s">
        <v>470</v>
      </c>
      <c r="CP107" s="198" t="s">
        <v>470</v>
      </c>
      <c r="CQ107" s="137">
        <f>CN107/CR107</f>
        <v>7.1765016688789523E-3</v>
      </c>
      <c r="CR107" s="505">
        <v>620.77599999999995</v>
      </c>
      <c r="CS107" s="834" t="s">
        <v>1052</v>
      </c>
      <c r="CT107" s="198" t="s">
        <v>470</v>
      </c>
      <c r="CU107" s="198"/>
      <c r="CV107" s="198"/>
      <c r="CW107" s="198"/>
      <c r="CX107" s="83"/>
      <c r="CY107" s="83"/>
      <c r="CZ107" s="83">
        <v>1</v>
      </c>
      <c r="DA107" s="198" t="s">
        <v>470</v>
      </c>
      <c r="DB107" s="198"/>
      <c r="DC107" s="83"/>
      <c r="DD107" s="198" t="s">
        <v>479</v>
      </c>
      <c r="DE107" s="198" t="s">
        <v>1053</v>
      </c>
      <c r="DF107" s="83">
        <v>2250</v>
      </c>
      <c r="DG107" s="83" t="s">
        <v>470</v>
      </c>
      <c r="DH107" s="83"/>
      <c r="DI107" s="83"/>
      <c r="DJ107" s="83" t="s">
        <v>470</v>
      </c>
      <c r="DK107" s="83"/>
      <c r="DL107" s="83"/>
      <c r="DM107" s="198" t="s">
        <v>470</v>
      </c>
      <c r="DN107" s="198"/>
      <c r="DO107" s="83"/>
      <c r="DP107" s="198" t="s">
        <v>470</v>
      </c>
      <c r="DQ107" s="198"/>
      <c r="DR107" s="83"/>
      <c r="DS107" s="198" t="s">
        <v>470</v>
      </c>
      <c r="DT107" s="198"/>
      <c r="DU107" s="83"/>
      <c r="DV107" s="198" t="s">
        <v>470</v>
      </c>
      <c r="DW107" s="198"/>
      <c r="DX107" s="83"/>
      <c r="DY107" s="198" t="s">
        <v>470</v>
      </c>
      <c r="DZ107" s="198"/>
      <c r="EA107" s="83"/>
      <c r="EB107" s="198" t="s">
        <v>479</v>
      </c>
      <c r="EC107" s="198" t="s">
        <v>1053</v>
      </c>
      <c r="ED107" s="83">
        <v>2200</v>
      </c>
      <c r="EE107" s="83" t="s">
        <v>470</v>
      </c>
      <c r="EF107" s="83"/>
      <c r="EG107" s="83"/>
      <c r="EH107" s="198" t="s">
        <v>470</v>
      </c>
      <c r="EI107" s="198"/>
      <c r="EJ107" s="83"/>
      <c r="EK107" s="198" t="s">
        <v>470</v>
      </c>
      <c r="EL107" s="198"/>
      <c r="EM107" s="83"/>
      <c r="EN107" s="198" t="s">
        <v>470</v>
      </c>
      <c r="EO107" s="198"/>
      <c r="EP107" s="83"/>
      <c r="EQ107" s="83" t="s">
        <v>470</v>
      </c>
      <c r="ER107" s="83"/>
      <c r="ES107" s="83"/>
      <c r="ET107" s="198" t="s">
        <v>470</v>
      </c>
      <c r="EU107" s="198"/>
      <c r="EV107" s="83"/>
      <c r="EW107" s="198" t="s">
        <v>1054</v>
      </c>
      <c r="EX107" s="198" t="s">
        <v>1055</v>
      </c>
      <c r="EY107" s="505">
        <v>21</v>
      </c>
      <c r="EZ107" s="198" t="s">
        <v>470</v>
      </c>
      <c r="FA107" s="198" t="s">
        <v>470</v>
      </c>
      <c r="FB107" s="549" t="s">
        <v>1056</v>
      </c>
      <c r="FC107" s="198" t="s">
        <v>470</v>
      </c>
      <c r="FD107" s="198" t="s">
        <v>470</v>
      </c>
      <c r="FE107" s="198" t="s">
        <v>470</v>
      </c>
      <c r="FF107" s="198" t="s">
        <v>470</v>
      </c>
      <c r="FG107" s="198" t="s">
        <v>656</v>
      </c>
      <c r="FH107" s="198" t="s">
        <v>656</v>
      </c>
      <c r="FI107" s="198" t="s">
        <v>656</v>
      </c>
      <c r="FJ107" s="198" t="s">
        <v>1057</v>
      </c>
      <c r="FK107" s="198" t="s">
        <v>1058</v>
      </c>
      <c r="FL107" s="549" t="s">
        <v>1059</v>
      </c>
      <c r="FM107" s="198" t="s">
        <v>1060</v>
      </c>
      <c r="FN107" s="198" t="s">
        <v>1061</v>
      </c>
      <c r="FO107" s="549" t="s">
        <v>1062</v>
      </c>
    </row>
    <row r="108" spans="5:195" ht="104" customHeight="1" x14ac:dyDescent="0.2">
      <c r="E108" s="94" t="s">
        <v>9310</v>
      </c>
      <c r="F108" s="94" t="s">
        <v>9120</v>
      </c>
      <c r="G108" s="198" t="s">
        <v>325</v>
      </c>
      <c r="H108" s="198" t="s">
        <v>406</v>
      </c>
      <c r="I108" s="198"/>
      <c r="J108" s="198" t="s">
        <v>1063</v>
      </c>
      <c r="K108" s="198" t="s">
        <v>1064</v>
      </c>
      <c r="L108" s="578">
        <v>2017</v>
      </c>
      <c r="M108" s="822">
        <v>44840</v>
      </c>
      <c r="N108" s="822">
        <v>44924</v>
      </c>
      <c r="O108" s="198" t="s">
        <v>1065</v>
      </c>
      <c r="P108" s="198" t="s">
        <v>1066</v>
      </c>
      <c r="Q108" s="549" t="s">
        <v>1067</v>
      </c>
      <c r="R108" s="198" t="s">
        <v>656</v>
      </c>
      <c r="S108" s="198" t="s">
        <v>656</v>
      </c>
      <c r="T108" s="198" t="s">
        <v>656</v>
      </c>
      <c r="U108" s="198" t="s">
        <v>656</v>
      </c>
      <c r="V108" s="198" t="s">
        <v>656</v>
      </c>
      <c r="W108" s="198" t="s">
        <v>656</v>
      </c>
      <c r="X108" s="198" t="s">
        <v>1068</v>
      </c>
      <c r="Y108" s="549" t="s">
        <v>1069</v>
      </c>
      <c r="Z108" s="549"/>
      <c r="AA108" s="549"/>
      <c r="AB108" s="549"/>
      <c r="AC108" s="549"/>
      <c r="AD108" s="549"/>
      <c r="AE108" s="549"/>
      <c r="AF108" s="549"/>
      <c r="AG108" s="549"/>
      <c r="AH108" s="198" t="s">
        <v>1070</v>
      </c>
      <c r="AI108" s="198" t="s">
        <v>1070</v>
      </c>
      <c r="AJ108" s="198" t="s">
        <v>504</v>
      </c>
      <c r="AK108" s="198" t="s">
        <v>1071</v>
      </c>
      <c r="AL108" s="580">
        <f t="shared" si="7"/>
        <v>140</v>
      </c>
      <c r="AM108" s="504">
        <v>140</v>
      </c>
      <c r="AN108" s="516">
        <v>70</v>
      </c>
      <c r="AO108" s="137">
        <v>0.5</v>
      </c>
      <c r="AP108" s="137">
        <f>AN108/52366.57</f>
        <v>1.3367306661482697E-3</v>
      </c>
      <c r="AQ108" s="612">
        <v>70</v>
      </c>
      <c r="AR108" s="137">
        <v>0.5</v>
      </c>
      <c r="AS108" s="137"/>
      <c r="AT108" s="520"/>
      <c r="AU108" s="137" t="s">
        <v>656</v>
      </c>
      <c r="AV108" s="520"/>
      <c r="AW108" s="137" t="s">
        <v>656</v>
      </c>
      <c r="AX108" s="520"/>
      <c r="AY108" s="137" t="s">
        <v>656</v>
      </c>
      <c r="AZ108" s="520"/>
      <c r="BA108" s="137" t="s">
        <v>656</v>
      </c>
      <c r="BB108" s="198" t="s">
        <v>656</v>
      </c>
      <c r="BC108" s="198" t="s">
        <v>656</v>
      </c>
      <c r="BD108" s="198" t="s">
        <v>656</v>
      </c>
      <c r="BE108" s="198" t="s">
        <v>470</v>
      </c>
      <c r="BF108" s="198" t="s">
        <v>656</v>
      </c>
      <c r="BG108" s="198" t="s">
        <v>656</v>
      </c>
      <c r="BH108" s="137" t="s">
        <v>656</v>
      </c>
      <c r="BI108" s="520">
        <v>90</v>
      </c>
      <c r="BJ108" s="137">
        <f>BI108/46161.34</f>
        <v>1.9496834363993767E-3</v>
      </c>
      <c r="BK108" s="83">
        <v>103</v>
      </c>
      <c r="BL108" s="83">
        <v>103</v>
      </c>
      <c r="BM108" s="83">
        <v>71</v>
      </c>
      <c r="BN108" s="83">
        <v>0</v>
      </c>
      <c r="BO108" s="83">
        <v>71</v>
      </c>
      <c r="BP108" s="83">
        <v>0</v>
      </c>
      <c r="BQ108" s="83">
        <v>0</v>
      </c>
      <c r="BR108" s="83">
        <v>0</v>
      </c>
      <c r="BS108" s="83">
        <v>0</v>
      </c>
      <c r="BT108" s="83">
        <v>0</v>
      </c>
      <c r="BU108" s="83">
        <v>0</v>
      </c>
      <c r="BV108" s="83">
        <v>0</v>
      </c>
      <c r="BW108" s="83">
        <v>0</v>
      </c>
      <c r="BX108" s="83">
        <v>0</v>
      </c>
      <c r="BY108" s="83">
        <v>0</v>
      </c>
      <c r="BZ108" s="83">
        <v>0</v>
      </c>
      <c r="CA108" s="83">
        <v>0</v>
      </c>
      <c r="CB108" s="83">
        <v>0</v>
      </c>
      <c r="CC108" s="83">
        <v>0</v>
      </c>
      <c r="CD108" s="83">
        <v>0</v>
      </c>
      <c r="CE108" s="83">
        <v>0</v>
      </c>
      <c r="CF108" s="83">
        <v>0</v>
      </c>
      <c r="CG108" s="83">
        <v>0</v>
      </c>
      <c r="CH108" s="83">
        <v>0</v>
      </c>
      <c r="CI108" s="83">
        <v>0</v>
      </c>
      <c r="CJ108" s="83">
        <v>0</v>
      </c>
      <c r="CK108" s="83">
        <v>0</v>
      </c>
      <c r="CL108" s="824">
        <f t="shared" si="10"/>
        <v>71</v>
      </c>
      <c r="CM108" s="824">
        <f t="shared" si="8"/>
        <v>0</v>
      </c>
      <c r="CN108" s="505">
        <v>11.86</v>
      </c>
      <c r="CO108" s="198" t="s">
        <v>1072</v>
      </c>
      <c r="CP108" s="503" t="s">
        <v>656</v>
      </c>
      <c r="CQ108" s="137">
        <f>CN108/CR108</f>
        <v>1.9105120043300644E-2</v>
      </c>
      <c r="CR108" s="505">
        <v>620.77599999999995</v>
      </c>
      <c r="CS108" s="834" t="s">
        <v>1052</v>
      </c>
      <c r="CT108" s="198" t="s">
        <v>470</v>
      </c>
      <c r="CU108" s="198" t="s">
        <v>656</v>
      </c>
      <c r="CV108" s="198" t="s">
        <v>656</v>
      </c>
      <c r="CW108" s="198" t="s">
        <v>656</v>
      </c>
      <c r="CX108" s="198"/>
      <c r="CY108" s="198" t="s">
        <v>656</v>
      </c>
      <c r="CZ108" s="83">
        <v>2</v>
      </c>
      <c r="DA108" s="198" t="s">
        <v>479</v>
      </c>
      <c r="DB108" s="198" t="s">
        <v>1073</v>
      </c>
      <c r="DC108" s="83">
        <v>11860</v>
      </c>
      <c r="DD108" s="198" t="s">
        <v>470</v>
      </c>
      <c r="DE108" s="198" t="s">
        <v>656</v>
      </c>
      <c r="DF108" s="83" t="s">
        <v>656</v>
      </c>
      <c r="DG108" s="83" t="s">
        <v>470</v>
      </c>
      <c r="DH108" s="83" t="s">
        <v>656</v>
      </c>
      <c r="DI108" s="83" t="s">
        <v>656</v>
      </c>
      <c r="DJ108" s="83" t="s">
        <v>470</v>
      </c>
      <c r="DK108" s="83" t="s">
        <v>656</v>
      </c>
      <c r="DL108" s="83" t="s">
        <v>656</v>
      </c>
      <c r="DM108" s="198" t="s">
        <v>470</v>
      </c>
      <c r="DN108" s="198" t="s">
        <v>656</v>
      </c>
      <c r="DO108" s="83" t="s">
        <v>656</v>
      </c>
      <c r="DP108" s="198" t="s">
        <v>470</v>
      </c>
      <c r="DQ108" s="198" t="s">
        <v>656</v>
      </c>
      <c r="DR108" s="83" t="s">
        <v>656</v>
      </c>
      <c r="DS108" s="198" t="s">
        <v>470</v>
      </c>
      <c r="DT108" s="198" t="s">
        <v>656</v>
      </c>
      <c r="DU108" s="83" t="s">
        <v>656</v>
      </c>
      <c r="DV108" s="198" t="s">
        <v>470</v>
      </c>
      <c r="DW108" s="198" t="s">
        <v>656</v>
      </c>
      <c r="DX108" s="83" t="s">
        <v>656</v>
      </c>
      <c r="DY108" s="198" t="s">
        <v>470</v>
      </c>
      <c r="DZ108" s="198" t="s">
        <v>656</v>
      </c>
      <c r="EA108" s="83" t="s">
        <v>656</v>
      </c>
      <c r="EB108" s="198" t="s">
        <v>479</v>
      </c>
      <c r="EC108" s="198" t="s">
        <v>1074</v>
      </c>
      <c r="ED108" s="83">
        <v>12261</v>
      </c>
      <c r="EE108" s="198" t="s">
        <v>470</v>
      </c>
      <c r="EF108" s="198" t="s">
        <v>656</v>
      </c>
      <c r="EG108" s="83" t="s">
        <v>656</v>
      </c>
      <c r="EH108" s="198" t="s">
        <v>470</v>
      </c>
      <c r="EI108" s="198" t="s">
        <v>656</v>
      </c>
      <c r="EJ108" s="83" t="s">
        <v>656</v>
      </c>
      <c r="EK108" s="198" t="s">
        <v>470</v>
      </c>
      <c r="EL108" s="198" t="s">
        <v>656</v>
      </c>
      <c r="EM108" s="83" t="s">
        <v>656</v>
      </c>
      <c r="EN108" s="198" t="s">
        <v>470</v>
      </c>
      <c r="EO108" s="198" t="s">
        <v>656</v>
      </c>
      <c r="EP108" s="83" t="s">
        <v>656</v>
      </c>
      <c r="EQ108" s="198" t="s">
        <v>470</v>
      </c>
      <c r="ER108" s="198" t="s">
        <v>656</v>
      </c>
      <c r="ES108" s="83" t="s">
        <v>656</v>
      </c>
      <c r="ET108" s="198" t="s">
        <v>470</v>
      </c>
      <c r="EU108" s="198" t="s">
        <v>656</v>
      </c>
      <c r="EV108" s="83" t="s">
        <v>656</v>
      </c>
      <c r="EW108" s="837">
        <v>1</v>
      </c>
      <c r="EX108" s="198" t="s">
        <v>656</v>
      </c>
      <c r="EY108" s="83" t="s">
        <v>1075</v>
      </c>
      <c r="EZ108" s="198" t="s">
        <v>470</v>
      </c>
      <c r="FA108" s="198" t="s">
        <v>656</v>
      </c>
      <c r="FB108" s="549" t="s">
        <v>1076</v>
      </c>
      <c r="FC108" s="198" t="s">
        <v>656</v>
      </c>
      <c r="FD108" s="198" t="s">
        <v>656</v>
      </c>
      <c r="FE108" s="198" t="s">
        <v>1077</v>
      </c>
      <c r="FF108" s="198" t="s">
        <v>656</v>
      </c>
      <c r="FG108" s="198" t="s">
        <v>656</v>
      </c>
      <c r="FH108" s="198" t="s">
        <v>656</v>
      </c>
      <c r="FI108" s="198" t="s">
        <v>656</v>
      </c>
      <c r="FJ108" s="198" t="s">
        <v>1078</v>
      </c>
      <c r="FK108" s="198" t="s">
        <v>1079</v>
      </c>
      <c r="FL108" s="549" t="s">
        <v>1080</v>
      </c>
      <c r="FM108" s="198" t="s">
        <v>1060</v>
      </c>
      <c r="FN108" s="198" t="s">
        <v>1081</v>
      </c>
      <c r="FO108" s="549" t="s">
        <v>1062</v>
      </c>
    </row>
    <row r="109" spans="5:195" ht="104" customHeight="1" x14ac:dyDescent="0.2">
      <c r="E109" s="94" t="s">
        <v>9313</v>
      </c>
      <c r="F109" s="94" t="s">
        <v>9120</v>
      </c>
      <c r="G109" s="198" t="s">
        <v>325</v>
      </c>
      <c r="H109" s="198" t="s">
        <v>406</v>
      </c>
      <c r="I109" s="198"/>
      <c r="J109" s="198" t="s">
        <v>1063</v>
      </c>
      <c r="K109" s="198" t="s">
        <v>1082</v>
      </c>
      <c r="L109" s="578">
        <v>2015</v>
      </c>
      <c r="M109" s="822" t="s">
        <v>1083</v>
      </c>
      <c r="N109" s="822" t="s">
        <v>865</v>
      </c>
      <c r="O109" s="198" t="s">
        <v>1084</v>
      </c>
      <c r="P109" s="198" t="s">
        <v>1085</v>
      </c>
      <c r="Q109" s="838" t="s">
        <v>1086</v>
      </c>
      <c r="R109" s="198" t="s">
        <v>656</v>
      </c>
      <c r="S109" s="198" t="s">
        <v>656</v>
      </c>
      <c r="T109" s="198" t="s">
        <v>656</v>
      </c>
      <c r="U109" s="198" t="s">
        <v>656</v>
      </c>
      <c r="V109" s="198" t="s">
        <v>656</v>
      </c>
      <c r="W109" s="198" t="s">
        <v>656</v>
      </c>
      <c r="X109" s="198" t="s">
        <v>1087</v>
      </c>
      <c r="Y109" s="901" t="s">
        <v>1088</v>
      </c>
      <c r="Z109" s="901"/>
      <c r="AA109" s="901"/>
      <c r="AB109" s="901"/>
      <c r="AC109" s="901"/>
      <c r="AD109" s="901"/>
      <c r="AE109" s="901"/>
      <c r="AF109" s="901"/>
      <c r="AG109" s="901"/>
      <c r="AH109" s="198" t="s">
        <v>1089</v>
      </c>
      <c r="AI109" s="198" t="s">
        <v>1089</v>
      </c>
      <c r="AJ109" s="198" t="s">
        <v>504</v>
      </c>
      <c r="AK109" s="198" t="s">
        <v>1090</v>
      </c>
      <c r="AL109" s="580">
        <f t="shared" si="7"/>
        <v>176.4</v>
      </c>
      <c r="AM109" s="504">
        <v>176.4</v>
      </c>
      <c r="AN109" s="516">
        <v>80</v>
      </c>
      <c r="AO109" s="137">
        <f>AN109/AL109</f>
        <v>0.45351473922902491</v>
      </c>
      <c r="AP109" s="137">
        <f>AN109/52366.57</f>
        <v>1.527692189883737E-3</v>
      </c>
      <c r="AQ109" s="504">
        <v>74</v>
      </c>
      <c r="AR109" s="137">
        <f>AQ109/AL109</f>
        <v>0.41950113378684806</v>
      </c>
      <c r="AS109" s="137"/>
      <c r="AT109" s="520">
        <v>22.4</v>
      </c>
      <c r="AU109" s="137">
        <v>0.126</v>
      </c>
      <c r="AV109" s="520"/>
      <c r="AW109" s="137" t="s">
        <v>656</v>
      </c>
      <c r="AX109" s="520"/>
      <c r="AY109" s="137" t="s">
        <v>656</v>
      </c>
      <c r="AZ109" s="520" t="s">
        <v>656</v>
      </c>
      <c r="BA109" s="198" t="s">
        <v>656</v>
      </c>
      <c r="BB109" s="198" t="s">
        <v>656</v>
      </c>
      <c r="BC109" s="198" t="s">
        <v>656</v>
      </c>
      <c r="BD109" s="198" t="s">
        <v>656</v>
      </c>
      <c r="BE109" s="198" t="s">
        <v>479</v>
      </c>
      <c r="BF109" s="198" t="s">
        <v>1091</v>
      </c>
      <c r="BG109" s="198" t="s">
        <v>656</v>
      </c>
      <c r="BH109" s="198" t="s">
        <v>656</v>
      </c>
      <c r="BI109" s="198">
        <v>90</v>
      </c>
      <c r="BJ109" s="137">
        <f>BI109/46161.34</f>
        <v>1.9496834363993767E-3</v>
      </c>
      <c r="BK109" s="83">
        <v>328</v>
      </c>
      <c r="BL109" s="83">
        <v>328</v>
      </c>
      <c r="BM109" s="83">
        <v>185</v>
      </c>
      <c r="BN109" s="83">
        <v>44</v>
      </c>
      <c r="BO109" s="83">
        <v>0</v>
      </c>
      <c r="BP109" s="83"/>
      <c r="BQ109" s="83"/>
      <c r="BR109" s="83"/>
      <c r="BS109" s="83"/>
      <c r="BT109" s="83">
        <v>26</v>
      </c>
      <c r="BU109" s="83">
        <v>27</v>
      </c>
      <c r="BV109" s="83">
        <v>21</v>
      </c>
      <c r="BW109" s="83">
        <v>64</v>
      </c>
      <c r="BX109" s="83"/>
      <c r="BY109" s="83"/>
      <c r="BZ109" s="83">
        <v>2</v>
      </c>
      <c r="CA109" s="83"/>
      <c r="CB109" s="83"/>
      <c r="CC109" s="83"/>
      <c r="CD109" s="83"/>
      <c r="CE109" s="83"/>
      <c r="CF109" s="83"/>
      <c r="CG109" s="83">
        <v>1</v>
      </c>
      <c r="CH109" s="83"/>
      <c r="CI109" s="83"/>
      <c r="CJ109" s="83"/>
      <c r="CK109" s="83"/>
      <c r="CL109" s="824">
        <f t="shared" si="10"/>
        <v>185</v>
      </c>
      <c r="CM109" s="824">
        <f t="shared" si="8"/>
        <v>0</v>
      </c>
      <c r="CN109" s="580">
        <v>259.3</v>
      </c>
      <c r="CO109" s="198" t="s">
        <v>1072</v>
      </c>
      <c r="CP109" s="198" t="s">
        <v>656</v>
      </c>
      <c r="CQ109" s="137">
        <f>CN109/CR109</f>
        <v>0.41770300398211274</v>
      </c>
      <c r="CR109" s="505">
        <v>620.77599999999995</v>
      </c>
      <c r="CS109" s="834" t="s">
        <v>1052</v>
      </c>
      <c r="CT109" s="198" t="s">
        <v>1092</v>
      </c>
      <c r="CU109" s="198" t="s">
        <v>656</v>
      </c>
      <c r="CV109" s="198" t="s">
        <v>656</v>
      </c>
      <c r="CW109" s="198" t="s">
        <v>656</v>
      </c>
      <c r="CX109" s="198" t="s">
        <v>656</v>
      </c>
      <c r="CY109" s="198" t="s">
        <v>656</v>
      </c>
      <c r="CZ109" s="83">
        <v>2</v>
      </c>
      <c r="DA109" s="198" t="s">
        <v>479</v>
      </c>
      <c r="DB109" s="198" t="s">
        <v>1093</v>
      </c>
      <c r="DC109" s="83">
        <v>3000</v>
      </c>
      <c r="DD109" s="198" t="s">
        <v>479</v>
      </c>
      <c r="DE109" s="198" t="s">
        <v>1094</v>
      </c>
      <c r="DF109" s="83">
        <v>14000</v>
      </c>
      <c r="DG109" s="83" t="s">
        <v>470</v>
      </c>
      <c r="DH109" s="83" t="s">
        <v>656</v>
      </c>
      <c r="DI109" s="83" t="s">
        <v>656</v>
      </c>
      <c r="DJ109" s="83" t="s">
        <v>470</v>
      </c>
      <c r="DK109" s="83" t="s">
        <v>656</v>
      </c>
      <c r="DL109" s="83" t="s">
        <v>656</v>
      </c>
      <c r="DM109" s="198" t="s">
        <v>470</v>
      </c>
      <c r="DN109" s="198" t="s">
        <v>656</v>
      </c>
      <c r="DO109" s="83" t="s">
        <v>656</v>
      </c>
      <c r="DP109" s="198" t="s">
        <v>470</v>
      </c>
      <c r="DQ109" s="198" t="s">
        <v>656</v>
      </c>
      <c r="DR109" s="83" t="s">
        <v>656</v>
      </c>
      <c r="DS109" s="198" t="s">
        <v>470</v>
      </c>
      <c r="DT109" s="198" t="s">
        <v>656</v>
      </c>
      <c r="DU109" s="83" t="s">
        <v>656</v>
      </c>
      <c r="DV109" s="198" t="s">
        <v>470</v>
      </c>
      <c r="DW109" s="198" t="s">
        <v>656</v>
      </c>
      <c r="DX109" s="83" t="s">
        <v>656</v>
      </c>
      <c r="DY109" s="198" t="s">
        <v>479</v>
      </c>
      <c r="DZ109" s="198" t="s">
        <v>1095</v>
      </c>
      <c r="EA109" s="83">
        <v>500</v>
      </c>
      <c r="EB109" s="198" t="s">
        <v>479</v>
      </c>
      <c r="EC109" s="198" t="s">
        <v>1096</v>
      </c>
      <c r="ED109" s="83">
        <v>12000</v>
      </c>
      <c r="EE109" s="83" t="s">
        <v>470</v>
      </c>
      <c r="EF109" s="83" t="s">
        <v>656</v>
      </c>
      <c r="EG109" s="83" t="s">
        <v>656</v>
      </c>
      <c r="EH109" s="198" t="s">
        <v>470</v>
      </c>
      <c r="EI109" s="198" t="s">
        <v>656</v>
      </c>
      <c r="EJ109" s="83" t="s">
        <v>656</v>
      </c>
      <c r="EK109" s="198" t="s">
        <v>470</v>
      </c>
      <c r="EL109" s="198" t="s">
        <v>656</v>
      </c>
      <c r="EM109" s="83" t="s">
        <v>656</v>
      </c>
      <c r="EN109" s="198" t="s">
        <v>479</v>
      </c>
      <c r="EO109" s="198" t="s">
        <v>1097</v>
      </c>
      <c r="EP109" s="83">
        <v>23</v>
      </c>
      <c r="EQ109" s="83" t="s">
        <v>470</v>
      </c>
      <c r="ER109" s="83" t="s">
        <v>656</v>
      </c>
      <c r="ES109" s="83" t="s">
        <v>656</v>
      </c>
      <c r="ET109" s="198" t="s">
        <v>470</v>
      </c>
      <c r="EU109" s="198" t="s">
        <v>656</v>
      </c>
      <c r="EV109" s="83" t="s">
        <v>656</v>
      </c>
      <c r="EW109" s="837">
        <v>1</v>
      </c>
      <c r="EX109" s="198" t="s">
        <v>656</v>
      </c>
      <c r="EY109" s="505">
        <v>70</v>
      </c>
      <c r="EZ109" s="198" t="s">
        <v>470</v>
      </c>
      <c r="FA109" s="198" t="s">
        <v>656</v>
      </c>
      <c r="FB109" s="549" t="s">
        <v>1098</v>
      </c>
      <c r="FC109" s="198" t="s">
        <v>656</v>
      </c>
      <c r="FD109" s="198" t="s">
        <v>656</v>
      </c>
      <c r="FE109" s="198" t="s">
        <v>1099</v>
      </c>
      <c r="FF109" s="198" t="s">
        <v>656</v>
      </c>
      <c r="FG109" s="198" t="s">
        <v>1100</v>
      </c>
      <c r="FH109" s="198" t="s">
        <v>656</v>
      </c>
      <c r="FI109" s="198" t="s">
        <v>656</v>
      </c>
      <c r="FJ109" s="198" t="s">
        <v>1101</v>
      </c>
      <c r="FK109" s="198" t="s">
        <v>1102</v>
      </c>
      <c r="FL109" s="549" t="s">
        <v>1103</v>
      </c>
      <c r="FM109" s="198" t="s">
        <v>1060</v>
      </c>
      <c r="FN109" s="198" t="s">
        <v>1061</v>
      </c>
      <c r="FO109" s="549" t="s">
        <v>1062</v>
      </c>
    </row>
    <row r="110" spans="5:195" ht="104" customHeight="1" x14ac:dyDescent="0.2">
      <c r="E110" s="94" t="s">
        <v>9304</v>
      </c>
      <c r="F110" s="94" t="s">
        <v>9120</v>
      </c>
      <c r="G110" s="198" t="s">
        <v>325</v>
      </c>
      <c r="H110" s="198" t="s">
        <v>406</v>
      </c>
      <c r="I110" s="198"/>
      <c r="J110" s="198" t="s">
        <v>1104</v>
      </c>
      <c r="K110" s="198" t="s">
        <v>1105</v>
      </c>
      <c r="L110" s="578">
        <v>2017</v>
      </c>
      <c r="M110" s="822">
        <v>44562</v>
      </c>
      <c r="N110" s="822">
        <v>44926</v>
      </c>
      <c r="O110" s="198" t="s">
        <v>1106</v>
      </c>
      <c r="P110" s="198" t="s">
        <v>1106</v>
      </c>
      <c r="Q110" s="549" t="s">
        <v>1107</v>
      </c>
      <c r="R110" s="198" t="s">
        <v>656</v>
      </c>
      <c r="S110" s="198" t="s">
        <v>656</v>
      </c>
      <c r="T110" s="198" t="s">
        <v>656</v>
      </c>
      <c r="U110" s="198" t="s">
        <v>656</v>
      </c>
      <c r="V110" s="198" t="s">
        <v>656</v>
      </c>
      <c r="W110" s="198" t="s">
        <v>656</v>
      </c>
      <c r="X110" s="198" t="s">
        <v>656</v>
      </c>
      <c r="Y110" s="198" t="s">
        <v>656</v>
      </c>
      <c r="Z110" s="198"/>
      <c r="AA110" s="198"/>
      <c r="AB110" s="198"/>
      <c r="AC110" s="198"/>
      <c r="AD110" s="198"/>
      <c r="AE110" s="198"/>
      <c r="AF110" s="198"/>
      <c r="AG110" s="198"/>
      <c r="AH110" s="198" t="s">
        <v>1108</v>
      </c>
      <c r="AI110" s="198" t="s">
        <v>1108</v>
      </c>
      <c r="AJ110" s="198" t="s">
        <v>504</v>
      </c>
      <c r="AK110" s="198" t="s">
        <v>1071</v>
      </c>
      <c r="AL110" s="580">
        <f t="shared" si="7"/>
        <v>259.23</v>
      </c>
      <c r="AM110" s="504">
        <v>259.23</v>
      </c>
      <c r="AN110" s="516">
        <v>1.8979999999999999</v>
      </c>
      <c r="AO110" s="137">
        <f>AN110/AL110</f>
        <v>7.3216834471318895E-3</v>
      </c>
      <c r="AP110" s="825">
        <f>AN110/52366.57</f>
        <v>3.6244497204991657E-5</v>
      </c>
      <c r="AQ110" s="611">
        <v>66.86</v>
      </c>
      <c r="AR110" s="137">
        <f>AQ110/AL110</f>
        <v>0.25791767928094739</v>
      </c>
      <c r="AS110" s="137"/>
      <c r="AT110" s="520">
        <v>0.308</v>
      </c>
      <c r="AU110" s="137">
        <f>AT110/AL110</f>
        <v>1.1881340894186628E-3</v>
      </c>
      <c r="AV110" s="520">
        <v>2.2029999999999998</v>
      </c>
      <c r="AW110" s="137">
        <f>AV110/AL110</f>
        <v>8.4982448019133572E-3</v>
      </c>
      <c r="AX110" s="520"/>
      <c r="AY110" s="137"/>
      <c r="AZ110" s="520">
        <v>187.96100000000001</v>
      </c>
      <c r="BA110" s="137">
        <f>AZ110/AL110</f>
        <v>0.7250742583805887</v>
      </c>
      <c r="BB110" s="198" t="s">
        <v>1109</v>
      </c>
      <c r="BC110" s="198" t="s">
        <v>1110</v>
      </c>
      <c r="BD110" s="198" t="s">
        <v>1108</v>
      </c>
      <c r="BE110" s="198" t="s">
        <v>479</v>
      </c>
      <c r="BF110" s="198" t="s">
        <v>1111</v>
      </c>
      <c r="BG110" s="198" t="s">
        <v>656</v>
      </c>
      <c r="BH110" s="198">
        <v>0</v>
      </c>
      <c r="BI110" s="586">
        <v>1.867</v>
      </c>
      <c r="BJ110" s="825">
        <f>BI110/46161.34</f>
        <v>4.0445099730640402E-5</v>
      </c>
      <c r="BK110" s="83">
        <v>69</v>
      </c>
      <c r="BL110" s="83">
        <v>69</v>
      </c>
      <c r="BM110" s="83">
        <v>69</v>
      </c>
      <c r="BN110" s="83">
        <v>0</v>
      </c>
      <c r="BO110" s="83">
        <v>0</v>
      </c>
      <c r="BP110" s="83">
        <v>0</v>
      </c>
      <c r="BQ110" s="83">
        <v>0</v>
      </c>
      <c r="BR110" s="83">
        <v>0</v>
      </c>
      <c r="BS110" s="83">
        <v>0</v>
      </c>
      <c r="BT110" s="83">
        <v>0</v>
      </c>
      <c r="BU110" s="83">
        <v>0</v>
      </c>
      <c r="BV110" s="83">
        <v>0</v>
      </c>
      <c r="BW110" s="83">
        <v>43</v>
      </c>
      <c r="BX110" s="83">
        <v>0</v>
      </c>
      <c r="BY110" s="83">
        <v>26</v>
      </c>
      <c r="BZ110" s="83">
        <v>0</v>
      </c>
      <c r="CA110" s="83">
        <v>0</v>
      </c>
      <c r="CB110" s="83">
        <v>0</v>
      </c>
      <c r="CC110" s="83">
        <v>0</v>
      </c>
      <c r="CD110" s="83">
        <v>0</v>
      </c>
      <c r="CE110" s="83">
        <v>0</v>
      </c>
      <c r="CF110" s="83">
        <v>0</v>
      </c>
      <c r="CG110" s="83">
        <v>0</v>
      </c>
      <c r="CH110" s="83">
        <v>0</v>
      </c>
      <c r="CI110" s="83">
        <v>0</v>
      </c>
      <c r="CJ110" s="83">
        <v>0</v>
      </c>
      <c r="CK110" s="83">
        <v>0</v>
      </c>
      <c r="CL110" s="824">
        <f t="shared" si="10"/>
        <v>69</v>
      </c>
      <c r="CM110" s="824">
        <f t="shared" si="8"/>
        <v>0</v>
      </c>
      <c r="CN110" s="505">
        <v>441.28</v>
      </c>
      <c r="CO110" s="198" t="s">
        <v>1112</v>
      </c>
      <c r="CP110" s="198" t="s">
        <v>656</v>
      </c>
      <c r="CQ110" s="137">
        <f>CN110/CR110</f>
        <v>0.71085222366844081</v>
      </c>
      <c r="CR110" s="505">
        <v>620.77599999999995</v>
      </c>
      <c r="CS110" s="834" t="s">
        <v>1052</v>
      </c>
      <c r="CT110" s="198" t="s">
        <v>470</v>
      </c>
      <c r="CU110" s="198" t="s">
        <v>656</v>
      </c>
      <c r="CV110" s="198" t="s">
        <v>656</v>
      </c>
      <c r="CW110" s="83" t="s">
        <v>656</v>
      </c>
      <c r="CX110" s="83" t="s">
        <v>656</v>
      </c>
      <c r="CY110" s="83"/>
      <c r="CZ110" s="83">
        <v>2</v>
      </c>
      <c r="DA110" s="198" t="s">
        <v>479</v>
      </c>
      <c r="DB110" s="198" t="s">
        <v>1112</v>
      </c>
      <c r="DC110" s="83">
        <v>3862</v>
      </c>
      <c r="DD110" s="198" t="s">
        <v>470</v>
      </c>
      <c r="DE110" s="198" t="s">
        <v>656</v>
      </c>
      <c r="DF110" s="83" t="s">
        <v>656</v>
      </c>
      <c r="DG110" s="83" t="s">
        <v>470</v>
      </c>
      <c r="DH110" s="83" t="s">
        <v>656</v>
      </c>
      <c r="DI110" s="83" t="s">
        <v>656</v>
      </c>
      <c r="DJ110" s="83" t="s">
        <v>470</v>
      </c>
      <c r="DK110" s="83" t="s">
        <v>656</v>
      </c>
      <c r="DL110" s="83" t="s">
        <v>656</v>
      </c>
      <c r="DM110" s="198" t="s">
        <v>470</v>
      </c>
      <c r="DN110" s="198"/>
      <c r="DO110" s="83"/>
      <c r="DP110" s="198" t="s">
        <v>470</v>
      </c>
      <c r="DQ110" s="198" t="s">
        <v>656</v>
      </c>
      <c r="DR110" s="83" t="s">
        <v>656</v>
      </c>
      <c r="DS110" s="198" t="s">
        <v>470</v>
      </c>
      <c r="DT110" s="198" t="s">
        <v>656</v>
      </c>
      <c r="DU110" s="83" t="s">
        <v>656</v>
      </c>
      <c r="DV110" s="198" t="s">
        <v>479</v>
      </c>
      <c r="DW110" s="198" t="s">
        <v>1112</v>
      </c>
      <c r="DX110" s="83">
        <v>27668</v>
      </c>
      <c r="DY110" s="198" t="s">
        <v>479</v>
      </c>
      <c r="DZ110" s="198" t="s">
        <v>656</v>
      </c>
      <c r="EA110" s="83">
        <v>75509</v>
      </c>
      <c r="EB110" s="198" t="s">
        <v>470</v>
      </c>
      <c r="EC110" s="198" t="s">
        <v>656</v>
      </c>
      <c r="ED110" s="83" t="s">
        <v>656</v>
      </c>
      <c r="EE110" s="83" t="s">
        <v>470</v>
      </c>
      <c r="EF110" s="83" t="s">
        <v>656</v>
      </c>
      <c r="EG110" s="83" t="s">
        <v>656</v>
      </c>
      <c r="EH110" s="198" t="s">
        <v>470</v>
      </c>
      <c r="EI110" s="198" t="s">
        <v>656</v>
      </c>
      <c r="EJ110" s="83" t="s">
        <v>656</v>
      </c>
      <c r="EK110" s="198" t="s">
        <v>470</v>
      </c>
      <c r="EL110" s="198" t="s">
        <v>656</v>
      </c>
      <c r="EM110" s="83" t="s">
        <v>656</v>
      </c>
      <c r="EN110" s="198" t="s">
        <v>470</v>
      </c>
      <c r="EO110" s="198" t="s">
        <v>656</v>
      </c>
      <c r="EP110" s="83" t="s">
        <v>656</v>
      </c>
      <c r="EQ110" s="83" t="s">
        <v>470</v>
      </c>
      <c r="ER110" s="83" t="s">
        <v>656</v>
      </c>
      <c r="ES110" s="83" t="s">
        <v>656</v>
      </c>
      <c r="ET110" s="198" t="s">
        <v>470</v>
      </c>
      <c r="EU110" s="198" t="s">
        <v>656</v>
      </c>
      <c r="EV110" s="83" t="s">
        <v>656</v>
      </c>
      <c r="EW110" s="837">
        <v>1</v>
      </c>
      <c r="EX110" s="198" t="s">
        <v>656</v>
      </c>
      <c r="EY110" s="83">
        <v>35</v>
      </c>
      <c r="EZ110" s="198" t="s">
        <v>470</v>
      </c>
      <c r="FA110" s="198" t="s">
        <v>656</v>
      </c>
      <c r="FB110" s="549" t="s">
        <v>1113</v>
      </c>
      <c r="FC110" s="198" t="s">
        <v>656</v>
      </c>
      <c r="FD110" s="198" t="s">
        <v>656</v>
      </c>
      <c r="FE110" s="198" t="s">
        <v>656</v>
      </c>
      <c r="FF110" s="198" t="s">
        <v>656</v>
      </c>
      <c r="FG110" s="198" t="s">
        <v>656</v>
      </c>
      <c r="FH110" s="198" t="s">
        <v>656</v>
      </c>
      <c r="FI110" s="198" t="s">
        <v>656</v>
      </c>
      <c r="FJ110" s="198" t="s">
        <v>1114</v>
      </c>
      <c r="FK110" s="198" t="s">
        <v>1115</v>
      </c>
      <c r="FL110" s="549" t="s">
        <v>1116</v>
      </c>
      <c r="FM110" s="198" t="s">
        <v>1060</v>
      </c>
      <c r="FN110" s="198" t="s">
        <v>1081</v>
      </c>
      <c r="FO110" s="549" t="s">
        <v>1062</v>
      </c>
    </row>
    <row r="111" spans="5:195" ht="67" customHeight="1" x14ac:dyDescent="0.2">
      <c r="E111" s="94" t="s">
        <v>9302</v>
      </c>
      <c r="F111" s="94" t="s">
        <v>9120</v>
      </c>
      <c r="G111" s="198" t="s">
        <v>326</v>
      </c>
      <c r="H111" s="198" t="s">
        <v>407</v>
      </c>
      <c r="I111" s="198"/>
      <c r="J111" s="198" t="s">
        <v>1705</v>
      </c>
      <c r="K111" s="198"/>
      <c r="L111" s="578">
        <v>2020</v>
      </c>
      <c r="M111" s="822">
        <v>44645</v>
      </c>
      <c r="N111" s="822">
        <v>44924</v>
      </c>
      <c r="O111" s="198" t="s">
        <v>1706</v>
      </c>
      <c r="P111" s="198" t="s">
        <v>1707</v>
      </c>
      <c r="Q111" s="198" t="s">
        <v>1708</v>
      </c>
      <c r="R111" s="198"/>
      <c r="S111" s="198"/>
      <c r="T111" s="198"/>
      <c r="U111" s="198"/>
      <c r="V111" s="198" t="s">
        <v>1709</v>
      </c>
      <c r="W111" s="198" t="s">
        <v>1708</v>
      </c>
      <c r="X111" s="198" t="s">
        <v>1710</v>
      </c>
      <c r="Y111" s="198" t="s">
        <v>1711</v>
      </c>
      <c r="Z111" s="198"/>
      <c r="AA111" s="198"/>
      <c r="AB111" s="198"/>
      <c r="AC111" s="198"/>
      <c r="AD111" s="198"/>
      <c r="AE111" s="198"/>
      <c r="AF111" s="198"/>
      <c r="AG111" s="198"/>
      <c r="AH111" s="198" t="s">
        <v>1712</v>
      </c>
      <c r="AI111" s="198" t="s">
        <v>1713</v>
      </c>
      <c r="AJ111" s="198" t="s">
        <v>1714</v>
      </c>
      <c r="AK111" s="198" t="s">
        <v>1715</v>
      </c>
      <c r="AL111" s="580">
        <f t="shared" si="7"/>
        <v>300</v>
      </c>
      <c r="AM111" s="504">
        <v>300</v>
      </c>
      <c r="AN111" s="516">
        <v>300</v>
      </c>
      <c r="AO111" s="137">
        <v>1</v>
      </c>
      <c r="AP111" s="137">
        <v>6.9999999999999999E-4</v>
      </c>
      <c r="AQ111" s="504"/>
      <c r="AR111" s="137"/>
      <c r="AS111" s="137"/>
      <c r="AT111" s="520"/>
      <c r="AU111" s="137"/>
      <c r="AV111" s="520"/>
      <c r="AW111" s="137"/>
      <c r="AX111" s="520"/>
      <c r="AY111" s="137"/>
      <c r="AZ111" s="520">
        <v>0</v>
      </c>
      <c r="BA111" s="137">
        <v>0</v>
      </c>
      <c r="BB111" s="198"/>
      <c r="BC111" s="198"/>
      <c r="BD111" s="198"/>
      <c r="BE111" s="198" t="s">
        <v>479</v>
      </c>
      <c r="BF111" s="198" t="s">
        <v>1716</v>
      </c>
      <c r="BG111" s="198"/>
      <c r="BH111" s="198"/>
      <c r="BI111" s="580">
        <v>300</v>
      </c>
      <c r="BJ111" s="137">
        <v>6.9999999999999999E-4</v>
      </c>
      <c r="BK111" s="83"/>
      <c r="BL111" s="83">
        <v>389</v>
      </c>
      <c r="BM111" s="83">
        <v>86</v>
      </c>
      <c r="BN111" s="83">
        <v>0</v>
      </c>
      <c r="BO111" s="83">
        <v>10</v>
      </c>
      <c r="BP111" s="83">
        <v>0</v>
      </c>
      <c r="BQ111" s="83">
        <v>0</v>
      </c>
      <c r="BR111" s="83">
        <v>0</v>
      </c>
      <c r="BS111" s="83">
        <v>9</v>
      </c>
      <c r="BT111" s="83">
        <v>0</v>
      </c>
      <c r="BU111" s="83">
        <v>0</v>
      </c>
      <c r="BV111" s="83">
        <v>10</v>
      </c>
      <c r="BW111" s="83">
        <v>0</v>
      </c>
      <c r="BX111" s="83">
        <v>17</v>
      </c>
      <c r="BY111" s="83">
        <v>28</v>
      </c>
      <c r="BZ111" s="83">
        <v>12</v>
      </c>
      <c r="CA111" s="83">
        <v>0</v>
      </c>
      <c r="CB111" s="83">
        <v>0</v>
      </c>
      <c r="CC111" s="83">
        <v>0</v>
      </c>
      <c r="CD111" s="83">
        <v>0</v>
      </c>
      <c r="CE111" s="83">
        <v>0</v>
      </c>
      <c r="CF111" s="83">
        <v>0</v>
      </c>
      <c r="CG111" s="83">
        <v>0</v>
      </c>
      <c r="CH111" s="83">
        <v>0</v>
      </c>
      <c r="CI111" s="83">
        <v>0</v>
      </c>
      <c r="CJ111" s="83">
        <v>0</v>
      </c>
      <c r="CK111" s="83">
        <v>0</v>
      </c>
      <c r="CL111" s="824">
        <f t="shared" si="10"/>
        <v>86</v>
      </c>
      <c r="CM111" s="824">
        <f t="shared" si="8"/>
        <v>0</v>
      </c>
      <c r="CN111" s="580">
        <v>165.166</v>
      </c>
      <c r="CO111" s="198" t="s">
        <v>1717</v>
      </c>
      <c r="CP111" s="198"/>
      <c r="CQ111" s="137">
        <v>2.8400000000000002E-2</v>
      </c>
      <c r="CR111" s="580">
        <v>5687.3779999999997</v>
      </c>
      <c r="CS111" s="137" t="s">
        <v>1718</v>
      </c>
      <c r="CT111" s="198" t="s">
        <v>470</v>
      </c>
      <c r="CU111" s="198"/>
      <c r="CV111" s="198" t="s">
        <v>1719</v>
      </c>
      <c r="CW111" s="198"/>
      <c r="CX111" s="83"/>
      <c r="CY111" s="83">
        <v>0</v>
      </c>
      <c r="CZ111" s="83">
        <v>4</v>
      </c>
      <c r="DA111" s="198" t="s">
        <v>479</v>
      </c>
      <c r="DB111" s="198" t="s">
        <v>1720</v>
      </c>
      <c r="DC111" s="83">
        <v>360082</v>
      </c>
      <c r="DD111" s="198" t="s">
        <v>479</v>
      </c>
      <c r="DE111" s="198" t="s">
        <v>1721</v>
      </c>
      <c r="DF111" s="83">
        <v>43490</v>
      </c>
      <c r="DG111" s="83" t="s">
        <v>479</v>
      </c>
      <c r="DH111" s="83" t="s">
        <v>1722</v>
      </c>
      <c r="DI111" s="83">
        <v>5121</v>
      </c>
      <c r="DJ111" s="83" t="s">
        <v>470</v>
      </c>
      <c r="DK111" s="83"/>
      <c r="DL111" s="83"/>
      <c r="DM111" s="198" t="s">
        <v>470</v>
      </c>
      <c r="DN111" s="198"/>
      <c r="DO111" s="83"/>
      <c r="DP111" s="198" t="s">
        <v>470</v>
      </c>
      <c r="DQ111" s="198"/>
      <c r="DR111" s="83"/>
      <c r="DS111" s="198" t="s">
        <v>470</v>
      </c>
      <c r="DT111" s="198"/>
      <c r="DU111" s="83"/>
      <c r="DV111" s="198" t="s">
        <v>470</v>
      </c>
      <c r="DW111" s="198"/>
      <c r="DX111" s="83"/>
      <c r="DY111" s="198" t="s">
        <v>470</v>
      </c>
      <c r="DZ111" s="198"/>
      <c r="EA111" s="83"/>
      <c r="EB111" s="198" t="s">
        <v>479</v>
      </c>
      <c r="EC111" s="198"/>
      <c r="ED111" s="83"/>
      <c r="EE111" s="83" t="s">
        <v>479</v>
      </c>
      <c r="EF111" s="83"/>
      <c r="EG111" s="83"/>
      <c r="EH111" s="198" t="s">
        <v>470</v>
      </c>
      <c r="EI111" s="198"/>
      <c r="EJ111" s="83"/>
      <c r="EK111" s="198" t="s">
        <v>470</v>
      </c>
      <c r="EL111" s="198"/>
      <c r="EM111" s="83"/>
      <c r="EN111" s="198" t="s">
        <v>479</v>
      </c>
      <c r="EO111" s="198" t="s">
        <v>1597</v>
      </c>
      <c r="EP111" s="83">
        <v>10</v>
      </c>
      <c r="EQ111" s="83" t="s">
        <v>470</v>
      </c>
      <c r="ER111" s="83"/>
      <c r="ES111" s="83"/>
      <c r="ET111" s="198" t="s">
        <v>470</v>
      </c>
      <c r="EU111" s="198"/>
      <c r="EV111" s="83"/>
      <c r="EW111" s="198" t="s">
        <v>1723</v>
      </c>
      <c r="EX111" s="198" t="s">
        <v>1724</v>
      </c>
      <c r="EY111" s="505">
        <v>259</v>
      </c>
      <c r="EZ111" s="198" t="s">
        <v>470</v>
      </c>
      <c r="FA111" s="198"/>
      <c r="FB111" s="198" t="s">
        <v>1725</v>
      </c>
      <c r="FC111" s="198" t="s">
        <v>1726</v>
      </c>
      <c r="FD111" s="198"/>
      <c r="FE111" s="198"/>
      <c r="FF111" s="198"/>
      <c r="FG111" s="198" t="s">
        <v>1727</v>
      </c>
      <c r="FH111" s="198">
        <v>14</v>
      </c>
      <c r="FI111" s="198">
        <v>3000</v>
      </c>
      <c r="FJ111" s="198"/>
      <c r="FK111" s="198"/>
      <c r="FL111" s="198"/>
      <c r="FM111" s="198"/>
      <c r="FN111" s="198"/>
      <c r="FO111" s="198"/>
    </row>
    <row r="112" spans="5:195" ht="38.25" customHeight="1" x14ac:dyDescent="0.2">
      <c r="E112" s="94" t="s">
        <v>9305</v>
      </c>
      <c r="F112" s="94" t="s">
        <v>9121</v>
      </c>
      <c r="G112" s="97" t="s">
        <v>326</v>
      </c>
      <c r="H112" s="97" t="s">
        <v>407</v>
      </c>
      <c r="I112" s="198" t="s">
        <v>8833</v>
      </c>
      <c r="J112" s="198" t="s">
        <v>8589</v>
      </c>
      <c r="K112" s="198" t="s">
        <v>8429</v>
      </c>
      <c r="L112" s="578">
        <v>2020</v>
      </c>
      <c r="M112" s="822">
        <v>44578</v>
      </c>
      <c r="N112" s="822" t="s">
        <v>8251</v>
      </c>
      <c r="O112" s="822"/>
      <c r="P112" s="822"/>
      <c r="Q112" s="822"/>
      <c r="R112" s="822"/>
      <c r="S112" s="822"/>
      <c r="T112" s="822"/>
      <c r="U112" s="822"/>
      <c r="V112" s="822"/>
      <c r="W112" s="822"/>
      <c r="X112" s="822"/>
      <c r="Y112" s="822"/>
      <c r="Z112" s="198" t="s">
        <v>7871</v>
      </c>
      <c r="AA112" s="198"/>
      <c r="AB112" s="198" t="s">
        <v>7871</v>
      </c>
      <c r="AC112" s="198"/>
      <c r="AD112" s="198" t="s">
        <v>7543</v>
      </c>
      <c r="AE112" s="198"/>
      <c r="AF112" s="198" t="s">
        <v>1482</v>
      </c>
      <c r="AG112" s="198"/>
      <c r="AH112" s="198" t="s">
        <v>7020</v>
      </c>
      <c r="AI112" s="198" t="s">
        <v>6573</v>
      </c>
      <c r="AJ112" s="198" t="s">
        <v>1929</v>
      </c>
      <c r="AK112" s="198" t="s">
        <v>6573</v>
      </c>
      <c r="AL112" s="580">
        <f t="shared" si="7"/>
        <v>0.24269542</v>
      </c>
      <c r="AM112" s="580">
        <v>0.24269542</v>
      </c>
      <c r="AN112" s="580"/>
      <c r="AO112" s="580"/>
      <c r="AP112" s="580"/>
      <c r="AQ112" s="580">
        <v>0.24269542</v>
      </c>
      <c r="AR112" s="137">
        <v>1</v>
      </c>
      <c r="AS112" s="137">
        <v>2.5000000000000001E-2</v>
      </c>
      <c r="AT112" s="580">
        <v>0</v>
      </c>
      <c r="AU112" s="137">
        <v>0</v>
      </c>
      <c r="AV112" s="580">
        <v>0</v>
      </c>
      <c r="AW112" s="137">
        <v>0</v>
      </c>
      <c r="AX112" s="137"/>
      <c r="AY112" s="137"/>
      <c r="AZ112" s="137"/>
      <c r="BA112" s="137"/>
      <c r="BB112" s="137"/>
      <c r="BC112" s="137"/>
      <c r="BD112" s="137"/>
      <c r="BE112" s="137" t="s">
        <v>479</v>
      </c>
      <c r="BF112" s="137" t="s">
        <v>6330</v>
      </c>
      <c r="BG112" s="137"/>
      <c r="BH112" s="823" t="s">
        <v>470</v>
      </c>
      <c r="BI112" s="580">
        <v>0.2</v>
      </c>
      <c r="BJ112" s="137">
        <v>0.02</v>
      </c>
      <c r="BK112" s="83">
        <v>3</v>
      </c>
      <c r="BL112" s="83">
        <v>2</v>
      </c>
      <c r="BM112" s="83">
        <v>1</v>
      </c>
      <c r="BN112" s="83"/>
      <c r="BO112" s="83"/>
      <c r="BP112" s="83">
        <v>1</v>
      </c>
      <c r="BQ112" s="83"/>
      <c r="BR112" s="83"/>
      <c r="BS112" s="83">
        <v>1</v>
      </c>
      <c r="BT112" s="83"/>
      <c r="BU112" s="83"/>
      <c r="BV112" s="83"/>
      <c r="BW112" s="83"/>
      <c r="BX112" s="83"/>
      <c r="BY112" s="83"/>
      <c r="BZ112" s="83"/>
      <c r="CA112" s="83"/>
      <c r="CB112" s="83"/>
      <c r="CC112" s="83"/>
      <c r="CD112" s="83"/>
      <c r="CE112" s="83"/>
      <c r="CF112" s="83"/>
      <c r="CG112" s="83"/>
      <c r="CH112" s="83"/>
      <c r="CI112" s="83"/>
      <c r="CJ112" s="83"/>
      <c r="CK112" s="83"/>
      <c r="CL112" s="857">
        <f>SUM(BN112:CK112)</f>
        <v>2</v>
      </c>
      <c r="CM112" s="824">
        <f t="shared" si="8"/>
        <v>0</v>
      </c>
      <c r="CN112" s="580">
        <v>1.2</v>
      </c>
      <c r="CO112" s="198" t="s">
        <v>6150</v>
      </c>
      <c r="CP112" s="198"/>
      <c r="CQ112" s="198">
        <v>100</v>
      </c>
      <c r="CR112" s="580">
        <v>1200</v>
      </c>
      <c r="CS112" s="137"/>
      <c r="CT112" s="198" t="s">
        <v>470</v>
      </c>
      <c r="CU112" s="198"/>
      <c r="CV112" s="198"/>
      <c r="CW112" s="198"/>
      <c r="CX112" s="83"/>
      <c r="CY112" s="83"/>
      <c r="CZ112" s="83"/>
      <c r="DA112" s="198" t="s">
        <v>479</v>
      </c>
      <c r="DB112" s="198" t="s">
        <v>3521</v>
      </c>
      <c r="DC112" s="83">
        <v>490</v>
      </c>
      <c r="DD112" s="198" t="s">
        <v>479</v>
      </c>
      <c r="DE112" s="198" t="s">
        <v>959</v>
      </c>
      <c r="DF112" s="83">
        <v>47</v>
      </c>
      <c r="DG112" s="83" t="s">
        <v>479</v>
      </c>
      <c r="DH112" s="83"/>
      <c r="DI112" s="83">
        <v>47</v>
      </c>
      <c r="DJ112" s="83" t="s">
        <v>470</v>
      </c>
      <c r="DK112" s="83"/>
      <c r="DL112" s="83"/>
      <c r="DM112" s="198" t="s">
        <v>470</v>
      </c>
      <c r="DN112" s="198"/>
      <c r="DO112" s="83"/>
      <c r="DP112" s="198" t="s">
        <v>470</v>
      </c>
      <c r="DQ112" s="198"/>
      <c r="DR112" s="83"/>
      <c r="DS112" s="198" t="s">
        <v>470</v>
      </c>
      <c r="DT112" s="198"/>
      <c r="DU112" s="83"/>
      <c r="DV112" s="198"/>
      <c r="DW112" s="198"/>
      <c r="DX112" s="83"/>
      <c r="DY112" s="198" t="s">
        <v>470</v>
      </c>
      <c r="DZ112" s="198"/>
      <c r="EA112" s="83"/>
      <c r="EB112" s="198" t="s">
        <v>479</v>
      </c>
      <c r="EC112" s="198" t="s">
        <v>5431</v>
      </c>
      <c r="ED112" s="83">
        <v>47</v>
      </c>
      <c r="EE112" s="83" t="s">
        <v>470</v>
      </c>
      <c r="EF112" s="83"/>
      <c r="EG112" s="83"/>
      <c r="EH112" s="198" t="s">
        <v>470</v>
      </c>
      <c r="EI112" s="198"/>
      <c r="EJ112" s="83"/>
      <c r="EK112" s="198" t="s">
        <v>470</v>
      </c>
      <c r="EL112" s="198"/>
      <c r="EM112" s="83"/>
      <c r="EN112" s="198" t="s">
        <v>479</v>
      </c>
      <c r="EO112" s="198" t="s">
        <v>920</v>
      </c>
      <c r="EP112" s="83">
        <v>7</v>
      </c>
      <c r="EQ112" s="83" t="s">
        <v>470</v>
      </c>
      <c r="ER112" s="83"/>
      <c r="ES112" s="83"/>
      <c r="ET112" s="198"/>
      <c r="EU112" s="198"/>
      <c r="EV112" s="83"/>
      <c r="EW112" s="83"/>
      <c r="EX112" s="83"/>
      <c r="EY112" s="83"/>
      <c r="EZ112" s="198" t="s">
        <v>470</v>
      </c>
      <c r="FA112" s="198"/>
      <c r="FB112" s="844" t="s">
        <v>5170</v>
      </c>
      <c r="FC112" s="198"/>
      <c r="FD112" s="198"/>
      <c r="FE112" s="198"/>
      <c r="FF112" s="198"/>
      <c r="FG112" s="198"/>
      <c r="FH112" s="198"/>
      <c r="FI112" s="198"/>
      <c r="FJ112" s="198" t="s">
        <v>4525</v>
      </c>
      <c r="FK112" s="198">
        <v>89181921947</v>
      </c>
      <c r="FL112" s="844" t="s">
        <v>3763</v>
      </c>
      <c r="FM112" s="198" t="s">
        <v>3914</v>
      </c>
      <c r="FN112" s="198">
        <v>89186886162</v>
      </c>
      <c r="FO112" s="198" t="s">
        <v>3763</v>
      </c>
      <c r="FP112" s="96"/>
      <c r="FQ112" s="96"/>
      <c r="FR112" s="97"/>
      <c r="FS112" s="97"/>
      <c r="FT112" s="96"/>
      <c r="FU112" s="96"/>
      <c r="FV112" s="96"/>
      <c r="FW112" s="96"/>
      <c r="FX112" s="97"/>
      <c r="FY112" s="97"/>
      <c r="FZ112" s="872"/>
      <c r="GA112" s="97"/>
      <c r="GB112" s="97"/>
      <c r="GC112" s="97"/>
      <c r="GD112" s="97"/>
      <c r="GE112" s="97"/>
      <c r="GF112" s="97"/>
      <c r="GG112" s="97"/>
      <c r="GH112" s="97"/>
      <c r="GI112" s="97"/>
      <c r="GJ112" s="872"/>
      <c r="GK112" s="97"/>
      <c r="GL112" s="97"/>
      <c r="GM112" s="97"/>
    </row>
    <row r="113" spans="4:195" ht="42.75" customHeight="1" x14ac:dyDescent="0.2">
      <c r="D113" s="93" t="s">
        <v>9316</v>
      </c>
      <c r="E113" s="94" t="s">
        <v>9305</v>
      </c>
      <c r="F113" s="94" t="s">
        <v>9121</v>
      </c>
      <c r="G113" s="97" t="s">
        <v>326</v>
      </c>
      <c r="H113" s="97" t="s">
        <v>407</v>
      </c>
      <c r="I113" s="97" t="s">
        <v>8832</v>
      </c>
      <c r="J113" s="97"/>
      <c r="K113" s="97" t="s">
        <v>5242</v>
      </c>
      <c r="L113" s="502">
        <v>2022</v>
      </c>
      <c r="M113" s="841">
        <v>44904</v>
      </c>
      <c r="N113" s="841"/>
      <c r="O113" s="841"/>
      <c r="P113" s="841"/>
      <c r="Q113" s="841"/>
      <c r="R113" s="841"/>
      <c r="S113" s="841"/>
      <c r="T113" s="841"/>
      <c r="U113" s="841"/>
      <c r="V113" s="841"/>
      <c r="W113" s="841"/>
      <c r="X113" s="841"/>
      <c r="Y113" s="841"/>
      <c r="Z113" s="97" t="s">
        <v>8153</v>
      </c>
      <c r="AA113" s="97"/>
      <c r="AB113" s="97"/>
      <c r="AC113" s="97"/>
      <c r="AD113" s="97" t="s">
        <v>7542</v>
      </c>
      <c r="AE113" s="97"/>
      <c r="AF113" s="97"/>
      <c r="AG113" s="97"/>
      <c r="AH113" s="97" t="s">
        <v>6885</v>
      </c>
      <c r="AI113" s="97" t="s">
        <v>6885</v>
      </c>
      <c r="AJ113" s="97"/>
      <c r="AK113" s="97"/>
      <c r="AL113" s="580">
        <f t="shared" si="7"/>
        <v>1</v>
      </c>
      <c r="AM113" s="504">
        <v>1</v>
      </c>
      <c r="AN113" s="516"/>
      <c r="AO113" s="97"/>
      <c r="AP113" s="97"/>
      <c r="AQ113" s="504">
        <v>1</v>
      </c>
      <c r="AR113" s="507">
        <v>0.8</v>
      </c>
      <c r="AS113" s="507">
        <v>5.5E-2</v>
      </c>
      <c r="AT113" s="516">
        <v>0</v>
      </c>
      <c r="AU113" s="507">
        <v>0</v>
      </c>
      <c r="AV113" s="516">
        <v>0</v>
      </c>
      <c r="AW113" s="507">
        <v>0</v>
      </c>
      <c r="AX113" s="516"/>
      <c r="AY113" s="507">
        <v>0</v>
      </c>
      <c r="AZ113" s="516"/>
      <c r="BA113" s="507"/>
      <c r="BB113" s="507"/>
      <c r="BC113" s="507"/>
      <c r="BD113" s="507"/>
      <c r="BE113" s="507"/>
      <c r="BF113" s="507"/>
      <c r="BG113" s="507"/>
      <c r="BH113" s="852"/>
      <c r="BI113" s="504">
        <v>1.2</v>
      </c>
      <c r="BJ113" s="507">
        <v>0.11</v>
      </c>
      <c r="BK113" s="96">
        <v>3</v>
      </c>
      <c r="BL113" s="96">
        <v>3</v>
      </c>
      <c r="BM113" s="96">
        <v>2</v>
      </c>
      <c r="BN113" s="96">
        <v>0</v>
      </c>
      <c r="BO113" s="96">
        <v>0</v>
      </c>
      <c r="BP113" s="96">
        <v>1</v>
      </c>
      <c r="BQ113" s="96">
        <v>0</v>
      </c>
      <c r="BR113" s="96">
        <v>0</v>
      </c>
      <c r="BS113" s="96">
        <v>0</v>
      </c>
      <c r="BT113" s="96">
        <v>0</v>
      </c>
      <c r="BU113" s="96">
        <v>0</v>
      </c>
      <c r="BV113" s="96">
        <v>0</v>
      </c>
      <c r="BW113" s="96">
        <v>0</v>
      </c>
      <c r="BX113" s="96">
        <v>0</v>
      </c>
      <c r="BY113" s="96">
        <v>0</v>
      </c>
      <c r="BZ113" s="96">
        <v>1</v>
      </c>
      <c r="CA113" s="96">
        <v>0</v>
      </c>
      <c r="CB113" s="96">
        <v>0</v>
      </c>
      <c r="CC113" s="96">
        <v>1</v>
      </c>
      <c r="CD113" s="96">
        <v>0</v>
      </c>
      <c r="CE113" s="96">
        <v>0</v>
      </c>
      <c r="CF113" s="96">
        <v>0</v>
      </c>
      <c r="CG113" s="96">
        <v>0</v>
      </c>
      <c r="CH113" s="96">
        <v>0</v>
      </c>
      <c r="CI113" s="96">
        <v>0</v>
      </c>
      <c r="CJ113" s="96">
        <v>0</v>
      </c>
      <c r="CK113" s="96">
        <v>0</v>
      </c>
      <c r="CL113" s="815">
        <f t="shared" si="10"/>
        <v>3</v>
      </c>
      <c r="CM113" s="824">
        <f t="shared" si="8"/>
        <v>0</v>
      </c>
      <c r="CN113" s="504">
        <v>0</v>
      </c>
      <c r="CO113" s="97"/>
      <c r="CP113" s="97"/>
      <c r="CQ113" s="97">
        <v>100</v>
      </c>
      <c r="CR113" s="504">
        <v>1.6</v>
      </c>
      <c r="CS113" s="507" t="s">
        <v>5903</v>
      </c>
      <c r="CT113" s="97" t="s">
        <v>470</v>
      </c>
      <c r="CU113" s="97"/>
      <c r="CV113" s="97"/>
      <c r="CW113" s="97"/>
      <c r="CX113" s="96"/>
      <c r="CY113" s="96"/>
      <c r="CZ113" s="96"/>
      <c r="DA113" s="97" t="s">
        <v>479</v>
      </c>
      <c r="DB113" s="97"/>
      <c r="DC113" s="96"/>
      <c r="DD113" s="97" t="s">
        <v>479</v>
      </c>
      <c r="DE113" s="97"/>
      <c r="DF113" s="96"/>
      <c r="DG113" s="96"/>
      <c r="DH113" s="96"/>
      <c r="DI113" s="96"/>
      <c r="DJ113" s="96"/>
      <c r="DK113" s="96"/>
      <c r="DL113" s="96"/>
      <c r="DM113" s="97"/>
      <c r="DN113" s="97"/>
      <c r="DO113" s="96"/>
      <c r="DP113" s="97"/>
      <c r="DQ113" s="97"/>
      <c r="DR113" s="96"/>
      <c r="DS113" s="97"/>
      <c r="DT113" s="97"/>
      <c r="DU113" s="96"/>
      <c r="DV113" s="97"/>
      <c r="DW113" s="97"/>
      <c r="DX113" s="96"/>
      <c r="DY113" s="97"/>
      <c r="DZ113" s="97"/>
      <c r="EA113" s="96"/>
      <c r="EB113" s="97" t="s">
        <v>479</v>
      </c>
      <c r="EC113" s="97"/>
      <c r="ED113" s="96"/>
      <c r="EE113" s="96"/>
      <c r="EF113" s="96"/>
      <c r="EG113" s="96"/>
      <c r="EH113" s="97"/>
      <c r="EI113" s="97"/>
      <c r="EJ113" s="96"/>
      <c r="EK113" s="97"/>
      <c r="EL113" s="97"/>
      <c r="EM113" s="96"/>
      <c r="EN113" s="97"/>
      <c r="EO113" s="97"/>
      <c r="EP113" s="96"/>
      <c r="EQ113" s="96"/>
      <c r="ER113" s="96"/>
      <c r="ES113" s="96"/>
      <c r="ET113" s="97"/>
      <c r="EU113" s="97"/>
      <c r="EV113" s="96"/>
      <c r="EW113" s="96"/>
      <c r="EX113" s="96"/>
      <c r="EY113" s="96"/>
      <c r="EZ113" s="97" t="s">
        <v>470</v>
      </c>
      <c r="FA113" s="97"/>
      <c r="FB113" s="97"/>
      <c r="FC113" s="97"/>
      <c r="FD113" s="97"/>
      <c r="FE113" s="97"/>
      <c r="FF113" s="97"/>
      <c r="FG113" s="97"/>
      <c r="FH113" s="97"/>
      <c r="FI113" s="97"/>
      <c r="FJ113" s="97" t="s">
        <v>4524</v>
      </c>
      <c r="FK113" s="97">
        <v>89528640447</v>
      </c>
      <c r="FL113" s="872" t="s">
        <v>4109</v>
      </c>
      <c r="FM113" s="97"/>
      <c r="FN113" s="97"/>
      <c r="FO113" s="97"/>
    </row>
    <row r="114" spans="4:195" ht="42.75" customHeight="1" x14ac:dyDescent="0.2">
      <c r="D114" s="93" t="s">
        <v>9312</v>
      </c>
      <c r="E114" s="94" t="s">
        <v>9305</v>
      </c>
      <c r="F114" s="94" t="s">
        <v>9121</v>
      </c>
      <c r="G114" s="97" t="s">
        <v>326</v>
      </c>
      <c r="H114" s="97" t="s">
        <v>407</v>
      </c>
      <c r="I114" s="97" t="s">
        <v>8831</v>
      </c>
      <c r="J114" s="97" t="s">
        <v>8588</v>
      </c>
      <c r="K114" s="97" t="s">
        <v>8428</v>
      </c>
      <c r="L114" s="502">
        <v>2021</v>
      </c>
      <c r="M114" s="841" t="s">
        <v>8322</v>
      </c>
      <c r="N114" s="841">
        <v>44838</v>
      </c>
      <c r="O114" s="841"/>
      <c r="P114" s="841"/>
      <c r="Q114" s="841"/>
      <c r="R114" s="841"/>
      <c r="S114" s="841"/>
      <c r="T114" s="841"/>
      <c r="U114" s="841"/>
      <c r="V114" s="841"/>
      <c r="W114" s="841"/>
      <c r="X114" s="841"/>
      <c r="Y114" s="841"/>
      <c r="Z114" s="97" t="s">
        <v>8152</v>
      </c>
      <c r="AA114" s="872" t="s">
        <v>5169</v>
      </c>
      <c r="AB114" s="98" t="s">
        <v>7870</v>
      </c>
      <c r="AC114" s="872" t="s">
        <v>5169</v>
      </c>
      <c r="AD114" s="97" t="s">
        <v>7541</v>
      </c>
      <c r="AE114" s="872" t="s">
        <v>5169</v>
      </c>
      <c r="AF114" s="97"/>
      <c r="AG114" s="97"/>
      <c r="AH114" s="97" t="s">
        <v>7019</v>
      </c>
      <c r="AI114" s="97" t="s">
        <v>6572</v>
      </c>
      <c r="AJ114" s="97" t="s">
        <v>6735</v>
      </c>
      <c r="AK114" s="97" t="s">
        <v>6572</v>
      </c>
      <c r="AL114" s="580">
        <f t="shared" si="7"/>
        <v>4.4074</v>
      </c>
      <c r="AM114" s="504">
        <v>4.4074</v>
      </c>
      <c r="AN114" s="516"/>
      <c r="AO114" s="97"/>
      <c r="AP114" s="97"/>
      <c r="AQ114" s="504">
        <v>4.4074</v>
      </c>
      <c r="AR114" s="507">
        <v>1</v>
      </c>
      <c r="AS114" s="507">
        <v>0.183</v>
      </c>
      <c r="AT114" s="516">
        <v>0</v>
      </c>
      <c r="AU114" s="507">
        <v>0</v>
      </c>
      <c r="AV114" s="516">
        <v>0</v>
      </c>
      <c r="AW114" s="507">
        <v>0</v>
      </c>
      <c r="AX114" s="516"/>
      <c r="AY114" s="507">
        <v>0</v>
      </c>
      <c r="AZ114" s="516"/>
      <c r="BA114" s="507"/>
      <c r="BB114" s="507"/>
      <c r="BC114" s="507"/>
      <c r="BD114" s="507"/>
      <c r="BE114" s="507" t="s">
        <v>479</v>
      </c>
      <c r="BF114" s="507" t="s">
        <v>6329</v>
      </c>
      <c r="BG114" s="872" t="s">
        <v>5169</v>
      </c>
      <c r="BH114" s="852">
        <v>0</v>
      </c>
      <c r="BI114" s="504">
        <v>0</v>
      </c>
      <c r="BJ114" s="507">
        <v>0</v>
      </c>
      <c r="BK114" s="96">
        <v>3</v>
      </c>
      <c r="BL114" s="96">
        <v>1</v>
      </c>
      <c r="BM114" s="96">
        <v>1</v>
      </c>
      <c r="BN114" s="96"/>
      <c r="BO114" s="96"/>
      <c r="BP114" s="96"/>
      <c r="BQ114" s="96"/>
      <c r="BR114" s="96"/>
      <c r="BS114" s="96"/>
      <c r="BT114" s="96"/>
      <c r="BU114" s="96"/>
      <c r="BV114" s="96"/>
      <c r="BW114" s="96"/>
      <c r="BX114" s="96"/>
      <c r="BY114" s="96">
        <v>1</v>
      </c>
      <c r="BZ114" s="96"/>
      <c r="CA114" s="96"/>
      <c r="CB114" s="96"/>
      <c r="CC114" s="96"/>
      <c r="CD114" s="96"/>
      <c r="CE114" s="96"/>
      <c r="CF114" s="96"/>
      <c r="CG114" s="96"/>
      <c r="CH114" s="96"/>
      <c r="CI114" s="96"/>
      <c r="CJ114" s="96"/>
      <c r="CK114" s="96"/>
      <c r="CL114" s="815">
        <f t="shared" si="10"/>
        <v>1</v>
      </c>
      <c r="CM114" s="824">
        <f t="shared" si="8"/>
        <v>0</v>
      </c>
      <c r="CN114" s="504">
        <v>2.7789999999999999</v>
      </c>
      <c r="CO114" s="97"/>
      <c r="CP114" s="97"/>
      <c r="CQ114" s="97">
        <v>100</v>
      </c>
      <c r="CR114" s="504">
        <v>2.7789999999999999</v>
      </c>
      <c r="CS114" s="872" t="s">
        <v>5169</v>
      </c>
      <c r="CT114" s="97" t="s">
        <v>470</v>
      </c>
      <c r="CU114" s="97"/>
      <c r="CV114" s="97"/>
      <c r="CW114" s="97"/>
      <c r="CX114" s="96"/>
      <c r="CY114" s="96"/>
      <c r="CZ114" s="96"/>
      <c r="DA114" s="97" t="s">
        <v>479</v>
      </c>
      <c r="DB114" s="97"/>
      <c r="DC114" s="96">
        <v>1562</v>
      </c>
      <c r="DD114" s="97" t="s">
        <v>479</v>
      </c>
      <c r="DE114" s="97" t="s">
        <v>5650</v>
      </c>
      <c r="DF114" s="96">
        <v>10</v>
      </c>
      <c r="DG114" s="96" t="s">
        <v>479</v>
      </c>
      <c r="DH114" s="96" t="s">
        <v>5312</v>
      </c>
      <c r="DI114" s="96">
        <v>10</v>
      </c>
      <c r="DJ114" s="96" t="s">
        <v>470</v>
      </c>
      <c r="DK114" s="96"/>
      <c r="DL114" s="96"/>
      <c r="DM114" s="97" t="s">
        <v>470</v>
      </c>
      <c r="DN114" s="97"/>
      <c r="DO114" s="96"/>
      <c r="DP114" s="97" t="s">
        <v>470</v>
      </c>
      <c r="DQ114" s="97"/>
      <c r="DR114" s="96"/>
      <c r="DS114" s="97" t="s">
        <v>470</v>
      </c>
      <c r="DT114" s="97"/>
      <c r="DU114" s="96"/>
      <c r="DV114" s="97" t="s">
        <v>470</v>
      </c>
      <c r="DW114" s="97"/>
      <c r="DX114" s="96"/>
      <c r="DY114" s="97" t="s">
        <v>470</v>
      </c>
      <c r="DZ114" s="97"/>
      <c r="EA114" s="96"/>
      <c r="EB114" s="97" t="s">
        <v>479</v>
      </c>
      <c r="EC114" s="97" t="s">
        <v>5430</v>
      </c>
      <c r="ED114" s="96">
        <v>68</v>
      </c>
      <c r="EE114" s="96" t="s">
        <v>479</v>
      </c>
      <c r="EF114" s="96" t="s">
        <v>5312</v>
      </c>
      <c r="EG114" s="96">
        <v>18</v>
      </c>
      <c r="EH114" s="97" t="s">
        <v>470</v>
      </c>
      <c r="EI114" s="97"/>
      <c r="EJ114" s="96"/>
      <c r="EK114" s="97" t="s">
        <v>470</v>
      </c>
      <c r="EL114" s="97"/>
      <c r="EM114" s="96"/>
      <c r="EN114" s="97" t="s">
        <v>479</v>
      </c>
      <c r="EO114" s="97" t="s">
        <v>5312</v>
      </c>
      <c r="EP114" s="96">
        <v>10</v>
      </c>
      <c r="EQ114" s="96" t="s">
        <v>479</v>
      </c>
      <c r="ER114" s="96" t="s">
        <v>5312</v>
      </c>
      <c r="ES114" s="96">
        <v>10</v>
      </c>
      <c r="ET114" s="97" t="s">
        <v>470</v>
      </c>
      <c r="EU114" s="97"/>
      <c r="EV114" s="96"/>
      <c r="EW114" s="96"/>
      <c r="EX114" s="96"/>
      <c r="EY114" s="96"/>
      <c r="EZ114" s="97" t="s">
        <v>470</v>
      </c>
      <c r="FA114" s="97"/>
      <c r="FB114" s="97" t="s">
        <v>5169</v>
      </c>
      <c r="FC114" s="97"/>
      <c r="FD114" s="97"/>
      <c r="FE114" s="97" t="s">
        <v>4706</v>
      </c>
      <c r="FF114" s="97"/>
      <c r="FG114" s="97" t="s">
        <v>4660</v>
      </c>
      <c r="FH114" s="97">
        <v>1</v>
      </c>
      <c r="FI114" s="97">
        <v>23</v>
      </c>
      <c r="FJ114" s="97" t="s">
        <v>4523</v>
      </c>
      <c r="FK114" s="97">
        <v>88619264226</v>
      </c>
      <c r="FL114" s="97" t="s">
        <v>3762</v>
      </c>
      <c r="FM114" s="97" t="s">
        <v>3913</v>
      </c>
      <c r="FN114" s="97">
        <v>88619264226</v>
      </c>
      <c r="FO114" s="97" t="s">
        <v>3762</v>
      </c>
    </row>
    <row r="115" spans="4:195" ht="36" customHeight="1" x14ac:dyDescent="0.2">
      <c r="E115" s="94" t="s">
        <v>9302</v>
      </c>
      <c r="F115" s="94" t="s">
        <v>9121</v>
      </c>
      <c r="G115" s="97" t="s">
        <v>326</v>
      </c>
      <c r="H115" s="97" t="s">
        <v>407</v>
      </c>
      <c r="I115" s="513" t="s">
        <v>8830</v>
      </c>
      <c r="J115" s="513" t="s">
        <v>8587</v>
      </c>
      <c r="K115" s="513" t="s">
        <v>1414</v>
      </c>
      <c r="L115" s="513" t="s">
        <v>1887</v>
      </c>
      <c r="M115" s="513" t="s">
        <v>8321</v>
      </c>
      <c r="N115" s="513" t="s">
        <v>8250</v>
      </c>
      <c r="O115" s="513"/>
      <c r="P115" s="513"/>
      <c r="Q115" s="513"/>
      <c r="R115" s="513"/>
      <c r="S115" s="513"/>
      <c r="T115" s="513"/>
      <c r="U115" s="513"/>
      <c r="V115" s="513"/>
      <c r="W115" s="513"/>
      <c r="X115" s="513"/>
      <c r="Y115" s="513"/>
      <c r="Z115" s="513" t="s">
        <v>8151</v>
      </c>
      <c r="AA115" s="513" t="s">
        <v>34</v>
      </c>
      <c r="AB115" s="513" t="s">
        <v>7869</v>
      </c>
      <c r="AC115" s="513" t="s">
        <v>34</v>
      </c>
      <c r="AD115" s="513" t="s">
        <v>7540</v>
      </c>
      <c r="AE115" s="513" t="s">
        <v>34</v>
      </c>
      <c r="AF115" s="513" t="s">
        <v>15</v>
      </c>
      <c r="AG115" s="513" t="s">
        <v>34</v>
      </c>
      <c r="AH115" s="513" t="s">
        <v>7018</v>
      </c>
      <c r="AI115" s="513" t="s">
        <v>15</v>
      </c>
      <c r="AJ115" s="513" t="s">
        <v>15</v>
      </c>
      <c r="AK115" s="513" t="s">
        <v>15</v>
      </c>
      <c r="AL115" s="580">
        <f t="shared" si="7"/>
        <v>0.7</v>
      </c>
      <c r="AM115" s="902">
        <v>0.7</v>
      </c>
      <c r="AN115" s="903"/>
      <c r="AO115" s="904"/>
      <c r="AP115" s="904"/>
      <c r="AQ115" s="97">
        <v>0.7</v>
      </c>
      <c r="AR115" s="905">
        <v>1</v>
      </c>
      <c r="AS115" s="905">
        <v>1</v>
      </c>
      <c r="AT115" s="516">
        <v>0</v>
      </c>
      <c r="AU115" s="905">
        <v>0</v>
      </c>
      <c r="AV115" s="516">
        <v>0</v>
      </c>
      <c r="AW115" s="905">
        <v>0</v>
      </c>
      <c r="AX115" s="516"/>
      <c r="AY115" s="905">
        <v>0</v>
      </c>
      <c r="AZ115" s="906"/>
      <c r="BA115" s="905"/>
      <c r="BB115" s="905"/>
      <c r="BC115" s="905"/>
      <c r="BD115" s="905"/>
      <c r="BE115" s="513" t="s">
        <v>470</v>
      </c>
      <c r="BF115" s="513" t="s">
        <v>15</v>
      </c>
      <c r="BG115" s="513" t="s">
        <v>34</v>
      </c>
      <c r="BH115" s="904" t="s">
        <v>57</v>
      </c>
      <c r="BI115" s="904" t="s">
        <v>6205</v>
      </c>
      <c r="BJ115" s="907">
        <v>0.113</v>
      </c>
      <c r="BK115" s="513">
        <v>3</v>
      </c>
      <c r="BL115" s="513">
        <v>3</v>
      </c>
      <c r="BM115" s="513">
        <v>2</v>
      </c>
      <c r="BN115" s="513" t="s">
        <v>117</v>
      </c>
      <c r="BO115" s="513">
        <v>1</v>
      </c>
      <c r="BP115" s="513" t="s">
        <v>117</v>
      </c>
      <c r="BQ115" s="513" t="s">
        <v>117</v>
      </c>
      <c r="BR115" s="513" t="s">
        <v>117</v>
      </c>
      <c r="BS115" s="513" t="s">
        <v>117</v>
      </c>
      <c r="BT115" s="513" t="s">
        <v>117</v>
      </c>
      <c r="BU115" s="513" t="s">
        <v>117</v>
      </c>
      <c r="BV115" s="513" t="s">
        <v>117</v>
      </c>
      <c r="BW115" s="513" t="s">
        <v>117</v>
      </c>
      <c r="BX115" s="513" t="s">
        <v>117</v>
      </c>
      <c r="BY115" s="513">
        <v>1</v>
      </c>
      <c r="BZ115" s="513" t="s">
        <v>117</v>
      </c>
      <c r="CA115" s="513" t="s">
        <v>117</v>
      </c>
      <c r="CB115" s="513" t="s">
        <v>117</v>
      </c>
      <c r="CC115" s="513" t="s">
        <v>117</v>
      </c>
      <c r="CD115" s="513" t="s">
        <v>117</v>
      </c>
      <c r="CE115" s="513" t="s">
        <v>117</v>
      </c>
      <c r="CF115" s="513" t="s">
        <v>117</v>
      </c>
      <c r="CG115" s="513" t="s">
        <v>117</v>
      </c>
      <c r="CH115" s="513" t="s">
        <v>117</v>
      </c>
      <c r="CI115" s="513" t="s">
        <v>117</v>
      </c>
      <c r="CJ115" s="513" t="s">
        <v>117</v>
      </c>
      <c r="CK115" s="513" t="s">
        <v>117</v>
      </c>
      <c r="CL115" s="815">
        <f t="shared" si="10"/>
        <v>2</v>
      </c>
      <c r="CM115" s="824">
        <f t="shared" si="8"/>
        <v>0</v>
      </c>
      <c r="CN115" s="904"/>
      <c r="CO115" s="513" t="s">
        <v>15</v>
      </c>
      <c r="CP115" s="513" t="s">
        <v>34</v>
      </c>
      <c r="CQ115" s="513" t="s">
        <v>5963</v>
      </c>
      <c r="CR115" s="513">
        <v>5.4</v>
      </c>
      <c r="CS115" s="513"/>
      <c r="CT115" s="513" t="s">
        <v>470</v>
      </c>
      <c r="CU115" s="513" t="s">
        <v>15</v>
      </c>
      <c r="CV115" s="872" t="s">
        <v>4854</v>
      </c>
      <c r="CW115" s="513" t="s">
        <v>15</v>
      </c>
      <c r="CX115" s="513" t="s">
        <v>117</v>
      </c>
      <c r="CY115" s="513" t="s">
        <v>117</v>
      </c>
      <c r="CZ115" s="513">
        <v>2</v>
      </c>
      <c r="DA115" s="513" t="s">
        <v>479</v>
      </c>
      <c r="DB115" s="513" t="s">
        <v>5721</v>
      </c>
      <c r="DC115" s="513" t="s">
        <v>5661</v>
      </c>
      <c r="DD115" s="513" t="s">
        <v>479</v>
      </c>
      <c r="DE115" s="872" t="s">
        <v>4854</v>
      </c>
      <c r="DF115" s="513">
        <v>184</v>
      </c>
      <c r="DG115" s="513" t="s">
        <v>5579</v>
      </c>
      <c r="DH115" s="872" t="s">
        <v>4854</v>
      </c>
      <c r="DI115" s="513">
        <v>16</v>
      </c>
      <c r="DJ115" s="513" t="s">
        <v>470</v>
      </c>
      <c r="DK115" s="513" t="s">
        <v>205</v>
      </c>
      <c r="DL115" s="513" t="s">
        <v>209</v>
      </c>
      <c r="DM115" s="513" t="s">
        <v>470</v>
      </c>
      <c r="DN115" s="513" t="s">
        <v>205</v>
      </c>
      <c r="DO115" s="513" t="s">
        <v>209</v>
      </c>
      <c r="DP115" s="513" t="s">
        <v>470</v>
      </c>
      <c r="DQ115" s="513" t="s">
        <v>205</v>
      </c>
      <c r="DR115" s="513" t="s">
        <v>209</v>
      </c>
      <c r="DS115" s="513" t="s">
        <v>470</v>
      </c>
      <c r="DT115" s="513" t="s">
        <v>205</v>
      </c>
      <c r="DU115" s="513" t="s">
        <v>209</v>
      </c>
      <c r="DV115" s="513" t="s">
        <v>222</v>
      </c>
      <c r="DW115" s="513" t="s">
        <v>205</v>
      </c>
      <c r="DX115" s="513" t="s">
        <v>209</v>
      </c>
      <c r="DY115" s="513" t="s">
        <v>470</v>
      </c>
      <c r="DZ115" s="513" t="s">
        <v>205</v>
      </c>
      <c r="EA115" s="513" t="s">
        <v>209</v>
      </c>
      <c r="EB115" s="513" t="s">
        <v>479</v>
      </c>
      <c r="EC115" s="872" t="s">
        <v>4854</v>
      </c>
      <c r="ED115" s="513">
        <v>184</v>
      </c>
      <c r="EE115" s="513" t="s">
        <v>470</v>
      </c>
      <c r="EF115" s="513" t="s">
        <v>205</v>
      </c>
      <c r="EG115" s="513" t="s">
        <v>209</v>
      </c>
      <c r="EH115" s="513" t="s">
        <v>470</v>
      </c>
      <c r="EI115" s="513"/>
      <c r="EJ115" s="513"/>
      <c r="EK115" s="513" t="s">
        <v>470</v>
      </c>
      <c r="EL115" s="513" t="s">
        <v>205</v>
      </c>
      <c r="EM115" s="513" t="s">
        <v>209</v>
      </c>
      <c r="EN115" s="513" t="s">
        <v>470</v>
      </c>
      <c r="EO115" s="513" t="s">
        <v>205</v>
      </c>
      <c r="EP115" s="513" t="s">
        <v>209</v>
      </c>
      <c r="EQ115" s="513" t="s">
        <v>470</v>
      </c>
      <c r="ER115" s="513" t="s">
        <v>205</v>
      </c>
      <c r="ES115" s="513" t="s">
        <v>209</v>
      </c>
      <c r="ET115" s="513" t="s">
        <v>222</v>
      </c>
      <c r="EU115" s="513" t="s">
        <v>205</v>
      </c>
      <c r="EV115" s="513" t="s">
        <v>209</v>
      </c>
      <c r="EW115" s="513"/>
      <c r="EX115" s="513"/>
      <c r="EY115" s="513"/>
      <c r="EZ115" s="513" t="s">
        <v>470</v>
      </c>
      <c r="FA115" s="513" t="s">
        <v>15</v>
      </c>
      <c r="FB115" s="872" t="s">
        <v>4854</v>
      </c>
      <c r="FC115" s="513" t="s">
        <v>34</v>
      </c>
      <c r="FD115" s="513" t="s">
        <v>267</v>
      </c>
      <c r="FE115" s="872" t="s">
        <v>4854</v>
      </c>
      <c r="FF115" s="513" t="s">
        <v>15</v>
      </c>
      <c r="FG115" s="513" t="s">
        <v>4659</v>
      </c>
      <c r="FH115" s="513">
        <v>2</v>
      </c>
      <c r="FI115" s="513">
        <v>12</v>
      </c>
      <c r="FJ115" s="513" t="s">
        <v>4522</v>
      </c>
      <c r="FK115" s="513" t="s">
        <v>4293</v>
      </c>
      <c r="FL115" s="513" t="s">
        <v>4108</v>
      </c>
      <c r="FM115" s="513" t="s">
        <v>15</v>
      </c>
      <c r="FN115" s="513" t="s">
        <v>286</v>
      </c>
      <c r="FO115" s="513" t="s">
        <v>289</v>
      </c>
    </row>
    <row r="116" spans="4:195" ht="28" customHeight="1" x14ac:dyDescent="0.2">
      <c r="E116" s="94" t="s">
        <v>9305</v>
      </c>
      <c r="F116" s="94" t="s">
        <v>9121</v>
      </c>
      <c r="G116" s="97" t="s">
        <v>326</v>
      </c>
      <c r="H116" s="97" t="s">
        <v>407</v>
      </c>
      <c r="I116" s="97" t="s">
        <v>8829</v>
      </c>
      <c r="J116" s="97" t="s">
        <v>8586</v>
      </c>
      <c r="K116" s="97" t="s">
        <v>5242</v>
      </c>
      <c r="L116" s="502">
        <v>2021</v>
      </c>
      <c r="M116" s="841">
        <v>44405</v>
      </c>
      <c r="N116" s="841" t="s">
        <v>8249</v>
      </c>
      <c r="O116" s="841"/>
      <c r="P116" s="841"/>
      <c r="Q116" s="841"/>
      <c r="R116" s="841"/>
      <c r="S116" s="841"/>
      <c r="T116" s="841"/>
      <c r="U116" s="841"/>
      <c r="V116" s="841"/>
      <c r="W116" s="841"/>
      <c r="X116" s="841"/>
      <c r="Y116" s="841"/>
      <c r="Z116" s="97"/>
      <c r="AA116" s="97"/>
      <c r="AB116" s="97" t="s">
        <v>7868</v>
      </c>
      <c r="AC116" s="97" t="s">
        <v>7680</v>
      </c>
      <c r="AD116" s="97" t="s">
        <v>7539</v>
      </c>
      <c r="AE116" s="97" t="s">
        <v>7334</v>
      </c>
      <c r="AF116" s="97"/>
      <c r="AG116" s="97"/>
      <c r="AH116" s="97" t="s">
        <v>7017</v>
      </c>
      <c r="AI116" s="97" t="s">
        <v>6884</v>
      </c>
      <c r="AJ116" s="97" t="s">
        <v>6734</v>
      </c>
      <c r="AK116" s="97" t="s">
        <v>6571</v>
      </c>
      <c r="AL116" s="580">
        <f t="shared" si="7"/>
        <v>0.21060000000000001</v>
      </c>
      <c r="AM116" s="504">
        <v>0.21060000000000001</v>
      </c>
      <c r="AN116" s="516"/>
      <c r="AO116" s="97"/>
      <c r="AP116" s="97"/>
      <c r="AQ116" s="504">
        <v>0.20430000000000001</v>
      </c>
      <c r="AR116" s="507">
        <v>0.97</v>
      </c>
      <c r="AS116" s="507">
        <v>4.0000000000000003E-5</v>
      </c>
      <c r="AT116" s="516">
        <v>6.3E-3</v>
      </c>
      <c r="AU116" s="507">
        <v>0.03</v>
      </c>
      <c r="AV116" s="516"/>
      <c r="AW116" s="507"/>
      <c r="AX116" s="516"/>
      <c r="AY116" s="507"/>
      <c r="AZ116" s="516"/>
      <c r="BA116" s="507"/>
      <c r="BB116" s="507"/>
      <c r="BC116" s="507"/>
      <c r="BD116" s="507"/>
      <c r="BE116" s="507" t="s">
        <v>873</v>
      </c>
      <c r="BF116" s="507" t="s">
        <v>656</v>
      </c>
      <c r="BG116" s="507" t="s">
        <v>656</v>
      </c>
      <c r="BH116" s="852" t="s">
        <v>656</v>
      </c>
      <c r="BI116" s="504">
        <v>1.3378000000000001</v>
      </c>
      <c r="BJ116" s="908">
        <v>2.5000000000000001E-4</v>
      </c>
      <c r="BK116" s="96"/>
      <c r="BL116" s="96"/>
      <c r="BM116" s="96">
        <v>1</v>
      </c>
      <c r="BN116" s="96" t="s">
        <v>656</v>
      </c>
      <c r="BO116" s="96">
        <v>1</v>
      </c>
      <c r="BP116" s="96" t="s">
        <v>656</v>
      </c>
      <c r="BQ116" s="96" t="s">
        <v>656</v>
      </c>
      <c r="BR116" s="96" t="s">
        <v>656</v>
      </c>
      <c r="BS116" s="96" t="s">
        <v>656</v>
      </c>
      <c r="BT116" s="96" t="s">
        <v>656</v>
      </c>
      <c r="BU116" s="96" t="s">
        <v>656</v>
      </c>
      <c r="BV116" s="96" t="s">
        <v>656</v>
      </c>
      <c r="BW116" s="96" t="s">
        <v>656</v>
      </c>
      <c r="BX116" s="96" t="s">
        <v>656</v>
      </c>
      <c r="BY116" s="96" t="s">
        <v>656</v>
      </c>
      <c r="BZ116" s="96" t="s">
        <v>656</v>
      </c>
      <c r="CA116" s="96" t="s">
        <v>656</v>
      </c>
      <c r="CB116" s="96" t="s">
        <v>656</v>
      </c>
      <c r="CC116" s="96" t="s">
        <v>656</v>
      </c>
      <c r="CD116" s="96" t="s">
        <v>656</v>
      </c>
      <c r="CE116" s="96" t="s">
        <v>656</v>
      </c>
      <c r="CF116" s="96" t="s">
        <v>656</v>
      </c>
      <c r="CG116" s="96" t="s">
        <v>656</v>
      </c>
      <c r="CH116" s="96" t="s">
        <v>656</v>
      </c>
      <c r="CI116" s="96" t="s">
        <v>656</v>
      </c>
      <c r="CJ116" s="96" t="s">
        <v>656</v>
      </c>
      <c r="CK116" s="96" t="s">
        <v>656</v>
      </c>
      <c r="CL116" s="815">
        <f t="shared" si="10"/>
        <v>1</v>
      </c>
      <c r="CM116" s="824">
        <f t="shared" si="8"/>
        <v>0</v>
      </c>
      <c r="CN116" s="96">
        <v>0.6</v>
      </c>
      <c r="CO116" s="97" t="s">
        <v>656</v>
      </c>
      <c r="CP116" s="97" t="s">
        <v>656</v>
      </c>
      <c r="CQ116" s="612">
        <f>CN116/CR116</f>
        <v>0.10006671114076049</v>
      </c>
      <c r="CR116" s="96">
        <v>5.9960000000000004</v>
      </c>
      <c r="CS116" s="507" t="s">
        <v>5915</v>
      </c>
      <c r="CT116" s="97" t="s">
        <v>873</v>
      </c>
      <c r="CU116" s="97" t="s">
        <v>656</v>
      </c>
      <c r="CV116" s="97" t="s">
        <v>656</v>
      </c>
      <c r="CW116" s="97" t="s">
        <v>656</v>
      </c>
      <c r="CX116" s="96" t="s">
        <v>656</v>
      </c>
      <c r="CY116" s="96" t="s">
        <v>656</v>
      </c>
      <c r="CZ116" s="96" t="s">
        <v>656</v>
      </c>
      <c r="DA116" s="97"/>
      <c r="DB116" s="97"/>
      <c r="DC116" s="96"/>
      <c r="DD116" s="97" t="s">
        <v>689</v>
      </c>
      <c r="DE116" s="97" t="s">
        <v>5268</v>
      </c>
      <c r="DF116" s="96">
        <v>30</v>
      </c>
      <c r="DG116" s="96" t="s">
        <v>656</v>
      </c>
      <c r="DH116" s="96" t="s">
        <v>656</v>
      </c>
      <c r="DI116" s="96" t="s">
        <v>656</v>
      </c>
      <c r="DJ116" s="96"/>
      <c r="DK116" s="96"/>
      <c r="DL116" s="96"/>
      <c r="DM116" s="97"/>
      <c r="DN116" s="97"/>
      <c r="DO116" s="96"/>
      <c r="DP116" s="97"/>
      <c r="DQ116" s="97"/>
      <c r="DR116" s="96"/>
      <c r="DS116" s="97"/>
      <c r="DT116" s="97"/>
      <c r="DU116" s="96"/>
      <c r="DV116" s="97" t="s">
        <v>656</v>
      </c>
      <c r="DW116" s="97" t="s">
        <v>656</v>
      </c>
      <c r="DX116" s="96" t="s">
        <v>656</v>
      </c>
      <c r="DY116" s="97" t="s">
        <v>873</v>
      </c>
      <c r="DZ116" s="97" t="s">
        <v>656</v>
      </c>
      <c r="EA116" s="96" t="s">
        <v>656</v>
      </c>
      <c r="EB116" s="97" t="s">
        <v>479</v>
      </c>
      <c r="EC116" s="97" t="s">
        <v>656</v>
      </c>
      <c r="ED116" s="96" t="s">
        <v>656</v>
      </c>
      <c r="EE116" s="96" t="s">
        <v>656</v>
      </c>
      <c r="EF116" s="96" t="s">
        <v>656</v>
      </c>
      <c r="EG116" s="96" t="s">
        <v>656</v>
      </c>
      <c r="EH116" s="97" t="s">
        <v>873</v>
      </c>
      <c r="EI116" s="97" t="s">
        <v>656</v>
      </c>
      <c r="EJ116" s="96" t="s">
        <v>656</v>
      </c>
      <c r="EK116" s="97" t="s">
        <v>656</v>
      </c>
      <c r="EL116" s="97" t="s">
        <v>656</v>
      </c>
      <c r="EM116" s="96" t="s">
        <v>656</v>
      </c>
      <c r="EN116" s="97" t="s">
        <v>656</v>
      </c>
      <c r="EO116" s="97" t="s">
        <v>656</v>
      </c>
      <c r="EP116" s="96" t="s">
        <v>656</v>
      </c>
      <c r="EQ116" s="96" t="s">
        <v>689</v>
      </c>
      <c r="ER116" s="96" t="s">
        <v>5268</v>
      </c>
      <c r="ES116" s="96">
        <v>10</v>
      </c>
      <c r="ET116" s="97" t="s">
        <v>656</v>
      </c>
      <c r="EU116" s="97" t="s">
        <v>656</v>
      </c>
      <c r="EV116" s="96" t="s">
        <v>656</v>
      </c>
      <c r="EW116" s="96"/>
      <c r="EX116" s="96"/>
      <c r="EY116" s="96"/>
      <c r="EZ116" s="97" t="s">
        <v>873</v>
      </c>
      <c r="FA116" s="97" t="s">
        <v>656</v>
      </c>
      <c r="FB116" s="97"/>
      <c r="FC116" s="97"/>
      <c r="FD116" s="97"/>
      <c r="FE116" s="97"/>
      <c r="FF116" s="97" t="s">
        <v>656</v>
      </c>
      <c r="FG116" s="97" t="s">
        <v>656</v>
      </c>
      <c r="FH116" s="97" t="s">
        <v>656</v>
      </c>
      <c r="FI116" s="97" t="s">
        <v>656</v>
      </c>
      <c r="FJ116" s="97" t="s">
        <v>4521</v>
      </c>
      <c r="FK116" s="97" t="s">
        <v>4292</v>
      </c>
      <c r="FL116" s="97"/>
      <c r="FM116" s="97" t="s">
        <v>3912</v>
      </c>
      <c r="FN116" s="97" t="s">
        <v>3833</v>
      </c>
      <c r="FO116" s="97"/>
    </row>
    <row r="117" spans="4:195" ht="21" customHeight="1" x14ac:dyDescent="0.2">
      <c r="D117" s="93" t="s">
        <v>9311</v>
      </c>
      <c r="E117" s="94" t="s">
        <v>9305</v>
      </c>
      <c r="F117" s="94" t="s">
        <v>9121</v>
      </c>
      <c r="G117" s="97" t="s">
        <v>326</v>
      </c>
      <c r="H117" s="97" t="s">
        <v>407</v>
      </c>
      <c r="I117" s="97" t="s">
        <v>8828</v>
      </c>
      <c r="J117" s="97" t="s">
        <v>1414</v>
      </c>
      <c r="K117" s="97" t="s">
        <v>1414</v>
      </c>
      <c r="L117" s="502">
        <v>2020</v>
      </c>
      <c r="M117" s="841" t="s">
        <v>2160</v>
      </c>
      <c r="N117" s="841" t="s">
        <v>8248</v>
      </c>
      <c r="O117" s="841"/>
      <c r="P117" s="841"/>
      <c r="Q117" s="841"/>
      <c r="R117" s="841"/>
      <c r="S117" s="841"/>
      <c r="T117" s="841"/>
      <c r="U117" s="841"/>
      <c r="V117" s="841"/>
      <c r="W117" s="841"/>
      <c r="X117" s="841"/>
      <c r="Y117" s="841"/>
      <c r="Z117" s="97"/>
      <c r="AA117" s="97"/>
      <c r="AB117" s="97" t="s">
        <v>7867</v>
      </c>
      <c r="AC117" s="872" t="s">
        <v>5168</v>
      </c>
      <c r="AD117" s="97"/>
      <c r="AE117" s="97"/>
      <c r="AF117" s="97"/>
      <c r="AG117" s="97"/>
      <c r="AH117" s="97" t="s">
        <v>6570</v>
      </c>
      <c r="AI117" s="97" t="s">
        <v>6570</v>
      </c>
      <c r="AJ117" s="97" t="s">
        <v>1714</v>
      </c>
      <c r="AK117" s="97" t="s">
        <v>6570</v>
      </c>
      <c r="AL117" s="580">
        <f t="shared" si="7"/>
        <v>2.9302540000000001</v>
      </c>
      <c r="AM117" s="504">
        <v>2.9302540000000001</v>
      </c>
      <c r="AN117" s="516"/>
      <c r="AO117" s="97"/>
      <c r="AP117" s="97"/>
      <c r="AQ117" s="504">
        <v>2.859</v>
      </c>
      <c r="AR117" s="507">
        <v>1</v>
      </c>
      <c r="AS117" s="507">
        <v>6.0699999999999997E-2</v>
      </c>
      <c r="AT117" s="516"/>
      <c r="AU117" s="507"/>
      <c r="AV117" s="516">
        <v>5.1999999999999998E-2</v>
      </c>
      <c r="AW117" s="507">
        <v>1.7999999999999999E-2</v>
      </c>
      <c r="AX117" s="516">
        <v>1.9254E-2</v>
      </c>
      <c r="AY117" s="507">
        <v>6.4799999999999996E-3</v>
      </c>
      <c r="AZ117" s="516"/>
      <c r="BA117" s="507"/>
      <c r="BB117" s="507"/>
      <c r="BC117" s="507"/>
      <c r="BD117" s="507"/>
      <c r="BE117" s="507" t="s">
        <v>479</v>
      </c>
      <c r="BF117" s="507" t="s">
        <v>6328</v>
      </c>
      <c r="BG117" s="507"/>
      <c r="BH117" s="852"/>
      <c r="BI117" s="504">
        <v>3.7309999999999999</v>
      </c>
      <c r="BJ117" s="507">
        <v>8.8700000000000001E-2</v>
      </c>
      <c r="BK117" s="96">
        <v>5</v>
      </c>
      <c r="BL117" s="96">
        <v>5</v>
      </c>
      <c r="BM117" s="96">
        <v>4</v>
      </c>
      <c r="BN117" s="96"/>
      <c r="BO117" s="96"/>
      <c r="BP117" s="96"/>
      <c r="BQ117" s="96"/>
      <c r="BR117" s="96"/>
      <c r="BS117" s="96"/>
      <c r="BT117" s="96"/>
      <c r="BU117" s="96"/>
      <c r="BV117" s="96"/>
      <c r="BW117" s="96"/>
      <c r="BX117" s="96"/>
      <c r="BY117" s="96">
        <v>1</v>
      </c>
      <c r="BZ117" s="96"/>
      <c r="CA117" s="96"/>
      <c r="CB117" s="96"/>
      <c r="CC117" s="96"/>
      <c r="CD117" s="96"/>
      <c r="CE117" s="96"/>
      <c r="CF117" s="96"/>
      <c r="CG117" s="96"/>
      <c r="CH117" s="96"/>
      <c r="CI117" s="96"/>
      <c r="CJ117" s="96"/>
      <c r="CK117" s="96">
        <v>3</v>
      </c>
      <c r="CL117" s="815">
        <f t="shared" si="10"/>
        <v>4</v>
      </c>
      <c r="CM117" s="824">
        <f t="shared" si="8"/>
        <v>0</v>
      </c>
      <c r="CN117" s="504">
        <v>4.9409999999999998</v>
      </c>
      <c r="CO117" s="97"/>
      <c r="CP117" s="97"/>
      <c r="CQ117" s="97">
        <v>100</v>
      </c>
      <c r="CR117" s="504"/>
      <c r="CS117" s="507"/>
      <c r="CT117" s="97" t="s">
        <v>470</v>
      </c>
      <c r="CU117" s="97"/>
      <c r="CV117" s="97"/>
      <c r="CW117" s="97"/>
      <c r="CX117" s="96"/>
      <c r="CY117" s="96"/>
      <c r="CZ117" s="96"/>
      <c r="DA117" s="97" t="s">
        <v>479</v>
      </c>
      <c r="DB117" s="97" t="s">
        <v>1876</v>
      </c>
      <c r="DC117" s="96">
        <v>3133</v>
      </c>
      <c r="DD117" s="97" t="s">
        <v>479</v>
      </c>
      <c r="DE117" s="97" t="s">
        <v>1243</v>
      </c>
      <c r="DF117" s="96">
        <v>53</v>
      </c>
      <c r="DG117" s="96" t="s">
        <v>479</v>
      </c>
      <c r="DH117" s="96" t="s">
        <v>5572</v>
      </c>
      <c r="DI117" s="96"/>
      <c r="DJ117" s="96"/>
      <c r="DK117" s="96"/>
      <c r="DL117" s="96"/>
      <c r="DM117" s="97"/>
      <c r="DN117" s="97"/>
      <c r="DO117" s="96"/>
      <c r="DP117" s="97"/>
      <c r="DQ117" s="97"/>
      <c r="DR117" s="96"/>
      <c r="DS117" s="97"/>
      <c r="DT117" s="97"/>
      <c r="DU117" s="96"/>
      <c r="DV117" s="97"/>
      <c r="DW117" s="97"/>
      <c r="DX117" s="96"/>
      <c r="DY117" s="97"/>
      <c r="DZ117" s="97"/>
      <c r="EA117" s="96"/>
      <c r="EB117" s="97" t="s">
        <v>479</v>
      </c>
      <c r="EC117" s="97" t="s">
        <v>5429</v>
      </c>
      <c r="ED117" s="96">
        <v>128</v>
      </c>
      <c r="EE117" s="96"/>
      <c r="EF117" s="96"/>
      <c r="EG117" s="96"/>
      <c r="EH117" s="97"/>
      <c r="EI117" s="97"/>
      <c r="EJ117" s="96"/>
      <c r="EK117" s="97"/>
      <c r="EL117" s="97"/>
      <c r="EM117" s="96"/>
      <c r="EN117" s="97"/>
      <c r="EO117" s="97"/>
      <c r="EP117" s="96"/>
      <c r="EQ117" s="96"/>
      <c r="ER117" s="96"/>
      <c r="ES117" s="96"/>
      <c r="ET117" s="97"/>
      <c r="EU117" s="97"/>
      <c r="EV117" s="96"/>
      <c r="EW117" s="96"/>
      <c r="EX117" s="96"/>
      <c r="EY117" s="96"/>
      <c r="EZ117" s="97"/>
      <c r="FA117" s="97"/>
      <c r="FB117" s="872" t="s">
        <v>5168</v>
      </c>
      <c r="FC117" s="97"/>
      <c r="FD117" s="97"/>
      <c r="FE117" s="97" t="s">
        <v>4853</v>
      </c>
      <c r="FF117" s="97"/>
      <c r="FG117" s="97"/>
      <c r="FH117" s="97"/>
      <c r="FI117" s="97"/>
      <c r="FJ117" s="97" t="s">
        <v>3911</v>
      </c>
      <c r="FK117" s="97" t="s">
        <v>3832</v>
      </c>
      <c r="FL117" s="872" t="s">
        <v>3761</v>
      </c>
      <c r="FM117" s="97" t="s">
        <v>3911</v>
      </c>
      <c r="FN117" s="97" t="s">
        <v>3832</v>
      </c>
      <c r="FO117" s="872" t="s">
        <v>3761</v>
      </c>
    </row>
    <row r="118" spans="4:195" ht="28" customHeight="1" x14ac:dyDescent="0.2">
      <c r="E118" s="94" t="s">
        <v>9309</v>
      </c>
      <c r="F118" s="94" t="s">
        <v>9121</v>
      </c>
      <c r="G118" s="97" t="s">
        <v>326</v>
      </c>
      <c r="H118" s="97" t="s">
        <v>407</v>
      </c>
      <c r="I118" s="198" t="s">
        <v>8827</v>
      </c>
      <c r="J118" s="198" t="s">
        <v>8585</v>
      </c>
      <c r="K118" s="198" t="s">
        <v>5242</v>
      </c>
      <c r="L118" s="578">
        <v>2022</v>
      </c>
      <c r="M118" s="822">
        <v>44845</v>
      </c>
      <c r="N118" s="822">
        <v>44890</v>
      </c>
      <c r="O118" s="822"/>
      <c r="P118" s="822"/>
      <c r="Q118" s="822"/>
      <c r="R118" s="822"/>
      <c r="S118" s="822"/>
      <c r="T118" s="822"/>
      <c r="U118" s="822"/>
      <c r="V118" s="822"/>
      <c r="W118" s="822"/>
      <c r="X118" s="822"/>
      <c r="Y118" s="822"/>
      <c r="Z118" s="198" t="s">
        <v>8150</v>
      </c>
      <c r="AA118" s="198" t="s">
        <v>7988</v>
      </c>
      <c r="AB118" s="198"/>
      <c r="AC118" s="198"/>
      <c r="AD118" s="198" t="s">
        <v>7538</v>
      </c>
      <c r="AE118" s="198"/>
      <c r="AF118" s="198"/>
      <c r="AG118" s="198"/>
      <c r="AH118" s="198" t="s">
        <v>6883</v>
      </c>
      <c r="AI118" s="198" t="s">
        <v>6883</v>
      </c>
      <c r="AJ118" s="198"/>
      <c r="AK118" s="198" t="s">
        <v>6569</v>
      </c>
      <c r="AL118" s="580">
        <f t="shared" si="7"/>
        <v>0.18</v>
      </c>
      <c r="AM118" s="580">
        <v>0.18</v>
      </c>
      <c r="AN118" s="580"/>
      <c r="AO118" s="580"/>
      <c r="AP118" s="580"/>
      <c r="AQ118" s="580">
        <v>0.18</v>
      </c>
      <c r="AR118" s="137">
        <v>1</v>
      </c>
      <c r="AS118" s="137">
        <v>7.0000000000000001E-3</v>
      </c>
      <c r="AT118" s="580">
        <v>0</v>
      </c>
      <c r="AU118" s="137">
        <v>0</v>
      </c>
      <c r="AV118" s="580">
        <v>0</v>
      </c>
      <c r="AW118" s="137">
        <v>0</v>
      </c>
      <c r="AX118" s="137">
        <v>0</v>
      </c>
      <c r="AY118" s="137">
        <v>0</v>
      </c>
      <c r="AZ118" s="137"/>
      <c r="BA118" s="137"/>
      <c r="BB118" s="137"/>
      <c r="BC118" s="137"/>
      <c r="BD118" s="137"/>
      <c r="BE118" s="507" t="s">
        <v>470</v>
      </c>
      <c r="BF118" s="137"/>
      <c r="BG118" s="137"/>
      <c r="BH118" s="823">
        <v>0</v>
      </c>
      <c r="BI118" s="580">
        <v>0.2</v>
      </c>
      <c r="BJ118" s="137">
        <v>1.04E-2</v>
      </c>
      <c r="BK118" s="83">
        <v>2</v>
      </c>
      <c r="BL118" s="83">
        <v>2</v>
      </c>
      <c r="BM118" s="83">
        <v>2</v>
      </c>
      <c r="BN118" s="83">
        <v>0</v>
      </c>
      <c r="BO118" s="83">
        <v>1</v>
      </c>
      <c r="BP118" s="83">
        <v>1</v>
      </c>
      <c r="BQ118" s="83">
        <v>0</v>
      </c>
      <c r="BR118" s="83">
        <v>0</v>
      </c>
      <c r="BS118" s="83">
        <v>0</v>
      </c>
      <c r="BT118" s="83">
        <v>0</v>
      </c>
      <c r="BU118" s="83">
        <v>0</v>
      </c>
      <c r="BV118" s="83">
        <v>0</v>
      </c>
      <c r="BW118" s="83">
        <v>0</v>
      </c>
      <c r="BX118" s="83">
        <v>0</v>
      </c>
      <c r="BY118" s="83">
        <v>0</v>
      </c>
      <c r="BZ118" s="83">
        <v>0</v>
      </c>
      <c r="CA118" s="83">
        <v>0</v>
      </c>
      <c r="CB118" s="83">
        <v>0</v>
      </c>
      <c r="CC118" s="83">
        <v>0</v>
      </c>
      <c r="CD118" s="83">
        <v>0</v>
      </c>
      <c r="CE118" s="83">
        <v>0</v>
      </c>
      <c r="CF118" s="83">
        <v>0</v>
      </c>
      <c r="CG118" s="83">
        <v>0</v>
      </c>
      <c r="CH118" s="83">
        <v>0</v>
      </c>
      <c r="CI118" s="83">
        <v>0</v>
      </c>
      <c r="CJ118" s="83">
        <v>0</v>
      </c>
      <c r="CK118" s="83">
        <v>0</v>
      </c>
      <c r="CL118" s="857">
        <f>SUM(BN118:CK118)</f>
        <v>2</v>
      </c>
      <c r="CM118" s="824">
        <f t="shared" si="8"/>
        <v>0</v>
      </c>
      <c r="CN118" s="580">
        <v>0.2</v>
      </c>
      <c r="CO118" s="198" t="s">
        <v>5999</v>
      </c>
      <c r="CP118" s="198" t="s">
        <v>5999</v>
      </c>
      <c r="CQ118" s="198">
        <v>4.8</v>
      </c>
      <c r="CR118" s="580">
        <v>4209</v>
      </c>
      <c r="CS118" s="909" t="s">
        <v>5914</v>
      </c>
      <c r="CT118" s="198" t="s">
        <v>470</v>
      </c>
      <c r="CU118" s="198"/>
      <c r="CV118" s="198"/>
      <c r="CW118" s="198"/>
      <c r="CX118" s="83"/>
      <c r="CY118" s="83"/>
      <c r="CZ118" s="83"/>
      <c r="DA118" s="198" t="s">
        <v>479</v>
      </c>
      <c r="DB118" s="198" t="s">
        <v>5720</v>
      </c>
      <c r="DC118" s="83">
        <v>57</v>
      </c>
      <c r="DD118" s="198"/>
      <c r="DE118" s="198"/>
      <c r="DF118" s="83"/>
      <c r="DG118" s="83"/>
      <c r="DH118" s="83"/>
      <c r="DI118" s="83"/>
      <c r="DJ118" s="83"/>
      <c r="DK118" s="83"/>
      <c r="DL118" s="83"/>
      <c r="DM118" s="198"/>
      <c r="DN118" s="198"/>
      <c r="DO118" s="83"/>
      <c r="DP118" s="198"/>
      <c r="DQ118" s="198"/>
      <c r="DR118" s="83"/>
      <c r="DS118" s="198"/>
      <c r="DT118" s="198"/>
      <c r="DU118" s="83"/>
      <c r="DV118" s="198"/>
      <c r="DW118" s="198"/>
      <c r="DX118" s="83"/>
      <c r="DY118" s="198"/>
      <c r="DZ118" s="198"/>
      <c r="EA118" s="83"/>
      <c r="EB118" s="198" t="s">
        <v>689</v>
      </c>
      <c r="EC118" s="198" t="s">
        <v>640</v>
      </c>
      <c r="ED118" s="83">
        <v>34</v>
      </c>
      <c r="EE118" s="83"/>
      <c r="EF118" s="83"/>
      <c r="EG118" s="83"/>
      <c r="EH118" s="198"/>
      <c r="EI118" s="198"/>
      <c r="EJ118" s="83"/>
      <c r="EK118" s="198"/>
      <c r="EL118" s="198"/>
      <c r="EM118" s="83"/>
      <c r="EN118" s="198"/>
      <c r="EO118" s="198"/>
      <c r="EP118" s="83"/>
      <c r="EQ118" s="83"/>
      <c r="ER118" s="83"/>
      <c r="ES118" s="83"/>
      <c r="ET118" s="198"/>
      <c r="EU118" s="198"/>
      <c r="EV118" s="83"/>
      <c r="EW118" s="83"/>
      <c r="EX118" s="83"/>
      <c r="EY118" s="83"/>
      <c r="EZ118" s="97" t="s">
        <v>470</v>
      </c>
      <c r="FA118" s="198"/>
      <c r="FB118" s="198" t="s">
        <v>5167</v>
      </c>
      <c r="FC118" s="198"/>
      <c r="FD118" s="198"/>
      <c r="FE118" s="198"/>
      <c r="FF118" s="198"/>
      <c r="FG118" s="198"/>
      <c r="FH118" s="198"/>
      <c r="FI118" s="198"/>
      <c r="FJ118" s="198" t="s">
        <v>4520</v>
      </c>
      <c r="FK118" s="198" t="s">
        <v>4291</v>
      </c>
      <c r="FL118" s="910" t="s">
        <v>3760</v>
      </c>
      <c r="FM118" s="198" t="s">
        <v>3910</v>
      </c>
      <c r="FN118" s="198" t="s">
        <v>3831</v>
      </c>
      <c r="FO118" s="910" t="s">
        <v>3760</v>
      </c>
      <c r="FP118" s="96"/>
      <c r="FQ118" s="96"/>
      <c r="FR118" s="97"/>
      <c r="FS118" s="97"/>
      <c r="FT118" s="96"/>
      <c r="FU118" s="96"/>
      <c r="FV118" s="96"/>
      <c r="FW118" s="96"/>
      <c r="FX118" s="97"/>
      <c r="FY118" s="97"/>
      <c r="FZ118" s="97"/>
      <c r="GA118" s="97"/>
      <c r="GB118" s="97"/>
      <c r="GC118" s="97"/>
      <c r="GD118" s="97"/>
      <c r="GE118" s="97"/>
      <c r="GF118" s="97"/>
      <c r="GG118" s="97"/>
      <c r="GH118" s="97"/>
      <c r="GI118" s="97"/>
      <c r="GJ118" s="872"/>
      <c r="GK118" s="97"/>
      <c r="GL118" s="97"/>
      <c r="GM118" s="872"/>
    </row>
    <row r="119" spans="4:195" ht="36" customHeight="1" x14ac:dyDescent="0.2">
      <c r="D119" s="93" t="s">
        <v>9317</v>
      </c>
      <c r="E119" s="94" t="s">
        <v>9305</v>
      </c>
      <c r="F119" s="94" t="s">
        <v>9121</v>
      </c>
      <c r="G119" s="97" t="s">
        <v>326</v>
      </c>
      <c r="H119" s="97" t="s">
        <v>407</v>
      </c>
      <c r="I119" s="97" t="s">
        <v>8826</v>
      </c>
      <c r="J119" s="97" t="s">
        <v>8584</v>
      </c>
      <c r="K119" s="97" t="s">
        <v>8427</v>
      </c>
      <c r="L119" s="502">
        <v>2022</v>
      </c>
      <c r="M119" s="841">
        <v>44774</v>
      </c>
      <c r="N119" s="841">
        <v>45261</v>
      </c>
      <c r="O119" s="841"/>
      <c r="P119" s="841"/>
      <c r="Q119" s="841"/>
      <c r="R119" s="841"/>
      <c r="S119" s="841"/>
      <c r="T119" s="841"/>
      <c r="U119" s="841"/>
      <c r="V119" s="841"/>
      <c r="W119" s="841"/>
      <c r="X119" s="841"/>
      <c r="Y119" s="841"/>
      <c r="Z119" s="97"/>
      <c r="AA119" s="97"/>
      <c r="AB119" s="97" t="s">
        <v>7866</v>
      </c>
      <c r="AC119" s="97"/>
      <c r="AD119" s="97" t="s">
        <v>7537</v>
      </c>
      <c r="AE119" s="97"/>
      <c r="AF119" s="97"/>
      <c r="AG119" s="97"/>
      <c r="AH119" s="97" t="s">
        <v>7016</v>
      </c>
      <c r="AI119" s="97" t="s">
        <v>6882</v>
      </c>
      <c r="AJ119" s="97" t="s">
        <v>6733</v>
      </c>
      <c r="AK119" s="97"/>
      <c r="AL119" s="580">
        <f t="shared" si="7"/>
        <v>3.6999999999999998E-2</v>
      </c>
      <c r="AM119" s="504">
        <v>3.6999999999999998E-2</v>
      </c>
      <c r="AN119" s="516"/>
      <c r="AO119" s="97"/>
      <c r="AP119" s="97"/>
      <c r="AQ119" s="504">
        <v>3.6999999999999998E-2</v>
      </c>
      <c r="AR119" s="507">
        <v>0.05</v>
      </c>
      <c r="AS119" s="507">
        <v>0.05</v>
      </c>
      <c r="AT119" s="516">
        <v>0</v>
      </c>
      <c r="AU119" s="507">
        <v>0</v>
      </c>
      <c r="AV119" s="516">
        <v>0</v>
      </c>
      <c r="AW119" s="507">
        <v>0</v>
      </c>
      <c r="AX119" s="516"/>
      <c r="AY119" s="507">
        <v>0</v>
      </c>
      <c r="AZ119" s="516"/>
      <c r="BA119" s="507"/>
      <c r="BB119" s="507"/>
      <c r="BC119" s="507"/>
      <c r="BD119" s="507"/>
      <c r="BE119" s="507" t="s">
        <v>470</v>
      </c>
      <c r="BF119" s="507"/>
      <c r="BG119" s="507"/>
      <c r="BH119" s="852"/>
      <c r="BI119" s="504">
        <v>0.4</v>
      </c>
      <c r="BJ119" s="507">
        <v>0.04</v>
      </c>
      <c r="BK119" s="96">
        <v>3</v>
      </c>
      <c r="BL119" s="96">
        <v>3</v>
      </c>
      <c r="BM119" s="96">
        <v>1</v>
      </c>
      <c r="BN119" s="96"/>
      <c r="BO119" s="96"/>
      <c r="BP119" s="96">
        <v>1</v>
      </c>
      <c r="BQ119" s="96"/>
      <c r="BR119" s="96"/>
      <c r="BS119" s="96"/>
      <c r="BT119" s="96"/>
      <c r="BU119" s="96"/>
      <c r="BV119" s="96">
        <v>1</v>
      </c>
      <c r="BW119" s="96"/>
      <c r="BX119" s="96"/>
      <c r="BY119" s="96"/>
      <c r="BZ119" s="96"/>
      <c r="CA119" s="96"/>
      <c r="CB119" s="96"/>
      <c r="CC119" s="96"/>
      <c r="CD119" s="96"/>
      <c r="CE119" s="96"/>
      <c r="CF119" s="96"/>
      <c r="CG119" s="96"/>
      <c r="CH119" s="96"/>
      <c r="CI119" s="96"/>
      <c r="CJ119" s="96"/>
      <c r="CK119" s="96"/>
      <c r="CL119" s="815">
        <f t="shared" ref="CL119:CL136" si="11">SUM(BN119:CK119)</f>
        <v>2</v>
      </c>
      <c r="CM119" s="824">
        <f t="shared" si="8"/>
        <v>0</v>
      </c>
      <c r="CN119" s="504">
        <v>0.5</v>
      </c>
      <c r="CO119" s="97" t="s">
        <v>6148</v>
      </c>
      <c r="CP119" s="97"/>
      <c r="CQ119" s="97">
        <v>10</v>
      </c>
      <c r="CR119" s="504">
        <v>5</v>
      </c>
      <c r="CS119" s="507"/>
      <c r="CT119" s="97" t="s">
        <v>470</v>
      </c>
      <c r="CU119" s="97"/>
      <c r="CV119" s="97"/>
      <c r="CW119" s="97"/>
      <c r="CX119" s="96"/>
      <c r="CY119" s="96"/>
      <c r="CZ119" s="96">
        <v>4</v>
      </c>
      <c r="DA119" s="97" t="s">
        <v>470</v>
      </c>
      <c r="DB119" s="97"/>
      <c r="DC119" s="96"/>
      <c r="DD119" s="97" t="s">
        <v>479</v>
      </c>
      <c r="DE119" s="97" t="s">
        <v>5427</v>
      </c>
      <c r="DF119" s="96">
        <v>30</v>
      </c>
      <c r="DG119" s="96" t="s">
        <v>470</v>
      </c>
      <c r="DH119" s="96"/>
      <c r="DI119" s="96"/>
      <c r="DJ119" s="96" t="s">
        <v>470</v>
      </c>
      <c r="DK119" s="96"/>
      <c r="DL119" s="96"/>
      <c r="DM119" s="97" t="s">
        <v>470</v>
      </c>
      <c r="DN119" s="97"/>
      <c r="DO119" s="96"/>
      <c r="DP119" s="97" t="s">
        <v>470</v>
      </c>
      <c r="DQ119" s="97"/>
      <c r="DR119" s="96"/>
      <c r="DS119" s="97" t="s">
        <v>470</v>
      </c>
      <c r="DT119" s="97"/>
      <c r="DU119" s="96"/>
      <c r="DV119" s="97"/>
      <c r="DW119" s="97"/>
      <c r="DX119" s="96"/>
      <c r="DY119" s="97" t="s">
        <v>470</v>
      </c>
      <c r="DZ119" s="97"/>
      <c r="EA119" s="96"/>
      <c r="EB119" s="97" t="s">
        <v>479</v>
      </c>
      <c r="EC119" s="97" t="s">
        <v>5427</v>
      </c>
      <c r="ED119" s="96">
        <v>30</v>
      </c>
      <c r="EE119" s="96" t="s">
        <v>470</v>
      </c>
      <c r="EF119" s="96"/>
      <c r="EG119" s="96"/>
      <c r="EH119" s="97" t="s">
        <v>470</v>
      </c>
      <c r="EI119" s="97"/>
      <c r="EJ119" s="96"/>
      <c r="EK119" s="97" t="s">
        <v>470</v>
      </c>
      <c r="EL119" s="97"/>
      <c r="EM119" s="96"/>
      <c r="EN119" s="97" t="s">
        <v>470</v>
      </c>
      <c r="EO119" s="97"/>
      <c r="EP119" s="96"/>
      <c r="EQ119" s="96" t="s">
        <v>470</v>
      </c>
      <c r="ER119" s="96"/>
      <c r="ES119" s="96"/>
      <c r="ET119" s="97"/>
      <c r="EU119" s="97"/>
      <c r="EV119" s="96"/>
      <c r="EW119" s="96"/>
      <c r="EX119" s="96"/>
      <c r="EY119" s="96"/>
      <c r="EZ119" s="97" t="s">
        <v>470</v>
      </c>
      <c r="FA119" s="97"/>
      <c r="FB119" s="97" t="s">
        <v>5166</v>
      </c>
      <c r="FC119" s="97"/>
      <c r="FD119" s="97"/>
      <c r="FE119" s="97" t="s">
        <v>4852</v>
      </c>
      <c r="FF119" s="97"/>
      <c r="FG119" s="97"/>
      <c r="FH119" s="97"/>
      <c r="FI119" s="97"/>
      <c r="FJ119" s="97" t="s">
        <v>4519</v>
      </c>
      <c r="FK119" s="97" t="s">
        <v>4290</v>
      </c>
      <c r="FL119" s="842" t="s">
        <v>3759</v>
      </c>
      <c r="FM119" s="97" t="s">
        <v>3909</v>
      </c>
      <c r="FN119" s="97" t="s">
        <v>3830</v>
      </c>
      <c r="FO119" s="97" t="s">
        <v>3759</v>
      </c>
    </row>
    <row r="120" spans="4:195" ht="42" customHeight="1" x14ac:dyDescent="0.2">
      <c r="E120" s="94" t="s">
        <v>9305</v>
      </c>
      <c r="F120" s="94" t="s">
        <v>9121</v>
      </c>
      <c r="G120" s="97" t="s">
        <v>326</v>
      </c>
      <c r="H120" s="97" t="s">
        <v>407</v>
      </c>
      <c r="I120" s="97" t="s">
        <v>8825</v>
      </c>
      <c r="J120" s="97" t="s">
        <v>910</v>
      </c>
      <c r="K120" s="97" t="s">
        <v>910</v>
      </c>
      <c r="L120" s="502">
        <v>2021</v>
      </c>
      <c r="M120" s="841">
        <v>44594</v>
      </c>
      <c r="N120" s="841"/>
      <c r="O120" s="841"/>
      <c r="P120" s="841"/>
      <c r="Q120" s="841"/>
      <c r="R120" s="841"/>
      <c r="S120" s="841"/>
      <c r="T120" s="841"/>
      <c r="U120" s="841"/>
      <c r="V120" s="841"/>
      <c r="W120" s="841"/>
      <c r="X120" s="841"/>
      <c r="Y120" s="841"/>
      <c r="Z120" s="97"/>
      <c r="AA120" s="97"/>
      <c r="AB120" s="97" t="s">
        <v>7865</v>
      </c>
      <c r="AC120" s="97"/>
      <c r="AD120" s="97"/>
      <c r="AE120" s="97"/>
      <c r="AF120" s="97"/>
      <c r="AG120" s="97"/>
      <c r="AH120" s="97" t="s">
        <v>6568</v>
      </c>
      <c r="AI120" s="97" t="s">
        <v>6568</v>
      </c>
      <c r="AJ120" s="97"/>
      <c r="AK120" s="97" t="s">
        <v>6568</v>
      </c>
      <c r="AL120" s="580">
        <f t="shared" si="7"/>
        <v>5.4196790000000002E-2</v>
      </c>
      <c r="AM120" s="504">
        <v>5.4196790000000002E-2</v>
      </c>
      <c r="AN120" s="516"/>
      <c r="AO120" s="97"/>
      <c r="AP120" s="97"/>
      <c r="AQ120" s="504">
        <f>54196.79/1000000</f>
        <v>5.4196790000000002E-2</v>
      </c>
      <c r="AR120" s="507">
        <v>1</v>
      </c>
      <c r="AS120" s="507">
        <f>54196.79*100/43453802.36</f>
        <v>0.1247227792656624</v>
      </c>
      <c r="AT120" s="516">
        <v>0</v>
      </c>
      <c r="AU120" s="507"/>
      <c r="AV120" s="516">
        <v>0</v>
      </c>
      <c r="AW120" s="507"/>
      <c r="AX120" s="516"/>
      <c r="AY120" s="507"/>
      <c r="AZ120" s="516"/>
      <c r="BA120" s="507"/>
      <c r="BB120" s="507"/>
      <c r="BC120" s="507"/>
      <c r="BD120" s="507"/>
      <c r="BE120" s="507" t="s">
        <v>470</v>
      </c>
      <c r="BF120" s="507"/>
      <c r="BG120" s="507"/>
      <c r="BH120" s="852"/>
      <c r="BI120" s="504"/>
      <c r="BJ120" s="507"/>
      <c r="BK120" s="96"/>
      <c r="BL120" s="96"/>
      <c r="BM120" s="96"/>
      <c r="BN120" s="96">
        <v>0</v>
      </c>
      <c r="BO120" s="96">
        <v>0</v>
      </c>
      <c r="BP120" s="96">
        <v>1</v>
      </c>
      <c r="BQ120" s="96">
        <v>0</v>
      </c>
      <c r="BR120" s="96">
        <v>0</v>
      </c>
      <c r="BS120" s="96">
        <v>0</v>
      </c>
      <c r="BT120" s="96">
        <v>0</v>
      </c>
      <c r="BU120" s="96">
        <v>0</v>
      </c>
      <c r="BV120" s="96">
        <v>0</v>
      </c>
      <c r="BW120" s="96">
        <v>0</v>
      </c>
      <c r="BX120" s="96">
        <v>0</v>
      </c>
      <c r="BY120" s="96">
        <v>0</v>
      </c>
      <c r="BZ120" s="96">
        <v>0</v>
      </c>
      <c r="CA120" s="96">
        <v>0</v>
      </c>
      <c r="CB120" s="96">
        <v>0</v>
      </c>
      <c r="CC120" s="96">
        <v>0</v>
      </c>
      <c r="CD120" s="96">
        <v>0</v>
      </c>
      <c r="CE120" s="96">
        <v>0</v>
      </c>
      <c r="CF120" s="96">
        <v>0</v>
      </c>
      <c r="CG120" s="96">
        <v>0</v>
      </c>
      <c r="CH120" s="96">
        <v>0</v>
      </c>
      <c r="CI120" s="96">
        <v>0</v>
      </c>
      <c r="CJ120" s="96">
        <v>0</v>
      </c>
      <c r="CK120" s="96">
        <v>0</v>
      </c>
      <c r="CL120" s="815">
        <f t="shared" si="11"/>
        <v>1</v>
      </c>
      <c r="CM120" s="824">
        <f t="shared" si="8"/>
        <v>0</v>
      </c>
      <c r="CN120" s="504">
        <v>0.1</v>
      </c>
      <c r="CO120" s="97"/>
      <c r="CP120" s="97"/>
      <c r="CQ120" s="97"/>
      <c r="CR120" s="504">
        <v>7.7930000000000001</v>
      </c>
      <c r="CS120" s="507"/>
      <c r="CT120" s="97"/>
      <c r="CU120" s="97"/>
      <c r="CV120" s="97"/>
      <c r="CW120" s="97"/>
      <c r="CX120" s="96"/>
      <c r="CY120" s="96"/>
      <c r="CZ120" s="96"/>
      <c r="DA120" s="97" t="s">
        <v>479</v>
      </c>
      <c r="DB120" s="97" t="s">
        <v>5687</v>
      </c>
      <c r="DC120" s="96">
        <v>95</v>
      </c>
      <c r="DD120" s="97" t="s">
        <v>479</v>
      </c>
      <c r="DE120" s="97" t="s">
        <v>2533</v>
      </c>
      <c r="DF120" s="96">
        <v>26</v>
      </c>
      <c r="DG120" s="96" t="s">
        <v>470</v>
      </c>
      <c r="DH120" s="96"/>
      <c r="DI120" s="96"/>
      <c r="DJ120" s="96" t="s">
        <v>470</v>
      </c>
      <c r="DK120" s="96"/>
      <c r="DL120" s="96"/>
      <c r="DM120" s="97" t="s">
        <v>470</v>
      </c>
      <c r="DN120" s="97"/>
      <c r="DO120" s="96"/>
      <c r="DP120" s="97" t="s">
        <v>470</v>
      </c>
      <c r="DQ120" s="97"/>
      <c r="DR120" s="96"/>
      <c r="DS120" s="97" t="s">
        <v>470</v>
      </c>
      <c r="DT120" s="97"/>
      <c r="DU120" s="96"/>
      <c r="DV120" s="97"/>
      <c r="DW120" s="97"/>
      <c r="DX120" s="96"/>
      <c r="DY120" s="97" t="s">
        <v>470</v>
      </c>
      <c r="DZ120" s="97"/>
      <c r="EA120" s="96"/>
      <c r="EB120" s="97" t="s">
        <v>479</v>
      </c>
      <c r="EC120" s="97" t="s">
        <v>2533</v>
      </c>
      <c r="ED120" s="96">
        <v>26</v>
      </c>
      <c r="EE120" s="96"/>
      <c r="EF120" s="96"/>
      <c r="EG120" s="96"/>
      <c r="EH120" s="97"/>
      <c r="EI120" s="97"/>
      <c r="EJ120" s="96"/>
      <c r="EK120" s="97"/>
      <c r="EL120" s="97"/>
      <c r="EM120" s="96"/>
      <c r="EN120" s="97"/>
      <c r="EO120" s="97"/>
      <c r="EP120" s="96"/>
      <c r="EQ120" s="96"/>
      <c r="ER120" s="96"/>
      <c r="ES120" s="96"/>
      <c r="ET120" s="97"/>
      <c r="EU120" s="97"/>
      <c r="EV120" s="96"/>
      <c r="EW120" s="96"/>
      <c r="EX120" s="96"/>
      <c r="EY120" s="96"/>
      <c r="EZ120" s="97" t="s">
        <v>470</v>
      </c>
      <c r="FA120" s="97"/>
      <c r="FB120" s="872" t="s">
        <v>5165</v>
      </c>
      <c r="FC120" s="872" t="s">
        <v>5010</v>
      </c>
      <c r="FD120" s="97" t="s">
        <v>470</v>
      </c>
      <c r="FE120" s="97" t="s">
        <v>4851</v>
      </c>
      <c r="FF120" s="97" t="s">
        <v>4725</v>
      </c>
      <c r="FG120" s="97" t="s">
        <v>1750</v>
      </c>
      <c r="FH120" s="97">
        <v>0</v>
      </c>
      <c r="FI120" s="97">
        <v>0</v>
      </c>
      <c r="FJ120" s="97" t="s">
        <v>4518</v>
      </c>
      <c r="FK120" s="97" t="s">
        <v>4289</v>
      </c>
      <c r="FL120" s="872" t="s">
        <v>4107</v>
      </c>
      <c r="FM120" s="97" t="s">
        <v>3908</v>
      </c>
      <c r="FN120" s="97" t="s">
        <v>3829</v>
      </c>
      <c r="FO120" s="872" t="s">
        <v>3758</v>
      </c>
    </row>
    <row r="121" spans="4:195" ht="36" customHeight="1" x14ac:dyDescent="0.2">
      <c r="D121" s="93" t="s">
        <v>9317</v>
      </c>
      <c r="E121" s="94" t="s">
        <v>9305</v>
      </c>
      <c r="F121" s="94" t="s">
        <v>9121</v>
      </c>
      <c r="G121" s="97" t="s">
        <v>326</v>
      </c>
      <c r="H121" s="97" t="s">
        <v>407</v>
      </c>
      <c r="I121" s="97" t="s">
        <v>8824</v>
      </c>
      <c r="J121" s="97"/>
      <c r="K121" s="97" t="s">
        <v>5242</v>
      </c>
      <c r="L121" s="502">
        <v>2021</v>
      </c>
      <c r="M121" s="841">
        <v>44596</v>
      </c>
      <c r="N121" s="841"/>
      <c r="O121" s="841"/>
      <c r="P121" s="841"/>
      <c r="Q121" s="841"/>
      <c r="R121" s="841"/>
      <c r="S121" s="841"/>
      <c r="T121" s="841"/>
      <c r="U121" s="841"/>
      <c r="V121" s="841"/>
      <c r="W121" s="841"/>
      <c r="X121" s="841"/>
      <c r="Y121" s="841"/>
      <c r="Z121" s="97"/>
      <c r="AA121" s="97"/>
      <c r="AB121" s="97"/>
      <c r="AC121" s="97"/>
      <c r="AD121" s="97" t="s">
        <v>7536</v>
      </c>
      <c r="AE121" s="872" t="s">
        <v>7333</v>
      </c>
      <c r="AF121" s="97" t="s">
        <v>7166</v>
      </c>
      <c r="AG121" s="97"/>
      <c r="AH121" s="97" t="s">
        <v>6567</v>
      </c>
      <c r="AI121" s="97" t="s">
        <v>6567</v>
      </c>
      <c r="AJ121" s="97" t="s">
        <v>6722</v>
      </c>
      <c r="AK121" s="97" t="s">
        <v>6567</v>
      </c>
      <c r="AL121" s="580">
        <f t="shared" si="7"/>
        <v>0.1</v>
      </c>
      <c r="AM121" s="504">
        <v>0.1</v>
      </c>
      <c r="AN121" s="516"/>
      <c r="AO121" s="97"/>
      <c r="AP121" s="97"/>
      <c r="AQ121" s="504">
        <v>0.1</v>
      </c>
      <c r="AR121" s="507">
        <v>2.9999999999999997E-4</v>
      </c>
      <c r="AS121" s="507">
        <v>1E-4</v>
      </c>
      <c r="AT121" s="516">
        <v>0</v>
      </c>
      <c r="AU121" s="507">
        <v>0</v>
      </c>
      <c r="AV121" s="516">
        <v>0</v>
      </c>
      <c r="AW121" s="507">
        <v>0</v>
      </c>
      <c r="AX121" s="516"/>
      <c r="AY121" s="507">
        <v>0</v>
      </c>
      <c r="AZ121" s="516"/>
      <c r="BA121" s="507"/>
      <c r="BB121" s="507"/>
      <c r="BC121" s="507"/>
      <c r="BD121" s="507"/>
      <c r="BE121" s="507" t="s">
        <v>470</v>
      </c>
      <c r="BF121" s="507"/>
      <c r="BG121" s="507"/>
      <c r="BH121" s="852"/>
      <c r="BI121" s="504">
        <v>0.3</v>
      </c>
      <c r="BJ121" s="507">
        <v>1E-4</v>
      </c>
      <c r="BK121" s="96">
        <v>1</v>
      </c>
      <c r="BL121" s="96"/>
      <c r="BM121" s="96"/>
      <c r="BN121" s="96"/>
      <c r="BO121" s="96"/>
      <c r="BP121" s="96"/>
      <c r="BQ121" s="96"/>
      <c r="BR121" s="96"/>
      <c r="BS121" s="96"/>
      <c r="BT121" s="96"/>
      <c r="BU121" s="96"/>
      <c r="BV121" s="96"/>
      <c r="BW121" s="96"/>
      <c r="BX121" s="96"/>
      <c r="BY121" s="96">
        <v>1</v>
      </c>
      <c r="BZ121" s="96"/>
      <c r="CA121" s="96"/>
      <c r="CB121" s="96"/>
      <c r="CC121" s="96"/>
      <c r="CD121" s="96"/>
      <c r="CE121" s="96"/>
      <c r="CF121" s="96"/>
      <c r="CG121" s="96"/>
      <c r="CH121" s="96"/>
      <c r="CI121" s="96"/>
      <c r="CJ121" s="96"/>
      <c r="CK121" s="96"/>
      <c r="CL121" s="815">
        <f t="shared" si="11"/>
        <v>1</v>
      </c>
      <c r="CM121" s="824">
        <f t="shared" si="8"/>
        <v>0</v>
      </c>
      <c r="CN121" s="504">
        <v>0.26500000000000001</v>
      </c>
      <c r="CO121" s="97" t="s">
        <v>6149</v>
      </c>
      <c r="CP121" s="97"/>
      <c r="CQ121" s="97" t="s">
        <v>5962</v>
      </c>
      <c r="CR121" s="504" t="s">
        <v>9385</v>
      </c>
      <c r="CS121" s="507"/>
      <c r="CT121" s="97" t="s">
        <v>470</v>
      </c>
      <c r="CU121" s="97"/>
      <c r="CV121" s="97"/>
      <c r="CW121" s="97"/>
      <c r="CX121" s="96"/>
      <c r="CY121" s="96"/>
      <c r="CZ121" s="96"/>
      <c r="DA121" s="97" t="s">
        <v>479</v>
      </c>
      <c r="DB121" s="97" t="s">
        <v>1876</v>
      </c>
      <c r="DC121" s="96">
        <v>111</v>
      </c>
      <c r="DD121" s="97" t="s">
        <v>479</v>
      </c>
      <c r="DE121" s="97" t="s">
        <v>5649</v>
      </c>
      <c r="DF121" s="96">
        <v>11</v>
      </c>
      <c r="DG121" s="96"/>
      <c r="DH121" s="96"/>
      <c r="DI121" s="96"/>
      <c r="DJ121" s="96"/>
      <c r="DK121" s="96"/>
      <c r="DL121" s="96"/>
      <c r="DM121" s="97"/>
      <c r="DN121" s="97"/>
      <c r="DO121" s="96"/>
      <c r="DP121" s="97"/>
      <c r="DQ121" s="97"/>
      <c r="DR121" s="96"/>
      <c r="DS121" s="97"/>
      <c r="DT121" s="97"/>
      <c r="DU121" s="96"/>
      <c r="DV121" s="97"/>
      <c r="DW121" s="97"/>
      <c r="DX121" s="96"/>
      <c r="DY121" s="97" t="s">
        <v>470</v>
      </c>
      <c r="DZ121" s="97"/>
      <c r="EA121" s="96"/>
      <c r="EB121" s="97" t="s">
        <v>479</v>
      </c>
      <c r="EC121" s="97" t="s">
        <v>5428</v>
      </c>
      <c r="ED121" s="96">
        <v>11</v>
      </c>
      <c r="EE121" s="96" t="s">
        <v>470</v>
      </c>
      <c r="EF121" s="96"/>
      <c r="EG121" s="96"/>
      <c r="EH121" s="97" t="s">
        <v>470</v>
      </c>
      <c r="EI121" s="97"/>
      <c r="EJ121" s="96"/>
      <c r="EK121" s="97" t="s">
        <v>470</v>
      </c>
      <c r="EL121" s="97"/>
      <c r="EM121" s="96"/>
      <c r="EN121" s="97" t="s">
        <v>470</v>
      </c>
      <c r="EO121" s="97"/>
      <c r="EP121" s="96"/>
      <c r="EQ121" s="96" t="s">
        <v>470</v>
      </c>
      <c r="ER121" s="96"/>
      <c r="ES121" s="96"/>
      <c r="ET121" s="97"/>
      <c r="EU121" s="97"/>
      <c r="EV121" s="96"/>
      <c r="EW121" s="96"/>
      <c r="EX121" s="96"/>
      <c r="EY121" s="96"/>
      <c r="EZ121" s="97" t="s">
        <v>470</v>
      </c>
      <c r="FA121" s="97"/>
      <c r="FB121" s="97"/>
      <c r="FC121" s="97"/>
      <c r="FD121" s="872" t="s">
        <v>4922</v>
      </c>
      <c r="FE121" s="97"/>
      <c r="FF121" s="97"/>
      <c r="FG121" s="97"/>
      <c r="FH121" s="97"/>
      <c r="FI121" s="97"/>
      <c r="FJ121" s="97" t="s">
        <v>4517</v>
      </c>
      <c r="FK121" s="97">
        <v>88615567222</v>
      </c>
      <c r="FL121" s="872" t="s">
        <v>4106</v>
      </c>
      <c r="FM121" s="97"/>
      <c r="FN121" s="97"/>
      <c r="FO121" s="97"/>
    </row>
    <row r="122" spans="4:195" ht="28" customHeight="1" x14ac:dyDescent="0.2">
      <c r="D122" s="93" t="s">
        <v>9318</v>
      </c>
      <c r="E122" s="94" t="s">
        <v>9309</v>
      </c>
      <c r="F122" s="94" t="s">
        <v>9121</v>
      </c>
      <c r="G122" s="97" t="s">
        <v>326</v>
      </c>
      <c r="H122" s="97" t="s">
        <v>407</v>
      </c>
      <c r="I122" s="97" t="s">
        <v>8823</v>
      </c>
      <c r="J122" s="97" t="s">
        <v>8583</v>
      </c>
      <c r="K122" s="199" t="s">
        <v>8426</v>
      </c>
      <c r="L122" s="502">
        <v>2022</v>
      </c>
      <c r="M122" s="841">
        <v>44774</v>
      </c>
      <c r="N122" s="841">
        <v>44896</v>
      </c>
      <c r="O122" s="841"/>
      <c r="P122" s="841"/>
      <c r="Q122" s="841"/>
      <c r="R122" s="841"/>
      <c r="S122" s="841"/>
      <c r="T122" s="841"/>
      <c r="U122" s="841"/>
      <c r="V122" s="841"/>
      <c r="W122" s="841"/>
      <c r="X122" s="841"/>
      <c r="Y122" s="841"/>
      <c r="Z122" s="97"/>
      <c r="AA122" s="97"/>
      <c r="AB122" s="97" t="s">
        <v>7864</v>
      </c>
      <c r="AC122" s="97"/>
      <c r="AD122" s="97" t="s">
        <v>7535</v>
      </c>
      <c r="AE122" s="97"/>
      <c r="AF122" s="97"/>
      <c r="AG122" s="97"/>
      <c r="AH122" s="97" t="s">
        <v>7015</v>
      </c>
      <c r="AI122" s="97" t="s">
        <v>6881</v>
      </c>
      <c r="AJ122" s="97" t="s">
        <v>6733</v>
      </c>
      <c r="AK122" s="97"/>
      <c r="AL122" s="580">
        <f t="shared" si="7"/>
        <v>0</v>
      </c>
      <c r="AM122" s="504">
        <v>0</v>
      </c>
      <c r="AN122" s="516"/>
      <c r="AO122" s="97"/>
      <c r="AP122" s="97"/>
      <c r="AQ122" s="504">
        <v>0</v>
      </c>
      <c r="AR122" s="507">
        <v>0</v>
      </c>
      <c r="AS122" s="507">
        <v>0</v>
      </c>
      <c r="AT122" s="516">
        <v>0</v>
      </c>
      <c r="AU122" s="507">
        <v>0</v>
      </c>
      <c r="AV122" s="516">
        <v>0</v>
      </c>
      <c r="AW122" s="507">
        <v>0</v>
      </c>
      <c r="AX122" s="516"/>
      <c r="AY122" s="507">
        <v>0</v>
      </c>
      <c r="AZ122" s="516"/>
      <c r="BA122" s="507"/>
      <c r="BB122" s="507"/>
      <c r="BC122" s="507"/>
      <c r="BD122" s="507"/>
      <c r="BE122" s="507" t="s">
        <v>470</v>
      </c>
      <c r="BF122" s="507"/>
      <c r="BG122" s="507"/>
      <c r="BH122" s="852"/>
      <c r="BI122" s="504">
        <v>0</v>
      </c>
      <c r="BJ122" s="507">
        <v>0</v>
      </c>
      <c r="BK122" s="96">
        <v>2</v>
      </c>
      <c r="BL122" s="96">
        <v>2</v>
      </c>
      <c r="BM122" s="96">
        <v>2</v>
      </c>
      <c r="BN122" s="96"/>
      <c r="BO122" s="96">
        <v>2</v>
      </c>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815">
        <f t="shared" si="11"/>
        <v>2</v>
      </c>
      <c r="CM122" s="824">
        <f t="shared" si="8"/>
        <v>0</v>
      </c>
      <c r="CN122" s="504">
        <v>6.3</v>
      </c>
      <c r="CO122" s="97" t="s">
        <v>6148</v>
      </c>
      <c r="CP122" s="97"/>
      <c r="CQ122" s="97">
        <v>100</v>
      </c>
      <c r="CR122" s="504">
        <v>6.3</v>
      </c>
      <c r="CS122" s="507"/>
      <c r="CT122" s="97" t="s">
        <v>470</v>
      </c>
      <c r="CU122" s="97"/>
      <c r="CV122" s="97"/>
      <c r="CW122" s="97"/>
      <c r="CX122" s="96"/>
      <c r="CY122" s="96"/>
      <c r="CZ122" s="96">
        <v>4</v>
      </c>
      <c r="DA122" s="97" t="s">
        <v>479</v>
      </c>
      <c r="DB122" s="97"/>
      <c r="DC122" s="96"/>
      <c r="DD122" s="97" t="s">
        <v>479</v>
      </c>
      <c r="DE122" s="97" t="s">
        <v>5427</v>
      </c>
      <c r="DF122" s="96">
        <v>120</v>
      </c>
      <c r="DG122" s="96" t="s">
        <v>479</v>
      </c>
      <c r="DH122" s="96"/>
      <c r="DI122" s="96"/>
      <c r="DJ122" s="96" t="s">
        <v>470</v>
      </c>
      <c r="DK122" s="96"/>
      <c r="DL122" s="96"/>
      <c r="DM122" s="97" t="s">
        <v>470</v>
      </c>
      <c r="DN122" s="97"/>
      <c r="DO122" s="96"/>
      <c r="DP122" s="97" t="s">
        <v>470</v>
      </c>
      <c r="DQ122" s="97"/>
      <c r="DR122" s="96"/>
      <c r="DS122" s="97" t="s">
        <v>470</v>
      </c>
      <c r="DT122" s="97"/>
      <c r="DU122" s="96"/>
      <c r="DV122" s="97"/>
      <c r="DW122" s="97"/>
      <c r="DX122" s="96"/>
      <c r="DY122" s="97" t="s">
        <v>470</v>
      </c>
      <c r="DZ122" s="97"/>
      <c r="EA122" s="96"/>
      <c r="EB122" s="97" t="s">
        <v>479</v>
      </c>
      <c r="EC122" s="97" t="s">
        <v>5427</v>
      </c>
      <c r="ED122" s="96">
        <v>120</v>
      </c>
      <c r="EE122" s="96" t="s">
        <v>479</v>
      </c>
      <c r="EF122" s="96"/>
      <c r="EG122" s="96"/>
      <c r="EH122" s="97" t="s">
        <v>470</v>
      </c>
      <c r="EI122" s="97"/>
      <c r="EJ122" s="96"/>
      <c r="EK122" s="97" t="s">
        <v>470</v>
      </c>
      <c r="EL122" s="97"/>
      <c r="EM122" s="96"/>
      <c r="EN122" s="97" t="s">
        <v>470</v>
      </c>
      <c r="EO122" s="97"/>
      <c r="EP122" s="96"/>
      <c r="EQ122" s="96" t="s">
        <v>470</v>
      </c>
      <c r="ER122" s="96"/>
      <c r="ES122" s="96"/>
      <c r="ET122" s="97"/>
      <c r="EU122" s="97"/>
      <c r="EV122" s="96"/>
      <c r="EW122" s="96"/>
      <c r="EX122" s="96"/>
      <c r="EY122" s="96"/>
      <c r="EZ122" s="97" t="s">
        <v>470</v>
      </c>
      <c r="FA122" s="97"/>
      <c r="FB122" s="97" t="s">
        <v>5164</v>
      </c>
      <c r="FC122" s="97"/>
      <c r="FD122" s="97"/>
      <c r="FE122" s="97" t="s">
        <v>4850</v>
      </c>
      <c r="FF122" s="97"/>
      <c r="FG122" s="97"/>
      <c r="FH122" s="97"/>
      <c r="FI122" s="97"/>
      <c r="FJ122" s="97" t="s">
        <v>3907</v>
      </c>
      <c r="FK122" s="97">
        <v>88615571360</v>
      </c>
      <c r="FL122" s="842" t="s">
        <v>3757</v>
      </c>
      <c r="FM122" s="97" t="s">
        <v>3907</v>
      </c>
      <c r="FN122" s="97">
        <v>88615571360</v>
      </c>
      <c r="FO122" s="97" t="s">
        <v>3757</v>
      </c>
    </row>
    <row r="123" spans="4:195" ht="17" customHeight="1" x14ac:dyDescent="0.2">
      <c r="E123" s="94" t="s">
        <v>9309</v>
      </c>
      <c r="F123" s="94" t="s">
        <v>9121</v>
      </c>
      <c r="G123" s="97" t="s">
        <v>326</v>
      </c>
      <c r="H123" s="97" t="s">
        <v>407</v>
      </c>
      <c r="I123" s="97" t="s">
        <v>8822</v>
      </c>
      <c r="J123" s="97" t="s">
        <v>8582</v>
      </c>
      <c r="K123" s="97" t="s">
        <v>5242</v>
      </c>
      <c r="L123" s="502">
        <v>2019</v>
      </c>
      <c r="M123" s="841" t="s">
        <v>8320</v>
      </c>
      <c r="N123" s="841" t="s">
        <v>1863</v>
      </c>
      <c r="O123" s="841"/>
      <c r="P123" s="841"/>
      <c r="Q123" s="841"/>
      <c r="R123" s="841"/>
      <c r="S123" s="841"/>
      <c r="T123" s="841"/>
      <c r="U123" s="841"/>
      <c r="V123" s="841"/>
      <c r="W123" s="841"/>
      <c r="X123" s="841"/>
      <c r="Y123" s="841"/>
      <c r="Z123" s="97" t="s">
        <v>8149</v>
      </c>
      <c r="AA123" s="97" t="s">
        <v>7332</v>
      </c>
      <c r="AB123" s="97" t="s">
        <v>9616</v>
      </c>
      <c r="AC123" s="842" t="s">
        <v>7679</v>
      </c>
      <c r="AD123" s="97" t="s">
        <v>7534</v>
      </c>
      <c r="AE123" s="97" t="s">
        <v>7332</v>
      </c>
      <c r="AF123" s="97"/>
      <c r="AG123" s="97"/>
      <c r="AH123" s="97" t="s">
        <v>6566</v>
      </c>
      <c r="AI123" s="97" t="s">
        <v>6566</v>
      </c>
      <c r="AJ123" s="97" t="s">
        <v>6732</v>
      </c>
      <c r="AK123" s="97" t="s">
        <v>6566</v>
      </c>
      <c r="AL123" s="580">
        <f t="shared" si="7"/>
        <v>1.59</v>
      </c>
      <c r="AM123" s="504">
        <v>1.59</v>
      </c>
      <c r="AN123" s="516"/>
      <c r="AO123" s="97"/>
      <c r="AP123" s="97"/>
      <c r="AQ123" s="504">
        <v>1.59</v>
      </c>
      <c r="AR123" s="507">
        <v>1</v>
      </c>
      <c r="AS123" s="507">
        <v>4.4999999999999998E-2</v>
      </c>
      <c r="AT123" s="516">
        <v>0</v>
      </c>
      <c r="AU123" s="507">
        <v>0</v>
      </c>
      <c r="AV123" s="516"/>
      <c r="AW123" s="507"/>
      <c r="AX123" s="516"/>
      <c r="AY123" s="507"/>
      <c r="AZ123" s="516"/>
      <c r="BA123" s="507"/>
      <c r="BB123" s="507"/>
      <c r="BC123" s="507"/>
      <c r="BD123" s="507"/>
      <c r="BE123" s="507" t="s">
        <v>470</v>
      </c>
      <c r="BF123" s="507"/>
      <c r="BG123" s="507"/>
      <c r="BH123" s="852"/>
      <c r="BI123" s="504">
        <v>0.9</v>
      </c>
      <c r="BJ123" s="507">
        <v>1.26E-2</v>
      </c>
      <c r="BK123" s="96">
        <v>2</v>
      </c>
      <c r="BL123" s="96">
        <v>2</v>
      </c>
      <c r="BM123" s="96">
        <v>2</v>
      </c>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v>2</v>
      </c>
      <c r="CL123" s="815">
        <f t="shared" si="11"/>
        <v>2</v>
      </c>
      <c r="CM123" s="824">
        <f t="shared" si="8"/>
        <v>0</v>
      </c>
      <c r="CN123" s="504">
        <v>3.1E-2</v>
      </c>
      <c r="CO123" s="97" t="s">
        <v>6147</v>
      </c>
      <c r="CP123" s="97"/>
      <c r="CQ123" s="97">
        <v>0.3</v>
      </c>
      <c r="CR123" s="504">
        <v>10.217000000000001</v>
      </c>
      <c r="CS123" s="507" t="s">
        <v>5913</v>
      </c>
      <c r="CT123" s="97" t="s">
        <v>470</v>
      </c>
      <c r="CU123" s="97"/>
      <c r="CV123" s="97"/>
      <c r="CW123" s="97"/>
      <c r="CX123" s="96"/>
      <c r="CY123" s="96"/>
      <c r="CZ123" s="96"/>
      <c r="DA123" s="97"/>
      <c r="DB123" s="97"/>
      <c r="DC123" s="96"/>
      <c r="DD123" s="97" t="s">
        <v>479</v>
      </c>
      <c r="DE123" s="97" t="s">
        <v>5648</v>
      </c>
      <c r="DF123" s="96">
        <v>31</v>
      </c>
      <c r="DG123" s="96"/>
      <c r="DH123" s="96"/>
      <c r="DI123" s="96"/>
      <c r="DJ123" s="96"/>
      <c r="DK123" s="96"/>
      <c r="DL123" s="96"/>
      <c r="DM123" s="97"/>
      <c r="DN123" s="97"/>
      <c r="DO123" s="96"/>
      <c r="DP123" s="97"/>
      <c r="DQ123" s="97"/>
      <c r="DR123" s="96"/>
      <c r="DS123" s="97"/>
      <c r="DT123" s="97"/>
      <c r="DU123" s="96"/>
      <c r="DV123" s="97"/>
      <c r="DW123" s="97"/>
      <c r="DX123" s="96"/>
      <c r="DY123" s="97" t="s">
        <v>470</v>
      </c>
      <c r="DZ123" s="97"/>
      <c r="EA123" s="96"/>
      <c r="EB123" s="97" t="s">
        <v>470</v>
      </c>
      <c r="EC123" s="97"/>
      <c r="ED123" s="96"/>
      <c r="EE123" s="96" t="s">
        <v>470</v>
      </c>
      <c r="EF123" s="96"/>
      <c r="EG123" s="96"/>
      <c r="EH123" s="97" t="s">
        <v>470</v>
      </c>
      <c r="EI123" s="97"/>
      <c r="EJ123" s="96"/>
      <c r="EK123" s="97" t="s">
        <v>470</v>
      </c>
      <c r="EL123" s="97"/>
      <c r="EM123" s="96"/>
      <c r="EN123" s="97" t="s">
        <v>470</v>
      </c>
      <c r="EO123" s="97"/>
      <c r="EP123" s="96"/>
      <c r="EQ123" s="96" t="s">
        <v>470</v>
      </c>
      <c r="ER123" s="96"/>
      <c r="ES123" s="96"/>
      <c r="ET123" s="97"/>
      <c r="EU123" s="97"/>
      <c r="EV123" s="96"/>
      <c r="EW123" s="96"/>
      <c r="EX123" s="96"/>
      <c r="EY123" s="96"/>
      <c r="EZ123" s="97" t="s">
        <v>470</v>
      </c>
      <c r="FA123" s="97"/>
      <c r="FB123" s="97" t="s">
        <v>5163</v>
      </c>
      <c r="FC123" s="842" t="s">
        <v>5009</v>
      </c>
      <c r="FD123" s="97"/>
      <c r="FE123" s="97"/>
      <c r="FF123" s="97"/>
      <c r="FG123" s="97" t="s">
        <v>470</v>
      </c>
      <c r="FH123" s="97">
        <v>0</v>
      </c>
      <c r="FI123" s="97">
        <v>0</v>
      </c>
      <c r="FJ123" s="97" t="s">
        <v>4516</v>
      </c>
      <c r="FK123" s="97" t="s">
        <v>4288</v>
      </c>
      <c r="FL123" s="97" t="s">
        <v>3756</v>
      </c>
      <c r="FM123" s="97" t="s">
        <v>3906</v>
      </c>
      <c r="FN123" s="97" t="s">
        <v>3828</v>
      </c>
      <c r="FO123" s="97" t="s">
        <v>3756</v>
      </c>
    </row>
    <row r="124" spans="4:195" ht="28" customHeight="1" x14ac:dyDescent="0.2">
      <c r="E124" s="94" t="s">
        <v>9305</v>
      </c>
      <c r="F124" s="94" t="s">
        <v>9121</v>
      </c>
      <c r="G124" s="97" t="s">
        <v>326</v>
      </c>
      <c r="H124" s="97" t="s">
        <v>407</v>
      </c>
      <c r="I124" s="97" t="s">
        <v>8821</v>
      </c>
      <c r="J124" s="198" t="s">
        <v>8581</v>
      </c>
      <c r="K124" s="198" t="s">
        <v>8425</v>
      </c>
      <c r="L124" s="578">
        <v>2022</v>
      </c>
      <c r="M124" s="822">
        <v>44811</v>
      </c>
      <c r="N124" s="822">
        <v>44923</v>
      </c>
      <c r="O124" s="822"/>
      <c r="P124" s="822"/>
      <c r="Q124" s="822"/>
      <c r="R124" s="822"/>
      <c r="S124" s="822"/>
      <c r="T124" s="822"/>
      <c r="U124" s="822"/>
      <c r="V124" s="822"/>
      <c r="W124" s="822"/>
      <c r="X124" s="822"/>
      <c r="Y124" s="822"/>
      <c r="Z124" s="198"/>
      <c r="AA124" s="844"/>
      <c r="AB124" s="198" t="s">
        <v>7863</v>
      </c>
      <c r="AC124" s="844" t="s">
        <v>4921</v>
      </c>
      <c r="AD124" s="198"/>
      <c r="AE124" s="198"/>
      <c r="AF124" s="198"/>
      <c r="AG124" s="198"/>
      <c r="AH124" s="198" t="s">
        <v>6880</v>
      </c>
      <c r="AI124" s="198" t="s">
        <v>6880</v>
      </c>
      <c r="AJ124" s="198" t="s">
        <v>6731</v>
      </c>
      <c r="AK124" s="198" t="s">
        <v>6565</v>
      </c>
      <c r="AL124" s="580">
        <f t="shared" si="7"/>
        <v>8.5000000000000006E-2</v>
      </c>
      <c r="AM124" s="580">
        <v>8.5000000000000006E-2</v>
      </c>
      <c r="AN124" s="580"/>
      <c r="AO124" s="580"/>
      <c r="AP124" s="580"/>
      <c r="AQ124" s="580">
        <v>8.5000000000000006E-2</v>
      </c>
      <c r="AR124" s="137">
        <v>1</v>
      </c>
      <c r="AS124" s="137">
        <v>0.01</v>
      </c>
      <c r="AT124" s="580">
        <v>0</v>
      </c>
      <c r="AU124" s="137">
        <v>0</v>
      </c>
      <c r="AV124" s="580">
        <v>0</v>
      </c>
      <c r="AW124" s="137">
        <v>0</v>
      </c>
      <c r="AX124" s="137">
        <v>0</v>
      </c>
      <c r="AY124" s="137">
        <v>0</v>
      </c>
      <c r="AZ124" s="137"/>
      <c r="BA124" s="137"/>
      <c r="BB124" s="137"/>
      <c r="BC124" s="137"/>
      <c r="BD124" s="137"/>
      <c r="BE124" s="507" t="s">
        <v>470</v>
      </c>
      <c r="BF124" s="137"/>
      <c r="BG124" s="137"/>
      <c r="BH124" s="823"/>
      <c r="BI124" s="580">
        <f>85000/1000000</f>
        <v>8.5000000000000006E-2</v>
      </c>
      <c r="BJ124" s="137">
        <f>0.085/40.362*100</f>
        <v>0.21059412318517418</v>
      </c>
      <c r="BK124" s="83">
        <v>2</v>
      </c>
      <c r="BL124" s="83">
        <v>2</v>
      </c>
      <c r="BM124" s="83">
        <v>2</v>
      </c>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v>1</v>
      </c>
      <c r="CL124" s="857">
        <f>SUM(BN124:CK124)</f>
        <v>1</v>
      </c>
      <c r="CM124" s="824">
        <f t="shared" si="8"/>
        <v>0</v>
      </c>
      <c r="CN124" s="580">
        <v>0.56999999999999995</v>
      </c>
      <c r="CO124" s="198"/>
      <c r="CP124" s="198"/>
      <c r="CQ124" s="198">
        <v>62</v>
      </c>
      <c r="CR124" s="580">
        <v>1.117</v>
      </c>
      <c r="CS124" s="137"/>
      <c r="CT124" s="198" t="s">
        <v>470</v>
      </c>
      <c r="CU124" s="198"/>
      <c r="CV124" s="198"/>
      <c r="CW124" s="198"/>
      <c r="CX124" s="83"/>
      <c r="CY124" s="83"/>
      <c r="CZ124" s="83"/>
      <c r="DA124" s="198" t="s">
        <v>479</v>
      </c>
      <c r="DB124" s="198" t="s">
        <v>5358</v>
      </c>
      <c r="DC124" s="83">
        <v>570</v>
      </c>
      <c r="DD124" s="198" t="s">
        <v>479</v>
      </c>
      <c r="DE124" s="198" t="s">
        <v>2533</v>
      </c>
      <c r="DF124" s="83">
        <v>30</v>
      </c>
      <c r="DG124" s="83" t="s">
        <v>470</v>
      </c>
      <c r="DH124" s="83"/>
      <c r="DI124" s="83"/>
      <c r="DJ124" s="83" t="s">
        <v>470</v>
      </c>
      <c r="DK124" s="83"/>
      <c r="DL124" s="83"/>
      <c r="DM124" s="198" t="s">
        <v>470</v>
      </c>
      <c r="DN124" s="198"/>
      <c r="DO124" s="83"/>
      <c r="DP124" s="198" t="s">
        <v>470</v>
      </c>
      <c r="DQ124" s="198"/>
      <c r="DR124" s="83"/>
      <c r="DS124" s="198" t="s">
        <v>470</v>
      </c>
      <c r="DT124" s="198"/>
      <c r="DU124" s="83"/>
      <c r="DV124" s="198"/>
      <c r="DW124" s="198"/>
      <c r="DX124" s="83"/>
      <c r="DY124" s="198" t="s">
        <v>470</v>
      </c>
      <c r="DZ124" s="198"/>
      <c r="EA124" s="83"/>
      <c r="EB124" s="198" t="s">
        <v>479</v>
      </c>
      <c r="EC124" s="198" t="s">
        <v>5426</v>
      </c>
      <c r="ED124" s="83">
        <v>570</v>
      </c>
      <c r="EE124" s="83" t="s">
        <v>470</v>
      </c>
      <c r="EF124" s="83"/>
      <c r="EG124" s="83"/>
      <c r="EH124" s="198" t="s">
        <v>470</v>
      </c>
      <c r="EI124" s="198"/>
      <c r="EJ124" s="83"/>
      <c r="EK124" s="198" t="s">
        <v>470</v>
      </c>
      <c r="EL124" s="198"/>
      <c r="EM124" s="83"/>
      <c r="EN124" s="198" t="s">
        <v>479</v>
      </c>
      <c r="EO124" s="198" t="s">
        <v>5358</v>
      </c>
      <c r="EP124" s="83">
        <v>10</v>
      </c>
      <c r="EQ124" s="83" t="s">
        <v>470</v>
      </c>
      <c r="ER124" s="83"/>
      <c r="ES124" s="83"/>
      <c r="ET124" s="198"/>
      <c r="EU124" s="198"/>
      <c r="EV124" s="83"/>
      <c r="EW124" s="83"/>
      <c r="EX124" s="83"/>
      <c r="EY124" s="83"/>
      <c r="EZ124" s="97" t="s">
        <v>470</v>
      </c>
      <c r="FA124" s="198"/>
      <c r="FB124" s="844" t="s">
        <v>4921</v>
      </c>
      <c r="FC124" s="198"/>
      <c r="FD124" s="844" t="s">
        <v>4921</v>
      </c>
      <c r="FE124" s="198" t="s">
        <v>4849</v>
      </c>
      <c r="FF124" s="198"/>
      <c r="FG124" s="198"/>
      <c r="FH124" s="198"/>
      <c r="FI124" s="198"/>
      <c r="FJ124" s="198" t="s">
        <v>4515</v>
      </c>
      <c r="FK124" s="198">
        <v>89298507091</v>
      </c>
      <c r="FL124" s="844" t="s">
        <v>4105</v>
      </c>
      <c r="FM124" s="198"/>
      <c r="FN124" s="198"/>
      <c r="FO124" s="198"/>
      <c r="FP124" s="96"/>
      <c r="FQ124" s="96"/>
      <c r="FR124" s="97"/>
      <c r="FS124" s="97"/>
      <c r="FT124" s="96"/>
      <c r="FU124" s="96"/>
      <c r="FV124" s="96"/>
      <c r="FW124" s="96"/>
      <c r="FX124" s="97"/>
      <c r="FY124" s="97"/>
      <c r="FZ124" s="872"/>
      <c r="GA124" s="97"/>
      <c r="GB124" s="872"/>
      <c r="GC124" s="97"/>
      <c r="GD124" s="97"/>
      <c r="GE124" s="97"/>
      <c r="GF124" s="97"/>
      <c r="GG124" s="97"/>
      <c r="GH124" s="97"/>
      <c r="GI124" s="97"/>
      <c r="GJ124" s="872"/>
      <c r="GK124" s="97"/>
      <c r="GL124" s="97"/>
      <c r="GM124" s="97"/>
    </row>
    <row r="125" spans="4:195" ht="36" customHeight="1" x14ac:dyDescent="0.2">
      <c r="D125" s="93" t="s">
        <v>9319</v>
      </c>
      <c r="E125" s="94" t="s">
        <v>9305</v>
      </c>
      <c r="F125" s="94" t="s">
        <v>9121</v>
      </c>
      <c r="G125" s="97" t="s">
        <v>326</v>
      </c>
      <c r="H125" s="97" t="s">
        <v>407</v>
      </c>
      <c r="I125" s="97" t="s">
        <v>8821</v>
      </c>
      <c r="J125" s="97" t="s">
        <v>8580</v>
      </c>
      <c r="K125" s="97" t="s">
        <v>8425</v>
      </c>
      <c r="L125" s="502">
        <v>2022</v>
      </c>
      <c r="M125" s="841">
        <v>44811</v>
      </c>
      <c r="N125" s="841">
        <v>44923</v>
      </c>
      <c r="O125" s="841"/>
      <c r="P125" s="841"/>
      <c r="Q125" s="841"/>
      <c r="R125" s="841"/>
      <c r="S125" s="841"/>
      <c r="T125" s="841"/>
      <c r="U125" s="841"/>
      <c r="V125" s="841"/>
      <c r="W125" s="841"/>
      <c r="X125" s="841"/>
      <c r="Y125" s="841"/>
      <c r="Z125" s="97"/>
      <c r="AA125" s="872"/>
      <c r="AB125" s="97" t="s">
        <v>7863</v>
      </c>
      <c r="AC125" s="872" t="s">
        <v>4921</v>
      </c>
      <c r="AD125" s="97"/>
      <c r="AE125" s="97"/>
      <c r="AF125" s="97"/>
      <c r="AG125" s="97"/>
      <c r="AH125" s="97" t="s">
        <v>6880</v>
      </c>
      <c r="AI125" s="97" t="s">
        <v>6880</v>
      </c>
      <c r="AJ125" s="97" t="s">
        <v>6731</v>
      </c>
      <c r="AK125" s="97" t="s">
        <v>6565</v>
      </c>
      <c r="AL125" s="580">
        <f t="shared" si="7"/>
        <v>0</v>
      </c>
      <c r="AM125" s="504">
        <v>0</v>
      </c>
      <c r="AN125" s="516"/>
      <c r="AO125" s="97"/>
      <c r="AP125" s="97"/>
      <c r="AQ125" s="504">
        <v>0</v>
      </c>
      <c r="AR125" s="507">
        <v>0</v>
      </c>
      <c r="AS125" s="507">
        <v>0</v>
      </c>
      <c r="AT125" s="516">
        <v>0</v>
      </c>
      <c r="AU125" s="507">
        <v>0</v>
      </c>
      <c r="AV125" s="516">
        <v>0</v>
      </c>
      <c r="AW125" s="507">
        <v>0</v>
      </c>
      <c r="AX125" s="516"/>
      <c r="AY125" s="507">
        <v>0</v>
      </c>
      <c r="AZ125" s="516"/>
      <c r="BA125" s="507"/>
      <c r="BB125" s="507"/>
      <c r="BC125" s="507"/>
      <c r="BD125" s="507"/>
      <c r="BE125" s="507" t="s">
        <v>470</v>
      </c>
      <c r="BF125" s="507"/>
      <c r="BG125" s="507"/>
      <c r="BH125" s="852"/>
      <c r="BI125" s="504">
        <f>15000/1000000</f>
        <v>1.4999999999999999E-2</v>
      </c>
      <c r="BJ125" s="507">
        <f>0.015/40.362*100</f>
        <v>3.7163668797383677E-2</v>
      </c>
      <c r="BK125" s="96" t="s">
        <v>5242</v>
      </c>
      <c r="BL125" s="96">
        <v>2</v>
      </c>
      <c r="BM125" s="96">
        <v>2</v>
      </c>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v>1</v>
      </c>
      <c r="CL125" s="815">
        <f t="shared" si="11"/>
        <v>1</v>
      </c>
      <c r="CM125" s="824">
        <f t="shared" si="8"/>
        <v>0</v>
      </c>
      <c r="CN125" s="504">
        <v>0.56999999999999995</v>
      </c>
      <c r="CO125" s="97"/>
      <c r="CP125" s="97"/>
      <c r="CQ125" s="97">
        <v>62</v>
      </c>
      <c r="CR125" s="504">
        <v>1.117</v>
      </c>
      <c r="CS125" s="507"/>
      <c r="CT125" s="97" t="s">
        <v>470</v>
      </c>
      <c r="CU125" s="97"/>
      <c r="CV125" s="97"/>
      <c r="CW125" s="97"/>
      <c r="CX125" s="96"/>
      <c r="CY125" s="96"/>
      <c r="CZ125" s="96"/>
      <c r="DA125" s="97" t="s">
        <v>479</v>
      </c>
      <c r="DB125" s="97" t="s">
        <v>5358</v>
      </c>
      <c r="DC125" s="96">
        <v>570</v>
      </c>
      <c r="DD125" s="97" t="s">
        <v>479</v>
      </c>
      <c r="DE125" s="97" t="s">
        <v>2533</v>
      </c>
      <c r="DF125" s="96">
        <v>30</v>
      </c>
      <c r="DG125" s="96" t="s">
        <v>470</v>
      </c>
      <c r="DH125" s="96"/>
      <c r="DI125" s="96"/>
      <c r="DJ125" s="96" t="s">
        <v>470</v>
      </c>
      <c r="DK125" s="96"/>
      <c r="DL125" s="96"/>
      <c r="DM125" s="97" t="s">
        <v>470</v>
      </c>
      <c r="DN125" s="97"/>
      <c r="DO125" s="96"/>
      <c r="DP125" s="97" t="s">
        <v>470</v>
      </c>
      <c r="DQ125" s="97"/>
      <c r="DR125" s="96"/>
      <c r="DS125" s="97" t="s">
        <v>470</v>
      </c>
      <c r="DT125" s="97"/>
      <c r="DU125" s="96"/>
      <c r="DV125" s="97"/>
      <c r="DW125" s="97"/>
      <c r="DX125" s="96"/>
      <c r="DY125" s="97" t="s">
        <v>470</v>
      </c>
      <c r="DZ125" s="97"/>
      <c r="EA125" s="96"/>
      <c r="EB125" s="97" t="s">
        <v>479</v>
      </c>
      <c r="EC125" s="97" t="s">
        <v>5426</v>
      </c>
      <c r="ED125" s="96">
        <v>570</v>
      </c>
      <c r="EE125" s="96" t="s">
        <v>470</v>
      </c>
      <c r="EF125" s="96"/>
      <c r="EG125" s="96"/>
      <c r="EH125" s="97" t="s">
        <v>470</v>
      </c>
      <c r="EI125" s="97"/>
      <c r="EJ125" s="96"/>
      <c r="EK125" s="97" t="s">
        <v>470</v>
      </c>
      <c r="EL125" s="97"/>
      <c r="EM125" s="96"/>
      <c r="EN125" s="97" t="s">
        <v>479</v>
      </c>
      <c r="EO125" s="97" t="s">
        <v>5358</v>
      </c>
      <c r="EP125" s="96">
        <v>570</v>
      </c>
      <c r="EQ125" s="96" t="s">
        <v>470</v>
      </c>
      <c r="ER125" s="96"/>
      <c r="ES125" s="96"/>
      <c r="ET125" s="97"/>
      <c r="EU125" s="97"/>
      <c r="EV125" s="96"/>
      <c r="EW125" s="96"/>
      <c r="EX125" s="96"/>
      <c r="EY125" s="96"/>
      <c r="EZ125" s="97" t="s">
        <v>470</v>
      </c>
      <c r="FA125" s="97"/>
      <c r="FB125" s="872" t="s">
        <v>4921</v>
      </c>
      <c r="FC125" s="97"/>
      <c r="FD125" s="872" t="s">
        <v>4921</v>
      </c>
      <c r="FE125" s="97" t="s">
        <v>4849</v>
      </c>
      <c r="FF125" s="97"/>
      <c r="FG125" s="97"/>
      <c r="FH125" s="97"/>
      <c r="FI125" s="97"/>
      <c r="FJ125" s="97" t="s">
        <v>4515</v>
      </c>
      <c r="FK125" s="97">
        <v>89298507091</v>
      </c>
      <c r="FL125" s="872" t="s">
        <v>4105</v>
      </c>
      <c r="FM125" s="97"/>
      <c r="FN125" s="97"/>
      <c r="FO125" s="97"/>
    </row>
    <row r="126" spans="4:195" ht="28" customHeight="1" x14ac:dyDescent="0.2">
      <c r="D126" s="93" t="s">
        <v>9311</v>
      </c>
      <c r="E126" s="94" t="s">
        <v>9309</v>
      </c>
      <c r="F126" s="94" t="s">
        <v>9121</v>
      </c>
      <c r="G126" s="97" t="s">
        <v>326</v>
      </c>
      <c r="H126" s="97" t="s">
        <v>407</v>
      </c>
      <c r="I126" s="97" t="s">
        <v>8820</v>
      </c>
      <c r="J126" s="97" t="s">
        <v>8579</v>
      </c>
      <c r="K126" s="97" t="s">
        <v>8424</v>
      </c>
      <c r="L126" s="502">
        <v>2019</v>
      </c>
      <c r="M126" s="841">
        <v>44550</v>
      </c>
      <c r="N126" s="841">
        <v>44926</v>
      </c>
      <c r="O126" s="841"/>
      <c r="P126" s="841"/>
      <c r="Q126" s="841"/>
      <c r="R126" s="841"/>
      <c r="S126" s="841"/>
      <c r="T126" s="841"/>
      <c r="U126" s="841"/>
      <c r="V126" s="841"/>
      <c r="W126" s="841"/>
      <c r="X126" s="841"/>
      <c r="Y126" s="841"/>
      <c r="Z126" s="98" t="s">
        <v>8148</v>
      </c>
      <c r="AA126" s="97"/>
      <c r="AB126" s="97"/>
      <c r="AC126" s="97"/>
      <c r="AD126" s="97" t="s">
        <v>7533</v>
      </c>
      <c r="AE126" s="842" t="s">
        <v>7331</v>
      </c>
      <c r="AF126" s="99"/>
      <c r="AG126" s="99"/>
      <c r="AH126" s="97" t="s">
        <v>6564</v>
      </c>
      <c r="AI126" s="97" t="s">
        <v>6564</v>
      </c>
      <c r="AJ126" s="97" t="s">
        <v>6730</v>
      </c>
      <c r="AK126" s="97" t="s">
        <v>6564</v>
      </c>
      <c r="AL126" s="580">
        <f t="shared" si="7"/>
        <v>1.0329999999999999</v>
      </c>
      <c r="AM126" s="504">
        <v>1.0329999999999999</v>
      </c>
      <c r="AN126" s="516"/>
      <c r="AO126" s="97"/>
      <c r="AP126" s="97"/>
      <c r="AQ126" s="504">
        <v>1.0329999999999999</v>
      </c>
      <c r="AR126" s="507">
        <v>1</v>
      </c>
      <c r="AS126" s="507" t="s">
        <v>6352</v>
      </c>
      <c r="AT126" s="516">
        <v>0</v>
      </c>
      <c r="AU126" s="507">
        <v>1.0329999999999999</v>
      </c>
      <c r="AV126" s="516">
        <v>0</v>
      </c>
      <c r="AW126" s="507">
        <v>0</v>
      </c>
      <c r="AX126" s="516"/>
      <c r="AY126" s="507">
        <v>0</v>
      </c>
      <c r="AZ126" s="516"/>
      <c r="BA126" s="507"/>
      <c r="BB126" s="507"/>
      <c r="BC126" s="507"/>
      <c r="BD126" s="507"/>
      <c r="BE126" s="507">
        <v>0</v>
      </c>
      <c r="BF126" s="507"/>
      <c r="BG126" s="507"/>
      <c r="BH126" s="852">
        <v>0</v>
      </c>
      <c r="BI126" s="96" t="s">
        <v>6204</v>
      </c>
      <c r="BJ126" s="507" t="s">
        <v>6202</v>
      </c>
      <c r="BK126" s="96">
        <v>3</v>
      </c>
      <c r="BL126" s="96">
        <v>1</v>
      </c>
      <c r="BM126" s="96">
        <v>2</v>
      </c>
      <c r="BN126" s="96">
        <v>0</v>
      </c>
      <c r="BO126" s="96">
        <v>2</v>
      </c>
      <c r="BP126" s="96">
        <v>0</v>
      </c>
      <c r="BQ126" s="96">
        <v>0</v>
      </c>
      <c r="BR126" s="96">
        <v>0</v>
      </c>
      <c r="BS126" s="96">
        <v>0</v>
      </c>
      <c r="BT126" s="96">
        <v>0</v>
      </c>
      <c r="BU126" s="96">
        <v>0</v>
      </c>
      <c r="BV126" s="96">
        <v>0</v>
      </c>
      <c r="BW126" s="96">
        <v>0</v>
      </c>
      <c r="BX126" s="96">
        <v>0</v>
      </c>
      <c r="BY126" s="96">
        <v>0</v>
      </c>
      <c r="BZ126" s="96">
        <v>1</v>
      </c>
      <c r="CA126" s="96">
        <v>0</v>
      </c>
      <c r="CB126" s="96">
        <v>0</v>
      </c>
      <c r="CC126" s="96">
        <v>0</v>
      </c>
      <c r="CD126" s="96">
        <v>0</v>
      </c>
      <c r="CE126" s="96">
        <v>0</v>
      </c>
      <c r="CF126" s="96">
        <v>0</v>
      </c>
      <c r="CG126" s="96">
        <v>0</v>
      </c>
      <c r="CH126" s="96">
        <v>0</v>
      </c>
      <c r="CI126" s="96">
        <v>0</v>
      </c>
      <c r="CJ126" s="96">
        <v>0</v>
      </c>
      <c r="CK126" s="96">
        <v>0</v>
      </c>
      <c r="CL126" s="815">
        <f t="shared" si="11"/>
        <v>3</v>
      </c>
      <c r="CM126" s="824">
        <f t="shared" si="8"/>
        <v>0</v>
      </c>
      <c r="CN126" s="504">
        <v>3.24</v>
      </c>
      <c r="CO126" s="97" t="s">
        <v>6146</v>
      </c>
      <c r="CP126" s="97"/>
      <c r="CQ126" s="97">
        <v>4.4999999999999998E-2</v>
      </c>
      <c r="CR126" s="504">
        <v>7.1710000000000003</v>
      </c>
      <c r="CS126" s="507"/>
      <c r="CT126" s="97" t="s">
        <v>470</v>
      </c>
      <c r="CU126" s="97" t="s">
        <v>470</v>
      </c>
      <c r="CV126" s="97" t="s">
        <v>470</v>
      </c>
      <c r="CW126" s="97"/>
      <c r="CX126" s="96">
        <v>0</v>
      </c>
      <c r="CY126" s="96">
        <v>0</v>
      </c>
      <c r="CZ126" s="96"/>
      <c r="DA126" s="97" t="s">
        <v>479</v>
      </c>
      <c r="DB126" s="97"/>
      <c r="DC126" s="96"/>
      <c r="DD126" s="97" t="s">
        <v>479</v>
      </c>
      <c r="DE126" s="97" t="s">
        <v>5647</v>
      </c>
      <c r="DF126" s="96"/>
      <c r="DG126" s="96" t="s">
        <v>479</v>
      </c>
      <c r="DH126" s="96"/>
      <c r="DI126" s="96"/>
      <c r="DJ126" s="96" t="s">
        <v>470</v>
      </c>
      <c r="DK126" s="96"/>
      <c r="DL126" s="96"/>
      <c r="DM126" s="97" t="s">
        <v>479</v>
      </c>
      <c r="DN126" s="97" t="s">
        <v>5546</v>
      </c>
      <c r="DO126" s="96"/>
      <c r="DP126" s="97" t="s">
        <v>479</v>
      </c>
      <c r="DQ126" s="97"/>
      <c r="DR126" s="96"/>
      <c r="DS126" s="97" t="s">
        <v>479</v>
      </c>
      <c r="DT126" s="97"/>
      <c r="DU126" s="96"/>
      <c r="DV126" s="97"/>
      <c r="DW126" s="97"/>
      <c r="DX126" s="96"/>
      <c r="DY126" s="97" t="s">
        <v>470</v>
      </c>
      <c r="DZ126" s="97"/>
      <c r="EA126" s="96"/>
      <c r="EB126" s="97" t="s">
        <v>479</v>
      </c>
      <c r="EC126" s="97" t="s">
        <v>5425</v>
      </c>
      <c r="ED126" s="96"/>
      <c r="EE126" s="96" t="s">
        <v>470</v>
      </c>
      <c r="EF126" s="96"/>
      <c r="EG126" s="96"/>
      <c r="EH126" s="97" t="s">
        <v>470</v>
      </c>
      <c r="EI126" s="97"/>
      <c r="EJ126" s="96"/>
      <c r="EK126" s="97"/>
      <c r="EL126" s="97"/>
      <c r="EM126" s="96"/>
      <c r="EN126" s="97" t="s">
        <v>470</v>
      </c>
      <c r="EO126" s="97"/>
      <c r="EP126" s="96"/>
      <c r="EQ126" s="96" t="s">
        <v>479</v>
      </c>
      <c r="ER126" s="96"/>
      <c r="ES126" s="96"/>
      <c r="ET126" s="97" t="s">
        <v>470</v>
      </c>
      <c r="EU126" s="97"/>
      <c r="EV126" s="96"/>
      <c r="EW126" s="96"/>
      <c r="EX126" s="96"/>
      <c r="EY126" s="96"/>
      <c r="EZ126" s="97" t="s">
        <v>470</v>
      </c>
      <c r="FA126" s="97"/>
      <c r="FB126" s="97"/>
      <c r="FC126" s="97"/>
      <c r="FD126" s="97"/>
      <c r="FE126" s="97" t="s">
        <v>4848</v>
      </c>
      <c r="FF126" s="97"/>
      <c r="FG126" s="97" t="s">
        <v>4658</v>
      </c>
      <c r="FH126" s="97">
        <v>3</v>
      </c>
      <c r="FI126" s="97">
        <v>5</v>
      </c>
      <c r="FJ126" s="97" t="s">
        <v>4514</v>
      </c>
      <c r="FK126" s="97" t="s">
        <v>4287</v>
      </c>
      <c r="FL126" s="849" t="s">
        <v>4104</v>
      </c>
      <c r="FM126" s="97"/>
      <c r="FN126" s="97"/>
      <c r="FO126" s="97"/>
    </row>
    <row r="127" spans="4:195" ht="36" customHeight="1" x14ac:dyDescent="0.2">
      <c r="D127" s="93" t="s">
        <v>9322</v>
      </c>
      <c r="E127" s="94" t="s">
        <v>9305</v>
      </c>
      <c r="F127" s="94" t="s">
        <v>9121</v>
      </c>
      <c r="G127" s="97" t="s">
        <v>326</v>
      </c>
      <c r="H127" s="97" t="s">
        <v>407</v>
      </c>
      <c r="I127" s="535" t="s">
        <v>8819</v>
      </c>
      <c r="J127" s="535" t="s">
        <v>1413</v>
      </c>
      <c r="K127" s="535" t="s">
        <v>5242</v>
      </c>
      <c r="L127" s="536">
        <v>2021</v>
      </c>
      <c r="M127" s="537">
        <v>44631</v>
      </c>
      <c r="N127" s="537">
        <v>44641</v>
      </c>
      <c r="O127" s="537"/>
      <c r="P127" s="537"/>
      <c r="Q127" s="537"/>
      <c r="R127" s="537"/>
      <c r="S127" s="537"/>
      <c r="T127" s="537"/>
      <c r="U127" s="537"/>
      <c r="V127" s="537"/>
      <c r="W127" s="537"/>
      <c r="X127" s="537"/>
      <c r="Y127" s="537"/>
      <c r="Z127" s="535" t="s">
        <v>8147</v>
      </c>
      <c r="AA127" s="535" t="s">
        <v>7330</v>
      </c>
      <c r="AB127" s="535" t="s">
        <v>7862</v>
      </c>
      <c r="AC127" s="535" t="s">
        <v>7678</v>
      </c>
      <c r="AD127" s="535" t="s">
        <v>7532</v>
      </c>
      <c r="AE127" s="535" t="s">
        <v>7330</v>
      </c>
      <c r="AF127" s="535"/>
      <c r="AG127" s="535"/>
      <c r="AH127" s="535" t="s">
        <v>7014</v>
      </c>
      <c r="AI127" s="535"/>
      <c r="AJ127" s="535"/>
      <c r="AK127" s="535"/>
      <c r="AL127" s="580">
        <f t="shared" si="7"/>
        <v>1E-3</v>
      </c>
      <c r="AM127" s="504">
        <v>1E-3</v>
      </c>
      <c r="AN127" s="516"/>
      <c r="AO127" s="97"/>
      <c r="AP127" s="97"/>
      <c r="AQ127" s="504"/>
      <c r="AR127" s="507"/>
      <c r="AS127" s="507"/>
      <c r="AT127" s="516">
        <v>1E-3</v>
      </c>
      <c r="AU127" s="507"/>
      <c r="AV127" s="516"/>
      <c r="AW127" s="507"/>
      <c r="AX127" s="516"/>
      <c r="AY127" s="507"/>
      <c r="AZ127" s="516"/>
      <c r="BA127" s="539"/>
      <c r="BB127" s="539"/>
      <c r="BC127" s="539"/>
      <c r="BD127" s="539"/>
      <c r="BE127" s="539" t="s">
        <v>479</v>
      </c>
      <c r="BF127" s="539"/>
      <c r="BG127" s="539"/>
      <c r="BH127" s="540"/>
      <c r="BI127" s="541">
        <v>1</v>
      </c>
      <c r="BJ127" s="539"/>
      <c r="BK127" s="542"/>
      <c r="BL127" s="542">
        <v>1</v>
      </c>
      <c r="BM127" s="542">
        <v>1</v>
      </c>
      <c r="BN127" s="542"/>
      <c r="BO127" s="542"/>
      <c r="BP127" s="542"/>
      <c r="BQ127" s="542"/>
      <c r="BR127" s="542"/>
      <c r="BS127" s="542"/>
      <c r="BT127" s="542"/>
      <c r="BU127" s="542"/>
      <c r="BV127" s="542"/>
      <c r="BW127" s="542">
        <v>1</v>
      </c>
      <c r="BX127" s="542"/>
      <c r="BY127" s="542"/>
      <c r="BZ127" s="542"/>
      <c r="CA127" s="542"/>
      <c r="CB127" s="542"/>
      <c r="CC127" s="542"/>
      <c r="CD127" s="542"/>
      <c r="CE127" s="542"/>
      <c r="CF127" s="542"/>
      <c r="CG127" s="542"/>
      <c r="CH127" s="542"/>
      <c r="CI127" s="542"/>
      <c r="CJ127" s="542"/>
      <c r="CK127" s="542"/>
      <c r="CL127" s="543">
        <f t="shared" si="11"/>
        <v>1</v>
      </c>
      <c r="CM127" s="824">
        <f t="shared" si="8"/>
        <v>0</v>
      </c>
      <c r="CN127" s="541">
        <v>0.45</v>
      </c>
      <c r="CO127" s="535" t="s">
        <v>6145</v>
      </c>
      <c r="CP127" s="535"/>
      <c r="CQ127" s="535">
        <v>24</v>
      </c>
      <c r="CR127" s="541">
        <v>1.78</v>
      </c>
      <c r="CS127" s="539" t="s">
        <v>5912</v>
      </c>
      <c r="CT127" s="535" t="s">
        <v>470</v>
      </c>
      <c r="CU127" s="535"/>
      <c r="CV127" s="535"/>
      <c r="CW127" s="535"/>
      <c r="CX127" s="542"/>
      <c r="CY127" s="542"/>
      <c r="CZ127" s="542"/>
      <c r="DA127" s="535" t="s">
        <v>479</v>
      </c>
      <c r="DB127" s="535" t="s">
        <v>1877</v>
      </c>
      <c r="DC127" s="542">
        <v>450</v>
      </c>
      <c r="DD127" s="535" t="s">
        <v>479</v>
      </c>
      <c r="DE127" s="535" t="s">
        <v>640</v>
      </c>
      <c r="DF127" s="542">
        <v>46</v>
      </c>
      <c r="DG127" s="542" t="s">
        <v>479</v>
      </c>
      <c r="DH127" s="542" t="s">
        <v>619</v>
      </c>
      <c r="DI127" s="542">
        <v>46</v>
      </c>
      <c r="DJ127" s="542" t="s">
        <v>470</v>
      </c>
      <c r="DK127" s="542"/>
      <c r="DL127" s="542"/>
      <c r="DM127" s="535" t="s">
        <v>470</v>
      </c>
      <c r="DN127" s="535"/>
      <c r="DO127" s="542"/>
      <c r="DP127" s="535" t="s">
        <v>470</v>
      </c>
      <c r="DQ127" s="535"/>
      <c r="DR127" s="542"/>
      <c r="DS127" s="535" t="s">
        <v>470</v>
      </c>
      <c r="DT127" s="535"/>
      <c r="DU127" s="542"/>
      <c r="DV127" s="535"/>
      <c r="DW127" s="535"/>
      <c r="DX127" s="542"/>
      <c r="DY127" s="535" t="s">
        <v>470</v>
      </c>
      <c r="DZ127" s="535"/>
      <c r="EA127" s="542"/>
      <c r="EB127" s="535" t="s">
        <v>479</v>
      </c>
      <c r="EC127" s="535" t="s">
        <v>640</v>
      </c>
      <c r="ED127" s="542">
        <v>46</v>
      </c>
      <c r="EE127" s="542" t="s">
        <v>470</v>
      </c>
      <c r="EF127" s="542"/>
      <c r="EG127" s="542"/>
      <c r="EH127" s="535" t="s">
        <v>470</v>
      </c>
      <c r="EI127" s="535"/>
      <c r="EJ127" s="542"/>
      <c r="EK127" s="535" t="s">
        <v>470</v>
      </c>
      <c r="EL127" s="535"/>
      <c r="EM127" s="542"/>
      <c r="EN127" s="535" t="s">
        <v>470</v>
      </c>
      <c r="EO127" s="535"/>
      <c r="EP127" s="542"/>
      <c r="EQ127" s="542" t="s">
        <v>479</v>
      </c>
      <c r="ER127" s="542" t="s">
        <v>640</v>
      </c>
      <c r="ES127" s="542">
        <v>8</v>
      </c>
      <c r="ET127" s="535"/>
      <c r="EU127" s="535"/>
      <c r="EV127" s="542"/>
      <c r="EW127" s="542"/>
      <c r="EX127" s="542"/>
      <c r="EY127" s="542"/>
      <c r="EZ127" s="535" t="s">
        <v>470</v>
      </c>
      <c r="FA127" s="535"/>
      <c r="FB127" s="535"/>
      <c r="FC127" s="535" t="s">
        <v>5008</v>
      </c>
      <c r="FD127" s="535"/>
      <c r="FE127" s="535"/>
      <c r="FF127" s="535"/>
      <c r="FG127" s="535" t="s">
        <v>4657</v>
      </c>
      <c r="FH127" s="535">
        <v>2</v>
      </c>
      <c r="FI127" s="535">
        <v>20</v>
      </c>
      <c r="FJ127" s="535" t="s">
        <v>4513</v>
      </c>
      <c r="FK127" s="535" t="s">
        <v>4286</v>
      </c>
      <c r="FL127" s="899" t="s">
        <v>4103</v>
      </c>
      <c r="FM127" s="535"/>
      <c r="FN127" s="535"/>
      <c r="FO127" s="535"/>
    </row>
    <row r="128" spans="4:195" ht="28" customHeight="1" x14ac:dyDescent="0.2">
      <c r="E128" s="94" t="s">
        <v>9305</v>
      </c>
      <c r="F128" s="94" t="s">
        <v>9121</v>
      </c>
      <c r="G128" s="97" t="s">
        <v>326</v>
      </c>
      <c r="H128" s="97" t="s">
        <v>407</v>
      </c>
      <c r="I128" s="911" t="s">
        <v>8818</v>
      </c>
      <c r="J128" s="911" t="s">
        <v>8578</v>
      </c>
      <c r="K128" s="911" t="s">
        <v>5242</v>
      </c>
      <c r="L128" s="912" t="s">
        <v>8337</v>
      </c>
      <c r="M128" s="913">
        <v>44562</v>
      </c>
      <c r="N128" s="913">
        <v>44926</v>
      </c>
      <c r="O128" s="913"/>
      <c r="P128" s="913"/>
      <c r="Q128" s="913"/>
      <c r="R128" s="913"/>
      <c r="S128" s="913"/>
      <c r="T128" s="913"/>
      <c r="U128" s="913"/>
      <c r="V128" s="913"/>
      <c r="W128" s="913"/>
      <c r="X128" s="913"/>
      <c r="Y128" s="913"/>
      <c r="Z128" s="911"/>
      <c r="AA128" s="911"/>
      <c r="AB128" s="911"/>
      <c r="AC128" s="911"/>
      <c r="AD128" s="911"/>
      <c r="AE128" s="911"/>
      <c r="AF128" s="911"/>
      <c r="AG128" s="911"/>
      <c r="AH128" s="911" t="s">
        <v>6563</v>
      </c>
      <c r="AI128" s="911" t="s">
        <v>6563</v>
      </c>
      <c r="AJ128" s="911" t="s">
        <v>477</v>
      </c>
      <c r="AK128" s="911" t="s">
        <v>6563</v>
      </c>
      <c r="AL128" s="580">
        <f t="shared" si="7"/>
        <v>1.4999999999999999E-2</v>
      </c>
      <c r="AM128" s="914">
        <v>1.4999999999999999E-2</v>
      </c>
      <c r="AN128" s="914"/>
      <c r="AO128" s="914"/>
      <c r="AP128" s="914"/>
      <c r="AQ128" s="914">
        <v>1.4999999999999999E-2</v>
      </c>
      <c r="AR128" s="915">
        <v>1</v>
      </c>
      <c r="AS128" s="915">
        <v>5.0000000000000001E-4</v>
      </c>
      <c r="AT128" s="914">
        <v>0</v>
      </c>
      <c r="AU128" s="915">
        <v>0</v>
      </c>
      <c r="AV128" s="914">
        <v>0</v>
      </c>
      <c r="AW128" s="915">
        <v>0</v>
      </c>
      <c r="AX128" s="915">
        <v>0</v>
      </c>
      <c r="AY128" s="915">
        <v>0</v>
      </c>
      <c r="AZ128" s="915"/>
      <c r="BA128" s="915"/>
      <c r="BB128" s="915"/>
      <c r="BC128" s="915"/>
      <c r="BD128" s="915"/>
      <c r="BE128" s="915"/>
      <c r="BF128" s="915"/>
      <c r="BG128" s="915"/>
      <c r="BH128" s="916"/>
      <c r="BI128" s="914">
        <v>0</v>
      </c>
      <c r="BJ128" s="915">
        <v>0</v>
      </c>
      <c r="BK128" s="917">
        <v>1</v>
      </c>
      <c r="BL128" s="917">
        <v>1</v>
      </c>
      <c r="BM128" s="917">
        <v>1</v>
      </c>
      <c r="BN128" s="917">
        <v>0</v>
      </c>
      <c r="BO128" s="917">
        <v>0</v>
      </c>
      <c r="BP128" s="917">
        <v>0</v>
      </c>
      <c r="BQ128" s="917">
        <v>0</v>
      </c>
      <c r="BR128" s="917">
        <v>0</v>
      </c>
      <c r="BS128" s="917">
        <v>0</v>
      </c>
      <c r="BT128" s="917">
        <v>0</v>
      </c>
      <c r="BU128" s="917">
        <v>0</v>
      </c>
      <c r="BV128" s="917">
        <v>0</v>
      </c>
      <c r="BW128" s="917">
        <v>1</v>
      </c>
      <c r="BX128" s="917">
        <v>0</v>
      </c>
      <c r="BY128" s="917">
        <v>0</v>
      </c>
      <c r="BZ128" s="917">
        <v>0</v>
      </c>
      <c r="CA128" s="917">
        <v>0</v>
      </c>
      <c r="CB128" s="917">
        <v>0</v>
      </c>
      <c r="CC128" s="917">
        <v>0</v>
      </c>
      <c r="CD128" s="917">
        <v>0</v>
      </c>
      <c r="CE128" s="917">
        <v>0</v>
      </c>
      <c r="CF128" s="917">
        <v>0</v>
      </c>
      <c r="CG128" s="917">
        <v>0</v>
      </c>
      <c r="CH128" s="917">
        <v>0</v>
      </c>
      <c r="CI128" s="917">
        <v>0</v>
      </c>
      <c r="CJ128" s="917">
        <v>0</v>
      </c>
      <c r="CK128" s="917">
        <v>0</v>
      </c>
      <c r="CL128" s="918">
        <f>SUM(BN128:CK128)</f>
        <v>1</v>
      </c>
      <c r="CM128" s="824">
        <f t="shared" si="8"/>
        <v>0</v>
      </c>
      <c r="CN128" s="914">
        <v>2.4969999999999999</v>
      </c>
      <c r="CO128" s="911" t="s">
        <v>6144</v>
      </c>
      <c r="CP128" s="911"/>
      <c r="CQ128" s="911"/>
      <c r="CR128" s="914">
        <v>2.4969999999999999</v>
      </c>
      <c r="CS128" s="919" t="s">
        <v>5908</v>
      </c>
      <c r="CT128" s="911" t="s">
        <v>470</v>
      </c>
      <c r="CU128" s="911"/>
      <c r="CV128" s="911"/>
      <c r="CW128" s="911"/>
      <c r="CX128" s="917"/>
      <c r="CY128" s="917"/>
      <c r="CZ128" s="917"/>
      <c r="DA128" s="911" t="s">
        <v>479</v>
      </c>
      <c r="DB128" s="911" t="s">
        <v>1876</v>
      </c>
      <c r="DC128" s="917">
        <v>457</v>
      </c>
      <c r="DD128" s="911" t="s">
        <v>479</v>
      </c>
      <c r="DE128" s="911" t="s">
        <v>5646</v>
      </c>
      <c r="DF128" s="917">
        <v>11</v>
      </c>
      <c r="DG128" s="917" t="s">
        <v>470</v>
      </c>
      <c r="DH128" s="917"/>
      <c r="DI128" s="917"/>
      <c r="DJ128" s="917" t="s">
        <v>470</v>
      </c>
      <c r="DK128" s="917"/>
      <c r="DL128" s="917"/>
      <c r="DM128" s="911" t="s">
        <v>470</v>
      </c>
      <c r="DN128" s="911"/>
      <c r="DO128" s="917"/>
      <c r="DP128" s="911" t="s">
        <v>470</v>
      </c>
      <c r="DQ128" s="911"/>
      <c r="DR128" s="917"/>
      <c r="DS128" s="911" t="s">
        <v>470</v>
      </c>
      <c r="DT128" s="911"/>
      <c r="DU128" s="917"/>
      <c r="DV128" s="911"/>
      <c r="DW128" s="911"/>
      <c r="DX128" s="917"/>
      <c r="DY128" s="911" t="s">
        <v>470</v>
      </c>
      <c r="DZ128" s="911"/>
      <c r="EA128" s="917"/>
      <c r="EB128" s="911" t="s">
        <v>470</v>
      </c>
      <c r="EC128" s="911"/>
      <c r="ED128" s="917"/>
      <c r="EE128" s="917" t="s">
        <v>470</v>
      </c>
      <c r="EF128" s="917"/>
      <c r="EG128" s="917"/>
      <c r="EH128" s="911" t="s">
        <v>470</v>
      </c>
      <c r="EI128" s="911"/>
      <c r="EJ128" s="917"/>
      <c r="EK128" s="911" t="s">
        <v>470</v>
      </c>
      <c r="EL128" s="911"/>
      <c r="EM128" s="917"/>
      <c r="EN128" s="911" t="s">
        <v>470</v>
      </c>
      <c r="EO128" s="911"/>
      <c r="EP128" s="917"/>
      <c r="EQ128" s="917" t="s">
        <v>479</v>
      </c>
      <c r="ER128" s="917" t="s">
        <v>920</v>
      </c>
      <c r="ES128" s="917">
        <v>11</v>
      </c>
      <c r="ET128" s="911"/>
      <c r="EU128" s="911"/>
      <c r="EV128" s="917"/>
      <c r="EW128" s="917"/>
      <c r="EX128" s="917"/>
      <c r="EY128" s="917"/>
      <c r="EZ128" s="911" t="s">
        <v>470</v>
      </c>
      <c r="FA128" s="911"/>
      <c r="FB128" s="911"/>
      <c r="FC128" s="911"/>
      <c r="FD128" s="911"/>
      <c r="FE128" s="911"/>
      <c r="FF128" s="911"/>
      <c r="FG128" s="911"/>
      <c r="FH128" s="911"/>
      <c r="FI128" s="911"/>
      <c r="FJ128" s="911"/>
      <c r="FK128" s="911"/>
      <c r="FL128" s="911"/>
      <c r="FM128" s="911" t="s">
        <v>3905</v>
      </c>
      <c r="FN128" s="911" t="s">
        <v>3827</v>
      </c>
      <c r="FO128" s="911" t="s">
        <v>3755</v>
      </c>
      <c r="FP128" s="96"/>
      <c r="FQ128" s="96"/>
      <c r="FR128" s="97"/>
      <c r="FS128" s="97"/>
      <c r="FT128" s="96"/>
      <c r="FU128" s="96"/>
      <c r="FV128" s="96"/>
      <c r="FW128" s="96"/>
      <c r="FX128" s="97"/>
      <c r="FY128" s="97"/>
      <c r="FZ128" s="97"/>
      <c r="GA128" s="97"/>
      <c r="GB128" s="97"/>
      <c r="GC128" s="97"/>
      <c r="GD128" s="97"/>
      <c r="GE128" s="97"/>
      <c r="GF128" s="97"/>
      <c r="GG128" s="97"/>
      <c r="GH128" s="97"/>
      <c r="GI128" s="97"/>
      <c r="GJ128" s="97"/>
      <c r="GK128" s="97"/>
      <c r="GL128" s="97"/>
      <c r="GM128" s="842"/>
    </row>
    <row r="129" spans="4:171" ht="36" customHeight="1" x14ac:dyDescent="0.2">
      <c r="E129" s="94" t="s">
        <v>9305</v>
      </c>
      <c r="F129" s="94" t="s">
        <v>9121</v>
      </c>
      <c r="G129" s="97" t="s">
        <v>326</v>
      </c>
      <c r="H129" s="97" t="s">
        <v>407</v>
      </c>
      <c r="I129" s="535" t="s">
        <v>8817</v>
      </c>
      <c r="J129" s="535" t="s">
        <v>8577</v>
      </c>
      <c r="K129" s="535" t="s">
        <v>5242</v>
      </c>
      <c r="L129" s="536">
        <v>2021</v>
      </c>
      <c r="M129" s="537">
        <v>44562</v>
      </c>
      <c r="N129" s="537">
        <v>44926</v>
      </c>
      <c r="O129" s="537"/>
      <c r="P129" s="537"/>
      <c r="Q129" s="537"/>
      <c r="R129" s="537"/>
      <c r="S129" s="537"/>
      <c r="T129" s="537"/>
      <c r="U129" s="537"/>
      <c r="V129" s="537"/>
      <c r="W129" s="537"/>
      <c r="X129" s="537"/>
      <c r="Y129" s="537"/>
      <c r="Z129" s="535"/>
      <c r="AA129" s="535"/>
      <c r="AB129" s="535" t="s">
        <v>7861</v>
      </c>
      <c r="AC129" s="535" t="s">
        <v>7677</v>
      </c>
      <c r="AD129" s="535"/>
      <c r="AE129" s="535"/>
      <c r="AF129" s="535"/>
      <c r="AG129" s="535"/>
      <c r="AH129" s="535" t="s">
        <v>6562</v>
      </c>
      <c r="AI129" s="535" t="s">
        <v>6562</v>
      </c>
      <c r="AJ129" s="535" t="s">
        <v>6729</v>
      </c>
      <c r="AK129" s="535" t="s">
        <v>6562</v>
      </c>
      <c r="AL129" s="580">
        <f t="shared" si="7"/>
        <v>0.02</v>
      </c>
      <c r="AM129" s="504">
        <v>0.02</v>
      </c>
      <c r="AN129" s="516"/>
      <c r="AO129" s="97"/>
      <c r="AP129" s="97"/>
      <c r="AQ129" s="504">
        <v>0.02</v>
      </c>
      <c r="AR129" s="507">
        <v>1</v>
      </c>
      <c r="AS129" s="507">
        <v>8.0000000000000004E-4</v>
      </c>
      <c r="AT129" s="516"/>
      <c r="AU129" s="507"/>
      <c r="AV129" s="516"/>
      <c r="AW129" s="507"/>
      <c r="AX129" s="516"/>
      <c r="AY129" s="507"/>
      <c r="AZ129" s="516"/>
      <c r="BA129" s="539"/>
      <c r="BB129" s="539"/>
      <c r="BC129" s="539"/>
      <c r="BD129" s="539"/>
      <c r="BE129" s="539"/>
      <c r="BF129" s="539"/>
      <c r="BG129" s="539"/>
      <c r="BH129" s="540"/>
      <c r="BI129" s="541"/>
      <c r="BJ129" s="539"/>
      <c r="BK129" s="542">
        <v>2</v>
      </c>
      <c r="BL129" s="542">
        <v>1</v>
      </c>
      <c r="BM129" s="542">
        <v>1</v>
      </c>
      <c r="BN129" s="542"/>
      <c r="BO129" s="542"/>
      <c r="BP129" s="542"/>
      <c r="BQ129" s="542"/>
      <c r="BR129" s="542"/>
      <c r="BS129" s="542"/>
      <c r="BT129" s="542"/>
      <c r="BU129" s="542"/>
      <c r="BV129" s="542"/>
      <c r="BW129" s="542"/>
      <c r="BX129" s="542"/>
      <c r="BY129" s="542"/>
      <c r="BZ129" s="542">
        <v>1</v>
      </c>
      <c r="CA129" s="542"/>
      <c r="CB129" s="542"/>
      <c r="CC129" s="542"/>
      <c r="CD129" s="542"/>
      <c r="CE129" s="542"/>
      <c r="CF129" s="542"/>
      <c r="CG129" s="542"/>
      <c r="CH129" s="542"/>
      <c r="CI129" s="542"/>
      <c r="CJ129" s="542"/>
      <c r="CK129" s="542"/>
      <c r="CL129" s="543">
        <f t="shared" si="11"/>
        <v>1</v>
      </c>
      <c r="CM129" s="824">
        <f t="shared" si="8"/>
        <v>0</v>
      </c>
      <c r="CN129" s="541">
        <v>1.78</v>
      </c>
      <c r="CO129" s="535" t="s">
        <v>6143</v>
      </c>
      <c r="CP129" s="535"/>
      <c r="CQ129" s="920">
        <v>1</v>
      </c>
      <c r="CR129" s="541">
        <v>1.78</v>
      </c>
      <c r="CS129" s="921" t="s">
        <v>5908</v>
      </c>
      <c r="CT129" s="535" t="s">
        <v>470</v>
      </c>
      <c r="CU129" s="535"/>
      <c r="CV129" s="535"/>
      <c r="CW129" s="535"/>
      <c r="CX129" s="542"/>
      <c r="CY129" s="542"/>
      <c r="CZ129" s="542"/>
      <c r="DA129" s="535" t="s">
        <v>479</v>
      </c>
      <c r="DB129" s="535" t="s">
        <v>1876</v>
      </c>
      <c r="DC129" s="542">
        <v>700</v>
      </c>
      <c r="DD129" s="535" t="s">
        <v>479</v>
      </c>
      <c r="DE129" s="535" t="s">
        <v>640</v>
      </c>
      <c r="DF129" s="542">
        <v>700</v>
      </c>
      <c r="DG129" s="542"/>
      <c r="DH129" s="542"/>
      <c r="DI129" s="542"/>
      <c r="DJ129" s="542"/>
      <c r="DK129" s="542"/>
      <c r="DL129" s="542"/>
      <c r="DM129" s="535"/>
      <c r="DN129" s="535"/>
      <c r="DO129" s="542"/>
      <c r="DP129" s="535"/>
      <c r="DQ129" s="535"/>
      <c r="DR129" s="542"/>
      <c r="DS129" s="535"/>
      <c r="DT129" s="535"/>
      <c r="DU129" s="542"/>
      <c r="DV129" s="535"/>
      <c r="DW129" s="535"/>
      <c r="DX129" s="542"/>
      <c r="DY129" s="535"/>
      <c r="DZ129" s="535"/>
      <c r="EA129" s="542"/>
      <c r="EB129" s="535" t="s">
        <v>479</v>
      </c>
      <c r="EC129" s="535" t="s">
        <v>640</v>
      </c>
      <c r="ED129" s="542">
        <v>20</v>
      </c>
      <c r="EE129" s="542"/>
      <c r="EF129" s="542"/>
      <c r="EG129" s="542"/>
      <c r="EH129" s="535"/>
      <c r="EI129" s="535"/>
      <c r="EJ129" s="542"/>
      <c r="EK129" s="535"/>
      <c r="EL129" s="535"/>
      <c r="EM129" s="542"/>
      <c r="EN129" s="535"/>
      <c r="EO129" s="535"/>
      <c r="EP129" s="542"/>
      <c r="EQ129" s="542"/>
      <c r="ER129" s="542"/>
      <c r="ES129" s="542"/>
      <c r="ET129" s="535"/>
      <c r="EU129" s="535"/>
      <c r="EV129" s="542"/>
      <c r="EW129" s="542"/>
      <c r="EX129" s="542"/>
      <c r="EY129" s="542"/>
      <c r="EZ129" s="535"/>
      <c r="FA129" s="535"/>
      <c r="FB129" s="535"/>
      <c r="FC129" s="535"/>
      <c r="FD129" s="535"/>
      <c r="FE129" s="535"/>
      <c r="FF129" s="535"/>
      <c r="FG129" s="535"/>
      <c r="FH129" s="535"/>
      <c r="FI129" s="535"/>
      <c r="FJ129" s="535" t="s">
        <v>4512</v>
      </c>
      <c r="FK129" s="535">
        <v>88614227328</v>
      </c>
      <c r="FL129" s="899" t="s">
        <v>4102</v>
      </c>
      <c r="FM129" s="535"/>
      <c r="FN129" s="535"/>
      <c r="FO129" s="535"/>
    </row>
    <row r="130" spans="4:171" ht="28" customHeight="1" x14ac:dyDescent="0.2">
      <c r="E130" s="94" t="s">
        <v>9305</v>
      </c>
      <c r="F130" s="94" t="s">
        <v>9121</v>
      </c>
      <c r="G130" s="97" t="s">
        <v>326</v>
      </c>
      <c r="H130" s="97" t="s">
        <v>407</v>
      </c>
      <c r="I130" s="535" t="s">
        <v>8816</v>
      </c>
      <c r="J130" s="535" t="s">
        <v>8423</v>
      </c>
      <c r="K130" s="535" t="s">
        <v>8423</v>
      </c>
      <c r="L130" s="536">
        <v>2022</v>
      </c>
      <c r="M130" s="537">
        <v>44617</v>
      </c>
      <c r="N130" s="537">
        <v>44872</v>
      </c>
      <c r="O130" s="537"/>
      <c r="P130" s="537"/>
      <c r="Q130" s="537"/>
      <c r="R130" s="537"/>
      <c r="S130" s="537"/>
      <c r="T130" s="537"/>
      <c r="U130" s="537"/>
      <c r="V130" s="537"/>
      <c r="W130" s="537"/>
      <c r="X130" s="537"/>
      <c r="Y130" s="537"/>
      <c r="Z130" s="535" t="s">
        <v>7531</v>
      </c>
      <c r="AA130" s="535" t="s">
        <v>7329</v>
      </c>
      <c r="AB130" s="535" t="s">
        <v>7860</v>
      </c>
      <c r="AC130" s="514" t="s">
        <v>4847</v>
      </c>
      <c r="AD130" s="535" t="s">
        <v>7531</v>
      </c>
      <c r="AE130" s="535" t="s">
        <v>7329</v>
      </c>
      <c r="AF130" s="97" t="s">
        <v>7165</v>
      </c>
      <c r="AG130" s="97" t="s">
        <v>7094</v>
      </c>
      <c r="AH130" s="535" t="s">
        <v>6561</v>
      </c>
      <c r="AI130" s="97" t="s">
        <v>6561</v>
      </c>
      <c r="AJ130" s="97" t="s">
        <v>6728</v>
      </c>
      <c r="AK130" s="97" t="s">
        <v>6561</v>
      </c>
      <c r="AL130" s="580">
        <f t="shared" si="7"/>
        <v>0.11</v>
      </c>
      <c r="AM130" s="504">
        <v>0.11</v>
      </c>
      <c r="AN130" s="516"/>
      <c r="AO130" s="97"/>
      <c r="AP130" s="97"/>
      <c r="AQ130" s="504">
        <v>0.11</v>
      </c>
      <c r="AR130" s="507">
        <v>1</v>
      </c>
      <c r="AS130" s="507">
        <v>1.2099999999999999E-3</v>
      </c>
      <c r="AT130" s="516">
        <v>0</v>
      </c>
      <c r="AU130" s="507">
        <v>0</v>
      </c>
      <c r="AV130" s="516">
        <v>0</v>
      </c>
      <c r="AW130" s="507">
        <v>0</v>
      </c>
      <c r="AX130" s="516"/>
      <c r="AY130" s="507">
        <v>0</v>
      </c>
      <c r="AZ130" s="516"/>
      <c r="BA130" s="539"/>
      <c r="BB130" s="539"/>
      <c r="BC130" s="539"/>
      <c r="BD130" s="539"/>
      <c r="BE130" s="539" t="s">
        <v>470</v>
      </c>
      <c r="BF130" s="539" t="s">
        <v>6327</v>
      </c>
      <c r="BG130" s="539"/>
      <c r="BH130" s="540">
        <v>0</v>
      </c>
      <c r="BI130" s="541">
        <v>0.1</v>
      </c>
      <c r="BJ130" s="539">
        <v>3.8E-3</v>
      </c>
      <c r="BK130" s="542">
        <v>1</v>
      </c>
      <c r="BL130" s="542">
        <v>1</v>
      </c>
      <c r="BM130" s="542">
        <v>1</v>
      </c>
      <c r="BN130" s="542">
        <v>0</v>
      </c>
      <c r="BO130" s="542">
        <v>0</v>
      </c>
      <c r="BP130" s="542">
        <v>0</v>
      </c>
      <c r="BQ130" s="542">
        <v>0</v>
      </c>
      <c r="BR130" s="542">
        <v>0</v>
      </c>
      <c r="BS130" s="542">
        <v>0</v>
      </c>
      <c r="BT130" s="542">
        <v>0</v>
      </c>
      <c r="BU130" s="542">
        <v>0</v>
      </c>
      <c r="BV130" s="542">
        <v>0</v>
      </c>
      <c r="BW130" s="542">
        <v>0</v>
      </c>
      <c r="BX130" s="542">
        <v>0</v>
      </c>
      <c r="BY130" s="542">
        <v>1</v>
      </c>
      <c r="BZ130" s="542">
        <v>0</v>
      </c>
      <c r="CA130" s="542">
        <v>0</v>
      </c>
      <c r="CB130" s="542">
        <v>0</v>
      </c>
      <c r="CC130" s="542">
        <v>0</v>
      </c>
      <c r="CD130" s="542">
        <v>0</v>
      </c>
      <c r="CE130" s="542">
        <v>0</v>
      </c>
      <c r="CF130" s="542">
        <v>0</v>
      </c>
      <c r="CG130" s="542">
        <v>0</v>
      </c>
      <c r="CH130" s="542">
        <v>0</v>
      </c>
      <c r="CI130" s="542">
        <v>0</v>
      </c>
      <c r="CJ130" s="542">
        <v>0</v>
      </c>
      <c r="CK130" s="542">
        <v>0</v>
      </c>
      <c r="CL130" s="543">
        <f t="shared" si="11"/>
        <v>1</v>
      </c>
      <c r="CM130" s="824">
        <f t="shared" si="8"/>
        <v>0</v>
      </c>
      <c r="CN130" s="541">
        <v>0.27</v>
      </c>
      <c r="CO130" s="535" t="s">
        <v>6142</v>
      </c>
      <c r="CP130" s="514" t="s">
        <v>4847</v>
      </c>
      <c r="CQ130" s="535">
        <v>6.4550000000000001</v>
      </c>
      <c r="CR130" s="541">
        <v>4.1829999999999998</v>
      </c>
      <c r="CS130" s="539" t="s">
        <v>5908</v>
      </c>
      <c r="CT130" s="535" t="s">
        <v>470</v>
      </c>
      <c r="CU130" s="535"/>
      <c r="CV130" s="535"/>
      <c r="CW130" s="535"/>
      <c r="CX130" s="542">
        <v>0</v>
      </c>
      <c r="CY130" s="542">
        <v>0</v>
      </c>
      <c r="CZ130" s="542">
        <v>2</v>
      </c>
      <c r="DA130" s="535" t="s">
        <v>470</v>
      </c>
      <c r="DB130" s="535"/>
      <c r="DC130" s="542">
        <v>0</v>
      </c>
      <c r="DD130" s="535" t="s">
        <v>470</v>
      </c>
      <c r="DE130" s="535"/>
      <c r="DF130" s="542">
        <v>0</v>
      </c>
      <c r="DG130" s="542" t="s">
        <v>479</v>
      </c>
      <c r="DH130" s="542" t="s">
        <v>920</v>
      </c>
      <c r="DI130" s="542">
        <v>31</v>
      </c>
      <c r="DJ130" s="542" t="s">
        <v>470</v>
      </c>
      <c r="DK130" s="542"/>
      <c r="DL130" s="542">
        <v>0</v>
      </c>
      <c r="DM130" s="535" t="s">
        <v>470</v>
      </c>
      <c r="DN130" s="535"/>
      <c r="DO130" s="542">
        <v>0</v>
      </c>
      <c r="DP130" s="535" t="s">
        <v>470</v>
      </c>
      <c r="DQ130" s="535"/>
      <c r="DR130" s="542">
        <v>0</v>
      </c>
      <c r="DS130" s="535" t="s">
        <v>470</v>
      </c>
      <c r="DT130" s="535"/>
      <c r="DU130" s="542">
        <v>0</v>
      </c>
      <c r="DV130" s="535" t="s">
        <v>5515</v>
      </c>
      <c r="DW130" s="535"/>
      <c r="DX130" s="542">
        <v>0</v>
      </c>
      <c r="DY130" s="535" t="s">
        <v>470</v>
      </c>
      <c r="DZ130" s="535"/>
      <c r="EA130" s="542">
        <v>0</v>
      </c>
      <c r="EB130" s="535" t="s">
        <v>470</v>
      </c>
      <c r="EC130" s="535"/>
      <c r="ED130" s="542">
        <v>0</v>
      </c>
      <c r="EE130" s="542" t="s">
        <v>479</v>
      </c>
      <c r="EF130" s="542" t="s">
        <v>920</v>
      </c>
      <c r="EG130" s="542">
        <v>31</v>
      </c>
      <c r="EH130" s="535" t="s">
        <v>470</v>
      </c>
      <c r="EI130" s="535"/>
      <c r="EJ130" s="542">
        <v>0</v>
      </c>
      <c r="EK130" s="535" t="s">
        <v>470</v>
      </c>
      <c r="EL130" s="535"/>
      <c r="EM130" s="542">
        <v>0</v>
      </c>
      <c r="EN130" s="535" t="s">
        <v>470</v>
      </c>
      <c r="EO130" s="535"/>
      <c r="EP130" s="542">
        <v>0</v>
      </c>
      <c r="EQ130" s="542" t="s">
        <v>470</v>
      </c>
      <c r="ER130" s="542"/>
      <c r="ES130" s="542">
        <v>0</v>
      </c>
      <c r="ET130" s="535"/>
      <c r="EU130" s="535"/>
      <c r="EV130" s="542">
        <v>0</v>
      </c>
      <c r="EW130" s="542"/>
      <c r="EX130" s="542"/>
      <c r="EY130" s="542"/>
      <c r="EZ130" s="535" t="s">
        <v>470</v>
      </c>
      <c r="FA130" s="535"/>
      <c r="FB130" s="535" t="s">
        <v>4724</v>
      </c>
      <c r="FC130" s="97" t="s">
        <v>5007</v>
      </c>
      <c r="FD130" s="535"/>
      <c r="FE130" s="514" t="s">
        <v>4847</v>
      </c>
      <c r="FF130" s="535" t="s">
        <v>4724</v>
      </c>
      <c r="FG130" s="535" t="s">
        <v>1750</v>
      </c>
      <c r="FH130" s="535">
        <v>0</v>
      </c>
      <c r="FI130" s="535">
        <v>0</v>
      </c>
      <c r="FJ130" s="97" t="s">
        <v>3904</v>
      </c>
      <c r="FK130" s="97" t="s">
        <v>3826</v>
      </c>
      <c r="FL130" s="97" t="s">
        <v>3754</v>
      </c>
      <c r="FM130" s="97" t="s">
        <v>3904</v>
      </c>
      <c r="FN130" s="97" t="s">
        <v>3826</v>
      </c>
      <c r="FO130" s="97" t="s">
        <v>3754</v>
      </c>
    </row>
    <row r="131" spans="4:171" ht="36" customHeight="1" x14ac:dyDescent="0.2">
      <c r="E131" s="94" t="s">
        <v>9305</v>
      </c>
      <c r="F131" s="94" t="s">
        <v>9121</v>
      </c>
      <c r="G131" s="97" t="s">
        <v>326</v>
      </c>
      <c r="H131" s="97" t="s">
        <v>407</v>
      </c>
      <c r="I131" s="535" t="s">
        <v>8815</v>
      </c>
      <c r="J131" s="535" t="s">
        <v>8576</v>
      </c>
      <c r="K131" s="535" t="s">
        <v>5242</v>
      </c>
      <c r="L131" s="536">
        <v>2021</v>
      </c>
      <c r="M131" s="537">
        <v>44562</v>
      </c>
      <c r="N131" s="537">
        <v>44926</v>
      </c>
      <c r="O131" s="537"/>
      <c r="P131" s="537"/>
      <c r="Q131" s="537"/>
      <c r="R131" s="537"/>
      <c r="S131" s="537"/>
      <c r="T131" s="537"/>
      <c r="U131" s="537"/>
      <c r="V131" s="537"/>
      <c r="W131" s="537"/>
      <c r="X131" s="537"/>
      <c r="Y131" s="537"/>
      <c r="Z131" s="535" t="s">
        <v>8146</v>
      </c>
      <c r="AA131" s="922" t="s">
        <v>7328</v>
      </c>
      <c r="AB131" s="535" t="s">
        <v>7859</v>
      </c>
      <c r="AC131" s="922" t="s">
        <v>7676</v>
      </c>
      <c r="AD131" s="535" t="s">
        <v>7530</v>
      </c>
      <c r="AE131" s="922" t="s">
        <v>7328</v>
      </c>
      <c r="AF131" s="535"/>
      <c r="AG131" s="535"/>
      <c r="AH131" s="535" t="s">
        <v>6560</v>
      </c>
      <c r="AI131" s="535" t="s">
        <v>6560</v>
      </c>
      <c r="AJ131" s="535" t="s">
        <v>477</v>
      </c>
      <c r="AK131" s="535" t="s">
        <v>6560</v>
      </c>
      <c r="AL131" s="580">
        <f t="shared" si="7"/>
        <v>0.59930000000000005</v>
      </c>
      <c r="AM131" s="504">
        <v>0.59930000000000005</v>
      </c>
      <c r="AN131" s="516"/>
      <c r="AO131" s="97"/>
      <c r="AP131" s="97"/>
      <c r="AQ131" s="504">
        <v>0.59530000000000005</v>
      </c>
      <c r="AR131" s="507">
        <v>0.99299999999999999</v>
      </c>
      <c r="AS131" s="507">
        <v>3.5999999999999997E-2</v>
      </c>
      <c r="AT131" s="516"/>
      <c r="AU131" s="507"/>
      <c r="AV131" s="516"/>
      <c r="AW131" s="507"/>
      <c r="AX131" s="516">
        <v>4.0000000000000001E-3</v>
      </c>
      <c r="AY131" s="507">
        <v>7.0000000000000001E-3</v>
      </c>
      <c r="AZ131" s="516"/>
      <c r="BA131" s="539"/>
      <c r="BB131" s="539"/>
      <c r="BC131" s="539"/>
      <c r="BD131" s="539"/>
      <c r="BE131" s="539" t="s">
        <v>470</v>
      </c>
      <c r="BF131" s="539"/>
      <c r="BG131" s="539"/>
      <c r="BH131" s="540"/>
      <c r="BI131" s="541"/>
      <c r="BJ131" s="539"/>
      <c r="BK131" s="542"/>
      <c r="BL131" s="542"/>
      <c r="BM131" s="542"/>
      <c r="BN131" s="542"/>
      <c r="BO131" s="542">
        <v>1</v>
      </c>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3">
        <f t="shared" si="11"/>
        <v>1</v>
      </c>
      <c r="CM131" s="824">
        <f t="shared" si="8"/>
        <v>0</v>
      </c>
      <c r="CN131" s="541">
        <v>3.2919999999999998</v>
      </c>
      <c r="CO131" s="535"/>
      <c r="CP131" s="535"/>
      <c r="CQ131" s="535">
        <v>100</v>
      </c>
      <c r="CR131" s="541">
        <v>3.2919999999999998</v>
      </c>
      <c r="CS131" s="923" t="s">
        <v>5908</v>
      </c>
      <c r="CT131" s="535" t="s">
        <v>470</v>
      </c>
      <c r="CU131" s="535"/>
      <c r="CV131" s="535"/>
      <c r="CW131" s="535"/>
      <c r="CX131" s="542"/>
      <c r="CY131" s="542"/>
      <c r="CZ131" s="542"/>
      <c r="DA131" s="535"/>
      <c r="DB131" s="535"/>
      <c r="DC131" s="542"/>
      <c r="DD131" s="535"/>
      <c r="DE131" s="535"/>
      <c r="DF131" s="542"/>
      <c r="DG131" s="542" t="s">
        <v>479</v>
      </c>
      <c r="DH131" s="542" t="s">
        <v>5571</v>
      </c>
      <c r="DI131" s="542">
        <v>997</v>
      </c>
      <c r="DJ131" s="542"/>
      <c r="DK131" s="542"/>
      <c r="DL131" s="542"/>
      <c r="DM131" s="535"/>
      <c r="DN131" s="535"/>
      <c r="DO131" s="542"/>
      <c r="DP131" s="535"/>
      <c r="DQ131" s="535"/>
      <c r="DR131" s="542"/>
      <c r="DS131" s="535"/>
      <c r="DT131" s="535"/>
      <c r="DU131" s="542"/>
      <c r="DV131" s="535"/>
      <c r="DW131" s="535"/>
      <c r="DX131" s="542"/>
      <c r="DY131" s="535"/>
      <c r="DZ131" s="535"/>
      <c r="EA131" s="542"/>
      <c r="EB131" s="535" t="s">
        <v>479</v>
      </c>
      <c r="EC131" s="535" t="s">
        <v>5424</v>
      </c>
      <c r="ED131" s="542">
        <v>20</v>
      </c>
      <c r="EE131" s="542"/>
      <c r="EF131" s="542"/>
      <c r="EG131" s="542"/>
      <c r="EH131" s="535"/>
      <c r="EI131" s="535"/>
      <c r="EJ131" s="542"/>
      <c r="EK131" s="535"/>
      <c r="EL131" s="535"/>
      <c r="EM131" s="542"/>
      <c r="EN131" s="535" t="s">
        <v>479</v>
      </c>
      <c r="EO131" s="535" t="s">
        <v>5357</v>
      </c>
      <c r="EP131" s="542">
        <v>7</v>
      </c>
      <c r="EQ131" s="542"/>
      <c r="ER131" s="542"/>
      <c r="ES131" s="542"/>
      <c r="ET131" s="535"/>
      <c r="EU131" s="535"/>
      <c r="EV131" s="542"/>
      <c r="EW131" s="542"/>
      <c r="EX131" s="542"/>
      <c r="EY131" s="542"/>
      <c r="EZ131" s="535"/>
      <c r="FA131" s="535"/>
      <c r="FB131" s="535" t="s">
        <v>4723</v>
      </c>
      <c r="FC131" s="535" t="s">
        <v>4723</v>
      </c>
      <c r="FD131" s="535" t="s">
        <v>4723</v>
      </c>
      <c r="FE131" s="535" t="s">
        <v>4846</v>
      </c>
      <c r="FF131" s="535" t="s">
        <v>4723</v>
      </c>
      <c r="FG131" s="535"/>
      <c r="FH131" s="535"/>
      <c r="FI131" s="535"/>
      <c r="FJ131" s="535" t="s">
        <v>4511</v>
      </c>
      <c r="FK131" s="535" t="s">
        <v>4285</v>
      </c>
      <c r="FL131" s="899" t="s">
        <v>4101</v>
      </c>
      <c r="FM131" s="535"/>
      <c r="FN131" s="535"/>
      <c r="FO131" s="535"/>
    </row>
    <row r="132" spans="4:171" ht="28" customHeight="1" x14ac:dyDescent="0.2">
      <c r="E132" s="94" t="s">
        <v>9305</v>
      </c>
      <c r="F132" s="94" t="s">
        <v>9121</v>
      </c>
      <c r="G132" s="97" t="s">
        <v>326</v>
      </c>
      <c r="H132" s="97" t="s">
        <v>407</v>
      </c>
      <c r="I132" s="535" t="s">
        <v>8814</v>
      </c>
      <c r="J132" s="535" t="s">
        <v>8422</v>
      </c>
      <c r="K132" s="535" t="s">
        <v>8422</v>
      </c>
      <c r="L132" s="536">
        <v>2022</v>
      </c>
      <c r="M132" s="537">
        <v>44713</v>
      </c>
      <c r="N132" s="537">
        <v>44728</v>
      </c>
      <c r="O132" s="537"/>
      <c r="P132" s="537"/>
      <c r="Q132" s="537"/>
      <c r="R132" s="537"/>
      <c r="S132" s="537"/>
      <c r="T132" s="537"/>
      <c r="U132" s="537"/>
      <c r="V132" s="537"/>
      <c r="W132" s="537"/>
      <c r="X132" s="537"/>
      <c r="Y132" s="537"/>
      <c r="Z132" s="535"/>
      <c r="AA132" s="535"/>
      <c r="AB132" s="535" t="s">
        <v>7858</v>
      </c>
      <c r="AC132" s="922" t="s">
        <v>7675</v>
      </c>
      <c r="AD132" s="535"/>
      <c r="AE132" s="535"/>
      <c r="AF132" s="535"/>
      <c r="AG132" s="535"/>
      <c r="AH132" s="535" t="s">
        <v>6559</v>
      </c>
      <c r="AI132" s="535" t="s">
        <v>6559</v>
      </c>
      <c r="AJ132" s="535"/>
      <c r="AK132" s="535" t="s">
        <v>6559</v>
      </c>
      <c r="AL132" s="580">
        <f t="shared" si="7"/>
        <v>0.48799999999999999</v>
      </c>
      <c r="AM132" s="504">
        <v>0.48799999999999999</v>
      </c>
      <c r="AN132" s="516"/>
      <c r="AO132" s="97"/>
      <c r="AP132" s="97"/>
      <c r="AQ132" s="504">
        <v>0.48799999999999999</v>
      </c>
      <c r="AR132" s="507">
        <v>1</v>
      </c>
      <c r="AS132" s="507">
        <v>1.0999999999999999E-2</v>
      </c>
      <c r="AT132" s="516">
        <v>0</v>
      </c>
      <c r="AU132" s="507">
        <v>0</v>
      </c>
      <c r="AV132" s="516">
        <v>0</v>
      </c>
      <c r="AW132" s="507">
        <v>0</v>
      </c>
      <c r="AX132" s="516"/>
      <c r="AY132" s="507">
        <v>0</v>
      </c>
      <c r="AZ132" s="516"/>
      <c r="BA132" s="539"/>
      <c r="BB132" s="539"/>
      <c r="BC132" s="539"/>
      <c r="BD132" s="539"/>
      <c r="BE132" s="539" t="s">
        <v>470</v>
      </c>
      <c r="BF132" s="539">
        <v>0</v>
      </c>
      <c r="BG132" s="539">
        <v>0</v>
      </c>
      <c r="BH132" s="540">
        <v>0</v>
      </c>
      <c r="BI132" s="541">
        <v>0.16200000000000001</v>
      </c>
      <c r="BJ132" s="539"/>
      <c r="BK132" s="542">
        <v>2</v>
      </c>
      <c r="BL132" s="542">
        <v>2</v>
      </c>
      <c r="BM132" s="542">
        <v>1</v>
      </c>
      <c r="BN132" s="542"/>
      <c r="BO132" s="542"/>
      <c r="BP132" s="542">
        <v>1</v>
      </c>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3">
        <f t="shared" si="11"/>
        <v>1</v>
      </c>
      <c r="CM132" s="824">
        <f t="shared" si="8"/>
        <v>0</v>
      </c>
      <c r="CN132" s="541">
        <v>1.766</v>
      </c>
      <c r="CO132" s="535"/>
      <c r="CP132" s="535"/>
      <c r="CQ132" s="535">
        <v>100</v>
      </c>
      <c r="CR132" s="541">
        <v>1.766</v>
      </c>
      <c r="CS132" s="539" t="s">
        <v>5162</v>
      </c>
      <c r="CT132" s="535" t="s">
        <v>470</v>
      </c>
      <c r="CU132" s="535"/>
      <c r="CV132" s="535"/>
      <c r="CW132" s="535"/>
      <c r="CX132" s="542"/>
      <c r="CY132" s="542"/>
      <c r="CZ132" s="542"/>
      <c r="DA132" s="535" t="s">
        <v>479</v>
      </c>
      <c r="DB132" s="535" t="s">
        <v>5423</v>
      </c>
      <c r="DC132" s="542">
        <v>763</v>
      </c>
      <c r="DD132" s="535" t="s">
        <v>479</v>
      </c>
      <c r="DE132" s="535" t="s">
        <v>5423</v>
      </c>
      <c r="DF132" s="542">
        <v>30</v>
      </c>
      <c r="DG132" s="542" t="s">
        <v>479</v>
      </c>
      <c r="DH132" s="542" t="s">
        <v>5423</v>
      </c>
      <c r="DI132" s="542">
        <v>8</v>
      </c>
      <c r="DJ132" s="542"/>
      <c r="DK132" s="542"/>
      <c r="DL132" s="542"/>
      <c r="DM132" s="535"/>
      <c r="DN132" s="535"/>
      <c r="DO132" s="542"/>
      <c r="DP132" s="535"/>
      <c r="DQ132" s="535"/>
      <c r="DR132" s="542"/>
      <c r="DS132" s="535"/>
      <c r="DT132" s="535"/>
      <c r="DU132" s="542"/>
      <c r="DV132" s="535"/>
      <c r="DW132" s="535"/>
      <c r="DX132" s="542"/>
      <c r="DY132" s="535"/>
      <c r="DZ132" s="535"/>
      <c r="EA132" s="542"/>
      <c r="EB132" s="535" t="s">
        <v>479</v>
      </c>
      <c r="EC132" s="535" t="s">
        <v>5423</v>
      </c>
      <c r="ED132" s="542">
        <v>30</v>
      </c>
      <c r="EE132" s="542"/>
      <c r="EF132" s="542"/>
      <c r="EG132" s="542"/>
      <c r="EH132" s="535"/>
      <c r="EI132" s="535"/>
      <c r="EJ132" s="542"/>
      <c r="EK132" s="535"/>
      <c r="EL132" s="535"/>
      <c r="EM132" s="542"/>
      <c r="EN132" s="535"/>
      <c r="EO132" s="535"/>
      <c r="EP132" s="542"/>
      <c r="EQ132" s="542"/>
      <c r="ER132" s="542"/>
      <c r="ES132" s="542"/>
      <c r="ET132" s="535"/>
      <c r="EU132" s="535"/>
      <c r="EV132" s="542"/>
      <c r="EW132" s="542"/>
      <c r="EX132" s="542"/>
      <c r="EY132" s="542"/>
      <c r="EZ132" s="535" t="s">
        <v>470</v>
      </c>
      <c r="FA132" s="535"/>
      <c r="FB132" s="535" t="s">
        <v>5162</v>
      </c>
      <c r="FC132" s="535"/>
      <c r="FD132" s="535"/>
      <c r="FE132" s="535"/>
      <c r="FF132" s="535"/>
      <c r="FG132" s="535"/>
      <c r="FH132" s="535"/>
      <c r="FI132" s="535"/>
      <c r="FJ132" s="535" t="s">
        <v>4510</v>
      </c>
      <c r="FK132" s="535">
        <v>89189970122</v>
      </c>
      <c r="FL132" s="535" t="s">
        <v>4100</v>
      </c>
      <c r="FM132" s="535"/>
      <c r="FN132" s="535"/>
      <c r="FO132" s="535"/>
    </row>
    <row r="133" spans="4:171" ht="36" customHeight="1" x14ac:dyDescent="0.2">
      <c r="E133" s="94" t="s">
        <v>9305</v>
      </c>
      <c r="F133" s="94" t="s">
        <v>9121</v>
      </c>
      <c r="G133" s="97" t="s">
        <v>326</v>
      </c>
      <c r="H133" s="97" t="s">
        <v>407</v>
      </c>
      <c r="I133" s="535" t="s">
        <v>8813</v>
      </c>
      <c r="J133" s="535" t="s">
        <v>1413</v>
      </c>
      <c r="K133" s="535" t="s">
        <v>5242</v>
      </c>
      <c r="L133" s="536">
        <v>2022</v>
      </c>
      <c r="M133" s="537">
        <v>44593</v>
      </c>
      <c r="N133" s="537">
        <v>44908</v>
      </c>
      <c r="O133" s="537"/>
      <c r="P133" s="537"/>
      <c r="Q133" s="537"/>
      <c r="R133" s="537"/>
      <c r="S133" s="537"/>
      <c r="T133" s="537"/>
      <c r="U133" s="537"/>
      <c r="V133" s="537"/>
      <c r="W133" s="537"/>
      <c r="X133" s="537"/>
      <c r="Y133" s="537"/>
      <c r="Z133" s="535"/>
      <c r="AA133" s="535"/>
      <c r="AB133" s="535" t="s">
        <v>7857</v>
      </c>
      <c r="AC133" s="922" t="s">
        <v>7674</v>
      </c>
      <c r="AD133" s="535" t="s">
        <v>7529</v>
      </c>
      <c r="AE133" s="922" t="s">
        <v>7327</v>
      </c>
      <c r="AF133" s="535" t="s">
        <v>470</v>
      </c>
      <c r="AG133" s="535"/>
      <c r="AH133" s="535" t="s">
        <v>6558</v>
      </c>
      <c r="AI133" s="535" t="s">
        <v>6558</v>
      </c>
      <c r="AJ133" s="535" t="s">
        <v>470</v>
      </c>
      <c r="AK133" s="535" t="s">
        <v>6558</v>
      </c>
      <c r="AL133" s="580">
        <f t="shared" si="7"/>
        <v>4.3999999999999997E-2</v>
      </c>
      <c r="AM133" s="504">
        <v>4.3999999999999997E-2</v>
      </c>
      <c r="AN133" s="516"/>
      <c r="AO133" s="97"/>
      <c r="AP133" s="97"/>
      <c r="AQ133" s="504">
        <v>4.3999999999999997E-2</v>
      </c>
      <c r="AR133" s="507">
        <v>1</v>
      </c>
      <c r="AS133" s="507">
        <v>2.7999999999999998E-4</v>
      </c>
      <c r="AT133" s="516">
        <v>0</v>
      </c>
      <c r="AU133" s="507">
        <v>0</v>
      </c>
      <c r="AV133" s="516">
        <v>0</v>
      </c>
      <c r="AW133" s="507">
        <v>0</v>
      </c>
      <c r="AX133" s="516"/>
      <c r="AY133" s="507">
        <v>0</v>
      </c>
      <c r="AZ133" s="516"/>
      <c r="BA133" s="539"/>
      <c r="BB133" s="539"/>
      <c r="BC133" s="539"/>
      <c r="BD133" s="539"/>
      <c r="BE133" s="539" t="s">
        <v>470</v>
      </c>
      <c r="BF133" s="539"/>
      <c r="BG133" s="539"/>
      <c r="BH133" s="540"/>
      <c r="BI133" s="541"/>
      <c r="BJ133" s="539"/>
      <c r="BK133" s="542">
        <v>1</v>
      </c>
      <c r="BL133" s="542">
        <v>1</v>
      </c>
      <c r="BM133" s="542">
        <v>1</v>
      </c>
      <c r="BN133" s="542">
        <v>0</v>
      </c>
      <c r="BO133" s="542">
        <v>0</v>
      </c>
      <c r="BP133" s="542">
        <v>0</v>
      </c>
      <c r="BQ133" s="542">
        <v>0</v>
      </c>
      <c r="BR133" s="542">
        <v>0</v>
      </c>
      <c r="BS133" s="542">
        <v>0</v>
      </c>
      <c r="BT133" s="542">
        <v>0</v>
      </c>
      <c r="BU133" s="542">
        <v>0</v>
      </c>
      <c r="BV133" s="542">
        <v>0</v>
      </c>
      <c r="BW133" s="542">
        <v>0</v>
      </c>
      <c r="BX133" s="542">
        <v>0</v>
      </c>
      <c r="BY133" s="542">
        <v>1</v>
      </c>
      <c r="BZ133" s="542">
        <v>0</v>
      </c>
      <c r="CA133" s="542">
        <v>0</v>
      </c>
      <c r="CB133" s="542">
        <v>0</v>
      </c>
      <c r="CC133" s="542">
        <v>0</v>
      </c>
      <c r="CD133" s="542">
        <v>0</v>
      </c>
      <c r="CE133" s="542">
        <v>0</v>
      </c>
      <c r="CF133" s="542">
        <v>0</v>
      </c>
      <c r="CG133" s="542">
        <v>0</v>
      </c>
      <c r="CH133" s="542">
        <v>0</v>
      </c>
      <c r="CI133" s="542">
        <v>0</v>
      </c>
      <c r="CJ133" s="542">
        <v>0</v>
      </c>
      <c r="CK133" s="542">
        <v>0</v>
      </c>
      <c r="CL133" s="543">
        <f t="shared" si="11"/>
        <v>1</v>
      </c>
      <c r="CM133" s="824">
        <f t="shared" si="8"/>
        <v>0</v>
      </c>
      <c r="CN133" s="541">
        <v>9.5470000000000006</v>
      </c>
      <c r="CO133" s="535"/>
      <c r="CP133" s="535"/>
      <c r="CQ133" s="535">
        <v>77.900000000000006</v>
      </c>
      <c r="CR133" s="541">
        <v>12.250999999999999</v>
      </c>
      <c r="CS133" s="539" t="s">
        <v>5911</v>
      </c>
      <c r="CT133" s="535" t="s">
        <v>470</v>
      </c>
      <c r="CU133" s="535" t="s">
        <v>470</v>
      </c>
      <c r="CV133" s="535" t="s">
        <v>470</v>
      </c>
      <c r="CW133" s="535" t="s">
        <v>470</v>
      </c>
      <c r="CX133" s="542">
        <v>0</v>
      </c>
      <c r="CY133" s="542">
        <v>0</v>
      </c>
      <c r="CZ133" s="542">
        <v>0</v>
      </c>
      <c r="DA133" s="535" t="s">
        <v>479</v>
      </c>
      <c r="DB133" s="535" t="s">
        <v>640</v>
      </c>
      <c r="DC133" s="542">
        <v>95</v>
      </c>
      <c r="DD133" s="535" t="s">
        <v>5658</v>
      </c>
      <c r="DE133" s="535"/>
      <c r="DF133" s="542">
        <v>0</v>
      </c>
      <c r="DG133" s="542" t="s">
        <v>470</v>
      </c>
      <c r="DH133" s="542"/>
      <c r="DI133" s="542">
        <v>0</v>
      </c>
      <c r="DJ133" s="542" t="s">
        <v>470</v>
      </c>
      <c r="DK133" s="542"/>
      <c r="DL133" s="542">
        <v>0</v>
      </c>
      <c r="DM133" s="535" t="s">
        <v>470</v>
      </c>
      <c r="DN133" s="535"/>
      <c r="DO133" s="542">
        <v>0</v>
      </c>
      <c r="DP133" s="535" t="s">
        <v>470</v>
      </c>
      <c r="DQ133" s="535"/>
      <c r="DR133" s="542">
        <v>0</v>
      </c>
      <c r="DS133" s="535" t="s">
        <v>470</v>
      </c>
      <c r="DT133" s="535"/>
      <c r="DU133" s="542">
        <v>0</v>
      </c>
      <c r="DV133" s="535" t="s">
        <v>470</v>
      </c>
      <c r="DW133" s="535"/>
      <c r="DX133" s="542">
        <v>0</v>
      </c>
      <c r="DY133" s="535" t="s">
        <v>470</v>
      </c>
      <c r="DZ133" s="535"/>
      <c r="EA133" s="542">
        <v>0</v>
      </c>
      <c r="EB133" s="535" t="s">
        <v>470</v>
      </c>
      <c r="EC133" s="535"/>
      <c r="ED133" s="542">
        <v>0</v>
      </c>
      <c r="EE133" s="542" t="s">
        <v>470</v>
      </c>
      <c r="EF133" s="542"/>
      <c r="EG133" s="542">
        <v>0</v>
      </c>
      <c r="EH133" s="535" t="s">
        <v>470</v>
      </c>
      <c r="EI133" s="535"/>
      <c r="EJ133" s="542">
        <v>0</v>
      </c>
      <c r="EK133" s="535" t="s">
        <v>470</v>
      </c>
      <c r="EL133" s="535"/>
      <c r="EM133" s="542">
        <v>0</v>
      </c>
      <c r="EN133" s="535" t="s">
        <v>470</v>
      </c>
      <c r="EO133" s="535"/>
      <c r="EP133" s="542">
        <v>0</v>
      </c>
      <c r="EQ133" s="542" t="s">
        <v>470</v>
      </c>
      <c r="ER133" s="542"/>
      <c r="ES133" s="542">
        <v>0</v>
      </c>
      <c r="ET133" s="535" t="s">
        <v>470</v>
      </c>
      <c r="EU133" s="535"/>
      <c r="EV133" s="542">
        <v>0</v>
      </c>
      <c r="EW133" s="542"/>
      <c r="EX133" s="542"/>
      <c r="EY133" s="542"/>
      <c r="EZ133" s="535" t="s">
        <v>470</v>
      </c>
      <c r="FA133" s="535"/>
      <c r="FB133" s="922" t="s">
        <v>5161</v>
      </c>
      <c r="FC133" s="535"/>
      <c r="FD133" s="535"/>
      <c r="FE133" s="535"/>
      <c r="FF133" s="535"/>
      <c r="FG133" s="535"/>
      <c r="FH133" s="535">
        <v>0</v>
      </c>
      <c r="FI133" s="535">
        <v>0</v>
      </c>
      <c r="FJ133" s="535" t="s">
        <v>4509</v>
      </c>
      <c r="FK133" s="535" t="s">
        <v>4284</v>
      </c>
      <c r="FL133" s="899" t="s">
        <v>4099</v>
      </c>
      <c r="FM133" s="535"/>
      <c r="FN133" s="535"/>
      <c r="FO133" s="535"/>
    </row>
    <row r="134" spans="4:171" ht="28" customHeight="1" x14ac:dyDescent="0.2">
      <c r="E134" s="94" t="s">
        <v>9305</v>
      </c>
      <c r="F134" s="94" t="s">
        <v>9121</v>
      </c>
      <c r="G134" s="97" t="s">
        <v>326</v>
      </c>
      <c r="H134" s="97" t="s">
        <v>407</v>
      </c>
      <c r="I134" s="535" t="s">
        <v>8812</v>
      </c>
      <c r="J134" s="535" t="s">
        <v>7528</v>
      </c>
      <c r="K134" s="535" t="s">
        <v>5242</v>
      </c>
      <c r="L134" s="536">
        <v>2021</v>
      </c>
      <c r="M134" s="537">
        <v>44562</v>
      </c>
      <c r="N134" s="537">
        <v>44926</v>
      </c>
      <c r="O134" s="537"/>
      <c r="P134" s="537"/>
      <c r="Q134" s="537"/>
      <c r="R134" s="537"/>
      <c r="S134" s="537"/>
      <c r="T134" s="537"/>
      <c r="U134" s="537"/>
      <c r="V134" s="537"/>
      <c r="W134" s="537"/>
      <c r="X134" s="537"/>
      <c r="Y134" s="537"/>
      <c r="Z134" s="535" t="s">
        <v>8145</v>
      </c>
      <c r="AA134" s="922" t="s">
        <v>7326</v>
      </c>
      <c r="AB134" s="535" t="s">
        <v>7856</v>
      </c>
      <c r="AC134" s="922" t="s">
        <v>7673</v>
      </c>
      <c r="AD134" s="535" t="s">
        <v>7528</v>
      </c>
      <c r="AE134" s="922" t="s">
        <v>7326</v>
      </c>
      <c r="AF134" s="535"/>
      <c r="AG134" s="535"/>
      <c r="AH134" s="535" t="s">
        <v>6557</v>
      </c>
      <c r="AI134" s="535" t="s">
        <v>6557</v>
      </c>
      <c r="AJ134" s="535" t="s">
        <v>477</v>
      </c>
      <c r="AK134" s="535" t="s">
        <v>6557</v>
      </c>
      <c r="AL134" s="580">
        <f t="shared" si="7"/>
        <v>0.02</v>
      </c>
      <c r="AM134" s="504">
        <v>0.02</v>
      </c>
      <c r="AN134" s="516"/>
      <c r="AO134" s="97"/>
      <c r="AP134" s="97"/>
      <c r="AQ134" s="504">
        <v>0.02</v>
      </c>
      <c r="AR134" s="507">
        <v>1</v>
      </c>
      <c r="AS134" s="507">
        <v>6.9999999999999999E-4</v>
      </c>
      <c r="AT134" s="516"/>
      <c r="AU134" s="507"/>
      <c r="AV134" s="516"/>
      <c r="AW134" s="507"/>
      <c r="AX134" s="516"/>
      <c r="AY134" s="507"/>
      <c r="AZ134" s="516"/>
      <c r="BA134" s="539"/>
      <c r="BB134" s="539"/>
      <c r="BC134" s="539"/>
      <c r="BD134" s="539"/>
      <c r="BE134" s="539" t="s">
        <v>470</v>
      </c>
      <c r="BF134" s="539"/>
      <c r="BG134" s="539"/>
      <c r="BH134" s="540"/>
      <c r="BI134" s="541"/>
      <c r="BJ134" s="539"/>
      <c r="BK134" s="542">
        <v>1</v>
      </c>
      <c r="BL134" s="542">
        <v>1</v>
      </c>
      <c r="BM134" s="542">
        <v>1</v>
      </c>
      <c r="BN134" s="542"/>
      <c r="BO134" s="542"/>
      <c r="BP134" s="542"/>
      <c r="BQ134" s="542"/>
      <c r="BR134" s="542"/>
      <c r="BS134" s="542"/>
      <c r="BT134" s="542"/>
      <c r="BU134" s="542"/>
      <c r="BV134" s="542"/>
      <c r="BW134" s="542"/>
      <c r="BX134" s="542"/>
      <c r="BY134" s="542"/>
      <c r="BZ134" s="542">
        <v>1</v>
      </c>
      <c r="CA134" s="542"/>
      <c r="CB134" s="542"/>
      <c r="CC134" s="542"/>
      <c r="CD134" s="542"/>
      <c r="CE134" s="542"/>
      <c r="CF134" s="542"/>
      <c r="CG134" s="542"/>
      <c r="CH134" s="542"/>
      <c r="CI134" s="542"/>
      <c r="CJ134" s="542"/>
      <c r="CK134" s="542"/>
      <c r="CL134" s="543">
        <f t="shared" si="11"/>
        <v>1</v>
      </c>
      <c r="CM134" s="824">
        <f t="shared" si="8"/>
        <v>0</v>
      </c>
      <c r="CN134" s="541">
        <v>2.722</v>
      </c>
      <c r="CO134" s="535" t="s">
        <v>6141</v>
      </c>
      <c r="CP134" s="535"/>
      <c r="CQ134" s="535">
        <v>100</v>
      </c>
      <c r="CR134" s="541">
        <v>2.722</v>
      </c>
      <c r="CS134" s="923" t="s">
        <v>5908</v>
      </c>
      <c r="CT134" s="535" t="s">
        <v>470</v>
      </c>
      <c r="CU134" s="535"/>
      <c r="CV134" s="535"/>
      <c r="CW134" s="535"/>
      <c r="CX134" s="542"/>
      <c r="CY134" s="542"/>
      <c r="CZ134" s="542"/>
      <c r="DA134" s="535"/>
      <c r="DB134" s="535"/>
      <c r="DC134" s="542"/>
      <c r="DD134" s="535"/>
      <c r="DE134" s="535"/>
      <c r="DF134" s="542"/>
      <c r="DG134" s="542" t="s">
        <v>479</v>
      </c>
      <c r="DH134" s="542" t="s">
        <v>640</v>
      </c>
      <c r="DI134" s="542">
        <v>2</v>
      </c>
      <c r="DJ134" s="542"/>
      <c r="DK134" s="542"/>
      <c r="DL134" s="542"/>
      <c r="DM134" s="535"/>
      <c r="DN134" s="535"/>
      <c r="DO134" s="542"/>
      <c r="DP134" s="535"/>
      <c r="DQ134" s="535"/>
      <c r="DR134" s="542"/>
      <c r="DS134" s="535"/>
      <c r="DT134" s="535"/>
      <c r="DU134" s="542"/>
      <c r="DV134" s="535"/>
      <c r="DW134" s="535"/>
      <c r="DX134" s="542"/>
      <c r="DY134" s="535"/>
      <c r="DZ134" s="535"/>
      <c r="EA134" s="542"/>
      <c r="EB134" s="535"/>
      <c r="EC134" s="535"/>
      <c r="ED134" s="542"/>
      <c r="EE134" s="542" t="s">
        <v>479</v>
      </c>
      <c r="EF134" s="542" t="s">
        <v>640</v>
      </c>
      <c r="EG134" s="542">
        <v>2</v>
      </c>
      <c r="EH134" s="535"/>
      <c r="EI134" s="535"/>
      <c r="EJ134" s="542"/>
      <c r="EK134" s="535"/>
      <c r="EL134" s="535"/>
      <c r="EM134" s="542"/>
      <c r="EN134" s="535"/>
      <c r="EO134" s="535"/>
      <c r="EP134" s="542"/>
      <c r="EQ134" s="542"/>
      <c r="ER134" s="542"/>
      <c r="ES134" s="542"/>
      <c r="ET134" s="535"/>
      <c r="EU134" s="535"/>
      <c r="EV134" s="542"/>
      <c r="EW134" s="542"/>
      <c r="EX134" s="542"/>
      <c r="EY134" s="542"/>
      <c r="EZ134" s="535" t="s">
        <v>470</v>
      </c>
      <c r="FA134" s="535"/>
      <c r="FB134" s="535" t="s">
        <v>5160</v>
      </c>
      <c r="FC134" s="535"/>
      <c r="FD134" s="535"/>
      <c r="FE134" s="535"/>
      <c r="FF134" s="535"/>
      <c r="FG134" s="535"/>
      <c r="FH134" s="535"/>
      <c r="FI134" s="535"/>
      <c r="FJ134" s="535" t="s">
        <v>4508</v>
      </c>
      <c r="FK134" s="535" t="s">
        <v>4283</v>
      </c>
      <c r="FL134" s="899" t="s">
        <v>4098</v>
      </c>
      <c r="FM134" s="535"/>
      <c r="FN134" s="535"/>
      <c r="FO134" s="535"/>
    </row>
    <row r="135" spans="4:171" ht="36" customHeight="1" x14ac:dyDescent="0.2">
      <c r="D135" s="93" t="s">
        <v>9317</v>
      </c>
      <c r="E135" s="94" t="s">
        <v>9305</v>
      </c>
      <c r="F135" s="94" t="s">
        <v>9121</v>
      </c>
      <c r="G135" s="97" t="s">
        <v>326</v>
      </c>
      <c r="H135" s="97" t="s">
        <v>407</v>
      </c>
      <c r="I135" s="97" t="s">
        <v>8811</v>
      </c>
      <c r="J135" s="97" t="s">
        <v>8575</v>
      </c>
      <c r="K135" s="97" t="s">
        <v>470</v>
      </c>
      <c r="L135" s="502">
        <v>2021</v>
      </c>
      <c r="M135" s="924">
        <v>44540</v>
      </c>
      <c r="N135" s="924">
        <v>44854</v>
      </c>
      <c r="O135" s="924"/>
      <c r="P135" s="924"/>
      <c r="Q135" s="924"/>
      <c r="R135" s="924"/>
      <c r="S135" s="924"/>
      <c r="T135" s="924"/>
      <c r="U135" s="924"/>
      <c r="V135" s="924"/>
      <c r="W135" s="924"/>
      <c r="X135" s="924"/>
      <c r="Y135" s="924"/>
      <c r="Z135" s="97" t="s">
        <v>8144</v>
      </c>
      <c r="AA135" s="97" t="s">
        <v>7325</v>
      </c>
      <c r="AB135" s="97"/>
      <c r="AC135" s="97"/>
      <c r="AD135" s="97" t="s">
        <v>7527</v>
      </c>
      <c r="AE135" s="97" t="s">
        <v>7325</v>
      </c>
      <c r="AF135" s="97"/>
      <c r="AG135" s="97"/>
      <c r="AH135" s="97" t="s">
        <v>6556</v>
      </c>
      <c r="AI135" s="97" t="s">
        <v>6556</v>
      </c>
      <c r="AJ135" s="97" t="s">
        <v>6661</v>
      </c>
      <c r="AK135" s="97" t="s">
        <v>6556</v>
      </c>
      <c r="AL135" s="580">
        <f t="shared" si="7"/>
        <v>2.3E-2</v>
      </c>
      <c r="AM135" s="504">
        <v>2.3E-2</v>
      </c>
      <c r="AN135" s="516"/>
      <c r="AO135" s="97"/>
      <c r="AP135" s="97"/>
      <c r="AQ135" s="504">
        <v>2.3E-2</v>
      </c>
      <c r="AR135" s="507">
        <v>0.02</v>
      </c>
      <c r="AS135" s="507">
        <v>5.5E-2</v>
      </c>
      <c r="AT135" s="516">
        <v>0</v>
      </c>
      <c r="AU135" s="507">
        <v>0</v>
      </c>
      <c r="AV135" s="516">
        <v>0</v>
      </c>
      <c r="AW135" s="507">
        <v>0</v>
      </c>
      <c r="AX135" s="516"/>
      <c r="AY135" s="507"/>
      <c r="AZ135" s="516"/>
      <c r="BA135" s="507"/>
      <c r="BB135" s="507"/>
      <c r="BC135" s="507"/>
      <c r="BD135" s="507"/>
      <c r="BE135" s="507" t="s">
        <v>470</v>
      </c>
      <c r="BF135" s="507"/>
      <c r="BG135" s="507"/>
      <c r="BH135" s="852">
        <v>0</v>
      </c>
      <c r="BI135" s="504">
        <v>0.254</v>
      </c>
      <c r="BJ135" s="507">
        <v>1.7000000000000001E-2</v>
      </c>
      <c r="BK135" s="96">
        <v>2</v>
      </c>
      <c r="BL135" s="96">
        <v>2</v>
      </c>
      <c r="BM135" s="96">
        <v>1</v>
      </c>
      <c r="BN135" s="96"/>
      <c r="BO135" s="96"/>
      <c r="BP135" s="96"/>
      <c r="BQ135" s="96"/>
      <c r="BR135" s="96"/>
      <c r="BS135" s="96"/>
      <c r="BT135" s="96"/>
      <c r="BU135" s="96"/>
      <c r="BV135" s="96"/>
      <c r="BW135" s="96"/>
      <c r="BX135" s="96">
        <v>1</v>
      </c>
      <c r="BY135" s="96"/>
      <c r="BZ135" s="96"/>
      <c r="CA135" s="96"/>
      <c r="CB135" s="96"/>
      <c r="CC135" s="96"/>
      <c r="CD135" s="96"/>
      <c r="CE135" s="96"/>
      <c r="CF135" s="96"/>
      <c r="CG135" s="96"/>
      <c r="CH135" s="96"/>
      <c r="CI135" s="96"/>
      <c r="CJ135" s="96"/>
      <c r="CK135" s="96"/>
      <c r="CL135" s="815">
        <f t="shared" si="11"/>
        <v>1</v>
      </c>
      <c r="CM135" s="824">
        <f t="shared" si="8"/>
        <v>0</v>
      </c>
      <c r="CN135" s="504">
        <v>2.7</v>
      </c>
      <c r="CO135" s="97"/>
      <c r="CP135" s="97"/>
      <c r="CQ135" s="97">
        <v>33.6</v>
      </c>
      <c r="CR135" s="504">
        <v>3.1</v>
      </c>
      <c r="CS135" s="507"/>
      <c r="CT135" s="97" t="s">
        <v>470</v>
      </c>
      <c r="CU135" s="97"/>
      <c r="CV135" s="97"/>
      <c r="CW135" s="97"/>
      <c r="CX135" s="96"/>
      <c r="CY135" s="96"/>
      <c r="CZ135" s="96"/>
      <c r="DA135" s="97" t="s">
        <v>479</v>
      </c>
      <c r="DB135" s="97" t="s">
        <v>1876</v>
      </c>
      <c r="DC135" s="96">
        <v>1048</v>
      </c>
      <c r="DD135" s="97" t="s">
        <v>470</v>
      </c>
      <c r="DE135" s="97"/>
      <c r="DF135" s="96"/>
      <c r="DG135" s="96" t="s">
        <v>470</v>
      </c>
      <c r="DH135" s="96"/>
      <c r="DI135" s="96"/>
      <c r="DJ135" s="96" t="s">
        <v>470</v>
      </c>
      <c r="DK135" s="96"/>
      <c r="DL135" s="96"/>
      <c r="DM135" s="97" t="s">
        <v>470</v>
      </c>
      <c r="DN135" s="97"/>
      <c r="DO135" s="96"/>
      <c r="DP135" s="97" t="s">
        <v>470</v>
      </c>
      <c r="DQ135" s="97"/>
      <c r="DR135" s="96"/>
      <c r="DS135" s="97" t="s">
        <v>470</v>
      </c>
      <c r="DT135" s="97"/>
      <c r="DU135" s="96"/>
      <c r="DV135" s="97"/>
      <c r="DW135" s="97"/>
      <c r="DX135" s="96"/>
      <c r="DY135" s="97" t="s">
        <v>470</v>
      </c>
      <c r="DZ135" s="97"/>
      <c r="EA135" s="96"/>
      <c r="EB135" s="97" t="s">
        <v>479</v>
      </c>
      <c r="EC135" s="97" t="s">
        <v>5422</v>
      </c>
      <c r="ED135" s="96">
        <v>10</v>
      </c>
      <c r="EE135" s="96" t="s">
        <v>470</v>
      </c>
      <c r="EF135" s="96"/>
      <c r="EG135" s="96"/>
      <c r="EH135" s="97" t="s">
        <v>470</v>
      </c>
      <c r="EI135" s="97"/>
      <c r="EJ135" s="96"/>
      <c r="EK135" s="97" t="s">
        <v>470</v>
      </c>
      <c r="EL135" s="97"/>
      <c r="EM135" s="96"/>
      <c r="EN135" s="97" t="s">
        <v>470</v>
      </c>
      <c r="EO135" s="97"/>
      <c r="EP135" s="96"/>
      <c r="EQ135" s="96" t="s">
        <v>470</v>
      </c>
      <c r="ER135" s="96"/>
      <c r="ES135" s="96"/>
      <c r="ET135" s="97"/>
      <c r="EU135" s="97"/>
      <c r="EV135" s="96"/>
      <c r="EW135" s="96"/>
      <c r="EX135" s="96"/>
      <c r="EY135" s="96"/>
      <c r="EZ135" s="97" t="s">
        <v>470</v>
      </c>
      <c r="FA135" s="97"/>
      <c r="FB135" s="97" t="s">
        <v>5159</v>
      </c>
      <c r="FC135" s="97"/>
      <c r="FD135" s="97"/>
      <c r="FE135" s="97"/>
      <c r="FF135" s="97"/>
      <c r="FG135" s="97"/>
      <c r="FH135" s="97">
        <v>0</v>
      </c>
      <c r="FI135" s="97">
        <v>0</v>
      </c>
      <c r="FJ135" s="97" t="s">
        <v>4507</v>
      </c>
      <c r="FK135" s="97" t="s">
        <v>4282</v>
      </c>
      <c r="FL135" s="925" t="s">
        <v>4097</v>
      </c>
      <c r="FM135" s="97" t="s">
        <v>3903</v>
      </c>
      <c r="FN135" s="97" t="s">
        <v>3825</v>
      </c>
      <c r="FO135" s="97" t="s">
        <v>3753</v>
      </c>
    </row>
    <row r="136" spans="4:171" ht="28" customHeight="1" x14ac:dyDescent="0.2">
      <c r="E136" s="94" t="s">
        <v>9305</v>
      </c>
      <c r="F136" s="94" t="s">
        <v>9121</v>
      </c>
      <c r="G136" s="97" t="s">
        <v>326</v>
      </c>
      <c r="H136" s="97" t="s">
        <v>407</v>
      </c>
      <c r="I136" s="535" t="s">
        <v>8810</v>
      </c>
      <c r="J136" s="535" t="s">
        <v>8574</v>
      </c>
      <c r="K136" s="535" t="s">
        <v>5242</v>
      </c>
      <c r="L136" s="536">
        <v>2021</v>
      </c>
      <c r="M136" s="537" t="s">
        <v>8319</v>
      </c>
      <c r="N136" s="537" t="s">
        <v>8247</v>
      </c>
      <c r="O136" s="537"/>
      <c r="P136" s="537"/>
      <c r="Q136" s="537"/>
      <c r="R136" s="537"/>
      <c r="S136" s="537"/>
      <c r="T136" s="537"/>
      <c r="U136" s="537"/>
      <c r="V136" s="537"/>
      <c r="W136" s="537"/>
      <c r="X136" s="537"/>
      <c r="Y136" s="537"/>
      <c r="Z136" s="535"/>
      <c r="AA136" s="535"/>
      <c r="AB136" s="535" t="s">
        <v>7855</v>
      </c>
      <c r="AC136" s="922" t="s">
        <v>7672</v>
      </c>
      <c r="AD136" s="535"/>
      <c r="AE136" s="535"/>
      <c r="AF136" s="535" t="s">
        <v>470</v>
      </c>
      <c r="AG136" s="535"/>
      <c r="AH136" s="535" t="s">
        <v>7013</v>
      </c>
      <c r="AI136" s="535" t="s">
        <v>6879</v>
      </c>
      <c r="AJ136" s="535" t="s">
        <v>6727</v>
      </c>
      <c r="AK136" s="535" t="s">
        <v>6555</v>
      </c>
      <c r="AL136" s="580">
        <f t="shared" ref="AL136:AL199" si="12">SUM(AN136,AQ136,AT136,AV136,AX136,AZ136)</f>
        <v>0.15</v>
      </c>
      <c r="AM136" s="504">
        <v>0.15</v>
      </c>
      <c r="AN136" s="516"/>
      <c r="AO136" s="97"/>
      <c r="AP136" s="97"/>
      <c r="AQ136" s="504">
        <v>0.15</v>
      </c>
      <c r="AR136" s="507">
        <v>1</v>
      </c>
      <c r="AS136" s="507">
        <v>3.5000000000000003E-2</v>
      </c>
      <c r="AT136" s="516"/>
      <c r="AU136" s="507"/>
      <c r="AV136" s="516">
        <v>0</v>
      </c>
      <c r="AW136" s="507">
        <v>0</v>
      </c>
      <c r="AX136" s="516"/>
      <c r="AY136" s="507">
        <v>0</v>
      </c>
      <c r="AZ136" s="516"/>
      <c r="BA136" s="539"/>
      <c r="BB136" s="539"/>
      <c r="BC136" s="539"/>
      <c r="BD136" s="539"/>
      <c r="BE136" s="539" t="s">
        <v>470</v>
      </c>
      <c r="BF136" s="539"/>
      <c r="BG136" s="539"/>
      <c r="BH136" s="540"/>
      <c r="BI136" s="541">
        <v>0</v>
      </c>
      <c r="BJ136" s="539">
        <v>0</v>
      </c>
      <c r="BK136" s="542">
        <v>2</v>
      </c>
      <c r="BL136" s="542">
        <v>2</v>
      </c>
      <c r="BM136" s="542">
        <v>2</v>
      </c>
      <c r="BN136" s="542"/>
      <c r="BO136" s="542"/>
      <c r="BP136" s="542"/>
      <c r="BQ136" s="542"/>
      <c r="BR136" s="542"/>
      <c r="BS136" s="542"/>
      <c r="BT136" s="542"/>
      <c r="BU136" s="542"/>
      <c r="BV136" s="542"/>
      <c r="BW136" s="542"/>
      <c r="BX136" s="542">
        <v>1</v>
      </c>
      <c r="BY136" s="542">
        <v>1</v>
      </c>
      <c r="BZ136" s="542"/>
      <c r="CA136" s="542"/>
      <c r="CB136" s="542"/>
      <c r="CC136" s="542"/>
      <c r="CD136" s="542"/>
      <c r="CE136" s="542"/>
      <c r="CF136" s="542"/>
      <c r="CG136" s="542"/>
      <c r="CH136" s="542"/>
      <c r="CI136" s="542"/>
      <c r="CJ136" s="542"/>
      <c r="CK136" s="542"/>
      <c r="CL136" s="543">
        <f t="shared" si="11"/>
        <v>2</v>
      </c>
      <c r="CM136" s="824">
        <f t="shared" ref="CM136:CM199" si="13">SUM(BN136:CK136)-CL136</f>
        <v>0</v>
      </c>
      <c r="CN136" s="541">
        <v>1.0049999999999999</v>
      </c>
      <c r="CO136" s="535" t="s">
        <v>6140</v>
      </c>
      <c r="CP136" s="535"/>
      <c r="CQ136" s="535">
        <v>87</v>
      </c>
      <c r="CR136" s="541">
        <v>1.0049999999999999</v>
      </c>
      <c r="CS136" s="539"/>
      <c r="CT136" s="535" t="s">
        <v>470</v>
      </c>
      <c r="CU136" s="535"/>
      <c r="CV136" s="535"/>
      <c r="CW136" s="535"/>
      <c r="CX136" s="542"/>
      <c r="CY136" s="542"/>
      <c r="CZ136" s="542"/>
      <c r="DA136" s="535" t="s">
        <v>479</v>
      </c>
      <c r="DB136" s="535" t="s">
        <v>5645</v>
      </c>
      <c r="DC136" s="542">
        <v>875</v>
      </c>
      <c r="DD136" s="535" t="s">
        <v>479</v>
      </c>
      <c r="DE136" s="535" t="s">
        <v>5645</v>
      </c>
      <c r="DF136" s="542">
        <v>10</v>
      </c>
      <c r="DG136" s="542" t="s">
        <v>479</v>
      </c>
      <c r="DH136" s="542" t="s">
        <v>15</v>
      </c>
      <c r="DI136" s="542">
        <v>10</v>
      </c>
      <c r="DJ136" s="542" t="s">
        <v>470</v>
      </c>
      <c r="DK136" s="542"/>
      <c r="DL136" s="542"/>
      <c r="DM136" s="535" t="s">
        <v>470</v>
      </c>
      <c r="DN136" s="535"/>
      <c r="DO136" s="542"/>
      <c r="DP136" s="535" t="s">
        <v>470</v>
      </c>
      <c r="DQ136" s="535"/>
      <c r="DR136" s="542"/>
      <c r="DS136" s="535" t="s">
        <v>470</v>
      </c>
      <c r="DT136" s="535"/>
      <c r="DU136" s="542"/>
      <c r="DV136" s="535"/>
      <c r="DW136" s="535"/>
      <c r="DX136" s="542"/>
      <c r="DY136" s="535" t="s">
        <v>470</v>
      </c>
      <c r="DZ136" s="535"/>
      <c r="EA136" s="542"/>
      <c r="EB136" s="535" t="s">
        <v>470</v>
      </c>
      <c r="EC136" s="535"/>
      <c r="ED136" s="542"/>
      <c r="EE136" s="542" t="s">
        <v>479</v>
      </c>
      <c r="EF136" s="542" t="s">
        <v>15</v>
      </c>
      <c r="EG136" s="542">
        <v>10</v>
      </c>
      <c r="EH136" s="535" t="s">
        <v>470</v>
      </c>
      <c r="EI136" s="535"/>
      <c r="EJ136" s="542"/>
      <c r="EK136" s="535" t="s">
        <v>470</v>
      </c>
      <c r="EL136" s="535"/>
      <c r="EM136" s="542"/>
      <c r="EN136" s="535" t="s">
        <v>470</v>
      </c>
      <c r="EO136" s="535"/>
      <c r="EP136" s="542"/>
      <c r="EQ136" s="542" t="s">
        <v>470</v>
      </c>
      <c r="ER136" s="542"/>
      <c r="ES136" s="542"/>
      <c r="ET136" s="535"/>
      <c r="EU136" s="535"/>
      <c r="EV136" s="542"/>
      <c r="EW136" s="542"/>
      <c r="EX136" s="542"/>
      <c r="EY136" s="542"/>
      <c r="EZ136" s="535" t="s">
        <v>470</v>
      </c>
      <c r="FA136" s="535"/>
      <c r="FB136" s="535"/>
      <c r="FC136" s="535"/>
      <c r="FD136" s="535"/>
      <c r="FE136" s="535" t="s">
        <v>4706</v>
      </c>
      <c r="FF136" s="535"/>
      <c r="FG136" s="535" t="s">
        <v>470</v>
      </c>
      <c r="FH136" s="535"/>
      <c r="FI136" s="535"/>
      <c r="FJ136" s="535" t="s">
        <v>4506</v>
      </c>
      <c r="FK136" s="535" t="s">
        <v>4281</v>
      </c>
      <c r="FL136" s="922" t="s">
        <v>3752</v>
      </c>
      <c r="FM136" s="535" t="s">
        <v>3902</v>
      </c>
      <c r="FN136" s="535" t="s">
        <v>3824</v>
      </c>
      <c r="FO136" s="922" t="s">
        <v>3752</v>
      </c>
    </row>
    <row r="137" spans="4:171" ht="36" customHeight="1" x14ac:dyDescent="0.2">
      <c r="E137" s="94" t="s">
        <v>9305</v>
      </c>
      <c r="F137" s="94" t="s">
        <v>9121</v>
      </c>
      <c r="G137" s="97" t="s">
        <v>326</v>
      </c>
      <c r="H137" s="97" t="s">
        <v>407</v>
      </c>
      <c r="I137" s="97" t="s">
        <v>8809</v>
      </c>
      <c r="J137" s="97" t="s">
        <v>8573</v>
      </c>
      <c r="K137" s="97" t="s">
        <v>8421</v>
      </c>
      <c r="L137" s="502">
        <v>2022</v>
      </c>
      <c r="M137" s="841" t="s">
        <v>8318</v>
      </c>
      <c r="N137" s="841" t="s">
        <v>8246</v>
      </c>
      <c r="O137" s="841"/>
      <c r="P137" s="841"/>
      <c r="Q137" s="841"/>
      <c r="R137" s="841"/>
      <c r="S137" s="841"/>
      <c r="T137" s="841"/>
      <c r="U137" s="841"/>
      <c r="V137" s="841"/>
      <c r="W137" s="841"/>
      <c r="X137" s="841"/>
      <c r="Y137" s="841"/>
      <c r="Z137" s="97" t="s">
        <v>8143</v>
      </c>
      <c r="AA137" s="97" t="s">
        <v>7987</v>
      </c>
      <c r="AB137" s="97" t="s">
        <v>7854</v>
      </c>
      <c r="AC137" s="97" t="s">
        <v>7671</v>
      </c>
      <c r="AD137" s="97" t="s">
        <v>7526</v>
      </c>
      <c r="AE137" s="97" t="s">
        <v>7324</v>
      </c>
      <c r="AF137" s="97" t="s">
        <v>7164</v>
      </c>
      <c r="AG137" s="849" t="s">
        <v>7093</v>
      </c>
      <c r="AH137" s="97" t="s">
        <v>6554</v>
      </c>
      <c r="AI137" s="97" t="s">
        <v>6554</v>
      </c>
      <c r="AJ137" s="97" t="s">
        <v>6726</v>
      </c>
      <c r="AK137" s="97" t="s">
        <v>6554</v>
      </c>
      <c r="AL137" s="580">
        <f t="shared" si="12"/>
        <v>1.4219999999999999</v>
      </c>
      <c r="AM137" s="504">
        <v>1.4219999999999999</v>
      </c>
      <c r="AN137" s="516"/>
      <c r="AO137" s="97"/>
      <c r="AP137" s="97"/>
      <c r="AQ137" s="504">
        <v>1.1359999999999999</v>
      </c>
      <c r="AR137" s="507">
        <v>1</v>
      </c>
      <c r="AS137" s="507">
        <v>6.7999999999999996E-3</v>
      </c>
      <c r="AT137" s="516">
        <v>0.28599999999999998</v>
      </c>
      <c r="AU137" s="507">
        <v>0.20085500000000001</v>
      </c>
      <c r="AV137" s="516">
        <v>0</v>
      </c>
      <c r="AW137" s="507">
        <v>0</v>
      </c>
      <c r="AX137" s="516"/>
      <c r="AY137" s="507">
        <v>0.2009</v>
      </c>
      <c r="AZ137" s="516"/>
      <c r="BA137" s="507"/>
      <c r="BB137" s="507"/>
      <c r="BC137" s="507"/>
      <c r="BD137" s="507"/>
      <c r="BE137" s="507" t="s">
        <v>470</v>
      </c>
      <c r="BF137" s="507"/>
      <c r="BG137" s="507"/>
      <c r="BH137" s="852"/>
      <c r="BI137" s="504"/>
      <c r="BJ137" s="507"/>
      <c r="BK137" s="96"/>
      <c r="BL137" s="96"/>
      <c r="BM137" s="96"/>
      <c r="BN137" s="96"/>
      <c r="BO137" s="96">
        <v>1</v>
      </c>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815">
        <v>1</v>
      </c>
      <c r="CM137" s="824">
        <f t="shared" si="13"/>
        <v>0</v>
      </c>
      <c r="CN137" s="504">
        <v>5.8999999999999997E-2</v>
      </c>
      <c r="CO137" s="97" t="s">
        <v>6139</v>
      </c>
      <c r="CP137" s="97"/>
      <c r="CQ137" s="97">
        <v>0.2</v>
      </c>
      <c r="CR137" s="504">
        <v>26.253</v>
      </c>
      <c r="CS137" s="507" t="s">
        <v>5910</v>
      </c>
      <c r="CT137" s="97" t="s">
        <v>470</v>
      </c>
      <c r="CU137" s="97"/>
      <c r="CV137" s="97"/>
      <c r="CW137" s="97"/>
      <c r="CX137" s="96"/>
      <c r="CY137" s="96"/>
      <c r="CZ137" s="96">
        <v>1</v>
      </c>
      <c r="DA137" s="97"/>
      <c r="DB137" s="97"/>
      <c r="DC137" s="96"/>
      <c r="DD137" s="97" t="s">
        <v>479</v>
      </c>
      <c r="DE137" s="97" t="s">
        <v>5644</v>
      </c>
      <c r="DF137" s="96">
        <v>24</v>
      </c>
      <c r="DG137" s="96"/>
      <c r="DH137" s="96"/>
      <c r="DI137" s="96"/>
      <c r="DJ137" s="96"/>
      <c r="DK137" s="96"/>
      <c r="DL137" s="96"/>
      <c r="DM137" s="97"/>
      <c r="DN137" s="97"/>
      <c r="DO137" s="96"/>
      <c r="DP137" s="97"/>
      <c r="DQ137" s="97"/>
      <c r="DR137" s="96"/>
      <c r="DS137" s="97"/>
      <c r="DT137" s="97"/>
      <c r="DU137" s="96"/>
      <c r="DV137" s="97"/>
      <c r="DW137" s="97"/>
      <c r="DX137" s="96"/>
      <c r="DY137" s="97"/>
      <c r="DZ137" s="97"/>
      <c r="EA137" s="96"/>
      <c r="EB137" s="97" t="s">
        <v>479</v>
      </c>
      <c r="EC137" s="97" t="s">
        <v>961</v>
      </c>
      <c r="ED137" s="96">
        <v>24</v>
      </c>
      <c r="EE137" s="96"/>
      <c r="EF137" s="96"/>
      <c r="EG137" s="96"/>
      <c r="EH137" s="97"/>
      <c r="EI137" s="97"/>
      <c r="EJ137" s="96"/>
      <c r="EK137" s="97"/>
      <c r="EL137" s="97"/>
      <c r="EM137" s="96"/>
      <c r="EN137" s="97"/>
      <c r="EO137" s="97"/>
      <c r="EP137" s="96"/>
      <c r="EQ137" s="96"/>
      <c r="ER137" s="96"/>
      <c r="ES137" s="96"/>
      <c r="ET137" s="97"/>
      <c r="EU137" s="97"/>
      <c r="EV137" s="96"/>
      <c r="EW137" s="96"/>
      <c r="EX137" s="96"/>
      <c r="EY137" s="96"/>
      <c r="EZ137" s="97" t="s">
        <v>470</v>
      </c>
      <c r="FA137" s="97"/>
      <c r="FB137" s="97" t="s">
        <v>5158</v>
      </c>
      <c r="FC137" s="97"/>
      <c r="FD137" s="97"/>
      <c r="FE137" s="97"/>
      <c r="FF137" s="97"/>
      <c r="FG137" s="97"/>
      <c r="FH137" s="97"/>
      <c r="FI137" s="97"/>
      <c r="FJ137" s="97" t="s">
        <v>3901</v>
      </c>
      <c r="FK137" s="97" t="s">
        <v>3823</v>
      </c>
      <c r="FL137" s="842" t="s">
        <v>3751</v>
      </c>
      <c r="FM137" s="97" t="s">
        <v>3901</v>
      </c>
      <c r="FN137" s="97" t="s">
        <v>3823</v>
      </c>
      <c r="FO137" s="849" t="s">
        <v>3751</v>
      </c>
    </row>
    <row r="138" spans="4:171" ht="28" customHeight="1" x14ac:dyDescent="0.2">
      <c r="E138" s="94" t="s">
        <v>9305</v>
      </c>
      <c r="F138" s="94" t="s">
        <v>9121</v>
      </c>
      <c r="G138" s="97" t="s">
        <v>326</v>
      </c>
      <c r="H138" s="97" t="s">
        <v>407</v>
      </c>
      <c r="I138" s="97" t="s">
        <v>8808</v>
      </c>
      <c r="J138" s="97" t="s">
        <v>1413</v>
      </c>
      <c r="K138" s="97" t="s">
        <v>656</v>
      </c>
      <c r="L138" s="502">
        <v>2021</v>
      </c>
      <c r="M138" s="841">
        <v>44586</v>
      </c>
      <c r="N138" s="841"/>
      <c r="O138" s="841"/>
      <c r="P138" s="841"/>
      <c r="Q138" s="841"/>
      <c r="R138" s="841"/>
      <c r="S138" s="841"/>
      <c r="T138" s="841"/>
      <c r="U138" s="841"/>
      <c r="V138" s="841"/>
      <c r="W138" s="841"/>
      <c r="X138" s="841"/>
      <c r="Y138" s="841"/>
      <c r="Z138" s="97" t="s">
        <v>656</v>
      </c>
      <c r="AA138" s="97" t="s">
        <v>656</v>
      </c>
      <c r="AB138" s="97" t="s">
        <v>6326</v>
      </c>
      <c r="AC138" s="849" t="s">
        <v>7670</v>
      </c>
      <c r="AD138" s="97" t="s">
        <v>7525</v>
      </c>
      <c r="AE138" s="849" t="s">
        <v>7323</v>
      </c>
      <c r="AF138" s="97" t="s">
        <v>656</v>
      </c>
      <c r="AG138" s="97" t="s">
        <v>656</v>
      </c>
      <c r="AH138" s="97" t="s">
        <v>6553</v>
      </c>
      <c r="AI138" s="97" t="s">
        <v>6553</v>
      </c>
      <c r="AJ138" s="97" t="s">
        <v>6725</v>
      </c>
      <c r="AK138" s="97" t="s">
        <v>6553</v>
      </c>
      <c r="AL138" s="580">
        <f t="shared" si="12"/>
        <v>0.5</v>
      </c>
      <c r="AM138" s="504">
        <v>0.5</v>
      </c>
      <c r="AN138" s="516"/>
      <c r="AO138" s="97"/>
      <c r="AP138" s="97"/>
      <c r="AQ138" s="504">
        <v>0.5</v>
      </c>
      <c r="AR138" s="507">
        <v>1</v>
      </c>
      <c r="AS138" s="507">
        <v>1E-4</v>
      </c>
      <c r="AT138" s="516"/>
      <c r="AU138" s="507" t="s">
        <v>656</v>
      </c>
      <c r="AV138" s="516"/>
      <c r="AW138" s="507" t="s">
        <v>656</v>
      </c>
      <c r="AX138" s="516"/>
      <c r="AY138" s="507" t="s">
        <v>656</v>
      </c>
      <c r="AZ138" s="516"/>
      <c r="BA138" s="507"/>
      <c r="BB138" s="507"/>
      <c r="BC138" s="507"/>
      <c r="BD138" s="507"/>
      <c r="BE138" s="507" t="s">
        <v>479</v>
      </c>
      <c r="BF138" s="97" t="s">
        <v>6326</v>
      </c>
      <c r="BG138" s="850" t="s">
        <v>6241</v>
      </c>
      <c r="BH138" s="852" t="s">
        <v>6209</v>
      </c>
      <c r="BI138" s="504">
        <v>2.2999999999999998</v>
      </c>
      <c r="BJ138" s="507">
        <v>6.8000000000000005E-2</v>
      </c>
      <c r="BK138" s="96">
        <v>3</v>
      </c>
      <c r="BL138" s="96">
        <v>3</v>
      </c>
      <c r="BM138" s="96">
        <v>3</v>
      </c>
      <c r="BN138" s="96">
        <v>2</v>
      </c>
      <c r="BO138" s="96">
        <v>0</v>
      </c>
      <c r="BP138" s="96">
        <v>0</v>
      </c>
      <c r="BQ138" s="96">
        <v>0</v>
      </c>
      <c r="BR138" s="96">
        <v>0</v>
      </c>
      <c r="BS138" s="96">
        <v>0</v>
      </c>
      <c r="BT138" s="96">
        <v>0</v>
      </c>
      <c r="BU138" s="96">
        <v>0</v>
      </c>
      <c r="BV138" s="96">
        <v>0</v>
      </c>
      <c r="BW138" s="96">
        <v>0</v>
      </c>
      <c r="BX138" s="96">
        <v>0</v>
      </c>
      <c r="BY138" s="96">
        <v>0</v>
      </c>
      <c r="BZ138" s="96">
        <v>0</v>
      </c>
      <c r="CA138" s="96">
        <v>0</v>
      </c>
      <c r="CB138" s="96">
        <v>0</v>
      </c>
      <c r="CC138" s="96">
        <v>0</v>
      </c>
      <c r="CD138" s="96">
        <v>0</v>
      </c>
      <c r="CE138" s="96">
        <v>0</v>
      </c>
      <c r="CF138" s="96">
        <v>0</v>
      </c>
      <c r="CG138" s="96">
        <v>0</v>
      </c>
      <c r="CH138" s="96">
        <v>0</v>
      </c>
      <c r="CI138" s="96">
        <v>0</v>
      </c>
      <c r="CJ138" s="96">
        <v>0</v>
      </c>
      <c r="CK138" s="96">
        <v>0</v>
      </c>
      <c r="CL138" s="815">
        <v>2</v>
      </c>
      <c r="CM138" s="824">
        <f t="shared" si="13"/>
        <v>0</v>
      </c>
      <c r="CN138" s="504">
        <v>9.6449999999999996</v>
      </c>
      <c r="CO138" s="97"/>
      <c r="CP138" s="97"/>
      <c r="CQ138" s="97">
        <v>100</v>
      </c>
      <c r="CR138" s="504">
        <v>9.6449999999999996</v>
      </c>
      <c r="CS138" s="507" t="s">
        <v>5909</v>
      </c>
      <c r="CT138" s="97" t="s">
        <v>470</v>
      </c>
      <c r="CU138" s="97"/>
      <c r="CV138" s="97"/>
      <c r="CW138" s="97"/>
      <c r="CX138" s="96"/>
      <c r="CY138" s="96"/>
      <c r="CZ138" s="96"/>
      <c r="DA138" s="97" t="s">
        <v>479</v>
      </c>
      <c r="DB138" s="97" t="s">
        <v>5719</v>
      </c>
      <c r="DC138" s="96">
        <v>10</v>
      </c>
      <c r="DD138" s="97" t="s">
        <v>479</v>
      </c>
      <c r="DE138" s="97" t="s">
        <v>2533</v>
      </c>
      <c r="DF138" s="96">
        <v>103</v>
      </c>
      <c r="DG138" s="96" t="s">
        <v>479</v>
      </c>
      <c r="DH138" s="97" t="s">
        <v>2533</v>
      </c>
      <c r="DI138" s="96">
        <v>183</v>
      </c>
      <c r="DJ138" s="96" t="s">
        <v>470</v>
      </c>
      <c r="DK138" s="96"/>
      <c r="DL138" s="96"/>
      <c r="DM138" s="97" t="s">
        <v>470</v>
      </c>
      <c r="DN138" s="97"/>
      <c r="DO138" s="96"/>
      <c r="DP138" s="97" t="s">
        <v>470</v>
      </c>
      <c r="DQ138" s="97"/>
      <c r="DR138" s="96"/>
      <c r="DS138" s="97" t="s">
        <v>470</v>
      </c>
      <c r="DT138" s="97"/>
      <c r="DU138" s="96"/>
      <c r="DV138" s="97" t="s">
        <v>470</v>
      </c>
      <c r="DW138" s="97"/>
      <c r="DX138" s="96"/>
      <c r="DY138" s="97" t="s">
        <v>470</v>
      </c>
      <c r="DZ138" s="97"/>
      <c r="EA138" s="96"/>
      <c r="EB138" s="97" t="s">
        <v>479</v>
      </c>
      <c r="EC138" s="97" t="s">
        <v>2533</v>
      </c>
      <c r="ED138" s="96">
        <v>103</v>
      </c>
      <c r="EE138" s="97" t="s">
        <v>479</v>
      </c>
      <c r="EF138" s="97" t="s">
        <v>2533</v>
      </c>
      <c r="EG138" s="96">
        <v>183</v>
      </c>
      <c r="EH138" s="97" t="s">
        <v>470</v>
      </c>
      <c r="EI138" s="97"/>
      <c r="EJ138" s="96"/>
      <c r="EK138" s="97" t="s">
        <v>470</v>
      </c>
      <c r="EL138" s="97"/>
      <c r="EM138" s="96"/>
      <c r="EN138" s="97" t="s">
        <v>470</v>
      </c>
      <c r="EO138" s="97"/>
      <c r="EP138" s="96"/>
      <c r="EQ138" s="96" t="s">
        <v>470</v>
      </c>
      <c r="ER138" s="96"/>
      <c r="ES138" s="96"/>
      <c r="ET138" s="97" t="s">
        <v>470</v>
      </c>
      <c r="EU138" s="97"/>
      <c r="EV138" s="96"/>
      <c r="EW138" s="96"/>
      <c r="EX138" s="96"/>
      <c r="EY138" s="96"/>
      <c r="EZ138" s="97" t="s">
        <v>470</v>
      </c>
      <c r="FA138" s="97"/>
      <c r="FB138" s="849" t="s">
        <v>5157</v>
      </c>
      <c r="FC138" s="97"/>
      <c r="FD138" s="849" t="s">
        <v>4920</v>
      </c>
      <c r="FE138" s="97" t="s">
        <v>4845</v>
      </c>
      <c r="FF138" s="97"/>
      <c r="FG138" s="97" t="s">
        <v>470</v>
      </c>
      <c r="FH138" s="97"/>
      <c r="FI138" s="97"/>
      <c r="FJ138" s="97" t="s">
        <v>4505</v>
      </c>
      <c r="FK138" s="97" t="s">
        <v>4280</v>
      </c>
      <c r="FL138" s="97" t="s">
        <v>3750</v>
      </c>
      <c r="FM138" s="97" t="s">
        <v>3900</v>
      </c>
      <c r="FN138" s="97" t="s">
        <v>3822</v>
      </c>
      <c r="FO138" s="849" t="s">
        <v>3750</v>
      </c>
    </row>
    <row r="139" spans="4:171" ht="36" customHeight="1" x14ac:dyDescent="0.2">
      <c r="E139" s="94" t="s">
        <v>9305</v>
      </c>
      <c r="F139" s="94" t="s">
        <v>9121</v>
      </c>
      <c r="G139" s="97" t="s">
        <v>326</v>
      </c>
      <c r="H139" s="97" t="s">
        <v>407</v>
      </c>
      <c r="I139" s="97" t="s">
        <v>8807</v>
      </c>
      <c r="J139" s="97" t="s">
        <v>8420</v>
      </c>
      <c r="K139" s="97" t="s">
        <v>8420</v>
      </c>
      <c r="L139" s="502">
        <v>2021</v>
      </c>
      <c r="M139" s="841">
        <v>44602</v>
      </c>
      <c r="N139" s="841">
        <v>44908</v>
      </c>
      <c r="O139" s="841"/>
      <c r="P139" s="841"/>
      <c r="Q139" s="841"/>
      <c r="R139" s="841"/>
      <c r="S139" s="841"/>
      <c r="T139" s="841"/>
      <c r="U139" s="841"/>
      <c r="V139" s="841"/>
      <c r="W139" s="841"/>
      <c r="X139" s="841"/>
      <c r="Y139" s="841"/>
      <c r="Z139" s="97"/>
      <c r="AA139" s="97"/>
      <c r="AB139" s="97" t="s">
        <v>7853</v>
      </c>
      <c r="AC139" s="97" t="s">
        <v>6240</v>
      </c>
      <c r="AD139" s="97"/>
      <c r="AE139" s="97"/>
      <c r="AF139" s="97"/>
      <c r="AG139" s="97"/>
      <c r="AH139" s="97" t="s">
        <v>6878</v>
      </c>
      <c r="AI139" s="97" t="s">
        <v>6878</v>
      </c>
      <c r="AJ139" s="97" t="s">
        <v>470</v>
      </c>
      <c r="AK139" s="97" t="s">
        <v>470</v>
      </c>
      <c r="AL139" s="580">
        <f t="shared" si="12"/>
        <v>5.5163000000000002</v>
      </c>
      <c r="AM139" s="504">
        <v>5.5163000000000002</v>
      </c>
      <c r="AN139" s="516"/>
      <c r="AO139" s="97"/>
      <c r="AP139" s="97"/>
      <c r="AQ139" s="97">
        <v>5.5163000000000002</v>
      </c>
      <c r="AR139" s="507">
        <v>1</v>
      </c>
      <c r="AS139" s="507">
        <v>5.0999999999999997E-2</v>
      </c>
      <c r="AT139" s="516">
        <v>0</v>
      </c>
      <c r="AU139" s="507">
        <v>0</v>
      </c>
      <c r="AV139" s="516">
        <v>0</v>
      </c>
      <c r="AW139" s="507">
        <v>0</v>
      </c>
      <c r="AX139" s="516"/>
      <c r="AY139" s="507">
        <v>0</v>
      </c>
      <c r="AZ139" s="516"/>
      <c r="BA139" s="507"/>
      <c r="BB139" s="507"/>
      <c r="BC139" s="507"/>
      <c r="BD139" s="507"/>
      <c r="BE139" s="507" t="s">
        <v>479</v>
      </c>
      <c r="BF139" s="97" t="s">
        <v>9617</v>
      </c>
      <c r="BG139" s="97" t="s">
        <v>6240</v>
      </c>
      <c r="BH139" s="852">
        <v>0</v>
      </c>
      <c r="BI139" s="504">
        <v>4500</v>
      </c>
      <c r="BJ139" s="507">
        <v>7.4999999999999997E-2</v>
      </c>
      <c r="BK139" s="96">
        <v>3</v>
      </c>
      <c r="BL139" s="96">
        <v>3</v>
      </c>
      <c r="BM139" s="96">
        <v>3</v>
      </c>
      <c r="BN139" s="96"/>
      <c r="BO139" s="96"/>
      <c r="BP139" s="96"/>
      <c r="BQ139" s="96"/>
      <c r="BR139" s="96"/>
      <c r="BS139" s="96"/>
      <c r="BT139" s="96"/>
      <c r="BU139" s="96"/>
      <c r="BV139" s="96"/>
      <c r="BW139" s="96"/>
      <c r="BX139" s="96">
        <v>2</v>
      </c>
      <c r="BY139" s="96">
        <v>1</v>
      </c>
      <c r="BZ139" s="96"/>
      <c r="CA139" s="96"/>
      <c r="CB139" s="96"/>
      <c r="CC139" s="96"/>
      <c r="CD139" s="96"/>
      <c r="CE139" s="96"/>
      <c r="CF139" s="96"/>
      <c r="CG139" s="96"/>
      <c r="CH139" s="96"/>
      <c r="CI139" s="96"/>
      <c r="CJ139" s="96"/>
      <c r="CK139" s="96"/>
      <c r="CL139" s="815">
        <f t="shared" ref="CL139:CL177" si="14">SUM(BN139:CK139)</f>
        <v>3</v>
      </c>
      <c r="CM139" s="824">
        <f t="shared" si="13"/>
        <v>0</v>
      </c>
      <c r="CN139" s="504">
        <v>3.7</v>
      </c>
      <c r="CO139" s="97" t="s">
        <v>6138</v>
      </c>
      <c r="CP139" s="97"/>
      <c r="CQ139" s="97" t="s">
        <v>5961</v>
      </c>
      <c r="CR139" s="504">
        <v>9.4</v>
      </c>
      <c r="CS139" s="507"/>
      <c r="CT139" s="97" t="s">
        <v>470</v>
      </c>
      <c r="CU139" s="97"/>
      <c r="CV139" s="97"/>
      <c r="CW139" s="97"/>
      <c r="CX139" s="96"/>
      <c r="CY139" s="96"/>
      <c r="CZ139" s="96"/>
      <c r="DA139" s="97" t="s">
        <v>470</v>
      </c>
      <c r="DB139" s="97"/>
      <c r="DC139" s="96"/>
      <c r="DD139" s="97" t="s">
        <v>470</v>
      </c>
      <c r="DE139" s="97"/>
      <c r="DF139" s="96"/>
      <c r="DG139" s="96" t="s">
        <v>479</v>
      </c>
      <c r="DH139" s="96" t="s">
        <v>5570</v>
      </c>
      <c r="DI139" s="96" t="s">
        <v>5554</v>
      </c>
      <c r="DJ139" s="96" t="s">
        <v>470</v>
      </c>
      <c r="DK139" s="96"/>
      <c r="DL139" s="96"/>
      <c r="DM139" s="97" t="s">
        <v>470</v>
      </c>
      <c r="DN139" s="97"/>
      <c r="DO139" s="96"/>
      <c r="DP139" s="97" t="s">
        <v>470</v>
      </c>
      <c r="DQ139" s="97"/>
      <c r="DR139" s="96"/>
      <c r="DS139" s="97" t="s">
        <v>470</v>
      </c>
      <c r="DT139" s="97"/>
      <c r="DU139" s="96"/>
      <c r="DV139" s="97" t="s">
        <v>470</v>
      </c>
      <c r="DW139" s="97"/>
      <c r="DX139" s="96"/>
      <c r="DY139" s="97"/>
      <c r="DZ139" s="97"/>
      <c r="EA139" s="96"/>
      <c r="EB139" s="97"/>
      <c r="EC139" s="97"/>
      <c r="ED139" s="96"/>
      <c r="EE139" s="96"/>
      <c r="EF139" s="96"/>
      <c r="EG139" s="96"/>
      <c r="EH139" s="97"/>
      <c r="EI139" s="97"/>
      <c r="EJ139" s="96"/>
      <c r="EK139" s="97"/>
      <c r="EL139" s="97"/>
      <c r="EM139" s="96"/>
      <c r="EN139" s="97" t="s">
        <v>479</v>
      </c>
      <c r="EO139" s="97" t="s">
        <v>5356</v>
      </c>
      <c r="EP139" s="96">
        <v>7</v>
      </c>
      <c r="EQ139" s="96"/>
      <c r="ER139" s="96"/>
      <c r="ES139" s="96"/>
      <c r="ET139" s="97"/>
      <c r="EU139" s="97"/>
      <c r="EV139" s="96"/>
      <c r="EW139" s="96"/>
      <c r="EX139" s="96"/>
      <c r="EY139" s="96"/>
      <c r="EZ139" s="97" t="s">
        <v>470</v>
      </c>
      <c r="FA139" s="97"/>
      <c r="FB139" s="97" t="s">
        <v>5156</v>
      </c>
      <c r="FC139" s="97"/>
      <c r="FD139" s="97"/>
      <c r="FE139" s="97"/>
      <c r="FF139" s="97"/>
      <c r="FG139" s="97" t="s">
        <v>470</v>
      </c>
      <c r="FH139" s="97"/>
      <c r="FI139" s="97"/>
      <c r="FJ139" s="97" t="s">
        <v>4504</v>
      </c>
      <c r="FK139" s="97" t="s">
        <v>4279</v>
      </c>
      <c r="FL139" s="872" t="s">
        <v>4096</v>
      </c>
      <c r="FM139" s="97" t="s">
        <v>3899</v>
      </c>
      <c r="FN139" s="97" t="s">
        <v>3821</v>
      </c>
      <c r="FO139" s="872" t="s">
        <v>3749</v>
      </c>
    </row>
    <row r="140" spans="4:171" ht="28" customHeight="1" x14ac:dyDescent="0.2">
      <c r="E140" s="94" t="s">
        <v>9305</v>
      </c>
      <c r="F140" s="94" t="s">
        <v>9121</v>
      </c>
      <c r="G140" s="97" t="s">
        <v>326</v>
      </c>
      <c r="H140" s="97" t="s">
        <v>407</v>
      </c>
      <c r="I140" s="513" t="s">
        <v>8806</v>
      </c>
      <c r="J140" s="926" t="s">
        <v>8572</v>
      </c>
      <c r="K140" s="926" t="s">
        <v>5242</v>
      </c>
      <c r="L140" s="513">
        <v>2022</v>
      </c>
      <c r="M140" s="926" t="s">
        <v>8317</v>
      </c>
      <c r="N140" s="926" t="s">
        <v>8245</v>
      </c>
      <c r="O140" s="926"/>
      <c r="P140" s="926"/>
      <c r="Q140" s="926"/>
      <c r="R140" s="926"/>
      <c r="S140" s="926"/>
      <c r="T140" s="926"/>
      <c r="U140" s="926"/>
      <c r="V140" s="926"/>
      <c r="W140" s="926"/>
      <c r="X140" s="926"/>
      <c r="Y140" s="926"/>
      <c r="Z140" s="926" t="s">
        <v>7852</v>
      </c>
      <c r="AA140" s="926" t="s">
        <v>5998</v>
      </c>
      <c r="AB140" s="926" t="s">
        <v>7852</v>
      </c>
      <c r="AC140" s="926" t="s">
        <v>5998</v>
      </c>
      <c r="AD140" s="926" t="s">
        <v>7524</v>
      </c>
      <c r="AE140" s="926" t="s">
        <v>7322</v>
      </c>
      <c r="AF140" s="926"/>
      <c r="AG140" s="926"/>
      <c r="AH140" s="513" t="s">
        <v>6877</v>
      </c>
      <c r="AI140" s="513" t="s">
        <v>6877</v>
      </c>
      <c r="AJ140" s="926"/>
      <c r="AK140" s="926"/>
      <c r="AL140" s="580">
        <f t="shared" si="12"/>
        <v>0.12000000000000001</v>
      </c>
      <c r="AM140" s="504">
        <v>0.12000000000000001</v>
      </c>
      <c r="AN140" s="516"/>
      <c r="AO140" s="97"/>
      <c r="AP140" s="97"/>
      <c r="AQ140" s="504">
        <v>0.1</v>
      </c>
      <c r="AR140" s="507">
        <v>1</v>
      </c>
      <c r="AS140" s="507">
        <v>1.6999999999999999E-3</v>
      </c>
      <c r="AT140" s="516">
        <v>0.02</v>
      </c>
      <c r="AU140" s="507">
        <v>0.2</v>
      </c>
      <c r="AV140" s="516">
        <v>0</v>
      </c>
      <c r="AW140" s="507">
        <v>0</v>
      </c>
      <c r="AX140" s="516"/>
      <c r="AY140" s="507">
        <v>0</v>
      </c>
      <c r="AZ140" s="516"/>
      <c r="BA140" s="927"/>
      <c r="BB140" s="927"/>
      <c r="BC140" s="927"/>
      <c r="BD140" s="927"/>
      <c r="BE140" s="927" t="s">
        <v>540</v>
      </c>
      <c r="BF140" s="927" t="s">
        <v>6325</v>
      </c>
      <c r="BG140" s="926" t="s">
        <v>5998</v>
      </c>
      <c r="BH140" s="928">
        <v>0.02</v>
      </c>
      <c r="BI140" s="929">
        <v>0.3</v>
      </c>
      <c r="BJ140" s="927">
        <v>5.0000000000000001E-3</v>
      </c>
      <c r="BK140" s="930">
        <v>1</v>
      </c>
      <c r="BL140" s="930">
        <v>1</v>
      </c>
      <c r="BM140" s="930">
        <v>1</v>
      </c>
      <c r="BN140" s="930"/>
      <c r="BO140" s="930"/>
      <c r="BP140" s="930"/>
      <c r="BQ140" s="930"/>
      <c r="BR140" s="930"/>
      <c r="BS140" s="930"/>
      <c r="BT140" s="930"/>
      <c r="BU140" s="930"/>
      <c r="BV140" s="930"/>
      <c r="BW140" s="930"/>
      <c r="BX140" s="930">
        <v>1</v>
      </c>
      <c r="BY140" s="930"/>
      <c r="BZ140" s="930"/>
      <c r="CA140" s="930"/>
      <c r="CB140" s="930"/>
      <c r="CC140" s="930"/>
      <c r="CD140" s="930"/>
      <c r="CE140" s="930"/>
      <c r="CF140" s="930"/>
      <c r="CG140" s="930"/>
      <c r="CH140" s="930"/>
      <c r="CI140" s="930"/>
      <c r="CJ140" s="930"/>
      <c r="CK140" s="930"/>
      <c r="CL140" s="931">
        <f t="shared" si="14"/>
        <v>1</v>
      </c>
      <c r="CM140" s="824">
        <f t="shared" si="13"/>
        <v>0</v>
      </c>
      <c r="CN140" s="929">
        <v>4.6710000000000003</v>
      </c>
      <c r="CO140" s="926"/>
      <c r="CP140" s="926" t="s">
        <v>5998</v>
      </c>
      <c r="CQ140" s="926">
        <v>41.8</v>
      </c>
      <c r="CR140" s="929">
        <v>11.156000000000001</v>
      </c>
      <c r="CS140" s="927" t="s">
        <v>5907</v>
      </c>
      <c r="CT140" s="926" t="s">
        <v>470</v>
      </c>
      <c r="CU140" s="926"/>
      <c r="CV140" s="926"/>
      <c r="CW140" s="926"/>
      <c r="CX140" s="930"/>
      <c r="CY140" s="930"/>
      <c r="CZ140" s="930"/>
      <c r="DA140" s="926" t="s">
        <v>479</v>
      </c>
      <c r="DB140" s="926" t="s">
        <v>3521</v>
      </c>
      <c r="DC140" s="930">
        <v>60</v>
      </c>
      <c r="DD140" s="926" t="s">
        <v>479</v>
      </c>
      <c r="DE140" s="926" t="s">
        <v>5398</v>
      </c>
      <c r="DF140" s="930">
        <v>60</v>
      </c>
      <c r="DG140" s="930" t="s">
        <v>470</v>
      </c>
      <c r="DH140" s="930"/>
      <c r="DI140" s="930"/>
      <c r="DJ140" s="930" t="s">
        <v>470</v>
      </c>
      <c r="DK140" s="930"/>
      <c r="DL140" s="930"/>
      <c r="DM140" s="926" t="s">
        <v>470</v>
      </c>
      <c r="DN140" s="926"/>
      <c r="DO140" s="930"/>
      <c r="DP140" s="926" t="s">
        <v>540</v>
      </c>
      <c r="DQ140" s="926" t="s">
        <v>5540</v>
      </c>
      <c r="DR140" s="930">
        <v>0</v>
      </c>
      <c r="DS140" s="926" t="s">
        <v>479</v>
      </c>
      <c r="DT140" s="926" t="s">
        <v>5523</v>
      </c>
      <c r="DU140" s="930">
        <v>0</v>
      </c>
      <c r="DV140" s="926"/>
      <c r="DW140" s="926"/>
      <c r="DX140" s="930"/>
      <c r="DY140" s="926" t="s">
        <v>470</v>
      </c>
      <c r="DZ140" s="926"/>
      <c r="EA140" s="930"/>
      <c r="EB140" s="926" t="s">
        <v>479</v>
      </c>
      <c r="EC140" s="926" t="s">
        <v>5421</v>
      </c>
      <c r="ED140" s="930">
        <v>60</v>
      </c>
      <c r="EE140" s="930" t="s">
        <v>470</v>
      </c>
      <c r="EF140" s="930"/>
      <c r="EG140" s="930"/>
      <c r="EH140" s="926" t="s">
        <v>470</v>
      </c>
      <c r="EI140" s="926"/>
      <c r="EJ140" s="930"/>
      <c r="EK140" s="926" t="s">
        <v>470</v>
      </c>
      <c r="EL140" s="926"/>
      <c r="EM140" s="930"/>
      <c r="EN140" s="926" t="s">
        <v>470</v>
      </c>
      <c r="EO140" s="926"/>
      <c r="EP140" s="930"/>
      <c r="EQ140" s="930" t="s">
        <v>479</v>
      </c>
      <c r="ER140" s="930" t="s">
        <v>5311</v>
      </c>
      <c r="ES140" s="930">
        <v>6</v>
      </c>
      <c r="ET140" s="926"/>
      <c r="EU140" s="926"/>
      <c r="EV140" s="930"/>
      <c r="EW140" s="930"/>
      <c r="EX140" s="930"/>
      <c r="EY140" s="930"/>
      <c r="EZ140" s="926" t="s">
        <v>5219</v>
      </c>
      <c r="FA140" s="926" t="s">
        <v>5210</v>
      </c>
      <c r="FB140" s="932" t="s">
        <v>5155</v>
      </c>
      <c r="FC140" s="97" t="s">
        <v>5006</v>
      </c>
      <c r="FD140" s="97" t="s">
        <v>4919</v>
      </c>
      <c r="FE140" s="926" t="s">
        <v>4844</v>
      </c>
      <c r="FF140" s="926"/>
      <c r="FG140" s="926" t="s">
        <v>4656</v>
      </c>
      <c r="FH140" s="926">
        <v>2</v>
      </c>
      <c r="FI140" s="926">
        <v>25</v>
      </c>
      <c r="FJ140" s="926" t="s">
        <v>4503</v>
      </c>
      <c r="FK140" s="926">
        <v>88616598705</v>
      </c>
      <c r="FL140" s="926" t="s">
        <v>3748</v>
      </c>
      <c r="FM140" s="926" t="s">
        <v>3898</v>
      </c>
      <c r="FN140" s="926">
        <v>88616598705</v>
      </c>
      <c r="FO140" s="926" t="s">
        <v>3748</v>
      </c>
    </row>
    <row r="141" spans="4:171" ht="36" customHeight="1" x14ac:dyDescent="0.2">
      <c r="E141" s="94" t="s">
        <v>9305</v>
      </c>
      <c r="F141" s="94" t="s">
        <v>9121</v>
      </c>
      <c r="G141" s="97" t="s">
        <v>326</v>
      </c>
      <c r="H141" s="97" t="s">
        <v>407</v>
      </c>
      <c r="I141" s="522" t="s">
        <v>8805</v>
      </c>
      <c r="J141" s="522" t="s">
        <v>8571</v>
      </c>
      <c r="K141" s="522" t="s">
        <v>8365</v>
      </c>
      <c r="L141" s="933">
        <v>2021</v>
      </c>
      <c r="M141" s="934">
        <v>44581</v>
      </c>
      <c r="N141" s="934">
        <v>44917</v>
      </c>
      <c r="O141" s="934"/>
      <c r="P141" s="934"/>
      <c r="Q141" s="934"/>
      <c r="R141" s="934"/>
      <c r="S141" s="934"/>
      <c r="T141" s="934"/>
      <c r="U141" s="934"/>
      <c r="V141" s="934"/>
      <c r="W141" s="934"/>
      <c r="X141" s="934"/>
      <c r="Y141" s="934"/>
      <c r="Z141" s="522"/>
      <c r="AA141" s="522"/>
      <c r="AB141" s="522" t="s">
        <v>7851</v>
      </c>
      <c r="AC141" s="935" t="s">
        <v>6239</v>
      </c>
      <c r="AD141" s="522" t="s">
        <v>7523</v>
      </c>
      <c r="AE141" s="522"/>
      <c r="AF141" s="522"/>
      <c r="AG141" s="522"/>
      <c r="AH141" s="522" t="s">
        <v>7012</v>
      </c>
      <c r="AI141" s="522" t="s">
        <v>6876</v>
      </c>
      <c r="AJ141" s="522"/>
      <c r="AK141" s="522" t="s">
        <v>6552</v>
      </c>
      <c r="AL141" s="580">
        <f t="shared" si="12"/>
        <v>27.65</v>
      </c>
      <c r="AM141" s="504">
        <v>27.65</v>
      </c>
      <c r="AN141" s="516"/>
      <c r="AO141" s="97"/>
      <c r="AP141" s="97"/>
      <c r="AQ141" s="504">
        <v>27.5</v>
      </c>
      <c r="AR141" s="507">
        <f>AQ141/AL141</f>
        <v>0.9945750452079567</v>
      </c>
      <c r="AS141" s="507">
        <f>AQ141/49740.8</f>
        <v>5.5286605764282037E-4</v>
      </c>
      <c r="AT141" s="516"/>
      <c r="AU141" s="507"/>
      <c r="AV141" s="516"/>
      <c r="AW141" s="507"/>
      <c r="AX141" s="516">
        <v>0.15</v>
      </c>
      <c r="AY141" s="507">
        <f>AX141/AL141</f>
        <v>5.4249547920433997E-3</v>
      </c>
      <c r="AZ141" s="516"/>
      <c r="BA141" s="936"/>
      <c r="BB141" s="936"/>
      <c r="BC141" s="936"/>
      <c r="BD141" s="936"/>
      <c r="BE141" s="936" t="s">
        <v>479</v>
      </c>
      <c r="BF141" s="936" t="s">
        <v>6324</v>
      </c>
      <c r="BG141" s="935" t="s">
        <v>6239</v>
      </c>
      <c r="BH141" s="937"/>
      <c r="BI141" s="938">
        <v>45</v>
      </c>
      <c r="BJ141" s="936">
        <f>45/69844.6</f>
        <v>6.4428746102060852E-4</v>
      </c>
      <c r="BK141" s="939">
        <v>16</v>
      </c>
      <c r="BL141" s="939">
        <v>16</v>
      </c>
      <c r="BM141" s="939">
        <v>3</v>
      </c>
      <c r="BN141" s="939"/>
      <c r="BO141" s="939">
        <v>7</v>
      </c>
      <c r="BP141" s="939">
        <v>1</v>
      </c>
      <c r="BQ141" s="939"/>
      <c r="BR141" s="939"/>
      <c r="BS141" s="939"/>
      <c r="BT141" s="939"/>
      <c r="BU141" s="939"/>
      <c r="BV141" s="939"/>
      <c r="BW141" s="939">
        <v>11</v>
      </c>
      <c r="BX141" s="939"/>
      <c r="BY141" s="939"/>
      <c r="BZ141" s="939"/>
      <c r="CA141" s="939"/>
      <c r="CB141" s="939"/>
      <c r="CC141" s="939"/>
      <c r="CD141" s="939"/>
      <c r="CE141" s="939"/>
      <c r="CF141" s="939"/>
      <c r="CG141" s="939"/>
      <c r="CH141" s="939"/>
      <c r="CI141" s="939"/>
      <c r="CJ141" s="939"/>
      <c r="CK141" s="939"/>
      <c r="CL141" s="940">
        <f t="shared" si="14"/>
        <v>19</v>
      </c>
      <c r="CM141" s="824">
        <f t="shared" si="13"/>
        <v>0</v>
      </c>
      <c r="CN141" s="938">
        <v>1204.9000000000001</v>
      </c>
      <c r="CO141" s="522" t="s">
        <v>6137</v>
      </c>
      <c r="CP141" s="522"/>
      <c r="CQ141" s="522">
        <v>100</v>
      </c>
      <c r="CR141" s="939">
        <v>1204.9000000000001</v>
      </c>
      <c r="CS141" s="936"/>
      <c r="CT141" s="522" t="s">
        <v>470</v>
      </c>
      <c r="CU141" s="522"/>
      <c r="CV141" s="522"/>
      <c r="CW141" s="522"/>
      <c r="CX141" s="939"/>
      <c r="CY141" s="939"/>
      <c r="CZ141" s="939">
        <v>5</v>
      </c>
      <c r="DA141" s="939" t="s">
        <v>479</v>
      </c>
      <c r="DB141" s="939" t="s">
        <v>5378</v>
      </c>
      <c r="DC141" s="939">
        <v>2848</v>
      </c>
      <c r="DD141" s="939" t="s">
        <v>479</v>
      </c>
      <c r="DE141" s="939" t="s">
        <v>5378</v>
      </c>
      <c r="DF141" s="939">
        <v>250</v>
      </c>
      <c r="DG141" s="939" t="s">
        <v>479</v>
      </c>
      <c r="DH141" s="939" t="s">
        <v>5378</v>
      </c>
      <c r="DI141" s="939">
        <v>3</v>
      </c>
      <c r="DJ141" s="939"/>
      <c r="DK141" s="939"/>
      <c r="DL141" s="939"/>
      <c r="DM141" s="522"/>
      <c r="DN141" s="522"/>
      <c r="DO141" s="939"/>
      <c r="DP141" s="522"/>
      <c r="DQ141" s="522"/>
      <c r="DR141" s="939"/>
      <c r="DS141" s="522"/>
      <c r="DT141" s="522"/>
      <c r="DU141" s="939"/>
      <c r="DV141" s="522"/>
      <c r="DW141" s="522"/>
      <c r="DX141" s="939"/>
      <c r="DY141" s="522" t="s">
        <v>479</v>
      </c>
      <c r="DZ141" s="522" t="s">
        <v>5463</v>
      </c>
      <c r="EA141" s="939">
        <v>3542</v>
      </c>
      <c r="EB141" s="522" t="s">
        <v>479</v>
      </c>
      <c r="EC141" s="939" t="s">
        <v>5378</v>
      </c>
      <c r="ED141" s="939">
        <v>2848</v>
      </c>
      <c r="EE141" s="939" t="s">
        <v>479</v>
      </c>
      <c r="EF141" s="939" t="s">
        <v>5378</v>
      </c>
      <c r="EG141" s="939">
        <v>332</v>
      </c>
      <c r="EH141" s="522"/>
      <c r="EI141" s="522"/>
      <c r="EJ141" s="939"/>
      <c r="EK141" s="522"/>
      <c r="EL141" s="522"/>
      <c r="EM141" s="939"/>
      <c r="EN141" s="522"/>
      <c r="EO141" s="522"/>
      <c r="EP141" s="939"/>
      <c r="EQ141" s="939"/>
      <c r="ER141" s="939"/>
      <c r="ES141" s="939"/>
      <c r="ET141" s="522"/>
      <c r="EU141" s="522"/>
      <c r="EV141" s="939"/>
      <c r="EW141" s="939"/>
      <c r="EX141" s="939"/>
      <c r="EY141" s="939"/>
      <c r="EZ141" s="522" t="s">
        <v>470</v>
      </c>
      <c r="FA141" s="522"/>
      <c r="FB141" s="935" t="s">
        <v>5154</v>
      </c>
      <c r="FC141" s="522"/>
      <c r="FD141" s="522"/>
      <c r="FE141" s="522" t="s">
        <v>4843</v>
      </c>
      <c r="FF141" s="522"/>
      <c r="FG141" s="522" t="s">
        <v>4655</v>
      </c>
      <c r="FH141" s="522">
        <v>53</v>
      </c>
      <c r="FI141" s="522">
        <v>1244</v>
      </c>
      <c r="FJ141" s="522" t="s">
        <v>4502</v>
      </c>
      <c r="FK141" s="522">
        <v>88612390006</v>
      </c>
      <c r="FL141" s="935" t="s">
        <v>4095</v>
      </c>
      <c r="FM141" s="522" t="s">
        <v>3897</v>
      </c>
      <c r="FN141" s="522">
        <v>89612590658</v>
      </c>
      <c r="FO141" s="935" t="s">
        <v>3747</v>
      </c>
    </row>
    <row r="142" spans="4:171" ht="28" customHeight="1" x14ac:dyDescent="0.2">
      <c r="E142" s="94" t="s">
        <v>9309</v>
      </c>
      <c r="F142" s="94" t="s">
        <v>9121</v>
      </c>
      <c r="G142" s="97" t="s">
        <v>326</v>
      </c>
      <c r="H142" s="97" t="s">
        <v>407</v>
      </c>
      <c r="I142" s="97" t="s">
        <v>8804</v>
      </c>
      <c r="J142" s="97" t="s">
        <v>7522</v>
      </c>
      <c r="K142" s="97" t="s">
        <v>5242</v>
      </c>
      <c r="L142" s="502">
        <v>2022</v>
      </c>
      <c r="M142" s="841">
        <v>44783</v>
      </c>
      <c r="N142" s="841">
        <v>44844</v>
      </c>
      <c r="O142" s="841"/>
      <c r="P142" s="841"/>
      <c r="Q142" s="841"/>
      <c r="R142" s="841"/>
      <c r="S142" s="841"/>
      <c r="T142" s="841"/>
      <c r="U142" s="841"/>
      <c r="V142" s="841"/>
      <c r="W142" s="841"/>
      <c r="X142" s="841"/>
      <c r="Y142" s="841"/>
      <c r="Z142" s="97" t="s">
        <v>8142</v>
      </c>
      <c r="AA142" s="97"/>
      <c r="AB142" s="97"/>
      <c r="AC142" s="97"/>
      <c r="AD142" s="97" t="s">
        <v>7522</v>
      </c>
      <c r="AE142" s="97"/>
      <c r="AF142" s="97"/>
      <c r="AG142" s="97"/>
      <c r="AH142" s="97" t="s">
        <v>7011</v>
      </c>
      <c r="AI142" s="97" t="s">
        <v>6551</v>
      </c>
      <c r="AJ142" s="97" t="s">
        <v>6724</v>
      </c>
      <c r="AK142" s="97" t="s">
        <v>6551</v>
      </c>
      <c r="AL142" s="580">
        <f t="shared" si="12"/>
        <v>0.59</v>
      </c>
      <c r="AM142" s="504">
        <v>0.59</v>
      </c>
      <c r="AN142" s="516"/>
      <c r="AO142" s="97"/>
      <c r="AP142" s="97"/>
      <c r="AQ142" s="504">
        <v>0.59</v>
      </c>
      <c r="AR142" s="507"/>
      <c r="AS142" s="507"/>
      <c r="AT142" s="516">
        <v>0</v>
      </c>
      <c r="AU142" s="507"/>
      <c r="AV142" s="516">
        <v>0</v>
      </c>
      <c r="AW142" s="507"/>
      <c r="AX142" s="516"/>
      <c r="AY142" s="507"/>
      <c r="AZ142" s="516"/>
      <c r="BA142" s="507"/>
      <c r="BB142" s="507"/>
      <c r="BC142" s="507"/>
      <c r="BD142" s="507"/>
      <c r="BE142" s="507" t="s">
        <v>470</v>
      </c>
      <c r="BF142" s="507">
        <v>0</v>
      </c>
      <c r="BG142" s="507"/>
      <c r="BH142" s="852">
        <v>0</v>
      </c>
      <c r="BI142" s="504">
        <v>0</v>
      </c>
      <c r="BJ142" s="507"/>
      <c r="BK142" s="96">
        <v>1</v>
      </c>
      <c r="BL142" s="96">
        <v>1</v>
      </c>
      <c r="BM142" s="96">
        <v>1</v>
      </c>
      <c r="BN142" s="96"/>
      <c r="BO142" s="96">
        <v>1</v>
      </c>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815">
        <f t="shared" si="14"/>
        <v>1</v>
      </c>
      <c r="CM142" s="824">
        <f t="shared" si="13"/>
        <v>0</v>
      </c>
      <c r="CN142" s="504">
        <v>4.3</v>
      </c>
      <c r="CO142" s="97" t="s">
        <v>6136</v>
      </c>
      <c r="CP142" s="97"/>
      <c r="CQ142" s="97">
        <v>100</v>
      </c>
      <c r="CR142" s="504">
        <v>4.3</v>
      </c>
      <c r="CS142" s="507"/>
      <c r="CT142" s="97" t="s">
        <v>470</v>
      </c>
      <c r="CU142" s="97"/>
      <c r="CV142" s="97"/>
      <c r="CW142" s="97"/>
      <c r="CX142" s="96"/>
      <c r="CY142" s="96"/>
      <c r="CZ142" s="96"/>
      <c r="DA142" s="97" t="s">
        <v>479</v>
      </c>
      <c r="DB142" s="97" t="s">
        <v>640</v>
      </c>
      <c r="DC142" s="96">
        <v>2130</v>
      </c>
      <c r="DD142" s="97" t="s">
        <v>479</v>
      </c>
      <c r="DE142" s="97" t="s">
        <v>640</v>
      </c>
      <c r="DF142" s="96">
        <v>46</v>
      </c>
      <c r="DG142" s="96" t="s">
        <v>470</v>
      </c>
      <c r="DH142" s="96"/>
      <c r="DI142" s="96"/>
      <c r="DJ142" s="96" t="s">
        <v>470</v>
      </c>
      <c r="DK142" s="96"/>
      <c r="DL142" s="96"/>
      <c r="DM142" s="97" t="s">
        <v>470</v>
      </c>
      <c r="DN142" s="97"/>
      <c r="DO142" s="96"/>
      <c r="DP142" s="97" t="s">
        <v>470</v>
      </c>
      <c r="DQ142" s="97"/>
      <c r="DR142" s="96"/>
      <c r="DS142" s="97" t="s">
        <v>470</v>
      </c>
      <c r="DT142" s="97"/>
      <c r="DU142" s="96"/>
      <c r="DV142" s="97" t="s">
        <v>5514</v>
      </c>
      <c r="DW142" s="97"/>
      <c r="DX142" s="96"/>
      <c r="DY142" s="97" t="s">
        <v>470</v>
      </c>
      <c r="DZ142" s="97"/>
      <c r="EA142" s="96"/>
      <c r="EB142" s="97" t="s">
        <v>479</v>
      </c>
      <c r="EC142" s="97" t="s">
        <v>640</v>
      </c>
      <c r="ED142" s="96">
        <v>46</v>
      </c>
      <c r="EE142" s="96"/>
      <c r="EF142" s="96"/>
      <c r="EG142" s="96"/>
      <c r="EH142" s="97"/>
      <c r="EI142" s="97"/>
      <c r="EJ142" s="96"/>
      <c r="EK142" s="97"/>
      <c r="EL142" s="97"/>
      <c r="EM142" s="96"/>
      <c r="EN142" s="97"/>
      <c r="EO142" s="97"/>
      <c r="EP142" s="96"/>
      <c r="EQ142" s="96"/>
      <c r="ER142" s="96"/>
      <c r="ES142" s="96"/>
      <c r="ET142" s="97"/>
      <c r="EU142" s="97"/>
      <c r="EV142" s="96"/>
      <c r="EW142" s="96"/>
      <c r="EX142" s="96"/>
      <c r="EY142" s="96"/>
      <c r="EZ142" s="97"/>
      <c r="FA142" s="97"/>
      <c r="FB142" s="97"/>
      <c r="FC142" s="97"/>
      <c r="FD142" s="97"/>
      <c r="FE142" s="97"/>
      <c r="FF142" s="97"/>
      <c r="FG142" s="97"/>
      <c r="FH142" s="97"/>
      <c r="FI142" s="97"/>
      <c r="FJ142" s="97" t="s">
        <v>4501</v>
      </c>
      <c r="FK142" s="97">
        <v>89184937803</v>
      </c>
      <c r="FL142" s="842" t="s">
        <v>4094</v>
      </c>
      <c r="FM142" s="97"/>
      <c r="FN142" s="97"/>
      <c r="FO142" s="97"/>
    </row>
    <row r="143" spans="4:171" ht="36" customHeight="1" x14ac:dyDescent="0.2">
      <c r="E143" s="94" t="s">
        <v>9305</v>
      </c>
      <c r="F143" s="94" t="s">
        <v>9121</v>
      </c>
      <c r="G143" s="97" t="s">
        <v>326</v>
      </c>
      <c r="H143" s="97" t="s">
        <v>407</v>
      </c>
      <c r="I143" s="97" t="s">
        <v>8803</v>
      </c>
      <c r="J143" s="97" t="s">
        <v>8570</v>
      </c>
      <c r="K143" s="97" t="s">
        <v>5242</v>
      </c>
      <c r="L143" s="502">
        <v>2020</v>
      </c>
      <c r="M143" s="841">
        <v>44888</v>
      </c>
      <c r="N143" s="841">
        <v>44924</v>
      </c>
      <c r="O143" s="841"/>
      <c r="P143" s="841"/>
      <c r="Q143" s="841"/>
      <c r="R143" s="841"/>
      <c r="S143" s="841"/>
      <c r="T143" s="841"/>
      <c r="U143" s="841"/>
      <c r="V143" s="841"/>
      <c r="W143" s="841"/>
      <c r="X143" s="841"/>
      <c r="Y143" s="841"/>
      <c r="Z143" s="97"/>
      <c r="AA143" s="97"/>
      <c r="AB143" s="97" t="s">
        <v>7850</v>
      </c>
      <c r="AC143" s="506" t="s">
        <v>7669</v>
      </c>
      <c r="AD143" s="97" t="s">
        <v>7521</v>
      </c>
      <c r="AE143" s="506" t="s">
        <v>7321</v>
      </c>
      <c r="AF143" s="97"/>
      <c r="AG143" s="97"/>
      <c r="AH143" s="97" t="s">
        <v>6875</v>
      </c>
      <c r="AI143" s="97" t="s">
        <v>6875</v>
      </c>
      <c r="AJ143" s="97" t="s">
        <v>6723</v>
      </c>
      <c r="AK143" s="97"/>
      <c r="AL143" s="580">
        <f t="shared" si="12"/>
        <v>0.42199999999999999</v>
      </c>
      <c r="AM143" s="504">
        <v>0.42199999999999999</v>
      </c>
      <c r="AN143" s="516"/>
      <c r="AO143" s="97"/>
      <c r="AP143" s="97"/>
      <c r="AQ143" s="504">
        <v>0.42199999999999999</v>
      </c>
      <c r="AR143" s="507">
        <v>1</v>
      </c>
      <c r="AS143" s="507">
        <v>1.3599999999999999E-2</v>
      </c>
      <c r="AT143" s="516">
        <v>0</v>
      </c>
      <c r="AU143" s="507">
        <v>0</v>
      </c>
      <c r="AV143" s="516">
        <v>0</v>
      </c>
      <c r="AW143" s="507">
        <v>0</v>
      </c>
      <c r="AX143" s="516"/>
      <c r="AY143" s="507"/>
      <c r="AZ143" s="516"/>
      <c r="BA143" s="507"/>
      <c r="BB143" s="507"/>
      <c r="BC143" s="507"/>
      <c r="BD143" s="507"/>
      <c r="BE143" s="507"/>
      <c r="BF143" s="507"/>
      <c r="BG143" s="507"/>
      <c r="BH143" s="852"/>
      <c r="BI143" s="504"/>
      <c r="BJ143" s="507"/>
      <c r="BK143" s="96">
        <v>2</v>
      </c>
      <c r="BL143" s="96">
        <v>2</v>
      </c>
      <c r="BM143" s="96">
        <v>1</v>
      </c>
      <c r="BN143" s="96"/>
      <c r="BO143" s="96">
        <v>1</v>
      </c>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815">
        <f t="shared" si="14"/>
        <v>1</v>
      </c>
      <c r="CM143" s="824">
        <f t="shared" si="13"/>
        <v>0</v>
      </c>
      <c r="CN143" s="504">
        <v>3.5990000000000002</v>
      </c>
      <c r="CO143" s="97"/>
      <c r="CP143" s="97"/>
      <c r="CQ143" s="97">
        <v>57</v>
      </c>
      <c r="CR143" s="504">
        <v>6.282</v>
      </c>
      <c r="CS143" s="507" t="s">
        <v>5898</v>
      </c>
      <c r="CT143" s="97" t="s">
        <v>470</v>
      </c>
      <c r="CU143" s="97"/>
      <c r="CV143" s="97"/>
      <c r="CW143" s="97"/>
      <c r="CX143" s="96"/>
      <c r="CY143" s="96"/>
      <c r="CZ143" s="96"/>
      <c r="DA143" s="97"/>
      <c r="DB143" s="97"/>
      <c r="DC143" s="96"/>
      <c r="DD143" s="97" t="s">
        <v>479</v>
      </c>
      <c r="DE143" s="97" t="s">
        <v>640</v>
      </c>
      <c r="DF143" s="96">
        <v>75</v>
      </c>
      <c r="DG143" s="96"/>
      <c r="DH143" s="96"/>
      <c r="DI143" s="96"/>
      <c r="DJ143" s="96"/>
      <c r="DK143" s="96"/>
      <c r="DL143" s="96"/>
      <c r="DM143" s="97"/>
      <c r="DN143" s="97"/>
      <c r="DO143" s="96"/>
      <c r="DP143" s="97"/>
      <c r="DQ143" s="97"/>
      <c r="DR143" s="96"/>
      <c r="DS143" s="97"/>
      <c r="DT143" s="97"/>
      <c r="DU143" s="96"/>
      <c r="DV143" s="97"/>
      <c r="DW143" s="97"/>
      <c r="DX143" s="96"/>
      <c r="DY143" s="97"/>
      <c r="DZ143" s="97"/>
      <c r="EA143" s="96"/>
      <c r="EB143" s="97"/>
      <c r="EC143" s="97"/>
      <c r="ED143" s="96"/>
      <c r="EE143" s="96"/>
      <c r="EF143" s="96"/>
      <c r="EG143" s="96"/>
      <c r="EH143" s="97"/>
      <c r="EI143" s="97"/>
      <c r="EJ143" s="96"/>
      <c r="EK143" s="97"/>
      <c r="EL143" s="97"/>
      <c r="EM143" s="96"/>
      <c r="EN143" s="97"/>
      <c r="EO143" s="97"/>
      <c r="EP143" s="96"/>
      <c r="EQ143" s="96" t="s">
        <v>479</v>
      </c>
      <c r="ER143" s="96" t="s">
        <v>640</v>
      </c>
      <c r="ES143" s="96"/>
      <c r="ET143" s="97"/>
      <c r="EU143" s="97"/>
      <c r="EV143" s="96"/>
      <c r="EW143" s="96"/>
      <c r="EX143" s="96"/>
      <c r="EY143" s="96"/>
      <c r="EZ143" s="97" t="s">
        <v>470</v>
      </c>
      <c r="FA143" s="97"/>
      <c r="FB143" s="97"/>
      <c r="FC143" s="97"/>
      <c r="FD143" s="97"/>
      <c r="FE143" s="97"/>
      <c r="FF143" s="97"/>
      <c r="FG143" s="97"/>
      <c r="FH143" s="97"/>
      <c r="FI143" s="97"/>
      <c r="FJ143" s="97" t="s">
        <v>4500</v>
      </c>
      <c r="FK143" s="97">
        <v>88614777206</v>
      </c>
      <c r="FL143" s="506" t="s">
        <v>4093</v>
      </c>
      <c r="FM143" s="97"/>
      <c r="FN143" s="97"/>
      <c r="FO143" s="97"/>
    </row>
    <row r="144" spans="4:171" ht="28" customHeight="1" x14ac:dyDescent="0.2">
      <c r="E144" s="94" t="s">
        <v>9305</v>
      </c>
      <c r="F144" s="94" t="s">
        <v>9121</v>
      </c>
      <c r="G144" s="97" t="s">
        <v>326</v>
      </c>
      <c r="H144" s="97" t="s">
        <v>407</v>
      </c>
      <c r="I144" s="863" t="s">
        <v>8802</v>
      </c>
      <c r="J144" s="863" t="s">
        <v>8569</v>
      </c>
      <c r="K144" s="863" t="s">
        <v>656</v>
      </c>
      <c r="L144" s="941">
        <v>2022</v>
      </c>
      <c r="M144" s="942">
        <v>44489</v>
      </c>
      <c r="N144" s="942">
        <v>44912</v>
      </c>
      <c r="O144" s="942"/>
      <c r="P144" s="942"/>
      <c r="Q144" s="942"/>
      <c r="R144" s="942"/>
      <c r="S144" s="942"/>
      <c r="T144" s="942"/>
      <c r="U144" s="942"/>
      <c r="V144" s="942"/>
      <c r="W144" s="942"/>
      <c r="X144" s="942"/>
      <c r="Y144" s="942"/>
      <c r="Z144" s="97"/>
      <c r="AA144" s="97"/>
      <c r="AB144" s="863" t="s">
        <v>7849</v>
      </c>
      <c r="AC144" s="863" t="s">
        <v>6238</v>
      </c>
      <c r="AD144" s="97" t="s">
        <v>7520</v>
      </c>
      <c r="AE144" s="943" t="s">
        <v>7320</v>
      </c>
      <c r="AF144" s="97" t="s">
        <v>656</v>
      </c>
      <c r="AG144" s="97"/>
      <c r="AH144" s="863" t="s">
        <v>6550</v>
      </c>
      <c r="AI144" s="863" t="s">
        <v>6550</v>
      </c>
      <c r="AJ144" s="863" t="s">
        <v>1763</v>
      </c>
      <c r="AK144" s="863" t="s">
        <v>6550</v>
      </c>
      <c r="AL144" s="580">
        <f t="shared" si="12"/>
        <v>0.64400000000000002</v>
      </c>
      <c r="AM144" s="504">
        <v>0.64400000000000002</v>
      </c>
      <c r="AN144" s="516"/>
      <c r="AO144" s="97"/>
      <c r="AP144" s="97"/>
      <c r="AQ144" s="504">
        <v>0.64400000000000002</v>
      </c>
      <c r="AR144" s="507">
        <v>1</v>
      </c>
      <c r="AS144" s="507">
        <v>0.11</v>
      </c>
      <c r="AT144" s="516">
        <v>0</v>
      </c>
      <c r="AU144" s="507">
        <v>0</v>
      </c>
      <c r="AV144" s="516">
        <v>0</v>
      </c>
      <c r="AW144" s="507">
        <v>0</v>
      </c>
      <c r="AX144" s="516"/>
      <c r="AY144" s="507">
        <v>0</v>
      </c>
      <c r="AZ144" s="516"/>
      <c r="BA144" s="507"/>
      <c r="BB144" s="507"/>
      <c r="BC144" s="507"/>
      <c r="BD144" s="507"/>
      <c r="BE144" s="507" t="s">
        <v>479</v>
      </c>
      <c r="BF144" s="865" t="s">
        <v>6322</v>
      </c>
      <c r="BG144" s="865" t="s">
        <v>6238</v>
      </c>
      <c r="BH144" s="852" t="s">
        <v>656</v>
      </c>
      <c r="BI144" s="504">
        <v>4.0209999999999999</v>
      </c>
      <c r="BJ144" s="507">
        <v>7.4999999999999997E-2</v>
      </c>
      <c r="BK144" s="96">
        <v>3</v>
      </c>
      <c r="BL144" s="96">
        <v>2</v>
      </c>
      <c r="BM144" s="96">
        <v>1</v>
      </c>
      <c r="BN144" s="96">
        <v>0</v>
      </c>
      <c r="BO144" s="96">
        <v>0</v>
      </c>
      <c r="BP144" s="96">
        <v>0</v>
      </c>
      <c r="BQ144" s="96">
        <v>0</v>
      </c>
      <c r="BR144" s="96">
        <v>0</v>
      </c>
      <c r="BS144" s="96">
        <v>0</v>
      </c>
      <c r="BT144" s="96">
        <v>0</v>
      </c>
      <c r="BU144" s="96">
        <v>0</v>
      </c>
      <c r="BV144" s="96">
        <v>0</v>
      </c>
      <c r="BW144" s="96">
        <v>0</v>
      </c>
      <c r="BX144" s="96">
        <v>0</v>
      </c>
      <c r="BY144" s="96">
        <v>1</v>
      </c>
      <c r="BZ144" s="96">
        <v>0</v>
      </c>
      <c r="CA144" s="96">
        <v>0</v>
      </c>
      <c r="CB144" s="96">
        <v>0</v>
      </c>
      <c r="CC144" s="96">
        <v>0</v>
      </c>
      <c r="CD144" s="96">
        <v>0</v>
      </c>
      <c r="CE144" s="96">
        <v>0</v>
      </c>
      <c r="CF144" s="96">
        <v>0</v>
      </c>
      <c r="CG144" s="96">
        <v>0</v>
      </c>
      <c r="CH144" s="96">
        <v>0</v>
      </c>
      <c r="CI144" s="96">
        <v>0</v>
      </c>
      <c r="CJ144" s="96">
        <v>0</v>
      </c>
      <c r="CK144" s="96">
        <v>0</v>
      </c>
      <c r="CL144" s="815">
        <f t="shared" si="14"/>
        <v>1</v>
      </c>
      <c r="CM144" s="824">
        <f t="shared" si="13"/>
        <v>0</v>
      </c>
      <c r="CN144" s="504">
        <v>2.206</v>
      </c>
      <c r="CO144" s="97"/>
      <c r="CP144" s="97"/>
      <c r="CQ144" s="97">
        <v>26.6</v>
      </c>
      <c r="CR144" s="504">
        <v>8.2910000000000004</v>
      </c>
      <c r="CS144" s="507" t="s">
        <v>5908</v>
      </c>
      <c r="CT144" s="863" t="s">
        <v>470</v>
      </c>
      <c r="CU144" s="863" t="s">
        <v>470</v>
      </c>
      <c r="CV144" s="863" t="s">
        <v>470</v>
      </c>
      <c r="CW144" s="944" t="s">
        <v>470</v>
      </c>
      <c r="CX144" s="944">
        <v>0</v>
      </c>
      <c r="CY144" s="944">
        <v>0</v>
      </c>
      <c r="CZ144" s="96">
        <v>2</v>
      </c>
      <c r="DA144" s="97" t="s">
        <v>479</v>
      </c>
      <c r="DB144" s="97" t="s">
        <v>5718</v>
      </c>
      <c r="DC144" s="944">
        <v>1600</v>
      </c>
      <c r="DD144" s="863" t="s">
        <v>479</v>
      </c>
      <c r="DE144" s="863" t="s">
        <v>5569</v>
      </c>
      <c r="DF144" s="944">
        <v>31</v>
      </c>
      <c r="DG144" s="944" t="s">
        <v>479</v>
      </c>
      <c r="DH144" s="944" t="s">
        <v>5569</v>
      </c>
      <c r="DI144" s="944">
        <v>31</v>
      </c>
      <c r="DJ144" s="96" t="s">
        <v>470</v>
      </c>
      <c r="DK144" s="96">
        <v>0</v>
      </c>
      <c r="DL144" s="96">
        <v>0</v>
      </c>
      <c r="DM144" s="96" t="s">
        <v>470</v>
      </c>
      <c r="DN144" s="96">
        <v>0</v>
      </c>
      <c r="DO144" s="96">
        <v>0</v>
      </c>
      <c r="DP144" s="96" t="s">
        <v>470</v>
      </c>
      <c r="DQ144" s="96">
        <v>0</v>
      </c>
      <c r="DR144" s="96">
        <v>0</v>
      </c>
      <c r="DS144" s="96" t="s">
        <v>470</v>
      </c>
      <c r="DT144" s="96">
        <v>0</v>
      </c>
      <c r="DU144" s="96">
        <v>0</v>
      </c>
      <c r="DV144" s="96" t="s">
        <v>470</v>
      </c>
      <c r="DW144" s="96">
        <v>0</v>
      </c>
      <c r="DX144" s="96">
        <v>0</v>
      </c>
      <c r="DY144" s="96" t="s">
        <v>470</v>
      </c>
      <c r="DZ144" s="96">
        <v>0</v>
      </c>
      <c r="EA144" s="96">
        <v>0</v>
      </c>
      <c r="EB144" s="863" t="s">
        <v>479</v>
      </c>
      <c r="EC144" s="863" t="s">
        <v>3157</v>
      </c>
      <c r="ED144" s="944">
        <v>1600</v>
      </c>
      <c r="EE144" s="96" t="s">
        <v>470</v>
      </c>
      <c r="EF144" s="96">
        <v>0</v>
      </c>
      <c r="EG144" s="96">
        <v>0</v>
      </c>
      <c r="EH144" s="96" t="s">
        <v>470</v>
      </c>
      <c r="EI144" s="96">
        <v>0</v>
      </c>
      <c r="EJ144" s="96">
        <v>0</v>
      </c>
      <c r="EK144" s="96" t="s">
        <v>470</v>
      </c>
      <c r="EL144" s="96">
        <v>0</v>
      </c>
      <c r="EM144" s="96">
        <v>0</v>
      </c>
      <c r="EN144" s="96" t="s">
        <v>470</v>
      </c>
      <c r="EO144" s="96">
        <v>0</v>
      </c>
      <c r="EP144" s="96">
        <v>0</v>
      </c>
      <c r="EQ144" s="96" t="s">
        <v>479</v>
      </c>
      <c r="ER144" s="96" t="s">
        <v>5310</v>
      </c>
      <c r="ES144" s="96">
        <v>0</v>
      </c>
      <c r="ET144" s="96" t="s">
        <v>470</v>
      </c>
      <c r="EU144" s="96">
        <v>0</v>
      </c>
      <c r="EV144" s="96">
        <v>0</v>
      </c>
      <c r="EW144" s="96"/>
      <c r="EX144" s="96"/>
      <c r="EY144" s="96"/>
      <c r="EZ144" s="863" t="s">
        <v>470</v>
      </c>
      <c r="FA144" s="863">
        <v>0</v>
      </c>
      <c r="FB144" s="943"/>
      <c r="FC144" s="97" t="s">
        <v>5005</v>
      </c>
      <c r="FD144" s="97"/>
      <c r="FE144" s="863" t="s">
        <v>4842</v>
      </c>
      <c r="FF144" s="97"/>
      <c r="FG144" s="863" t="s">
        <v>470</v>
      </c>
      <c r="FH144" s="863">
        <v>0</v>
      </c>
      <c r="FI144" s="863">
        <v>0</v>
      </c>
      <c r="FJ144" s="863" t="s">
        <v>4499</v>
      </c>
      <c r="FK144" s="863" t="s">
        <v>4278</v>
      </c>
      <c r="FL144" s="863" t="s">
        <v>4092</v>
      </c>
      <c r="FM144" s="97"/>
      <c r="FN144" s="97"/>
      <c r="FO144" s="97"/>
    </row>
    <row r="145" spans="5:195" ht="36" customHeight="1" x14ac:dyDescent="0.2">
      <c r="E145" s="94" t="s">
        <v>9309</v>
      </c>
      <c r="F145" s="94" t="s">
        <v>9121</v>
      </c>
      <c r="G145" s="97" t="s">
        <v>326</v>
      </c>
      <c r="H145" s="97" t="s">
        <v>407</v>
      </c>
      <c r="I145" s="97" t="s">
        <v>8801</v>
      </c>
      <c r="J145" s="97" t="s">
        <v>8419</v>
      </c>
      <c r="K145" s="97" t="s">
        <v>8419</v>
      </c>
      <c r="L145" s="502">
        <v>2022</v>
      </c>
      <c r="M145" s="841" t="s">
        <v>8316</v>
      </c>
      <c r="N145" s="841">
        <v>44926</v>
      </c>
      <c r="O145" s="841"/>
      <c r="P145" s="841"/>
      <c r="Q145" s="841"/>
      <c r="R145" s="841"/>
      <c r="S145" s="841"/>
      <c r="T145" s="841"/>
      <c r="U145" s="841"/>
      <c r="V145" s="841"/>
      <c r="W145" s="841"/>
      <c r="X145" s="841"/>
      <c r="Y145" s="841"/>
      <c r="Z145" s="97"/>
      <c r="AA145" s="97"/>
      <c r="AB145" s="97" t="s">
        <v>7848</v>
      </c>
      <c r="AC145" s="97" t="s">
        <v>5153</v>
      </c>
      <c r="AD145" s="97" t="s">
        <v>7519</v>
      </c>
      <c r="AE145" s="97" t="s">
        <v>7319</v>
      </c>
      <c r="AF145" s="97"/>
      <c r="AG145" s="97"/>
      <c r="AH145" s="97" t="s">
        <v>6549</v>
      </c>
      <c r="AI145" s="97" t="s">
        <v>6549</v>
      </c>
      <c r="AJ145" s="97" t="s">
        <v>6722</v>
      </c>
      <c r="AK145" s="97" t="s">
        <v>6549</v>
      </c>
      <c r="AL145" s="580">
        <f t="shared" si="12"/>
        <v>0.8</v>
      </c>
      <c r="AM145" s="504">
        <v>0.8</v>
      </c>
      <c r="AN145" s="516"/>
      <c r="AO145" s="97"/>
      <c r="AP145" s="97"/>
      <c r="AQ145" s="504">
        <v>0.8</v>
      </c>
      <c r="AR145" s="507">
        <v>1</v>
      </c>
      <c r="AS145" s="507">
        <v>5.1999999999999998E-2</v>
      </c>
      <c r="AT145" s="516">
        <v>0</v>
      </c>
      <c r="AU145" s="507">
        <v>0</v>
      </c>
      <c r="AV145" s="516">
        <v>0</v>
      </c>
      <c r="AW145" s="507">
        <v>0</v>
      </c>
      <c r="AX145" s="516"/>
      <c r="AY145" s="507">
        <v>0</v>
      </c>
      <c r="AZ145" s="516"/>
      <c r="BA145" s="507"/>
      <c r="BB145" s="507"/>
      <c r="BC145" s="507"/>
      <c r="BD145" s="507"/>
      <c r="BE145" s="507" t="s">
        <v>479</v>
      </c>
      <c r="BF145" s="507" t="s">
        <v>1111</v>
      </c>
      <c r="BG145" s="97" t="s">
        <v>5153</v>
      </c>
      <c r="BH145" s="852"/>
      <c r="BI145" s="504">
        <v>0.3</v>
      </c>
      <c r="BJ145" s="507">
        <v>2.1000000000000001E-2</v>
      </c>
      <c r="BK145" s="96">
        <v>2</v>
      </c>
      <c r="BL145" s="96">
        <v>2</v>
      </c>
      <c r="BM145" s="96">
        <v>2</v>
      </c>
      <c r="BN145" s="96">
        <v>1</v>
      </c>
      <c r="BO145" s="96">
        <v>0</v>
      </c>
      <c r="BP145" s="96">
        <v>0</v>
      </c>
      <c r="BQ145" s="96">
        <v>0</v>
      </c>
      <c r="BR145" s="96">
        <v>0</v>
      </c>
      <c r="BS145" s="96">
        <v>0</v>
      </c>
      <c r="BT145" s="96">
        <v>0</v>
      </c>
      <c r="BU145" s="96">
        <v>0</v>
      </c>
      <c r="BV145" s="96">
        <v>0</v>
      </c>
      <c r="BW145" s="96">
        <v>0</v>
      </c>
      <c r="BX145" s="96">
        <v>0</v>
      </c>
      <c r="BY145" s="96">
        <v>1</v>
      </c>
      <c r="BZ145" s="96">
        <v>0</v>
      </c>
      <c r="CA145" s="96">
        <v>0</v>
      </c>
      <c r="CB145" s="96">
        <v>0</v>
      </c>
      <c r="CC145" s="96">
        <v>0</v>
      </c>
      <c r="CD145" s="96">
        <v>0</v>
      </c>
      <c r="CE145" s="96">
        <v>0</v>
      </c>
      <c r="CF145" s="96">
        <v>0</v>
      </c>
      <c r="CG145" s="96">
        <v>0</v>
      </c>
      <c r="CH145" s="96">
        <v>0</v>
      </c>
      <c r="CI145" s="96">
        <v>0</v>
      </c>
      <c r="CJ145" s="96">
        <v>0</v>
      </c>
      <c r="CK145" s="96"/>
      <c r="CL145" s="815">
        <f t="shared" si="14"/>
        <v>2</v>
      </c>
      <c r="CM145" s="824">
        <f t="shared" si="13"/>
        <v>0</v>
      </c>
      <c r="CN145" s="504">
        <v>1.9970000000000001</v>
      </c>
      <c r="CO145" s="97"/>
      <c r="CP145" s="97"/>
      <c r="CQ145" s="97">
        <v>100</v>
      </c>
      <c r="CR145" s="504">
        <v>1.9970000000000001</v>
      </c>
      <c r="CS145" s="507" t="s">
        <v>5898</v>
      </c>
      <c r="CT145" s="97" t="s">
        <v>470</v>
      </c>
      <c r="CU145" s="97"/>
      <c r="CV145" s="97"/>
      <c r="CW145" s="97"/>
      <c r="CX145" s="96"/>
      <c r="CY145" s="96"/>
      <c r="CZ145" s="96"/>
      <c r="DA145" s="97" t="s">
        <v>479</v>
      </c>
      <c r="DB145" s="97" t="s">
        <v>5717</v>
      </c>
      <c r="DC145" s="96"/>
      <c r="DD145" s="97" t="s">
        <v>479</v>
      </c>
      <c r="DE145" s="97" t="s">
        <v>1365</v>
      </c>
      <c r="DF145" s="96">
        <v>30</v>
      </c>
      <c r="DG145" s="96" t="s">
        <v>479</v>
      </c>
      <c r="DH145" s="96" t="s">
        <v>5568</v>
      </c>
      <c r="DI145" s="96">
        <v>30</v>
      </c>
      <c r="DJ145" s="96" t="s">
        <v>470</v>
      </c>
      <c r="DK145" s="96"/>
      <c r="DL145" s="96"/>
      <c r="DM145" s="97" t="s">
        <v>470</v>
      </c>
      <c r="DN145" s="97"/>
      <c r="DO145" s="96"/>
      <c r="DP145" s="97" t="s">
        <v>470</v>
      </c>
      <c r="DQ145" s="97"/>
      <c r="DR145" s="96"/>
      <c r="DS145" s="97" t="s">
        <v>470</v>
      </c>
      <c r="DT145" s="97"/>
      <c r="DU145" s="96"/>
      <c r="DV145" s="97"/>
      <c r="DW145" s="97"/>
      <c r="DX145" s="96"/>
      <c r="DY145" s="97" t="s">
        <v>470</v>
      </c>
      <c r="DZ145" s="97"/>
      <c r="EA145" s="96"/>
      <c r="EB145" s="97" t="s">
        <v>479</v>
      </c>
      <c r="EC145" s="97" t="s">
        <v>5420</v>
      </c>
      <c r="ED145" s="96"/>
      <c r="EE145" s="96" t="s">
        <v>470</v>
      </c>
      <c r="EF145" s="96"/>
      <c r="EG145" s="96"/>
      <c r="EH145" s="97" t="s">
        <v>470</v>
      </c>
      <c r="EI145" s="97"/>
      <c r="EJ145" s="96"/>
      <c r="EK145" s="97" t="s">
        <v>470</v>
      </c>
      <c r="EL145" s="97"/>
      <c r="EM145" s="96"/>
      <c r="EN145" s="97" t="s">
        <v>470</v>
      </c>
      <c r="EO145" s="97"/>
      <c r="EP145" s="96"/>
      <c r="EQ145" s="96" t="s">
        <v>689</v>
      </c>
      <c r="ER145" s="96" t="s">
        <v>5285</v>
      </c>
      <c r="ES145" s="96"/>
      <c r="ET145" s="97"/>
      <c r="EU145" s="97"/>
      <c r="EV145" s="96"/>
      <c r="EW145" s="96"/>
      <c r="EX145" s="96"/>
      <c r="EY145" s="96"/>
      <c r="EZ145" s="97" t="s">
        <v>470</v>
      </c>
      <c r="FA145" s="97"/>
      <c r="FB145" s="97" t="s">
        <v>5153</v>
      </c>
      <c r="FC145" s="97"/>
      <c r="FD145" s="97"/>
      <c r="FE145" s="97" t="s">
        <v>4841</v>
      </c>
      <c r="FF145" s="97" t="s">
        <v>4722</v>
      </c>
      <c r="FG145" s="97"/>
      <c r="FH145" s="97"/>
      <c r="FI145" s="97"/>
      <c r="FJ145" s="97" t="s">
        <v>4498</v>
      </c>
      <c r="FK145" s="97" t="s">
        <v>4277</v>
      </c>
      <c r="FL145" s="842" t="s">
        <v>4091</v>
      </c>
      <c r="FM145" s="97"/>
      <c r="FN145" s="97"/>
      <c r="FO145" s="842"/>
    </row>
    <row r="146" spans="5:195" ht="28" customHeight="1" x14ac:dyDescent="0.2">
      <c r="E146" s="94" t="s">
        <v>9309</v>
      </c>
      <c r="F146" s="94" t="s">
        <v>9121</v>
      </c>
      <c r="G146" s="97" t="s">
        <v>326</v>
      </c>
      <c r="H146" s="97" t="s">
        <v>407</v>
      </c>
      <c r="I146" s="97" t="s">
        <v>8800</v>
      </c>
      <c r="J146" s="97" t="s">
        <v>8418</v>
      </c>
      <c r="K146" s="97" t="s">
        <v>8418</v>
      </c>
      <c r="L146" s="502">
        <v>2022</v>
      </c>
      <c r="M146" s="841" t="s">
        <v>8315</v>
      </c>
      <c r="N146" s="841" t="s">
        <v>8244</v>
      </c>
      <c r="O146" s="841"/>
      <c r="P146" s="841"/>
      <c r="Q146" s="841"/>
      <c r="R146" s="841"/>
      <c r="S146" s="841"/>
      <c r="T146" s="841"/>
      <c r="U146" s="841"/>
      <c r="V146" s="841"/>
      <c r="W146" s="841"/>
      <c r="X146" s="841"/>
      <c r="Y146" s="841"/>
      <c r="Z146" s="97" t="s">
        <v>656</v>
      </c>
      <c r="AA146" s="97" t="s">
        <v>656</v>
      </c>
      <c r="AB146" s="97" t="s">
        <v>7847</v>
      </c>
      <c r="AC146" s="506" t="s">
        <v>7668</v>
      </c>
      <c r="AD146" s="97" t="s">
        <v>7518</v>
      </c>
      <c r="AE146" s="842" t="s">
        <v>7318</v>
      </c>
      <c r="AF146" s="97" t="s">
        <v>656</v>
      </c>
      <c r="AG146" s="97" t="s">
        <v>656</v>
      </c>
      <c r="AH146" s="97" t="s">
        <v>6548</v>
      </c>
      <c r="AI146" s="97" t="s">
        <v>6548</v>
      </c>
      <c r="AJ146" s="97" t="s">
        <v>6721</v>
      </c>
      <c r="AK146" s="97" t="s">
        <v>6548</v>
      </c>
      <c r="AL146" s="580">
        <f t="shared" si="12"/>
        <v>0.45600000000000002</v>
      </c>
      <c r="AM146" s="504">
        <v>0.45600000000000002</v>
      </c>
      <c r="AN146" s="516"/>
      <c r="AO146" s="97"/>
      <c r="AP146" s="97"/>
      <c r="AQ146" s="504">
        <v>0.45600000000000002</v>
      </c>
      <c r="AR146" s="507">
        <v>1</v>
      </c>
      <c r="AS146" s="507">
        <v>8.0000000000000002E-3</v>
      </c>
      <c r="AT146" s="516"/>
      <c r="AU146" s="507" t="s">
        <v>656</v>
      </c>
      <c r="AV146" s="516"/>
      <c r="AW146" s="507" t="s">
        <v>656</v>
      </c>
      <c r="AX146" s="516"/>
      <c r="AY146" s="507" t="s">
        <v>656</v>
      </c>
      <c r="AZ146" s="516"/>
      <c r="BA146" s="507"/>
      <c r="BB146" s="507"/>
      <c r="BC146" s="507"/>
      <c r="BD146" s="507"/>
      <c r="BE146" s="507" t="s">
        <v>479</v>
      </c>
      <c r="BF146" s="507" t="s">
        <v>6323</v>
      </c>
      <c r="BG146" s="507" t="s">
        <v>656</v>
      </c>
      <c r="BH146" s="852" t="s">
        <v>656</v>
      </c>
      <c r="BI146" s="504">
        <v>0.2</v>
      </c>
      <c r="BJ146" s="507">
        <v>8.0000000000000002E-3</v>
      </c>
      <c r="BK146" s="96">
        <v>2</v>
      </c>
      <c r="BL146" s="96">
        <v>2</v>
      </c>
      <c r="BM146" s="96">
        <v>1</v>
      </c>
      <c r="BN146" s="96" t="s">
        <v>656</v>
      </c>
      <c r="BO146" s="96" t="s">
        <v>656</v>
      </c>
      <c r="BP146" s="96">
        <v>1</v>
      </c>
      <c r="BQ146" s="96" t="s">
        <v>656</v>
      </c>
      <c r="BR146" s="96" t="s">
        <v>656</v>
      </c>
      <c r="BS146" s="96" t="s">
        <v>656</v>
      </c>
      <c r="BT146" s="96" t="s">
        <v>656</v>
      </c>
      <c r="BU146" s="96" t="s">
        <v>656</v>
      </c>
      <c r="BV146" s="96" t="s">
        <v>656</v>
      </c>
      <c r="BW146" s="96" t="s">
        <v>656</v>
      </c>
      <c r="BX146" s="96" t="s">
        <v>656</v>
      </c>
      <c r="BY146" s="96" t="s">
        <v>656</v>
      </c>
      <c r="BZ146" s="96" t="s">
        <v>656</v>
      </c>
      <c r="CA146" s="96" t="s">
        <v>656</v>
      </c>
      <c r="CB146" s="96" t="s">
        <v>656</v>
      </c>
      <c r="CC146" s="96" t="s">
        <v>656</v>
      </c>
      <c r="CD146" s="96" t="s">
        <v>656</v>
      </c>
      <c r="CE146" s="96" t="s">
        <v>656</v>
      </c>
      <c r="CF146" s="96" t="s">
        <v>656</v>
      </c>
      <c r="CG146" s="96" t="s">
        <v>656</v>
      </c>
      <c r="CH146" s="96" t="s">
        <v>656</v>
      </c>
      <c r="CI146" s="96" t="s">
        <v>656</v>
      </c>
      <c r="CJ146" s="96" t="s">
        <v>656</v>
      </c>
      <c r="CK146" s="96" t="s">
        <v>656</v>
      </c>
      <c r="CL146" s="815">
        <f t="shared" si="14"/>
        <v>1</v>
      </c>
      <c r="CM146" s="824">
        <f t="shared" si="13"/>
        <v>0</v>
      </c>
      <c r="CN146" s="504">
        <v>3.927</v>
      </c>
      <c r="CO146" s="97" t="s">
        <v>656</v>
      </c>
      <c r="CP146" s="97" t="s">
        <v>656</v>
      </c>
      <c r="CQ146" s="97">
        <v>100</v>
      </c>
      <c r="CR146" s="504">
        <v>3.927</v>
      </c>
      <c r="CS146" s="507" t="s">
        <v>5898</v>
      </c>
      <c r="CT146" s="97" t="s">
        <v>470</v>
      </c>
      <c r="CU146" s="97" t="s">
        <v>656</v>
      </c>
      <c r="CV146" s="97" t="s">
        <v>656</v>
      </c>
      <c r="CW146" s="97" t="s">
        <v>656</v>
      </c>
      <c r="CX146" s="96" t="s">
        <v>656</v>
      </c>
      <c r="CY146" s="96" t="s">
        <v>656</v>
      </c>
      <c r="CZ146" s="96" t="s">
        <v>656</v>
      </c>
      <c r="DA146" s="97" t="s">
        <v>479</v>
      </c>
      <c r="DB146" s="97" t="s">
        <v>619</v>
      </c>
      <c r="DC146" s="96">
        <v>33</v>
      </c>
      <c r="DD146" s="97" t="s">
        <v>479</v>
      </c>
      <c r="DE146" s="97" t="s">
        <v>5394</v>
      </c>
      <c r="DF146" s="96">
        <v>129</v>
      </c>
      <c r="DG146" s="96" t="s">
        <v>656</v>
      </c>
      <c r="DH146" s="96" t="s">
        <v>656</v>
      </c>
      <c r="DI146" s="96" t="s">
        <v>656</v>
      </c>
      <c r="DJ146" s="96" t="s">
        <v>656</v>
      </c>
      <c r="DK146" s="96" t="s">
        <v>656</v>
      </c>
      <c r="DL146" s="96" t="s">
        <v>656</v>
      </c>
      <c r="DM146" s="97" t="s">
        <v>656</v>
      </c>
      <c r="DN146" s="97" t="s">
        <v>656</v>
      </c>
      <c r="DO146" s="96" t="s">
        <v>656</v>
      </c>
      <c r="DP146" s="97" t="s">
        <v>656</v>
      </c>
      <c r="DQ146" s="97" t="s">
        <v>656</v>
      </c>
      <c r="DR146" s="96" t="s">
        <v>656</v>
      </c>
      <c r="DS146" s="97" t="s">
        <v>656</v>
      </c>
      <c r="DT146" s="97" t="s">
        <v>656</v>
      </c>
      <c r="DU146" s="96" t="s">
        <v>656</v>
      </c>
      <c r="DV146" s="97" t="s">
        <v>656</v>
      </c>
      <c r="DW146" s="97" t="s">
        <v>656</v>
      </c>
      <c r="DX146" s="96" t="s">
        <v>656</v>
      </c>
      <c r="DY146" s="97" t="s">
        <v>656</v>
      </c>
      <c r="DZ146" s="97" t="s">
        <v>656</v>
      </c>
      <c r="EA146" s="96" t="s">
        <v>656</v>
      </c>
      <c r="EB146" s="97" t="s">
        <v>656</v>
      </c>
      <c r="EC146" s="97" t="s">
        <v>656</v>
      </c>
      <c r="ED146" s="96" t="s">
        <v>656</v>
      </c>
      <c r="EE146" s="96" t="s">
        <v>656</v>
      </c>
      <c r="EF146" s="96" t="s">
        <v>656</v>
      </c>
      <c r="EG146" s="96" t="s">
        <v>656</v>
      </c>
      <c r="EH146" s="97" t="s">
        <v>656</v>
      </c>
      <c r="EI146" s="97" t="s">
        <v>656</v>
      </c>
      <c r="EJ146" s="96" t="s">
        <v>656</v>
      </c>
      <c r="EK146" s="97" t="s">
        <v>656</v>
      </c>
      <c r="EL146" s="97" t="s">
        <v>656</v>
      </c>
      <c r="EM146" s="96" t="s">
        <v>656</v>
      </c>
      <c r="EN146" s="97" t="s">
        <v>656</v>
      </c>
      <c r="EO146" s="97" t="s">
        <v>656</v>
      </c>
      <c r="EP146" s="96" t="s">
        <v>656</v>
      </c>
      <c r="EQ146" s="96" t="s">
        <v>479</v>
      </c>
      <c r="ER146" s="96" t="s">
        <v>5285</v>
      </c>
      <c r="ES146" s="96">
        <v>6</v>
      </c>
      <c r="ET146" s="97" t="s">
        <v>656</v>
      </c>
      <c r="EU146" s="97" t="s">
        <v>656</v>
      </c>
      <c r="EV146" s="96" t="s">
        <v>656</v>
      </c>
      <c r="EW146" s="96"/>
      <c r="EX146" s="96"/>
      <c r="EY146" s="96"/>
      <c r="EZ146" s="97" t="s">
        <v>470</v>
      </c>
      <c r="FA146" s="97" t="s">
        <v>656</v>
      </c>
      <c r="FB146" s="506" t="s">
        <v>5152</v>
      </c>
      <c r="FC146" s="97" t="s">
        <v>656</v>
      </c>
      <c r="FD146" s="97" t="s">
        <v>656</v>
      </c>
      <c r="FE146" s="97" t="s">
        <v>4840</v>
      </c>
      <c r="FF146" s="97" t="s">
        <v>656</v>
      </c>
      <c r="FG146" s="97" t="s">
        <v>656</v>
      </c>
      <c r="FH146" s="97" t="s">
        <v>656</v>
      </c>
      <c r="FI146" s="97" t="s">
        <v>656</v>
      </c>
      <c r="FJ146" s="97" t="s">
        <v>4497</v>
      </c>
      <c r="FK146" s="97" t="s">
        <v>4276</v>
      </c>
      <c r="FL146" s="506" t="s">
        <v>4090</v>
      </c>
      <c r="FM146" s="97"/>
      <c r="FN146" s="97"/>
      <c r="FO146" s="506"/>
    </row>
    <row r="147" spans="5:195" ht="36" customHeight="1" x14ac:dyDescent="0.2">
      <c r="E147" s="94" t="s">
        <v>9305</v>
      </c>
      <c r="F147" s="94" t="s">
        <v>9121</v>
      </c>
      <c r="G147" s="97" t="s">
        <v>326</v>
      </c>
      <c r="H147" s="97" t="s">
        <v>407</v>
      </c>
      <c r="I147" s="97" t="s">
        <v>6547</v>
      </c>
      <c r="J147" s="97" t="s">
        <v>8568</v>
      </c>
      <c r="K147" s="97" t="s">
        <v>470</v>
      </c>
      <c r="L147" s="502">
        <v>2021</v>
      </c>
      <c r="M147" s="841">
        <v>44480</v>
      </c>
      <c r="N147" s="841" t="s">
        <v>472</v>
      </c>
      <c r="O147" s="841"/>
      <c r="P147" s="841"/>
      <c r="Q147" s="841"/>
      <c r="R147" s="841"/>
      <c r="S147" s="841"/>
      <c r="T147" s="841"/>
      <c r="U147" s="841"/>
      <c r="V147" s="841"/>
      <c r="W147" s="841"/>
      <c r="X147" s="841"/>
      <c r="Y147" s="841"/>
      <c r="Z147" s="97" t="s">
        <v>470</v>
      </c>
      <c r="AA147" s="97"/>
      <c r="AB147" s="97" t="s">
        <v>7846</v>
      </c>
      <c r="AC147" s="97" t="s">
        <v>7667</v>
      </c>
      <c r="AD147" s="97" t="s">
        <v>7517</v>
      </c>
      <c r="AE147" s="97" t="s">
        <v>7317</v>
      </c>
      <c r="AF147" s="97" t="s">
        <v>470</v>
      </c>
      <c r="AG147" s="97"/>
      <c r="AH147" s="97" t="s">
        <v>6547</v>
      </c>
      <c r="AI147" s="97" t="s">
        <v>6547</v>
      </c>
      <c r="AJ147" s="97" t="s">
        <v>6720</v>
      </c>
      <c r="AK147" s="97" t="s">
        <v>6547</v>
      </c>
      <c r="AL147" s="580">
        <f t="shared" si="12"/>
        <v>6.31</v>
      </c>
      <c r="AM147" s="504">
        <v>6.31</v>
      </c>
      <c r="AN147" s="516"/>
      <c r="AO147" s="97"/>
      <c r="AP147" s="97"/>
      <c r="AQ147" s="504">
        <v>6.3</v>
      </c>
      <c r="AR147" s="507">
        <v>1</v>
      </c>
      <c r="AS147" s="507">
        <v>9.2999999999999992E-3</v>
      </c>
      <c r="AT147" s="516">
        <v>0.01</v>
      </c>
      <c r="AU147" s="507">
        <v>1.5E-3</v>
      </c>
      <c r="AV147" s="516"/>
      <c r="AW147" s="507"/>
      <c r="AX147" s="516"/>
      <c r="AY147" s="507"/>
      <c r="AZ147" s="516"/>
      <c r="BA147" s="507"/>
      <c r="BB147" s="507"/>
      <c r="BC147" s="507"/>
      <c r="BD147" s="507"/>
      <c r="BE147" s="507" t="s">
        <v>470</v>
      </c>
      <c r="BF147" s="507"/>
      <c r="BG147" s="507"/>
      <c r="BH147" s="852"/>
      <c r="BI147" s="504"/>
      <c r="BJ147" s="507"/>
      <c r="BK147" s="96">
        <v>3</v>
      </c>
      <c r="BL147" s="96">
        <v>2</v>
      </c>
      <c r="BM147" s="96">
        <v>2</v>
      </c>
      <c r="BN147" s="96"/>
      <c r="BO147" s="96"/>
      <c r="BP147" s="96">
        <v>1</v>
      </c>
      <c r="BQ147" s="96"/>
      <c r="BR147" s="96"/>
      <c r="BS147" s="96"/>
      <c r="BT147" s="96"/>
      <c r="BU147" s="96"/>
      <c r="BV147" s="96"/>
      <c r="BW147" s="96"/>
      <c r="BX147" s="96">
        <v>1</v>
      </c>
      <c r="BY147" s="96"/>
      <c r="BZ147" s="96"/>
      <c r="CA147" s="96"/>
      <c r="CB147" s="96"/>
      <c r="CC147" s="96"/>
      <c r="CD147" s="96"/>
      <c r="CE147" s="96"/>
      <c r="CF147" s="96"/>
      <c r="CG147" s="96"/>
      <c r="CH147" s="96"/>
      <c r="CI147" s="96"/>
      <c r="CJ147" s="96"/>
      <c r="CK147" s="96"/>
      <c r="CL147" s="815">
        <f t="shared" si="14"/>
        <v>2</v>
      </c>
      <c r="CM147" s="824">
        <f t="shared" si="13"/>
        <v>0</v>
      </c>
      <c r="CN147" s="504">
        <v>1.202</v>
      </c>
      <c r="CO147" s="97">
        <v>0</v>
      </c>
      <c r="CP147" s="97">
        <v>0</v>
      </c>
      <c r="CQ147" s="97">
        <v>2.5</v>
      </c>
      <c r="CR147" s="504">
        <v>47.356000000000002</v>
      </c>
      <c r="CS147" s="887" t="s">
        <v>5898</v>
      </c>
      <c r="CT147" s="97" t="s">
        <v>470</v>
      </c>
      <c r="CU147" s="97" t="s">
        <v>470</v>
      </c>
      <c r="CV147" s="97" t="s">
        <v>470</v>
      </c>
      <c r="CW147" s="97" t="s">
        <v>470</v>
      </c>
      <c r="CX147" s="96" t="s">
        <v>470</v>
      </c>
      <c r="CY147" s="96" t="s">
        <v>470</v>
      </c>
      <c r="CZ147" s="96">
        <v>1</v>
      </c>
      <c r="DA147" s="97" t="s">
        <v>479</v>
      </c>
      <c r="DB147" s="97" t="s">
        <v>707</v>
      </c>
      <c r="DC147" s="96">
        <v>1202</v>
      </c>
      <c r="DD147" s="97" t="s">
        <v>479</v>
      </c>
      <c r="DE147" s="97" t="s">
        <v>707</v>
      </c>
      <c r="DF147" s="96">
        <v>39</v>
      </c>
      <c r="DG147" s="96" t="s">
        <v>479</v>
      </c>
      <c r="DH147" s="96" t="s">
        <v>707</v>
      </c>
      <c r="DI147" s="96">
        <v>35</v>
      </c>
      <c r="DJ147" s="96" t="s">
        <v>470</v>
      </c>
      <c r="DK147" s="96"/>
      <c r="DL147" s="96"/>
      <c r="DM147" s="97" t="s">
        <v>470</v>
      </c>
      <c r="DN147" s="97"/>
      <c r="DO147" s="96"/>
      <c r="DP147" s="97" t="s">
        <v>470</v>
      </c>
      <c r="DQ147" s="97"/>
      <c r="DR147" s="96"/>
      <c r="DS147" s="97" t="s">
        <v>470</v>
      </c>
      <c r="DT147" s="97"/>
      <c r="DU147" s="96"/>
      <c r="DV147" s="97" t="s">
        <v>470</v>
      </c>
      <c r="DW147" s="97"/>
      <c r="DX147" s="96"/>
      <c r="DY147" s="97" t="s">
        <v>470</v>
      </c>
      <c r="DZ147" s="97"/>
      <c r="EA147" s="96"/>
      <c r="EB147" s="97" t="s">
        <v>479</v>
      </c>
      <c r="EC147" s="97" t="s">
        <v>707</v>
      </c>
      <c r="ED147" s="96">
        <v>39</v>
      </c>
      <c r="EE147" s="96" t="s">
        <v>470</v>
      </c>
      <c r="EF147" s="96"/>
      <c r="EG147" s="96"/>
      <c r="EH147" s="97" t="s">
        <v>470</v>
      </c>
      <c r="EI147" s="97"/>
      <c r="EJ147" s="96"/>
      <c r="EK147" s="97" t="s">
        <v>470</v>
      </c>
      <c r="EL147" s="97"/>
      <c r="EM147" s="96"/>
      <c r="EN147" s="97" t="s">
        <v>470</v>
      </c>
      <c r="EO147" s="97"/>
      <c r="EP147" s="96"/>
      <c r="EQ147" s="96" t="s">
        <v>479</v>
      </c>
      <c r="ER147" s="96" t="s">
        <v>5309</v>
      </c>
      <c r="ES147" s="96"/>
      <c r="ET147" s="97" t="s">
        <v>470</v>
      </c>
      <c r="EU147" s="97"/>
      <c r="EV147" s="96"/>
      <c r="EW147" s="96"/>
      <c r="EX147" s="96"/>
      <c r="EY147" s="96"/>
      <c r="EZ147" s="97" t="s">
        <v>470</v>
      </c>
      <c r="FA147" s="97" t="s">
        <v>470</v>
      </c>
      <c r="FB147" s="97" t="s">
        <v>470</v>
      </c>
      <c r="FC147" s="97" t="s">
        <v>5004</v>
      </c>
      <c r="FD147" s="97" t="s">
        <v>470</v>
      </c>
      <c r="FE147" s="97" t="s">
        <v>4839</v>
      </c>
      <c r="FF147" s="97" t="s">
        <v>470</v>
      </c>
      <c r="FG147" s="97" t="s">
        <v>470</v>
      </c>
      <c r="FH147" s="97">
        <v>0</v>
      </c>
      <c r="FI147" s="97">
        <v>0</v>
      </c>
      <c r="FJ147" s="97" t="s">
        <v>4496</v>
      </c>
      <c r="FK147" s="97" t="s">
        <v>4275</v>
      </c>
      <c r="FL147" s="842" t="s">
        <v>4089</v>
      </c>
      <c r="FM147" s="97"/>
      <c r="FN147" s="97"/>
      <c r="FO147" s="842"/>
    </row>
    <row r="148" spans="5:195" ht="28" customHeight="1" x14ac:dyDescent="0.2">
      <c r="E148" s="94" t="s">
        <v>9305</v>
      </c>
      <c r="F148" s="94" t="s">
        <v>9121</v>
      </c>
      <c r="G148" s="97" t="s">
        <v>326</v>
      </c>
      <c r="H148" s="97" t="s">
        <v>407</v>
      </c>
      <c r="I148" s="945" t="s">
        <v>6546</v>
      </c>
      <c r="J148" s="945" t="s">
        <v>8567</v>
      </c>
      <c r="K148" s="97" t="s">
        <v>5242</v>
      </c>
      <c r="L148" s="946">
        <v>2021</v>
      </c>
      <c r="M148" s="841">
        <v>44518</v>
      </c>
      <c r="N148" s="841">
        <v>44601</v>
      </c>
      <c r="O148" s="841"/>
      <c r="P148" s="841"/>
      <c r="Q148" s="841"/>
      <c r="R148" s="841"/>
      <c r="S148" s="841"/>
      <c r="T148" s="841"/>
      <c r="U148" s="841"/>
      <c r="V148" s="841"/>
      <c r="W148" s="841"/>
      <c r="X148" s="841"/>
      <c r="Y148" s="841"/>
      <c r="Z148" s="97"/>
      <c r="AA148" s="97"/>
      <c r="AB148" s="945" t="s">
        <v>7845</v>
      </c>
      <c r="AC148" s="945" t="s">
        <v>7666</v>
      </c>
      <c r="AD148" s="97" t="s">
        <v>7516</v>
      </c>
      <c r="AE148" s="842" t="s">
        <v>7316</v>
      </c>
      <c r="AF148" s="97"/>
      <c r="AG148" s="97"/>
      <c r="AH148" s="945" t="s">
        <v>6546</v>
      </c>
      <c r="AI148" s="945" t="s">
        <v>6546</v>
      </c>
      <c r="AJ148" s="945" t="s">
        <v>6719</v>
      </c>
      <c r="AK148" s="945" t="s">
        <v>6546</v>
      </c>
      <c r="AL148" s="580">
        <f t="shared" si="12"/>
        <v>1.2</v>
      </c>
      <c r="AM148" s="504">
        <v>1.2</v>
      </c>
      <c r="AN148" s="516"/>
      <c r="AO148" s="97"/>
      <c r="AP148" s="97"/>
      <c r="AQ148" s="504">
        <v>1.2</v>
      </c>
      <c r="AR148" s="507">
        <v>0.1</v>
      </c>
      <c r="AS148" s="507">
        <v>1</v>
      </c>
      <c r="AT148" s="516">
        <v>0</v>
      </c>
      <c r="AU148" s="507"/>
      <c r="AV148" s="516"/>
      <c r="AW148" s="507"/>
      <c r="AX148" s="516"/>
      <c r="AY148" s="507"/>
      <c r="AZ148" s="516"/>
      <c r="BA148" s="507"/>
      <c r="BB148" s="507"/>
      <c r="BC148" s="507"/>
      <c r="BD148" s="507"/>
      <c r="BE148" s="947" t="s">
        <v>479</v>
      </c>
      <c r="BF148" s="947" t="s">
        <v>6322</v>
      </c>
      <c r="BG148" s="507"/>
      <c r="BH148" s="852"/>
      <c r="BI148" s="504"/>
      <c r="BJ148" s="507"/>
      <c r="BK148" s="96">
        <v>2</v>
      </c>
      <c r="BL148" s="96">
        <v>1</v>
      </c>
      <c r="BM148" s="96">
        <v>1</v>
      </c>
      <c r="BN148" s="96">
        <v>1</v>
      </c>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815">
        <f t="shared" si="14"/>
        <v>1</v>
      </c>
      <c r="CM148" s="824">
        <f t="shared" si="13"/>
        <v>0</v>
      </c>
      <c r="CN148" s="504">
        <v>0.48</v>
      </c>
      <c r="CO148" s="97"/>
      <c r="CP148" s="97"/>
      <c r="CQ148" s="97">
        <v>77</v>
      </c>
      <c r="CR148" s="504">
        <v>4.3840000000000003</v>
      </c>
      <c r="CS148" s="507" t="s">
        <v>5898</v>
      </c>
      <c r="CT148" s="97" t="s">
        <v>470</v>
      </c>
      <c r="CU148" s="97"/>
      <c r="CV148" s="97"/>
      <c r="CW148" s="97"/>
      <c r="CX148" s="96"/>
      <c r="CY148" s="96"/>
      <c r="CZ148" s="96">
        <v>1</v>
      </c>
      <c r="DA148" s="97" t="s">
        <v>479</v>
      </c>
      <c r="DB148" s="97" t="s">
        <v>3157</v>
      </c>
      <c r="DC148" s="96">
        <v>236</v>
      </c>
      <c r="DD148" s="97" t="s">
        <v>479</v>
      </c>
      <c r="DE148" s="97" t="s">
        <v>961</v>
      </c>
      <c r="DF148" s="96">
        <v>26</v>
      </c>
      <c r="DG148" s="96" t="s">
        <v>470</v>
      </c>
      <c r="DH148" s="96"/>
      <c r="DI148" s="96"/>
      <c r="DJ148" s="96" t="s">
        <v>470</v>
      </c>
      <c r="DK148" s="96"/>
      <c r="DL148" s="96"/>
      <c r="DM148" s="97" t="s">
        <v>470</v>
      </c>
      <c r="DN148" s="97"/>
      <c r="DO148" s="96"/>
      <c r="DP148" s="97" t="s">
        <v>470</v>
      </c>
      <c r="DQ148" s="97"/>
      <c r="DR148" s="96"/>
      <c r="DS148" s="97" t="s">
        <v>470</v>
      </c>
      <c r="DT148" s="97"/>
      <c r="DU148" s="96"/>
      <c r="DV148" s="97"/>
      <c r="DW148" s="97"/>
      <c r="DX148" s="96"/>
      <c r="DY148" s="97"/>
      <c r="DZ148" s="97"/>
      <c r="EA148" s="96"/>
      <c r="EB148" s="97" t="s">
        <v>479</v>
      </c>
      <c r="EC148" s="97" t="s">
        <v>5419</v>
      </c>
      <c r="ED148" s="96">
        <v>236</v>
      </c>
      <c r="EE148" s="96" t="s">
        <v>470</v>
      </c>
      <c r="EF148" s="96"/>
      <c r="EG148" s="96"/>
      <c r="EH148" s="97" t="s">
        <v>470</v>
      </c>
      <c r="EI148" s="97"/>
      <c r="EJ148" s="96"/>
      <c r="EK148" s="97" t="s">
        <v>470</v>
      </c>
      <c r="EL148" s="97"/>
      <c r="EM148" s="96"/>
      <c r="EN148" s="97" t="s">
        <v>470</v>
      </c>
      <c r="EO148" s="97"/>
      <c r="EP148" s="96"/>
      <c r="EQ148" s="96" t="s">
        <v>479</v>
      </c>
      <c r="ER148" s="96" t="s">
        <v>5285</v>
      </c>
      <c r="ES148" s="96"/>
      <c r="ET148" s="97" t="s">
        <v>470</v>
      </c>
      <c r="EU148" s="97"/>
      <c r="EV148" s="96"/>
      <c r="EW148" s="96"/>
      <c r="EX148" s="96"/>
      <c r="EY148" s="96"/>
      <c r="EZ148" s="97" t="s">
        <v>470</v>
      </c>
      <c r="FA148" s="97"/>
      <c r="FB148" s="97"/>
      <c r="FC148" s="842" t="s">
        <v>4918</v>
      </c>
      <c r="FD148" s="842" t="s">
        <v>4918</v>
      </c>
      <c r="FE148" s="97" t="s">
        <v>4838</v>
      </c>
      <c r="FF148" s="97"/>
      <c r="FG148" s="97" t="s">
        <v>470</v>
      </c>
      <c r="FH148" s="97">
        <v>0</v>
      </c>
      <c r="FI148" s="97">
        <v>0</v>
      </c>
      <c r="FJ148" s="97" t="s">
        <v>4495</v>
      </c>
      <c r="FK148" s="97">
        <v>88614779572</v>
      </c>
      <c r="FL148" s="842" t="s">
        <v>4088</v>
      </c>
      <c r="FM148" s="97"/>
      <c r="FN148" s="97"/>
      <c r="FO148" s="842"/>
    </row>
    <row r="149" spans="5:195" ht="36" customHeight="1" x14ac:dyDescent="0.2">
      <c r="E149" s="94" t="s">
        <v>9307</v>
      </c>
      <c r="F149" s="94" t="s">
        <v>9121</v>
      </c>
      <c r="G149" s="97" t="s">
        <v>326</v>
      </c>
      <c r="H149" s="97" t="s">
        <v>407</v>
      </c>
      <c r="I149" s="97" t="s">
        <v>8799</v>
      </c>
      <c r="J149" s="97" t="s">
        <v>8566</v>
      </c>
      <c r="K149" s="97" t="s">
        <v>656</v>
      </c>
      <c r="L149" s="502">
        <v>2022</v>
      </c>
      <c r="M149" s="841">
        <v>44669</v>
      </c>
      <c r="N149" s="841">
        <v>44713</v>
      </c>
      <c r="O149" s="841"/>
      <c r="P149" s="841"/>
      <c r="Q149" s="841"/>
      <c r="R149" s="841"/>
      <c r="S149" s="841"/>
      <c r="T149" s="841"/>
      <c r="U149" s="841"/>
      <c r="V149" s="841"/>
      <c r="W149" s="841"/>
      <c r="X149" s="841"/>
      <c r="Y149" s="841"/>
      <c r="Z149" s="97" t="s">
        <v>8141</v>
      </c>
      <c r="AA149" s="842" t="s">
        <v>7986</v>
      </c>
      <c r="AB149" s="97"/>
      <c r="AC149" s="97"/>
      <c r="AD149" s="97" t="s">
        <v>7515</v>
      </c>
      <c r="AE149" s="842" t="s">
        <v>7315</v>
      </c>
      <c r="AF149" s="97"/>
      <c r="AG149" s="97"/>
      <c r="AH149" s="97" t="s">
        <v>6874</v>
      </c>
      <c r="AI149" s="97" t="s">
        <v>6874</v>
      </c>
      <c r="AJ149" s="97" t="s">
        <v>6702</v>
      </c>
      <c r="AK149" s="97" t="s">
        <v>6545</v>
      </c>
      <c r="AL149" s="580">
        <f t="shared" si="12"/>
        <v>1</v>
      </c>
      <c r="AM149" s="504">
        <v>1</v>
      </c>
      <c r="AN149" s="516"/>
      <c r="AO149" s="97"/>
      <c r="AP149" s="97"/>
      <c r="AQ149" s="504">
        <v>1</v>
      </c>
      <c r="AR149" s="507">
        <v>1</v>
      </c>
      <c r="AS149" s="507">
        <v>1.4E-3</v>
      </c>
      <c r="AT149" s="516">
        <v>0</v>
      </c>
      <c r="AU149" s="507">
        <v>0</v>
      </c>
      <c r="AV149" s="516">
        <v>0</v>
      </c>
      <c r="AW149" s="507">
        <v>0</v>
      </c>
      <c r="AX149" s="516"/>
      <c r="AY149" s="507">
        <v>0</v>
      </c>
      <c r="AZ149" s="516"/>
      <c r="BA149" s="507"/>
      <c r="BB149" s="507"/>
      <c r="BC149" s="507"/>
      <c r="BD149" s="507"/>
      <c r="BE149" s="507" t="s">
        <v>470</v>
      </c>
      <c r="BF149" s="507"/>
      <c r="BG149" s="507"/>
      <c r="BH149" s="852">
        <v>0</v>
      </c>
      <c r="BI149" s="504">
        <v>1</v>
      </c>
      <c r="BJ149" s="507">
        <v>1E-4</v>
      </c>
      <c r="BK149" s="96">
        <v>6</v>
      </c>
      <c r="BL149" s="96">
        <v>6</v>
      </c>
      <c r="BM149" s="96">
        <v>3</v>
      </c>
      <c r="BN149" s="96">
        <v>0</v>
      </c>
      <c r="BO149" s="96">
        <v>0</v>
      </c>
      <c r="BP149" s="96">
        <v>0</v>
      </c>
      <c r="BQ149" s="96">
        <v>0</v>
      </c>
      <c r="BR149" s="96">
        <v>0</v>
      </c>
      <c r="BS149" s="96">
        <v>0</v>
      </c>
      <c r="BT149" s="96">
        <v>0</v>
      </c>
      <c r="BU149" s="96">
        <v>0</v>
      </c>
      <c r="BV149" s="96">
        <v>0</v>
      </c>
      <c r="BW149" s="96">
        <v>0</v>
      </c>
      <c r="BX149" s="96">
        <v>3</v>
      </c>
      <c r="BY149" s="96">
        <v>0</v>
      </c>
      <c r="BZ149" s="96">
        <v>0</v>
      </c>
      <c r="CA149" s="96">
        <v>0</v>
      </c>
      <c r="CB149" s="96">
        <v>0</v>
      </c>
      <c r="CC149" s="96">
        <v>0</v>
      </c>
      <c r="CD149" s="96">
        <v>0</v>
      </c>
      <c r="CE149" s="96">
        <v>0</v>
      </c>
      <c r="CF149" s="96">
        <v>0</v>
      </c>
      <c r="CG149" s="96">
        <v>0</v>
      </c>
      <c r="CH149" s="96">
        <v>0</v>
      </c>
      <c r="CI149" s="96">
        <v>0</v>
      </c>
      <c r="CJ149" s="96">
        <v>0</v>
      </c>
      <c r="CK149" s="96"/>
      <c r="CL149" s="815">
        <f t="shared" si="14"/>
        <v>3</v>
      </c>
      <c r="CM149" s="824">
        <f t="shared" si="13"/>
        <v>0</v>
      </c>
      <c r="CN149" s="504">
        <v>3.3</v>
      </c>
      <c r="CO149" s="97" t="s">
        <v>6135</v>
      </c>
      <c r="CP149" s="97"/>
      <c r="CQ149" s="97">
        <v>5.6</v>
      </c>
      <c r="CR149" s="504">
        <v>58.68</v>
      </c>
      <c r="CS149" s="507"/>
      <c r="CT149" s="97" t="s">
        <v>470</v>
      </c>
      <c r="CU149" s="97"/>
      <c r="CV149" s="97"/>
      <c r="CW149" s="97"/>
      <c r="CX149" s="96"/>
      <c r="CY149" s="96"/>
      <c r="CZ149" s="96"/>
      <c r="DA149" s="97" t="s">
        <v>479</v>
      </c>
      <c r="DB149" s="97" t="s">
        <v>5685</v>
      </c>
      <c r="DC149" s="96">
        <v>480</v>
      </c>
      <c r="DD149" s="97"/>
      <c r="DE149" s="97"/>
      <c r="DF149" s="96"/>
      <c r="DG149" s="96"/>
      <c r="DH149" s="96"/>
      <c r="DI149" s="96"/>
      <c r="DJ149" s="96"/>
      <c r="DK149" s="96"/>
      <c r="DL149" s="96"/>
      <c r="DM149" s="97"/>
      <c r="DN149" s="97"/>
      <c r="DO149" s="96"/>
      <c r="DP149" s="97"/>
      <c r="DQ149" s="97"/>
      <c r="DR149" s="96"/>
      <c r="DS149" s="97"/>
      <c r="DT149" s="97"/>
      <c r="DU149" s="96"/>
      <c r="DV149" s="97"/>
      <c r="DW149" s="97"/>
      <c r="DX149" s="96"/>
      <c r="DY149" s="97"/>
      <c r="DZ149" s="97"/>
      <c r="EA149" s="96"/>
      <c r="EB149" s="97"/>
      <c r="EC149" s="97"/>
      <c r="ED149" s="96"/>
      <c r="EE149" s="96"/>
      <c r="EF149" s="96"/>
      <c r="EG149" s="96"/>
      <c r="EH149" s="97"/>
      <c r="EI149" s="97"/>
      <c r="EJ149" s="96"/>
      <c r="EK149" s="97"/>
      <c r="EL149" s="97"/>
      <c r="EM149" s="96"/>
      <c r="EN149" s="97" t="s">
        <v>479</v>
      </c>
      <c r="EO149" s="97" t="s">
        <v>640</v>
      </c>
      <c r="EP149" s="96">
        <v>11</v>
      </c>
      <c r="EQ149" s="96"/>
      <c r="ER149" s="96"/>
      <c r="ES149" s="96"/>
      <c r="ET149" s="97"/>
      <c r="EU149" s="97"/>
      <c r="EV149" s="96"/>
      <c r="EW149" s="96"/>
      <c r="EX149" s="96"/>
      <c r="EY149" s="96"/>
      <c r="EZ149" s="97" t="s">
        <v>470</v>
      </c>
      <c r="FA149" s="97"/>
      <c r="FB149" s="842" t="s">
        <v>5151</v>
      </c>
      <c r="FC149" s="97"/>
      <c r="FD149" s="97"/>
      <c r="FE149" s="97"/>
      <c r="FF149" s="97"/>
      <c r="FG149" s="97" t="s">
        <v>4654</v>
      </c>
      <c r="FH149" s="97">
        <v>1</v>
      </c>
      <c r="FI149" s="97">
        <v>7</v>
      </c>
      <c r="FJ149" s="97" t="s">
        <v>4494</v>
      </c>
      <c r="FK149" s="97" t="s">
        <v>4274</v>
      </c>
      <c r="FL149" s="842" t="s">
        <v>4087</v>
      </c>
      <c r="FM149" s="97"/>
      <c r="FN149" s="97"/>
      <c r="FO149" s="97"/>
    </row>
    <row r="150" spans="5:195" ht="28" customHeight="1" x14ac:dyDescent="0.2">
      <c r="E150" s="94" t="s">
        <v>9313</v>
      </c>
      <c r="F150" s="94" t="s">
        <v>9121</v>
      </c>
      <c r="G150" s="97" t="s">
        <v>326</v>
      </c>
      <c r="H150" s="97" t="s">
        <v>407</v>
      </c>
      <c r="I150" s="97" t="s">
        <v>8798</v>
      </c>
      <c r="J150" s="97" t="s">
        <v>7844</v>
      </c>
      <c r="K150" s="97" t="s">
        <v>8417</v>
      </c>
      <c r="L150" s="502">
        <v>2010</v>
      </c>
      <c r="M150" s="841">
        <v>44562</v>
      </c>
      <c r="N150" s="841">
        <v>44926</v>
      </c>
      <c r="O150" s="841"/>
      <c r="P150" s="841"/>
      <c r="Q150" s="841"/>
      <c r="R150" s="841"/>
      <c r="S150" s="841"/>
      <c r="T150" s="841"/>
      <c r="U150" s="841"/>
      <c r="V150" s="841"/>
      <c r="W150" s="841"/>
      <c r="X150" s="841"/>
      <c r="Y150" s="841"/>
      <c r="Z150" s="97" t="s">
        <v>656</v>
      </c>
      <c r="AA150" s="97" t="s">
        <v>656</v>
      </c>
      <c r="AB150" s="97" t="s">
        <v>7844</v>
      </c>
      <c r="AC150" s="97" t="s">
        <v>1149</v>
      </c>
      <c r="AD150" s="97" t="s">
        <v>7514</v>
      </c>
      <c r="AE150" s="97" t="s">
        <v>1149</v>
      </c>
      <c r="AF150" s="97" t="s">
        <v>7163</v>
      </c>
      <c r="AG150" s="97" t="s">
        <v>1149</v>
      </c>
      <c r="AH150" s="97" t="s">
        <v>7010</v>
      </c>
      <c r="AI150" s="97" t="s">
        <v>6873</v>
      </c>
      <c r="AJ150" s="97" t="s">
        <v>477</v>
      </c>
      <c r="AK150" s="97" t="s">
        <v>6544</v>
      </c>
      <c r="AL150" s="580">
        <f t="shared" si="12"/>
        <v>1325.0722900000001</v>
      </c>
      <c r="AM150" s="504">
        <v>1325.0722900000001</v>
      </c>
      <c r="AN150" s="516"/>
      <c r="AO150" s="97"/>
      <c r="AP150" s="97"/>
      <c r="AQ150" s="504">
        <f>974.36716+2.2</f>
        <v>976.56716000000006</v>
      </c>
      <c r="AR150" s="507">
        <v>0.73650000000000004</v>
      </c>
      <c r="AS150" s="507">
        <v>7.0199999999999999E-2</v>
      </c>
      <c r="AT150" s="516">
        <v>103.97653</v>
      </c>
      <c r="AU150" s="507">
        <v>7.85E-2</v>
      </c>
      <c r="AV150" s="516">
        <v>243.4281</v>
      </c>
      <c r="AW150" s="507">
        <v>0.1847</v>
      </c>
      <c r="AX150" s="516">
        <v>1.1005</v>
      </c>
      <c r="AY150" s="507">
        <v>0</v>
      </c>
      <c r="AZ150" s="516"/>
      <c r="BA150" s="507"/>
      <c r="BB150" s="507"/>
      <c r="BC150" s="507"/>
      <c r="BD150" s="507"/>
      <c r="BE150" s="507" t="s">
        <v>479</v>
      </c>
      <c r="BF150" s="507" t="s">
        <v>6321</v>
      </c>
      <c r="BG150" s="97" t="s">
        <v>1149</v>
      </c>
      <c r="BH150" s="852" t="s">
        <v>470</v>
      </c>
      <c r="BI150" s="504">
        <v>138.614</v>
      </c>
      <c r="BJ150" s="507">
        <v>0.01</v>
      </c>
      <c r="BK150" s="96">
        <v>577</v>
      </c>
      <c r="BL150" s="96">
        <v>577</v>
      </c>
      <c r="BM150" s="96">
        <v>523</v>
      </c>
      <c r="BN150" s="96">
        <v>3</v>
      </c>
      <c r="BO150" s="96">
        <v>212</v>
      </c>
      <c r="BP150" s="96">
        <v>38</v>
      </c>
      <c r="BQ150" s="96">
        <v>3</v>
      </c>
      <c r="BR150" s="96" t="s">
        <v>656</v>
      </c>
      <c r="BS150" s="96" t="s">
        <v>656</v>
      </c>
      <c r="BT150" s="96">
        <v>21</v>
      </c>
      <c r="BU150" s="96">
        <v>20</v>
      </c>
      <c r="BV150" s="96">
        <v>23</v>
      </c>
      <c r="BW150" s="96">
        <v>11</v>
      </c>
      <c r="BX150" s="96">
        <v>49</v>
      </c>
      <c r="BY150" s="96">
        <v>90</v>
      </c>
      <c r="BZ150" s="96" t="s">
        <v>656</v>
      </c>
      <c r="CA150" s="96">
        <v>13</v>
      </c>
      <c r="CB150" s="96">
        <v>9</v>
      </c>
      <c r="CC150" s="96" t="s">
        <v>656</v>
      </c>
      <c r="CD150" s="96" t="s">
        <v>656</v>
      </c>
      <c r="CE150" s="96">
        <v>2</v>
      </c>
      <c r="CF150" s="96">
        <v>2</v>
      </c>
      <c r="CG150" s="96">
        <v>13</v>
      </c>
      <c r="CH150" s="96" t="s">
        <v>656</v>
      </c>
      <c r="CI150" s="96" t="s">
        <v>656</v>
      </c>
      <c r="CJ150" s="96" t="s">
        <v>656</v>
      </c>
      <c r="CK150" s="96">
        <v>14</v>
      </c>
      <c r="CL150" s="815">
        <f t="shared" si="14"/>
        <v>523</v>
      </c>
      <c r="CM150" s="824">
        <f t="shared" si="13"/>
        <v>0</v>
      </c>
      <c r="CN150" s="504">
        <v>64.5</v>
      </c>
      <c r="CO150" s="97" t="s">
        <v>6134</v>
      </c>
      <c r="CP150" s="97"/>
      <c r="CQ150" s="97">
        <v>19</v>
      </c>
      <c r="CR150" s="504">
        <v>341.63499999999999</v>
      </c>
      <c r="CS150" s="507" t="s">
        <v>5907</v>
      </c>
      <c r="CT150" s="97" t="s">
        <v>689</v>
      </c>
      <c r="CU150" s="97" t="s">
        <v>5798</v>
      </c>
      <c r="CV150" s="842" t="s">
        <v>5784</v>
      </c>
      <c r="CW150" s="97" t="s">
        <v>5763</v>
      </c>
      <c r="CX150" s="96">
        <v>3</v>
      </c>
      <c r="CY150" s="96">
        <v>20</v>
      </c>
      <c r="CZ150" s="96">
        <v>5</v>
      </c>
      <c r="DA150" s="97" t="s">
        <v>479</v>
      </c>
      <c r="DB150" s="97" t="s">
        <v>5716</v>
      </c>
      <c r="DC150" s="96">
        <v>300</v>
      </c>
      <c r="DD150" s="97" t="s">
        <v>479</v>
      </c>
      <c r="DE150" s="97" t="s">
        <v>640</v>
      </c>
      <c r="DF150" s="96">
        <v>882</v>
      </c>
      <c r="DG150" s="96" t="s">
        <v>479</v>
      </c>
      <c r="DH150" s="96" t="s">
        <v>5567</v>
      </c>
      <c r="DI150" s="96">
        <v>3</v>
      </c>
      <c r="DJ150" s="96" t="s">
        <v>873</v>
      </c>
      <c r="DK150" s="96"/>
      <c r="DL150" s="96"/>
      <c r="DM150" s="97"/>
      <c r="DN150" s="97"/>
      <c r="DO150" s="96"/>
      <c r="DP150" s="97" t="s">
        <v>470</v>
      </c>
      <c r="DQ150" s="97"/>
      <c r="DR150" s="96"/>
      <c r="DS150" s="97"/>
      <c r="DT150" s="97"/>
      <c r="DU150" s="96"/>
      <c r="DV150" s="97"/>
      <c r="DW150" s="97"/>
      <c r="DX150" s="96"/>
      <c r="DY150" s="97" t="s">
        <v>479</v>
      </c>
      <c r="DZ150" s="97" t="s">
        <v>5462</v>
      </c>
      <c r="EA150" s="96">
        <v>12000</v>
      </c>
      <c r="EB150" s="97" t="s">
        <v>479</v>
      </c>
      <c r="EC150" s="97" t="s">
        <v>5418</v>
      </c>
      <c r="ED150" s="96">
        <v>525</v>
      </c>
      <c r="EE150" s="96"/>
      <c r="EF150" s="96"/>
      <c r="EG150" s="96"/>
      <c r="EH150" s="97"/>
      <c r="EI150" s="97"/>
      <c r="EJ150" s="96"/>
      <c r="EK150" s="97"/>
      <c r="EL150" s="97"/>
      <c r="EM150" s="96"/>
      <c r="EN150" s="97" t="s">
        <v>689</v>
      </c>
      <c r="EO150" s="97" t="s">
        <v>5268</v>
      </c>
      <c r="EP150" s="96">
        <v>525</v>
      </c>
      <c r="EQ150" s="96"/>
      <c r="ER150" s="96"/>
      <c r="ES150" s="96"/>
      <c r="ET150" s="97"/>
      <c r="EU150" s="97"/>
      <c r="EV150" s="96"/>
      <c r="EW150" s="96"/>
      <c r="EX150" s="96"/>
      <c r="EY150" s="96"/>
      <c r="EZ150" s="97" t="s">
        <v>873</v>
      </c>
      <c r="FA150" s="97"/>
      <c r="FB150" s="842" t="s">
        <v>5150</v>
      </c>
      <c r="FC150" s="842" t="s">
        <v>5003</v>
      </c>
      <c r="FD150" s="842" t="s">
        <v>4917</v>
      </c>
      <c r="FE150" s="97" t="s">
        <v>4837</v>
      </c>
      <c r="FF150" s="842" t="s">
        <v>4721</v>
      </c>
      <c r="FG150" s="97" t="s">
        <v>4653</v>
      </c>
      <c r="FH150" s="97">
        <v>36</v>
      </c>
      <c r="FI150" s="97">
        <v>8120</v>
      </c>
      <c r="FJ150" s="97" t="s">
        <v>4493</v>
      </c>
      <c r="FK150" s="97" t="s">
        <v>4273</v>
      </c>
      <c r="FL150" s="842" t="s">
        <v>4086</v>
      </c>
      <c r="FM150" s="97" t="s">
        <v>3896</v>
      </c>
      <c r="FN150" s="97" t="s">
        <v>3820</v>
      </c>
      <c r="FO150" s="842" t="s">
        <v>3746</v>
      </c>
    </row>
    <row r="151" spans="5:195" ht="36" customHeight="1" x14ac:dyDescent="0.2">
      <c r="E151" s="94" t="s">
        <v>9305</v>
      </c>
      <c r="F151" s="94" t="s">
        <v>9121</v>
      </c>
      <c r="G151" s="97" t="s">
        <v>326</v>
      </c>
      <c r="H151" s="97" t="s">
        <v>407</v>
      </c>
      <c r="I151" s="97" t="s">
        <v>8797</v>
      </c>
      <c r="J151" s="97" t="s">
        <v>8565</v>
      </c>
      <c r="K151" s="97" t="s">
        <v>5242</v>
      </c>
      <c r="L151" s="502">
        <v>2022</v>
      </c>
      <c r="M151" s="841" t="s">
        <v>8314</v>
      </c>
      <c r="N151" s="841" t="s">
        <v>8243</v>
      </c>
      <c r="O151" s="841"/>
      <c r="P151" s="841"/>
      <c r="Q151" s="841"/>
      <c r="R151" s="841"/>
      <c r="S151" s="841"/>
      <c r="T151" s="841"/>
      <c r="U151" s="841"/>
      <c r="V151" s="841"/>
      <c r="W151" s="841"/>
      <c r="X151" s="841"/>
      <c r="Y151" s="841"/>
      <c r="Z151" s="97"/>
      <c r="AA151" s="97"/>
      <c r="AB151" s="97" t="s">
        <v>7843</v>
      </c>
      <c r="AC151" s="842" t="s">
        <v>5997</v>
      </c>
      <c r="AD151" s="97" t="s">
        <v>7513</v>
      </c>
      <c r="AE151" s="842" t="s">
        <v>7314</v>
      </c>
      <c r="AF151" s="97"/>
      <c r="AG151" s="97"/>
      <c r="AH151" s="97" t="s">
        <v>6872</v>
      </c>
      <c r="AI151" s="97" t="s">
        <v>6872</v>
      </c>
      <c r="AJ151" s="97" t="s">
        <v>6661</v>
      </c>
      <c r="AK151" s="97"/>
      <c r="AL151" s="580">
        <f t="shared" si="12"/>
        <v>0.112</v>
      </c>
      <c r="AM151" s="504">
        <v>0.112</v>
      </c>
      <c r="AN151" s="516"/>
      <c r="AO151" s="97"/>
      <c r="AP151" s="97"/>
      <c r="AQ151" s="504">
        <v>0.112</v>
      </c>
      <c r="AR151" s="507">
        <v>1</v>
      </c>
      <c r="AS151" s="507">
        <v>5.0000000000000001E-4</v>
      </c>
      <c r="AT151" s="516">
        <v>0</v>
      </c>
      <c r="AU151" s="507">
        <v>0</v>
      </c>
      <c r="AV151" s="516">
        <v>0</v>
      </c>
      <c r="AW151" s="507">
        <v>0</v>
      </c>
      <c r="AX151" s="516"/>
      <c r="AY151" s="507">
        <v>0</v>
      </c>
      <c r="AZ151" s="516"/>
      <c r="BA151" s="507"/>
      <c r="BB151" s="507"/>
      <c r="BC151" s="507"/>
      <c r="BD151" s="507"/>
      <c r="BE151" s="507" t="s">
        <v>540</v>
      </c>
      <c r="BF151" s="507" t="s">
        <v>6277</v>
      </c>
      <c r="BG151" s="507"/>
      <c r="BH151" s="852"/>
      <c r="BI151" s="504">
        <v>0.2</v>
      </c>
      <c r="BJ151" s="507">
        <v>5.1000000000000004E-3</v>
      </c>
      <c r="BK151" s="96">
        <v>1</v>
      </c>
      <c r="BL151" s="96">
        <v>1</v>
      </c>
      <c r="BM151" s="96">
        <v>1</v>
      </c>
      <c r="BN151" s="96"/>
      <c r="BO151" s="96"/>
      <c r="BP151" s="96"/>
      <c r="BQ151" s="96"/>
      <c r="BR151" s="96"/>
      <c r="BS151" s="96"/>
      <c r="BT151" s="96"/>
      <c r="BU151" s="96"/>
      <c r="BV151" s="96"/>
      <c r="BW151" s="96"/>
      <c r="BX151" s="96">
        <v>1</v>
      </c>
      <c r="BY151" s="96"/>
      <c r="BZ151" s="96"/>
      <c r="CA151" s="96"/>
      <c r="CB151" s="96"/>
      <c r="CC151" s="96"/>
      <c r="CD151" s="96"/>
      <c r="CE151" s="96"/>
      <c r="CF151" s="96"/>
      <c r="CG151" s="96"/>
      <c r="CH151" s="96"/>
      <c r="CI151" s="96"/>
      <c r="CJ151" s="96"/>
      <c r="CK151" s="96"/>
      <c r="CL151" s="815">
        <f t="shared" si="14"/>
        <v>1</v>
      </c>
      <c r="CM151" s="824">
        <f t="shared" si="13"/>
        <v>0</v>
      </c>
      <c r="CN151" s="504">
        <v>0.45</v>
      </c>
      <c r="CO151" s="97" t="s">
        <v>6133</v>
      </c>
      <c r="CP151" s="97" t="s">
        <v>5997</v>
      </c>
      <c r="CQ151" s="97">
        <v>0.02</v>
      </c>
      <c r="CR151" s="504">
        <v>27.596</v>
      </c>
      <c r="CS151" s="507" t="s">
        <v>5906</v>
      </c>
      <c r="CT151" s="97" t="s">
        <v>470</v>
      </c>
      <c r="CU151" s="97"/>
      <c r="CV151" s="97"/>
      <c r="CW151" s="97"/>
      <c r="CX151" s="96"/>
      <c r="CY151" s="96"/>
      <c r="CZ151" s="96"/>
      <c r="DA151" s="97" t="s">
        <v>479</v>
      </c>
      <c r="DB151" s="97" t="s">
        <v>5715</v>
      </c>
      <c r="DC151" s="96">
        <v>13</v>
      </c>
      <c r="DD151" s="97" t="s">
        <v>479</v>
      </c>
      <c r="DE151" s="97" t="s">
        <v>5248</v>
      </c>
      <c r="DF151" s="96">
        <v>13</v>
      </c>
      <c r="DG151" s="96" t="s">
        <v>470</v>
      </c>
      <c r="DH151" s="96"/>
      <c r="DI151" s="96"/>
      <c r="DJ151" s="96" t="s">
        <v>470</v>
      </c>
      <c r="DK151" s="96"/>
      <c r="DL151" s="96"/>
      <c r="DM151" s="97" t="s">
        <v>470</v>
      </c>
      <c r="DN151" s="97"/>
      <c r="DO151" s="96"/>
      <c r="DP151" s="97" t="s">
        <v>470</v>
      </c>
      <c r="DQ151" s="97"/>
      <c r="DR151" s="96"/>
      <c r="DS151" s="97" t="s">
        <v>470</v>
      </c>
      <c r="DT151" s="97"/>
      <c r="DU151" s="96"/>
      <c r="DV151" s="97" t="s">
        <v>470</v>
      </c>
      <c r="DW151" s="97"/>
      <c r="DX151" s="96"/>
      <c r="DY151" s="97" t="s">
        <v>470</v>
      </c>
      <c r="DZ151" s="97"/>
      <c r="EA151" s="96"/>
      <c r="EB151" s="97" t="s">
        <v>470</v>
      </c>
      <c r="EC151" s="97"/>
      <c r="ED151" s="96"/>
      <c r="EE151" s="96" t="s">
        <v>470</v>
      </c>
      <c r="EF151" s="96"/>
      <c r="EG151" s="96"/>
      <c r="EH151" s="97" t="s">
        <v>470</v>
      </c>
      <c r="EI151" s="97"/>
      <c r="EJ151" s="96"/>
      <c r="EK151" s="97" t="s">
        <v>470</v>
      </c>
      <c r="EL151" s="97"/>
      <c r="EM151" s="96"/>
      <c r="EN151" s="97" t="s">
        <v>470</v>
      </c>
      <c r="EO151" s="97"/>
      <c r="EP151" s="96"/>
      <c r="EQ151" s="96" t="s">
        <v>479</v>
      </c>
      <c r="ER151" s="96" t="s">
        <v>5308</v>
      </c>
      <c r="ES151" s="96">
        <v>8</v>
      </c>
      <c r="ET151" s="97" t="s">
        <v>470</v>
      </c>
      <c r="EU151" s="97"/>
      <c r="EV151" s="96"/>
      <c r="EW151" s="96"/>
      <c r="EX151" s="96"/>
      <c r="EY151" s="96"/>
      <c r="EZ151" s="97" t="s">
        <v>470</v>
      </c>
      <c r="FA151" s="97"/>
      <c r="FB151" s="842" t="s">
        <v>5149</v>
      </c>
      <c r="FC151" s="97"/>
      <c r="FD151" s="97"/>
      <c r="FE151" s="97" t="s">
        <v>4836</v>
      </c>
      <c r="FF151" s="97"/>
      <c r="FG151" s="97" t="s">
        <v>4652</v>
      </c>
      <c r="FH151" s="97">
        <v>1</v>
      </c>
      <c r="FI151" s="97">
        <v>30</v>
      </c>
      <c r="FJ151" s="945" t="s">
        <v>3895</v>
      </c>
      <c r="FK151" s="945" t="s">
        <v>3819</v>
      </c>
      <c r="FL151" s="945" t="s">
        <v>3745</v>
      </c>
      <c r="FM151" s="945" t="s">
        <v>3895</v>
      </c>
      <c r="FN151" s="945" t="s">
        <v>3819</v>
      </c>
      <c r="FO151" s="945" t="s">
        <v>3745</v>
      </c>
    </row>
    <row r="152" spans="5:195" ht="28" customHeight="1" x14ac:dyDescent="0.2">
      <c r="E152" s="94" t="s">
        <v>9305</v>
      </c>
      <c r="F152" s="94" t="s">
        <v>9121</v>
      </c>
      <c r="G152" s="97" t="s">
        <v>326</v>
      </c>
      <c r="H152" s="97" t="s">
        <v>407</v>
      </c>
      <c r="I152" s="97" t="s">
        <v>8796</v>
      </c>
      <c r="J152" s="97" t="s">
        <v>8564</v>
      </c>
      <c r="K152" s="97" t="s">
        <v>5242</v>
      </c>
      <c r="L152" s="502">
        <v>2022</v>
      </c>
      <c r="M152" s="841">
        <v>44733</v>
      </c>
      <c r="N152" s="841">
        <v>44746</v>
      </c>
      <c r="O152" s="841"/>
      <c r="P152" s="841"/>
      <c r="Q152" s="841"/>
      <c r="R152" s="841"/>
      <c r="S152" s="841"/>
      <c r="T152" s="841"/>
      <c r="U152" s="841"/>
      <c r="V152" s="841"/>
      <c r="W152" s="841"/>
      <c r="X152" s="841"/>
      <c r="Y152" s="841"/>
      <c r="Z152" s="97"/>
      <c r="AA152" s="97"/>
      <c r="AB152" s="97" t="s">
        <v>7842</v>
      </c>
      <c r="AC152" s="97" t="s">
        <v>7665</v>
      </c>
      <c r="AD152" s="97"/>
      <c r="AE152" s="97"/>
      <c r="AF152" s="97"/>
      <c r="AG152" s="97"/>
      <c r="AH152" s="97" t="s">
        <v>6871</v>
      </c>
      <c r="AI152" s="97" t="s">
        <v>6871</v>
      </c>
      <c r="AJ152" s="97" t="s">
        <v>6718</v>
      </c>
      <c r="AK152" s="97" t="s">
        <v>6543</v>
      </c>
      <c r="AL152" s="580">
        <f t="shared" si="12"/>
        <v>0.96</v>
      </c>
      <c r="AM152" s="504">
        <v>0.96</v>
      </c>
      <c r="AN152" s="516"/>
      <c r="AO152" s="97"/>
      <c r="AP152" s="97"/>
      <c r="AQ152" s="504">
        <v>0.96</v>
      </c>
      <c r="AR152" s="507">
        <v>1</v>
      </c>
      <c r="AS152" s="507">
        <v>2E-3</v>
      </c>
      <c r="AT152" s="516">
        <v>0</v>
      </c>
      <c r="AU152" s="507">
        <v>0</v>
      </c>
      <c r="AV152" s="516">
        <v>0</v>
      </c>
      <c r="AW152" s="507">
        <v>0</v>
      </c>
      <c r="AX152" s="516"/>
      <c r="AY152" s="507">
        <v>0</v>
      </c>
      <c r="AZ152" s="516"/>
      <c r="BA152" s="507"/>
      <c r="BB152" s="507"/>
      <c r="BC152" s="507"/>
      <c r="BD152" s="507"/>
      <c r="BE152" s="507" t="s">
        <v>479</v>
      </c>
      <c r="BF152" s="507" t="s">
        <v>6320</v>
      </c>
      <c r="BG152" s="507"/>
      <c r="BH152" s="852"/>
      <c r="BI152" s="504">
        <v>0</v>
      </c>
      <c r="BJ152" s="507">
        <v>0</v>
      </c>
      <c r="BK152" s="96">
        <v>1</v>
      </c>
      <c r="BL152" s="96">
        <v>1</v>
      </c>
      <c r="BM152" s="96">
        <v>1</v>
      </c>
      <c r="BN152" s="96">
        <v>1</v>
      </c>
      <c r="BO152" s="96">
        <v>0</v>
      </c>
      <c r="BP152" s="96">
        <v>0</v>
      </c>
      <c r="BQ152" s="96">
        <v>0</v>
      </c>
      <c r="BR152" s="96">
        <v>0</v>
      </c>
      <c r="BS152" s="96">
        <v>0</v>
      </c>
      <c r="BT152" s="96">
        <v>0</v>
      </c>
      <c r="BU152" s="96">
        <v>0</v>
      </c>
      <c r="BV152" s="96">
        <v>0</v>
      </c>
      <c r="BW152" s="96">
        <v>0</v>
      </c>
      <c r="BX152" s="96">
        <v>0</v>
      </c>
      <c r="BY152" s="96">
        <v>0</v>
      </c>
      <c r="BZ152" s="96">
        <v>0</v>
      </c>
      <c r="CA152" s="96">
        <v>0</v>
      </c>
      <c r="CB152" s="96">
        <v>0</v>
      </c>
      <c r="CC152" s="96">
        <v>0</v>
      </c>
      <c r="CD152" s="96">
        <v>0</v>
      </c>
      <c r="CE152" s="96">
        <v>0</v>
      </c>
      <c r="CF152" s="96">
        <v>0</v>
      </c>
      <c r="CG152" s="96">
        <v>0</v>
      </c>
      <c r="CH152" s="96">
        <v>0</v>
      </c>
      <c r="CI152" s="96">
        <v>0</v>
      </c>
      <c r="CJ152" s="96">
        <v>0</v>
      </c>
      <c r="CK152" s="96">
        <v>0</v>
      </c>
      <c r="CL152" s="815">
        <f t="shared" si="14"/>
        <v>1</v>
      </c>
      <c r="CM152" s="824">
        <f t="shared" si="13"/>
        <v>0</v>
      </c>
      <c r="CN152" s="504">
        <v>0.55600000000000005</v>
      </c>
      <c r="CO152" s="97" t="s">
        <v>6132</v>
      </c>
      <c r="CP152" s="97"/>
      <c r="CQ152" s="97">
        <v>2.2599999999999998</v>
      </c>
      <c r="CR152" s="504">
        <v>24.574999999999999</v>
      </c>
      <c r="CS152" s="507"/>
      <c r="CT152" s="97" t="s">
        <v>470</v>
      </c>
      <c r="CU152" s="97"/>
      <c r="CV152" s="97"/>
      <c r="CW152" s="97"/>
      <c r="CX152" s="96"/>
      <c r="CY152" s="96"/>
      <c r="CZ152" s="96">
        <v>3</v>
      </c>
      <c r="DA152" s="97" t="s">
        <v>479</v>
      </c>
      <c r="DB152" s="97" t="s">
        <v>15</v>
      </c>
      <c r="DC152" s="96">
        <v>70</v>
      </c>
      <c r="DD152" s="97" t="s">
        <v>479</v>
      </c>
      <c r="DE152" s="97" t="s">
        <v>15</v>
      </c>
      <c r="DF152" s="96">
        <v>17</v>
      </c>
      <c r="DG152" s="96" t="s">
        <v>470</v>
      </c>
      <c r="DH152" s="96"/>
      <c r="DI152" s="96"/>
      <c r="DJ152" s="96" t="s">
        <v>470</v>
      </c>
      <c r="DK152" s="96"/>
      <c r="DL152" s="96"/>
      <c r="DM152" s="97" t="s">
        <v>470</v>
      </c>
      <c r="DN152" s="97"/>
      <c r="DO152" s="96"/>
      <c r="DP152" s="97" t="s">
        <v>470</v>
      </c>
      <c r="DQ152" s="97"/>
      <c r="DR152" s="96"/>
      <c r="DS152" s="97" t="s">
        <v>470</v>
      </c>
      <c r="DT152" s="97"/>
      <c r="DU152" s="96"/>
      <c r="DV152" s="97"/>
      <c r="DW152" s="97"/>
      <c r="DX152" s="96"/>
      <c r="DY152" s="97" t="s">
        <v>470</v>
      </c>
      <c r="DZ152" s="97"/>
      <c r="EA152" s="96"/>
      <c r="EB152" s="97" t="s">
        <v>470</v>
      </c>
      <c r="EC152" s="97"/>
      <c r="ED152" s="96"/>
      <c r="EE152" s="96" t="s">
        <v>470</v>
      </c>
      <c r="EF152" s="96"/>
      <c r="EG152" s="96"/>
      <c r="EH152" s="97" t="s">
        <v>470</v>
      </c>
      <c r="EI152" s="97"/>
      <c r="EJ152" s="96"/>
      <c r="EK152" s="97" t="s">
        <v>470</v>
      </c>
      <c r="EL152" s="97"/>
      <c r="EM152" s="96"/>
      <c r="EN152" s="97"/>
      <c r="EO152" s="97"/>
      <c r="EP152" s="96"/>
      <c r="EQ152" s="97" t="s">
        <v>479</v>
      </c>
      <c r="ER152" s="97" t="s">
        <v>15</v>
      </c>
      <c r="ES152" s="96">
        <v>8</v>
      </c>
      <c r="ET152" s="97"/>
      <c r="EU152" s="97"/>
      <c r="EV152" s="96"/>
      <c r="EW152" s="96"/>
      <c r="EX152" s="96"/>
      <c r="EY152" s="96"/>
      <c r="EZ152" s="97" t="s">
        <v>470</v>
      </c>
      <c r="FA152" s="97"/>
      <c r="FB152" s="97"/>
      <c r="FC152" s="97"/>
      <c r="FD152" s="97"/>
      <c r="FE152" s="97"/>
      <c r="FF152" s="97"/>
      <c r="FG152" s="97" t="s">
        <v>4651</v>
      </c>
      <c r="FH152" s="97">
        <v>1</v>
      </c>
      <c r="FI152" s="97">
        <v>2</v>
      </c>
      <c r="FJ152" s="97" t="s">
        <v>4492</v>
      </c>
      <c r="FK152" s="97">
        <v>88616633851</v>
      </c>
      <c r="FL152" s="842" t="s">
        <v>4085</v>
      </c>
      <c r="FM152" s="97" t="s">
        <v>3894</v>
      </c>
      <c r="FN152" s="97"/>
      <c r="FO152" s="97"/>
    </row>
    <row r="153" spans="5:195" ht="36" customHeight="1" x14ac:dyDescent="0.2">
      <c r="E153" s="94" t="s">
        <v>9305</v>
      </c>
      <c r="F153" s="94" t="s">
        <v>9121</v>
      </c>
      <c r="G153" s="97" t="s">
        <v>326</v>
      </c>
      <c r="H153" s="97" t="s">
        <v>407</v>
      </c>
      <c r="I153" s="97" t="s">
        <v>8795</v>
      </c>
      <c r="J153" s="97" t="s">
        <v>8365</v>
      </c>
      <c r="K153" s="97" t="s">
        <v>8365</v>
      </c>
      <c r="L153" s="502">
        <v>2022</v>
      </c>
      <c r="M153" s="841">
        <v>44607</v>
      </c>
      <c r="N153" s="841">
        <v>44726</v>
      </c>
      <c r="O153" s="841"/>
      <c r="P153" s="841"/>
      <c r="Q153" s="841"/>
      <c r="R153" s="841"/>
      <c r="S153" s="841"/>
      <c r="T153" s="841"/>
      <c r="U153" s="841"/>
      <c r="V153" s="841"/>
      <c r="W153" s="841"/>
      <c r="X153" s="841"/>
      <c r="Y153" s="841"/>
      <c r="Z153" s="97"/>
      <c r="AA153" s="97"/>
      <c r="AB153" s="97" t="s">
        <v>7841</v>
      </c>
      <c r="AC153" s="97" t="s">
        <v>7664</v>
      </c>
      <c r="AD153" s="97" t="s">
        <v>7512</v>
      </c>
      <c r="AE153" s="97" t="s">
        <v>7313</v>
      </c>
      <c r="AF153" s="97"/>
      <c r="AG153" s="97"/>
      <c r="AH153" s="97" t="s">
        <v>6542</v>
      </c>
      <c r="AI153" s="97" t="s">
        <v>6542</v>
      </c>
      <c r="AJ153" s="97" t="s">
        <v>6661</v>
      </c>
      <c r="AK153" s="97" t="s">
        <v>6542</v>
      </c>
      <c r="AL153" s="580">
        <f t="shared" si="12"/>
        <v>0.27800000000000002</v>
      </c>
      <c r="AM153" s="504">
        <v>0.27800000000000002</v>
      </c>
      <c r="AN153" s="516"/>
      <c r="AO153" s="97"/>
      <c r="AP153" s="97"/>
      <c r="AQ153" s="504">
        <v>0.27800000000000002</v>
      </c>
      <c r="AR153" s="507">
        <v>1</v>
      </c>
      <c r="AS153" s="507">
        <v>8.9999999999999993E-3</v>
      </c>
      <c r="AT153" s="516">
        <v>0</v>
      </c>
      <c r="AU153" s="507">
        <v>0</v>
      </c>
      <c r="AV153" s="516">
        <v>0</v>
      </c>
      <c r="AW153" s="507">
        <v>0</v>
      </c>
      <c r="AX153" s="516"/>
      <c r="AY153" s="507">
        <v>0</v>
      </c>
      <c r="AZ153" s="516"/>
      <c r="BA153" s="507"/>
      <c r="BB153" s="507"/>
      <c r="BC153" s="507"/>
      <c r="BD153" s="507"/>
      <c r="BE153" s="507" t="s">
        <v>470</v>
      </c>
      <c r="BF153" s="507"/>
      <c r="BG153" s="507"/>
      <c r="BH153" s="852"/>
      <c r="BI153" s="504">
        <v>0.01</v>
      </c>
      <c r="BJ153" s="507">
        <v>2.0000000000000001E-4</v>
      </c>
      <c r="BK153" s="96"/>
      <c r="BL153" s="96">
        <v>5</v>
      </c>
      <c r="BM153" s="96">
        <v>2</v>
      </c>
      <c r="BN153" s="96"/>
      <c r="BO153" s="96"/>
      <c r="BP153" s="96"/>
      <c r="BQ153" s="96"/>
      <c r="BR153" s="96"/>
      <c r="BS153" s="96"/>
      <c r="BT153" s="96"/>
      <c r="BU153" s="96"/>
      <c r="BV153" s="96"/>
      <c r="BW153" s="96"/>
      <c r="BX153" s="96"/>
      <c r="BY153" s="96">
        <v>2</v>
      </c>
      <c r="BZ153" s="96"/>
      <c r="CA153" s="96"/>
      <c r="CB153" s="96"/>
      <c r="CC153" s="96"/>
      <c r="CD153" s="96"/>
      <c r="CE153" s="96"/>
      <c r="CF153" s="96"/>
      <c r="CG153" s="96"/>
      <c r="CH153" s="96"/>
      <c r="CI153" s="96"/>
      <c r="CJ153" s="96"/>
      <c r="CK153" s="96"/>
      <c r="CL153" s="815">
        <f t="shared" si="14"/>
        <v>2</v>
      </c>
      <c r="CM153" s="824">
        <f t="shared" si="13"/>
        <v>0</v>
      </c>
      <c r="CN153" s="504">
        <v>5.6</v>
      </c>
      <c r="CO153" s="97"/>
      <c r="CP153" s="97"/>
      <c r="CQ153" s="97"/>
      <c r="CR153" s="504">
        <v>6.1719999999999997</v>
      </c>
      <c r="CS153" s="507" t="s">
        <v>1902</v>
      </c>
      <c r="CT153" s="97" t="s">
        <v>470</v>
      </c>
      <c r="CU153" s="97"/>
      <c r="CV153" s="97"/>
      <c r="CW153" s="97"/>
      <c r="CX153" s="96"/>
      <c r="CY153" s="96"/>
      <c r="CZ153" s="96"/>
      <c r="DA153" s="97" t="s">
        <v>479</v>
      </c>
      <c r="DB153" s="97" t="s">
        <v>3521</v>
      </c>
      <c r="DC153" s="96">
        <v>156</v>
      </c>
      <c r="DD153" s="97" t="s">
        <v>479</v>
      </c>
      <c r="DE153" s="97" t="s">
        <v>2533</v>
      </c>
      <c r="DF153" s="96">
        <v>29</v>
      </c>
      <c r="DG153" s="96" t="s">
        <v>479</v>
      </c>
      <c r="DH153" s="96" t="s">
        <v>5377</v>
      </c>
      <c r="DI153" s="96">
        <v>17</v>
      </c>
      <c r="DJ153" s="96" t="s">
        <v>470</v>
      </c>
      <c r="DK153" s="96"/>
      <c r="DL153" s="96"/>
      <c r="DM153" s="97" t="s">
        <v>470</v>
      </c>
      <c r="DN153" s="97"/>
      <c r="DO153" s="96"/>
      <c r="DP153" s="97" t="s">
        <v>470</v>
      </c>
      <c r="DQ153" s="97"/>
      <c r="DR153" s="96"/>
      <c r="DS153" s="97" t="s">
        <v>470</v>
      </c>
      <c r="DT153" s="97"/>
      <c r="DU153" s="96"/>
      <c r="DV153" s="97"/>
      <c r="DW153" s="97"/>
      <c r="DX153" s="96"/>
      <c r="DY153" s="97" t="s">
        <v>470</v>
      </c>
      <c r="DZ153" s="97"/>
      <c r="EA153" s="96"/>
      <c r="EB153" s="97" t="s">
        <v>470</v>
      </c>
      <c r="EC153" s="97"/>
      <c r="ED153" s="96"/>
      <c r="EE153" s="96" t="s">
        <v>479</v>
      </c>
      <c r="EF153" s="96" t="s">
        <v>5377</v>
      </c>
      <c r="EG153" s="96">
        <v>17</v>
      </c>
      <c r="EH153" s="97" t="s">
        <v>470</v>
      </c>
      <c r="EI153" s="97"/>
      <c r="EJ153" s="96"/>
      <c r="EK153" s="97" t="s">
        <v>470</v>
      </c>
      <c r="EL153" s="97"/>
      <c r="EM153" s="96"/>
      <c r="EN153" s="97" t="s">
        <v>470</v>
      </c>
      <c r="EO153" s="97"/>
      <c r="EP153" s="96"/>
      <c r="EQ153" s="96" t="s">
        <v>479</v>
      </c>
      <c r="ER153" s="96" t="s">
        <v>5307</v>
      </c>
      <c r="ES153" s="96">
        <v>8</v>
      </c>
      <c r="ET153" s="97"/>
      <c r="EU153" s="97"/>
      <c r="EV153" s="96"/>
      <c r="EW153" s="96"/>
      <c r="EX153" s="96"/>
      <c r="EY153" s="96"/>
      <c r="EZ153" s="97" t="s">
        <v>470</v>
      </c>
      <c r="FA153" s="97"/>
      <c r="FB153" s="97" t="s">
        <v>5148</v>
      </c>
      <c r="FC153" s="97"/>
      <c r="FD153" s="97"/>
      <c r="FE153" s="97"/>
      <c r="FF153" s="97"/>
      <c r="FG153" s="97"/>
      <c r="FH153" s="97"/>
      <c r="FI153" s="97"/>
      <c r="FJ153" s="97" t="s">
        <v>4491</v>
      </c>
      <c r="FK153" s="97" t="s">
        <v>4272</v>
      </c>
      <c r="FL153" s="842" t="s">
        <v>4084</v>
      </c>
      <c r="FM153" s="97" t="s">
        <v>3893</v>
      </c>
      <c r="FN153" s="97" t="s">
        <v>3818</v>
      </c>
      <c r="FO153" s="97" t="s">
        <v>3744</v>
      </c>
    </row>
    <row r="154" spans="5:195" ht="28" customHeight="1" x14ac:dyDescent="0.2">
      <c r="E154" s="94" t="s">
        <v>9302</v>
      </c>
      <c r="F154" s="94" t="s">
        <v>9121</v>
      </c>
      <c r="G154" s="97" t="s">
        <v>326</v>
      </c>
      <c r="H154" s="97" t="s">
        <v>407</v>
      </c>
      <c r="I154" s="97" t="s">
        <v>8794</v>
      </c>
      <c r="J154" s="97" t="s">
        <v>6870</v>
      </c>
      <c r="K154" s="97" t="s">
        <v>6870</v>
      </c>
      <c r="L154" s="502">
        <v>2022</v>
      </c>
      <c r="M154" s="841">
        <v>44621</v>
      </c>
      <c r="N154" s="841">
        <v>44650</v>
      </c>
      <c r="O154" s="841"/>
      <c r="P154" s="841"/>
      <c r="Q154" s="841"/>
      <c r="R154" s="841"/>
      <c r="S154" s="841"/>
      <c r="T154" s="841"/>
      <c r="U154" s="841"/>
      <c r="V154" s="841"/>
      <c r="W154" s="841"/>
      <c r="X154" s="841"/>
      <c r="Y154" s="841"/>
      <c r="Z154" s="97"/>
      <c r="AA154" s="97"/>
      <c r="AB154" s="97"/>
      <c r="AC154" s="97"/>
      <c r="AD154" s="97" t="s">
        <v>7511</v>
      </c>
      <c r="AE154" s="872" t="s">
        <v>5566</v>
      </c>
      <c r="AF154" s="97"/>
      <c r="AG154" s="97"/>
      <c r="AH154" s="97" t="s">
        <v>6870</v>
      </c>
      <c r="AI154" s="97" t="s">
        <v>6870</v>
      </c>
      <c r="AJ154" s="97"/>
      <c r="AK154" s="97"/>
      <c r="AL154" s="580">
        <f t="shared" si="12"/>
        <v>0.52800000000000002</v>
      </c>
      <c r="AM154" s="504">
        <v>0.52800000000000002</v>
      </c>
      <c r="AN154" s="516"/>
      <c r="AO154" s="97"/>
      <c r="AP154" s="97"/>
      <c r="AQ154" s="97">
        <v>0.52800000000000002</v>
      </c>
      <c r="AR154" s="507">
        <v>1</v>
      </c>
      <c r="AS154" s="507">
        <v>1.6E-2</v>
      </c>
      <c r="AT154" s="516">
        <v>0</v>
      </c>
      <c r="AU154" s="507">
        <v>0</v>
      </c>
      <c r="AV154" s="516">
        <v>0</v>
      </c>
      <c r="AW154" s="507">
        <v>0</v>
      </c>
      <c r="AX154" s="516"/>
      <c r="AY154" s="507">
        <v>0</v>
      </c>
      <c r="AZ154" s="516"/>
      <c r="BA154" s="507"/>
      <c r="BB154" s="507"/>
      <c r="BC154" s="507"/>
      <c r="BD154" s="507"/>
      <c r="BE154" s="507" t="s">
        <v>470</v>
      </c>
      <c r="BF154" s="507"/>
      <c r="BG154" s="507"/>
      <c r="BH154" s="852"/>
      <c r="BI154" s="504">
        <v>0.6</v>
      </c>
      <c r="BJ154" s="507">
        <v>1.4999999999999999E-2</v>
      </c>
      <c r="BK154" s="96">
        <v>2</v>
      </c>
      <c r="BL154" s="96">
        <v>2</v>
      </c>
      <c r="BM154" s="96"/>
      <c r="BN154" s="96">
        <v>1</v>
      </c>
      <c r="BO154" s="96"/>
      <c r="BP154" s="96">
        <v>1</v>
      </c>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815">
        <f t="shared" si="14"/>
        <v>2</v>
      </c>
      <c r="CM154" s="824">
        <f t="shared" si="13"/>
        <v>0</v>
      </c>
      <c r="CN154" s="504">
        <v>0.1</v>
      </c>
      <c r="CO154" s="97"/>
      <c r="CP154" s="97"/>
      <c r="CQ154" s="97">
        <v>26</v>
      </c>
      <c r="CR154" s="504">
        <v>2.621</v>
      </c>
      <c r="CS154" s="507"/>
      <c r="CT154" s="97" t="s">
        <v>470</v>
      </c>
      <c r="CU154" s="97"/>
      <c r="CV154" s="97"/>
      <c r="CW154" s="97"/>
      <c r="CX154" s="96"/>
      <c r="CY154" s="96"/>
      <c r="CZ154" s="96"/>
      <c r="DA154" s="97" t="s">
        <v>470</v>
      </c>
      <c r="DB154" s="97"/>
      <c r="DC154" s="96"/>
      <c r="DD154" s="97"/>
      <c r="DE154" s="97"/>
      <c r="DF154" s="96"/>
      <c r="DG154" s="97" t="s">
        <v>479</v>
      </c>
      <c r="DH154" s="872" t="s">
        <v>5566</v>
      </c>
      <c r="DI154" s="96">
        <v>32</v>
      </c>
      <c r="DJ154" s="96"/>
      <c r="DK154" s="96"/>
      <c r="DL154" s="96"/>
      <c r="DM154" s="97"/>
      <c r="DN154" s="97"/>
      <c r="DO154" s="96"/>
      <c r="DP154" s="97"/>
      <c r="DQ154" s="97"/>
      <c r="DR154" s="96"/>
      <c r="DS154" s="97"/>
      <c r="DT154" s="97"/>
      <c r="DU154" s="96"/>
      <c r="DV154" s="97"/>
      <c r="DW154" s="97"/>
      <c r="DX154" s="96"/>
      <c r="DY154" s="97" t="s">
        <v>470</v>
      </c>
      <c r="DZ154" s="97"/>
      <c r="EA154" s="96"/>
      <c r="EB154" s="97" t="s">
        <v>470</v>
      </c>
      <c r="EC154" s="97"/>
      <c r="ED154" s="96"/>
      <c r="EE154" s="97" t="s">
        <v>470</v>
      </c>
      <c r="EF154" s="872"/>
      <c r="EG154" s="96"/>
      <c r="EH154" s="97" t="s">
        <v>470</v>
      </c>
      <c r="EI154" s="97"/>
      <c r="EJ154" s="96"/>
      <c r="EK154" s="97" t="s">
        <v>470</v>
      </c>
      <c r="EL154" s="97"/>
      <c r="EM154" s="96"/>
      <c r="EN154" s="97" t="s">
        <v>470</v>
      </c>
      <c r="EO154" s="97"/>
      <c r="EP154" s="96"/>
      <c r="EQ154" s="96" t="s">
        <v>470</v>
      </c>
      <c r="ER154" s="96"/>
      <c r="ES154" s="96"/>
      <c r="ET154" s="97" t="s">
        <v>470</v>
      </c>
      <c r="EU154" s="97"/>
      <c r="EV154" s="96"/>
      <c r="EW154" s="96"/>
      <c r="EX154" s="96"/>
      <c r="EY154" s="96"/>
      <c r="EZ154" s="97" t="s">
        <v>470</v>
      </c>
      <c r="FA154" s="97"/>
      <c r="FB154" s="97" t="s">
        <v>470</v>
      </c>
      <c r="FC154" s="97"/>
      <c r="FD154" s="97"/>
      <c r="FE154" s="97"/>
      <c r="FF154" s="97" t="s">
        <v>4720</v>
      </c>
      <c r="FG154" s="97" t="s">
        <v>4650</v>
      </c>
      <c r="FH154" s="97">
        <v>2</v>
      </c>
      <c r="FI154" s="97">
        <v>32</v>
      </c>
      <c r="FJ154" s="97" t="s">
        <v>3892</v>
      </c>
      <c r="FK154" s="97" t="s">
        <v>3817</v>
      </c>
      <c r="FL154" s="872" t="s">
        <v>3743</v>
      </c>
      <c r="FM154" s="97" t="s">
        <v>3892</v>
      </c>
      <c r="FN154" s="97" t="s">
        <v>3817</v>
      </c>
      <c r="FO154" s="872" t="s">
        <v>3743</v>
      </c>
    </row>
    <row r="155" spans="5:195" ht="36" customHeight="1" x14ac:dyDescent="0.2">
      <c r="E155" s="94" t="s">
        <v>9305</v>
      </c>
      <c r="F155" s="94" t="s">
        <v>9121</v>
      </c>
      <c r="G155" s="97" t="s">
        <v>326</v>
      </c>
      <c r="H155" s="97" t="s">
        <v>407</v>
      </c>
      <c r="I155" s="97" t="s">
        <v>8793</v>
      </c>
      <c r="J155" s="97" t="s">
        <v>8416</v>
      </c>
      <c r="K155" s="97" t="s">
        <v>8416</v>
      </c>
      <c r="L155" s="502">
        <v>2021</v>
      </c>
      <c r="M155" s="841" t="s">
        <v>8313</v>
      </c>
      <c r="N155" s="841" t="s">
        <v>8242</v>
      </c>
      <c r="O155" s="841"/>
      <c r="P155" s="841"/>
      <c r="Q155" s="841"/>
      <c r="R155" s="841"/>
      <c r="S155" s="841"/>
      <c r="T155" s="841"/>
      <c r="U155" s="841"/>
      <c r="V155" s="841"/>
      <c r="W155" s="841"/>
      <c r="X155" s="841"/>
      <c r="Y155" s="841"/>
      <c r="Z155" s="97" t="s">
        <v>8140</v>
      </c>
      <c r="AA155" s="842" t="s">
        <v>7985</v>
      </c>
      <c r="AB155" s="97" t="s">
        <v>7840</v>
      </c>
      <c r="AC155" s="842" t="s">
        <v>7663</v>
      </c>
      <c r="AD155" s="97" t="s">
        <v>7510</v>
      </c>
      <c r="AE155" s="842" t="s">
        <v>7312</v>
      </c>
      <c r="AF155" s="97" t="s">
        <v>470</v>
      </c>
      <c r="AG155" s="97" t="s">
        <v>470</v>
      </c>
      <c r="AH155" s="97" t="s">
        <v>7009</v>
      </c>
      <c r="AI155" s="97" t="s">
        <v>6541</v>
      </c>
      <c r="AJ155" s="97" t="s">
        <v>6717</v>
      </c>
      <c r="AK155" s="97" t="s">
        <v>6541</v>
      </c>
      <c r="AL155" s="580">
        <f t="shared" si="12"/>
        <v>35.299999999999997</v>
      </c>
      <c r="AM155" s="504">
        <v>35.299999999999997</v>
      </c>
      <c r="AN155" s="516"/>
      <c r="AO155" s="97"/>
      <c r="AP155" s="97"/>
      <c r="AQ155" s="504">
        <v>31.8</v>
      </c>
      <c r="AR155" s="507">
        <v>0.88600000000000001</v>
      </c>
      <c r="AS155" s="507">
        <v>1E-3</v>
      </c>
      <c r="AT155" s="516"/>
      <c r="AU155" s="507"/>
      <c r="AV155" s="516"/>
      <c r="AW155" s="507"/>
      <c r="AX155" s="516">
        <v>3.5</v>
      </c>
      <c r="AY155" s="507">
        <v>0.1</v>
      </c>
      <c r="AZ155" s="516"/>
      <c r="BA155" s="507"/>
      <c r="BB155" s="507"/>
      <c r="BC155" s="507"/>
      <c r="BD155" s="507"/>
      <c r="BE155" s="507" t="s">
        <v>479</v>
      </c>
      <c r="BF155" s="507" t="s">
        <v>6319</v>
      </c>
      <c r="BG155" s="507"/>
      <c r="BH155" s="852" t="s">
        <v>470</v>
      </c>
      <c r="BI155" s="504">
        <v>100</v>
      </c>
      <c r="BJ155" s="507">
        <v>3.7000000000000002E-3</v>
      </c>
      <c r="BK155" s="96">
        <v>5</v>
      </c>
      <c r="BL155" s="96">
        <v>5</v>
      </c>
      <c r="BM155" s="96">
        <v>5</v>
      </c>
      <c r="BN155" s="96">
        <v>0</v>
      </c>
      <c r="BO155" s="96">
        <v>0</v>
      </c>
      <c r="BP155" s="96">
        <v>0</v>
      </c>
      <c r="BQ155" s="96">
        <v>0</v>
      </c>
      <c r="BR155" s="96">
        <v>0</v>
      </c>
      <c r="BS155" s="96">
        <v>0</v>
      </c>
      <c r="BT155" s="96">
        <v>0</v>
      </c>
      <c r="BU155" s="96">
        <v>0</v>
      </c>
      <c r="BV155" s="96">
        <v>0</v>
      </c>
      <c r="BW155" s="96">
        <v>5</v>
      </c>
      <c r="BX155" s="96">
        <v>0</v>
      </c>
      <c r="BY155" s="96">
        <v>0</v>
      </c>
      <c r="BZ155" s="96">
        <v>0</v>
      </c>
      <c r="CA155" s="96">
        <v>0</v>
      </c>
      <c r="CB155" s="96">
        <v>0</v>
      </c>
      <c r="CC155" s="96">
        <v>0</v>
      </c>
      <c r="CD155" s="96">
        <v>0</v>
      </c>
      <c r="CE155" s="96">
        <v>0</v>
      </c>
      <c r="CF155" s="96">
        <v>0</v>
      </c>
      <c r="CG155" s="96">
        <v>0</v>
      </c>
      <c r="CH155" s="96">
        <v>0</v>
      </c>
      <c r="CI155" s="96">
        <v>0</v>
      </c>
      <c r="CJ155" s="96">
        <v>0</v>
      </c>
      <c r="CK155" s="96">
        <v>0</v>
      </c>
      <c r="CL155" s="815">
        <f t="shared" si="14"/>
        <v>5</v>
      </c>
      <c r="CM155" s="824">
        <f t="shared" si="13"/>
        <v>0</v>
      </c>
      <c r="CN155" s="502">
        <v>195</v>
      </c>
      <c r="CO155" s="97" t="s">
        <v>470</v>
      </c>
      <c r="CP155" s="97"/>
      <c r="CQ155" s="97">
        <v>37.6</v>
      </c>
      <c r="CR155" s="96">
        <v>519.20000000000005</v>
      </c>
      <c r="CS155" s="887" t="s">
        <v>5905</v>
      </c>
      <c r="CT155" s="97" t="s">
        <v>470</v>
      </c>
      <c r="CU155" s="97"/>
      <c r="CV155" s="97"/>
      <c r="CW155" s="97"/>
      <c r="CX155" s="96"/>
      <c r="CY155" s="96"/>
      <c r="CZ155" s="96"/>
      <c r="DA155" s="97" t="s">
        <v>479</v>
      </c>
      <c r="DB155" s="97" t="s">
        <v>5417</v>
      </c>
      <c r="DC155" s="96"/>
      <c r="DD155" s="97" t="s">
        <v>479</v>
      </c>
      <c r="DE155" s="96" t="s">
        <v>5417</v>
      </c>
      <c r="DF155" s="96"/>
      <c r="DG155" s="96" t="s">
        <v>479</v>
      </c>
      <c r="DH155" s="96" t="s">
        <v>5417</v>
      </c>
      <c r="DI155" s="96"/>
      <c r="DJ155" s="96" t="s">
        <v>470</v>
      </c>
      <c r="DK155" s="96"/>
      <c r="DL155" s="96"/>
      <c r="DM155" s="97" t="s">
        <v>470</v>
      </c>
      <c r="DN155" s="97"/>
      <c r="DO155" s="96"/>
      <c r="DP155" s="97" t="s">
        <v>470</v>
      </c>
      <c r="DQ155" s="97"/>
      <c r="DR155" s="96"/>
      <c r="DS155" s="97" t="s">
        <v>470</v>
      </c>
      <c r="DT155" s="97"/>
      <c r="DU155" s="96"/>
      <c r="DV155" s="97" t="s">
        <v>470</v>
      </c>
      <c r="DW155" s="97"/>
      <c r="DX155" s="96"/>
      <c r="DY155" s="97" t="s">
        <v>470</v>
      </c>
      <c r="DZ155" s="97"/>
      <c r="EA155" s="96"/>
      <c r="EB155" s="97" t="s">
        <v>479</v>
      </c>
      <c r="EC155" s="97" t="s">
        <v>5417</v>
      </c>
      <c r="ED155" s="96"/>
      <c r="EE155" s="96" t="s">
        <v>470</v>
      </c>
      <c r="EF155" s="96"/>
      <c r="EG155" s="96"/>
      <c r="EH155" s="97" t="s">
        <v>470</v>
      </c>
      <c r="EI155" s="97"/>
      <c r="EJ155" s="96"/>
      <c r="EK155" s="97" t="s">
        <v>470</v>
      </c>
      <c r="EL155" s="97"/>
      <c r="EM155" s="96"/>
      <c r="EN155" s="97" t="s">
        <v>470</v>
      </c>
      <c r="EO155" s="97"/>
      <c r="EP155" s="96"/>
      <c r="EQ155" s="96" t="s">
        <v>470</v>
      </c>
      <c r="ER155" s="96"/>
      <c r="ES155" s="96"/>
      <c r="ET155" s="97" t="s">
        <v>470</v>
      </c>
      <c r="EU155" s="97"/>
      <c r="EV155" s="96"/>
      <c r="EW155" s="96"/>
      <c r="EX155" s="96"/>
      <c r="EY155" s="96"/>
      <c r="EZ155" s="97" t="s">
        <v>470</v>
      </c>
      <c r="FA155" s="97"/>
      <c r="FB155" s="842" t="s">
        <v>5147</v>
      </c>
      <c r="FC155" s="97" t="s">
        <v>5002</v>
      </c>
      <c r="FD155" s="97" t="s">
        <v>4719</v>
      </c>
      <c r="FE155" s="97" t="s">
        <v>4835</v>
      </c>
      <c r="FF155" s="97" t="s">
        <v>4719</v>
      </c>
      <c r="FG155" s="97" t="s">
        <v>470</v>
      </c>
      <c r="FH155" s="97">
        <v>0</v>
      </c>
      <c r="FI155" s="97">
        <v>0</v>
      </c>
      <c r="FJ155" s="97" t="s">
        <v>4490</v>
      </c>
      <c r="FK155" s="97">
        <v>89182050585</v>
      </c>
      <c r="FL155" s="842" t="s">
        <v>4083</v>
      </c>
      <c r="FM155" s="97" t="s">
        <v>3891</v>
      </c>
      <c r="FN155" s="97">
        <v>89180883355</v>
      </c>
      <c r="FO155" s="842" t="s">
        <v>3742</v>
      </c>
    </row>
    <row r="156" spans="5:195" ht="28" customHeight="1" x14ac:dyDescent="0.2">
      <c r="E156" s="94" t="s">
        <v>9305</v>
      </c>
      <c r="F156" s="94" t="s">
        <v>9121</v>
      </c>
      <c r="G156" s="97" t="s">
        <v>326</v>
      </c>
      <c r="H156" s="97" t="s">
        <v>407</v>
      </c>
      <c r="I156" s="97" t="s">
        <v>8792</v>
      </c>
      <c r="J156" s="97" t="s">
        <v>8563</v>
      </c>
      <c r="K156" s="97" t="s">
        <v>470</v>
      </c>
      <c r="L156" s="502">
        <v>2022</v>
      </c>
      <c r="M156" s="841">
        <v>44844</v>
      </c>
      <c r="N156" s="841">
        <v>44921</v>
      </c>
      <c r="O156" s="841"/>
      <c r="P156" s="841"/>
      <c r="Q156" s="841"/>
      <c r="R156" s="841"/>
      <c r="S156" s="841"/>
      <c r="T156" s="841"/>
      <c r="U156" s="841"/>
      <c r="V156" s="841"/>
      <c r="W156" s="841"/>
      <c r="X156" s="841"/>
      <c r="Y156" s="841"/>
      <c r="Z156" s="97" t="s">
        <v>8139</v>
      </c>
      <c r="AA156" s="849" t="s">
        <v>7984</v>
      </c>
      <c r="AB156" s="97" t="s">
        <v>7839</v>
      </c>
      <c r="AC156" s="849" t="s">
        <v>7662</v>
      </c>
      <c r="AD156" s="97" t="s">
        <v>470</v>
      </c>
      <c r="AE156" s="97"/>
      <c r="AF156" s="97" t="s">
        <v>470</v>
      </c>
      <c r="AG156" s="97"/>
      <c r="AH156" s="97" t="s">
        <v>7008</v>
      </c>
      <c r="AI156" s="97" t="s">
        <v>6869</v>
      </c>
      <c r="AJ156" s="97" t="s">
        <v>2328</v>
      </c>
      <c r="AK156" s="97" t="s">
        <v>6540</v>
      </c>
      <c r="AL156" s="580">
        <f t="shared" si="12"/>
        <v>4.2430000000000003</v>
      </c>
      <c r="AM156" s="580">
        <v>4.2430000000000003</v>
      </c>
      <c r="AN156" s="580"/>
      <c r="AO156" s="580"/>
      <c r="AP156" s="504"/>
      <c r="AQ156" s="504">
        <v>4.2430000000000003</v>
      </c>
      <c r="AR156" s="507">
        <v>1</v>
      </c>
      <c r="AS156" s="507">
        <v>2E-3</v>
      </c>
      <c r="AT156" s="504">
        <v>0</v>
      </c>
      <c r="AU156" s="507"/>
      <c r="AV156" s="504">
        <v>0</v>
      </c>
      <c r="AW156" s="507"/>
      <c r="AX156" s="507">
        <v>0</v>
      </c>
      <c r="AY156" s="507"/>
      <c r="AZ156" s="507"/>
      <c r="BA156" s="507"/>
      <c r="BB156" s="507"/>
      <c r="BC156" s="507"/>
      <c r="BD156" s="507"/>
      <c r="BE156" s="507" t="s">
        <v>479</v>
      </c>
      <c r="BF156" s="507" t="s">
        <v>6318</v>
      </c>
      <c r="BG156" s="507"/>
      <c r="BH156" s="852"/>
      <c r="BI156" s="504">
        <v>5</v>
      </c>
      <c r="BJ156" s="507">
        <v>3.0000000000000001E-3</v>
      </c>
      <c r="BK156" s="96">
        <v>1</v>
      </c>
      <c r="BL156" s="96">
        <v>1</v>
      </c>
      <c r="BM156" s="96">
        <v>1</v>
      </c>
      <c r="BN156" s="96">
        <v>0</v>
      </c>
      <c r="BO156" s="96">
        <v>0</v>
      </c>
      <c r="BP156" s="96">
        <v>0</v>
      </c>
      <c r="BQ156" s="96">
        <v>0</v>
      </c>
      <c r="BR156" s="96">
        <v>0</v>
      </c>
      <c r="BS156" s="96">
        <v>0</v>
      </c>
      <c r="BT156" s="96">
        <v>0</v>
      </c>
      <c r="BU156" s="96">
        <v>0</v>
      </c>
      <c r="BV156" s="96">
        <v>1</v>
      </c>
      <c r="BW156" s="96">
        <v>0</v>
      </c>
      <c r="BX156" s="96">
        <v>0</v>
      </c>
      <c r="BY156" s="96">
        <v>0</v>
      </c>
      <c r="BZ156" s="96">
        <v>0</v>
      </c>
      <c r="CA156" s="96">
        <v>0</v>
      </c>
      <c r="CB156" s="96">
        <v>0</v>
      </c>
      <c r="CC156" s="96">
        <v>0</v>
      </c>
      <c r="CD156" s="96">
        <v>0</v>
      </c>
      <c r="CE156" s="96">
        <v>0</v>
      </c>
      <c r="CF156" s="96">
        <v>0</v>
      </c>
      <c r="CG156" s="96">
        <v>0</v>
      </c>
      <c r="CH156" s="96">
        <v>0</v>
      </c>
      <c r="CI156" s="96">
        <v>0</v>
      </c>
      <c r="CJ156" s="96">
        <v>0</v>
      </c>
      <c r="CK156" s="96"/>
      <c r="CL156" s="854">
        <f>SUM(BN156:CK156)</f>
        <v>1</v>
      </c>
      <c r="CM156" s="824">
        <f t="shared" si="13"/>
        <v>0</v>
      </c>
      <c r="CN156" s="504">
        <v>1.698</v>
      </c>
      <c r="CO156" s="97" t="s">
        <v>6131</v>
      </c>
      <c r="CP156" s="97"/>
      <c r="CQ156" s="97">
        <v>100</v>
      </c>
      <c r="CR156" s="504">
        <v>128.762</v>
      </c>
      <c r="CS156" s="850" t="s">
        <v>5904</v>
      </c>
      <c r="CT156" s="97" t="s">
        <v>470</v>
      </c>
      <c r="CU156" s="97"/>
      <c r="CV156" s="97"/>
      <c r="CW156" s="97"/>
      <c r="CX156" s="96"/>
      <c r="CY156" s="96"/>
      <c r="CZ156" s="96"/>
      <c r="DA156" s="97" t="s">
        <v>479</v>
      </c>
      <c r="DB156" s="97" t="s">
        <v>5714</v>
      </c>
      <c r="DC156" s="96">
        <v>1148</v>
      </c>
      <c r="DD156" s="97" t="s">
        <v>479</v>
      </c>
      <c r="DE156" s="97" t="s">
        <v>5231</v>
      </c>
      <c r="DF156" s="96">
        <v>10</v>
      </c>
      <c r="DG156" s="96" t="s">
        <v>470</v>
      </c>
      <c r="DH156" s="96"/>
      <c r="DI156" s="96"/>
      <c r="DJ156" s="96" t="s">
        <v>470</v>
      </c>
      <c r="DK156" s="96"/>
      <c r="DL156" s="96"/>
      <c r="DM156" s="97" t="s">
        <v>470</v>
      </c>
      <c r="DN156" s="97"/>
      <c r="DO156" s="96"/>
      <c r="DP156" s="97" t="s">
        <v>470</v>
      </c>
      <c r="DQ156" s="97"/>
      <c r="DR156" s="96"/>
      <c r="DS156" s="97" t="s">
        <v>470</v>
      </c>
      <c r="DT156" s="97"/>
      <c r="DU156" s="96"/>
      <c r="DV156" s="97" t="s">
        <v>470</v>
      </c>
      <c r="DW156" s="97"/>
      <c r="DX156" s="96"/>
      <c r="DY156" s="97" t="s">
        <v>470</v>
      </c>
      <c r="DZ156" s="97"/>
      <c r="EA156" s="96"/>
      <c r="EB156" s="97" t="s">
        <v>479</v>
      </c>
      <c r="EC156" s="97" t="s">
        <v>5416</v>
      </c>
      <c r="ED156" s="96">
        <v>10</v>
      </c>
      <c r="EE156" s="96" t="s">
        <v>470</v>
      </c>
      <c r="EF156" s="96"/>
      <c r="EG156" s="96"/>
      <c r="EH156" s="97" t="s">
        <v>470</v>
      </c>
      <c r="EI156" s="97"/>
      <c r="EJ156" s="96"/>
      <c r="EK156" s="97" t="s">
        <v>470</v>
      </c>
      <c r="EL156" s="97"/>
      <c r="EM156" s="96"/>
      <c r="EN156" s="97" t="s">
        <v>470</v>
      </c>
      <c r="EO156" s="97"/>
      <c r="EP156" s="96"/>
      <c r="EQ156" s="96" t="s">
        <v>479</v>
      </c>
      <c r="ER156" s="96" t="s">
        <v>5306</v>
      </c>
      <c r="ES156" s="96">
        <v>6</v>
      </c>
      <c r="ET156" s="97" t="s">
        <v>470</v>
      </c>
      <c r="EU156" s="97"/>
      <c r="EV156" s="96"/>
      <c r="EW156" s="96"/>
      <c r="EX156" s="96"/>
      <c r="EY156" s="96"/>
      <c r="EZ156" s="97" t="s">
        <v>470</v>
      </c>
      <c r="FA156" s="97" t="s">
        <v>470</v>
      </c>
      <c r="FB156" s="849" t="s">
        <v>5146</v>
      </c>
      <c r="FC156" s="97"/>
      <c r="FD156" s="97" t="s">
        <v>470</v>
      </c>
      <c r="FE156" s="97" t="s">
        <v>470</v>
      </c>
      <c r="FF156" s="97" t="s">
        <v>470</v>
      </c>
      <c r="FG156" s="97" t="s">
        <v>4649</v>
      </c>
      <c r="FH156" s="97">
        <v>1</v>
      </c>
      <c r="FI156" s="97">
        <v>24</v>
      </c>
      <c r="FJ156" s="97" t="s">
        <v>4489</v>
      </c>
      <c r="FK156" s="97" t="s">
        <v>4271</v>
      </c>
      <c r="FL156" s="97" t="s">
        <v>4082</v>
      </c>
      <c r="FM156" s="97" t="s">
        <v>3890</v>
      </c>
      <c r="FN156" s="97" t="s">
        <v>3816</v>
      </c>
      <c r="FO156" s="849" t="s">
        <v>3741</v>
      </c>
      <c r="FP156" s="96"/>
      <c r="FQ156" s="96"/>
      <c r="FR156" s="97"/>
      <c r="FS156" s="97"/>
      <c r="FT156" s="96"/>
      <c r="FU156" s="96"/>
      <c r="FV156" s="96"/>
      <c r="FW156" s="96"/>
      <c r="FX156" s="97"/>
      <c r="FY156" s="97"/>
      <c r="FZ156" s="842"/>
      <c r="GA156" s="97"/>
      <c r="GB156" s="97"/>
      <c r="GC156" s="97"/>
      <c r="GD156" s="97"/>
      <c r="GE156" s="97"/>
      <c r="GF156" s="97"/>
      <c r="GG156" s="97"/>
      <c r="GH156" s="97"/>
      <c r="GI156" s="97"/>
      <c r="GJ156" s="97"/>
      <c r="GK156" s="97"/>
      <c r="GL156" s="97"/>
      <c r="GM156" s="842"/>
    </row>
    <row r="157" spans="5:195" ht="36" customHeight="1" x14ac:dyDescent="0.2">
      <c r="E157" s="94" t="s">
        <v>9305</v>
      </c>
      <c r="F157" s="94" t="s">
        <v>9121</v>
      </c>
      <c r="G157" s="97" t="s">
        <v>326</v>
      </c>
      <c r="H157" s="97" t="s">
        <v>407</v>
      </c>
      <c r="I157" s="97" t="s">
        <v>8791</v>
      </c>
      <c r="J157" s="97" t="s">
        <v>8562</v>
      </c>
      <c r="K157" s="97" t="s">
        <v>470</v>
      </c>
      <c r="L157" s="502">
        <v>2022</v>
      </c>
      <c r="M157" s="841">
        <v>44718</v>
      </c>
      <c r="N157" s="841">
        <v>44767</v>
      </c>
      <c r="O157" s="841"/>
      <c r="P157" s="841"/>
      <c r="Q157" s="841"/>
      <c r="R157" s="841"/>
      <c r="S157" s="841"/>
      <c r="T157" s="841"/>
      <c r="U157" s="841"/>
      <c r="V157" s="841"/>
      <c r="W157" s="841"/>
      <c r="X157" s="841"/>
      <c r="Y157" s="841"/>
      <c r="Z157" s="97" t="s">
        <v>8138</v>
      </c>
      <c r="AA157" s="842" t="s">
        <v>7983</v>
      </c>
      <c r="AB157" s="97" t="s">
        <v>7838</v>
      </c>
      <c r="AC157" s="842" t="s">
        <v>7661</v>
      </c>
      <c r="AD157" s="97" t="s">
        <v>7509</v>
      </c>
      <c r="AE157" s="842" t="s">
        <v>7311</v>
      </c>
      <c r="AF157" s="97"/>
      <c r="AG157" s="97"/>
      <c r="AH157" s="97" t="s">
        <v>6539</v>
      </c>
      <c r="AI157" s="97" t="s">
        <v>6539</v>
      </c>
      <c r="AJ157" s="97" t="s">
        <v>6661</v>
      </c>
      <c r="AK157" s="97" t="s">
        <v>6539</v>
      </c>
      <c r="AL157" s="580">
        <f t="shared" si="12"/>
        <v>0.89200000000000002</v>
      </c>
      <c r="AM157" s="504">
        <v>0.89200000000000002</v>
      </c>
      <c r="AN157" s="516"/>
      <c r="AO157" s="97"/>
      <c r="AP157" s="97"/>
      <c r="AQ157" s="504">
        <v>0.85699999999999998</v>
      </c>
      <c r="AR157" s="507">
        <v>1</v>
      </c>
      <c r="AS157" s="507">
        <v>1.84E-2</v>
      </c>
      <c r="AT157" s="516">
        <v>3.5000000000000003E-2</v>
      </c>
      <c r="AU157" s="507">
        <v>3.9E-2</v>
      </c>
      <c r="AV157" s="516">
        <v>0</v>
      </c>
      <c r="AW157" s="507">
        <v>0</v>
      </c>
      <c r="AX157" s="516"/>
      <c r="AY157" s="507"/>
      <c r="AZ157" s="516"/>
      <c r="BA157" s="507"/>
      <c r="BB157" s="507"/>
      <c r="BC157" s="507"/>
      <c r="BD157" s="507"/>
      <c r="BE157" s="507" t="s">
        <v>479</v>
      </c>
      <c r="BF157" s="507" t="s">
        <v>6317</v>
      </c>
      <c r="BG157" s="507" t="s">
        <v>5145</v>
      </c>
      <c r="BH157" s="852" t="s">
        <v>489</v>
      </c>
      <c r="BI157" s="504">
        <v>1.6</v>
      </c>
      <c r="BJ157" s="507">
        <v>2.5000000000000001E-2</v>
      </c>
      <c r="BK157" s="96">
        <v>2</v>
      </c>
      <c r="BL157" s="96">
        <v>2</v>
      </c>
      <c r="BM157" s="96">
        <v>1</v>
      </c>
      <c r="BN157" s="96">
        <v>0</v>
      </c>
      <c r="BO157" s="96">
        <v>1</v>
      </c>
      <c r="BP157" s="96">
        <v>0</v>
      </c>
      <c r="BQ157" s="96">
        <v>0</v>
      </c>
      <c r="BR157" s="96">
        <v>0</v>
      </c>
      <c r="BS157" s="96">
        <v>0</v>
      </c>
      <c r="BT157" s="96">
        <v>0</v>
      </c>
      <c r="BU157" s="96">
        <v>0</v>
      </c>
      <c r="BV157" s="96">
        <v>0</v>
      </c>
      <c r="BW157" s="96">
        <v>0</v>
      </c>
      <c r="BX157" s="96">
        <v>0</v>
      </c>
      <c r="BY157" s="96">
        <v>0</v>
      </c>
      <c r="BZ157" s="96">
        <v>0</v>
      </c>
      <c r="CA157" s="96">
        <v>0</v>
      </c>
      <c r="CB157" s="96">
        <v>0</v>
      </c>
      <c r="CC157" s="96">
        <v>0</v>
      </c>
      <c r="CD157" s="96">
        <v>0</v>
      </c>
      <c r="CE157" s="96">
        <v>0</v>
      </c>
      <c r="CF157" s="96">
        <v>0</v>
      </c>
      <c r="CG157" s="96">
        <v>0</v>
      </c>
      <c r="CH157" s="96">
        <v>0</v>
      </c>
      <c r="CI157" s="96">
        <v>0</v>
      </c>
      <c r="CJ157" s="96">
        <v>0</v>
      </c>
      <c r="CK157" s="96">
        <v>0</v>
      </c>
      <c r="CL157" s="815">
        <f t="shared" si="14"/>
        <v>1</v>
      </c>
      <c r="CM157" s="824">
        <f t="shared" si="13"/>
        <v>0</v>
      </c>
      <c r="CN157" s="504">
        <v>5.6</v>
      </c>
      <c r="CO157" s="97"/>
      <c r="CP157" s="97"/>
      <c r="CQ157" s="97" t="s">
        <v>5960</v>
      </c>
      <c r="CR157" s="504">
        <v>5.6</v>
      </c>
      <c r="CS157" s="507" t="s">
        <v>5903</v>
      </c>
      <c r="CT157" s="97" t="s">
        <v>470</v>
      </c>
      <c r="CU157" s="97"/>
      <c r="CV157" s="97"/>
      <c r="CW157" s="97"/>
      <c r="CX157" s="96"/>
      <c r="CY157" s="96"/>
      <c r="CZ157" s="96"/>
      <c r="DA157" s="97" t="s">
        <v>479</v>
      </c>
      <c r="DB157" s="97" t="s">
        <v>1877</v>
      </c>
      <c r="DC157" s="96">
        <v>2689</v>
      </c>
      <c r="DD157" s="97" t="s">
        <v>479</v>
      </c>
      <c r="DE157" s="97" t="s">
        <v>5643</v>
      </c>
      <c r="DF157" s="96">
        <v>17</v>
      </c>
      <c r="DG157" s="96" t="s">
        <v>470</v>
      </c>
      <c r="DH157" s="96"/>
      <c r="DI157" s="96"/>
      <c r="DJ157" s="96" t="s">
        <v>470</v>
      </c>
      <c r="DK157" s="96"/>
      <c r="DL157" s="96"/>
      <c r="DM157" s="97" t="s">
        <v>470</v>
      </c>
      <c r="DN157" s="97"/>
      <c r="DO157" s="96"/>
      <c r="DP157" s="97" t="s">
        <v>470</v>
      </c>
      <c r="DQ157" s="97"/>
      <c r="DR157" s="96"/>
      <c r="DS157" s="97" t="s">
        <v>470</v>
      </c>
      <c r="DT157" s="97"/>
      <c r="DU157" s="96"/>
      <c r="DV157" s="97"/>
      <c r="DW157" s="97"/>
      <c r="DX157" s="96"/>
      <c r="DY157" s="97" t="s">
        <v>470</v>
      </c>
      <c r="DZ157" s="97"/>
      <c r="EA157" s="96"/>
      <c r="EB157" s="97" t="s">
        <v>470</v>
      </c>
      <c r="EC157" s="97"/>
      <c r="ED157" s="96"/>
      <c r="EE157" s="96" t="s">
        <v>470</v>
      </c>
      <c r="EF157" s="96"/>
      <c r="EG157" s="96"/>
      <c r="EH157" s="97" t="s">
        <v>470</v>
      </c>
      <c r="EI157" s="97"/>
      <c r="EJ157" s="96"/>
      <c r="EK157" s="97" t="s">
        <v>470</v>
      </c>
      <c r="EL157" s="97"/>
      <c r="EM157" s="96"/>
      <c r="EN157" s="97" t="s">
        <v>470</v>
      </c>
      <c r="EO157" s="97"/>
      <c r="EP157" s="96"/>
      <c r="EQ157" s="97" t="s">
        <v>479</v>
      </c>
      <c r="ER157" s="97" t="s">
        <v>5305</v>
      </c>
      <c r="ES157" s="96">
        <v>6</v>
      </c>
      <c r="ET157" s="97"/>
      <c r="EU157" s="97"/>
      <c r="EV157" s="96"/>
      <c r="EW157" s="96"/>
      <c r="EX157" s="96"/>
      <c r="EY157" s="96"/>
      <c r="EZ157" s="97" t="s">
        <v>470</v>
      </c>
      <c r="FA157" s="97"/>
      <c r="FB157" s="97" t="s">
        <v>5145</v>
      </c>
      <c r="FC157" s="97"/>
      <c r="FD157" s="97"/>
      <c r="FE157" s="97"/>
      <c r="FF157" s="97"/>
      <c r="FG157" s="97"/>
      <c r="FH157" s="97"/>
      <c r="FI157" s="97"/>
      <c r="FJ157" s="97" t="s">
        <v>3889</v>
      </c>
      <c r="FK157" s="97" t="s">
        <v>3815</v>
      </c>
      <c r="FL157" s="842" t="s">
        <v>3740</v>
      </c>
      <c r="FM157" s="97" t="s">
        <v>3889</v>
      </c>
      <c r="FN157" s="97" t="s">
        <v>3815</v>
      </c>
      <c r="FO157" s="842" t="s">
        <v>3740</v>
      </c>
    </row>
    <row r="158" spans="5:195" ht="28" customHeight="1" x14ac:dyDescent="0.2">
      <c r="E158" s="94" t="s">
        <v>9305</v>
      </c>
      <c r="F158" s="94" t="s">
        <v>9121</v>
      </c>
      <c r="G158" s="97" t="s">
        <v>326</v>
      </c>
      <c r="H158" s="97" t="s">
        <v>407</v>
      </c>
      <c r="I158" s="97" t="s">
        <v>8790</v>
      </c>
      <c r="J158" s="97" t="s">
        <v>8561</v>
      </c>
      <c r="K158" s="97"/>
      <c r="L158" s="502">
        <v>2022</v>
      </c>
      <c r="M158" s="841">
        <v>44637</v>
      </c>
      <c r="N158" s="841">
        <v>44656</v>
      </c>
      <c r="O158" s="841"/>
      <c r="P158" s="841"/>
      <c r="Q158" s="841"/>
      <c r="R158" s="841"/>
      <c r="S158" s="841"/>
      <c r="T158" s="841"/>
      <c r="U158" s="841"/>
      <c r="V158" s="841"/>
      <c r="W158" s="841"/>
      <c r="X158" s="841"/>
      <c r="Y158" s="841"/>
      <c r="Z158" s="97" t="s">
        <v>8137</v>
      </c>
      <c r="AA158" s="506" t="s">
        <v>5001</v>
      </c>
      <c r="AB158" s="97" t="s">
        <v>7837</v>
      </c>
      <c r="AC158" s="506" t="s">
        <v>5001</v>
      </c>
      <c r="AD158" s="97" t="s">
        <v>7508</v>
      </c>
      <c r="AE158" s="506" t="s">
        <v>5001</v>
      </c>
      <c r="AF158" s="97"/>
      <c r="AG158" s="97"/>
      <c r="AH158" s="97" t="s">
        <v>6538</v>
      </c>
      <c r="AI158" s="97" t="s">
        <v>6538</v>
      </c>
      <c r="AJ158" s="97"/>
      <c r="AK158" s="97" t="s">
        <v>6538</v>
      </c>
      <c r="AL158" s="580">
        <f t="shared" si="12"/>
        <v>0.84899999999999998</v>
      </c>
      <c r="AM158" s="504">
        <v>0.84899999999999998</v>
      </c>
      <c r="AN158" s="516"/>
      <c r="AO158" s="97"/>
      <c r="AP158" s="97"/>
      <c r="AQ158" s="504">
        <v>0.84899999999999998</v>
      </c>
      <c r="AR158" s="507">
        <v>1</v>
      </c>
      <c r="AS158" s="507">
        <v>2.1299999999999999E-2</v>
      </c>
      <c r="AT158" s="516">
        <v>0</v>
      </c>
      <c r="AU158" s="507">
        <v>0</v>
      </c>
      <c r="AV158" s="516">
        <v>0</v>
      </c>
      <c r="AW158" s="507">
        <v>0</v>
      </c>
      <c r="AX158" s="516"/>
      <c r="AY158" s="507">
        <v>0</v>
      </c>
      <c r="AZ158" s="516"/>
      <c r="BA158" s="507"/>
      <c r="BB158" s="507"/>
      <c r="BC158" s="507"/>
      <c r="BD158" s="507"/>
      <c r="BE158" s="507" t="s">
        <v>470</v>
      </c>
      <c r="BF158" s="507"/>
      <c r="BG158" s="507"/>
      <c r="BH158" s="852"/>
      <c r="BI158" s="504">
        <v>1</v>
      </c>
      <c r="BJ158" s="507">
        <v>1.4999999999999999E-2</v>
      </c>
      <c r="BK158" s="96">
        <v>1</v>
      </c>
      <c r="BL158" s="96">
        <v>1</v>
      </c>
      <c r="BM158" s="96">
        <v>1</v>
      </c>
      <c r="BN158" s="96">
        <v>0</v>
      </c>
      <c r="BO158" s="96">
        <v>0</v>
      </c>
      <c r="BP158" s="96">
        <v>0</v>
      </c>
      <c r="BQ158" s="96">
        <v>0</v>
      </c>
      <c r="BR158" s="96">
        <v>0</v>
      </c>
      <c r="BS158" s="96">
        <v>0</v>
      </c>
      <c r="BT158" s="96">
        <v>0</v>
      </c>
      <c r="BU158" s="96">
        <v>0</v>
      </c>
      <c r="BV158" s="96">
        <v>0</v>
      </c>
      <c r="BW158" s="96">
        <v>0</v>
      </c>
      <c r="BX158" s="96">
        <v>0</v>
      </c>
      <c r="BY158" s="96">
        <v>1</v>
      </c>
      <c r="BZ158" s="96">
        <v>0</v>
      </c>
      <c r="CA158" s="96">
        <v>0</v>
      </c>
      <c r="CB158" s="96">
        <v>0</v>
      </c>
      <c r="CC158" s="96">
        <v>0</v>
      </c>
      <c r="CD158" s="96">
        <v>0</v>
      </c>
      <c r="CE158" s="96">
        <v>0</v>
      </c>
      <c r="CF158" s="96">
        <v>0</v>
      </c>
      <c r="CG158" s="96">
        <v>0</v>
      </c>
      <c r="CH158" s="96">
        <v>0</v>
      </c>
      <c r="CI158" s="96">
        <v>0</v>
      </c>
      <c r="CJ158" s="96">
        <v>0</v>
      </c>
      <c r="CK158" s="96">
        <v>0</v>
      </c>
      <c r="CL158" s="815">
        <f t="shared" si="14"/>
        <v>1</v>
      </c>
      <c r="CM158" s="824">
        <f t="shared" si="13"/>
        <v>0</v>
      </c>
      <c r="CN158" s="504" t="s">
        <v>6183</v>
      </c>
      <c r="CO158" s="97"/>
      <c r="CP158" s="97"/>
      <c r="CQ158" s="97">
        <v>99</v>
      </c>
      <c r="CR158" s="504" t="s">
        <v>5947</v>
      </c>
      <c r="CS158" s="507"/>
      <c r="CT158" s="97" t="s">
        <v>470</v>
      </c>
      <c r="CU158" s="97"/>
      <c r="CV158" s="97"/>
      <c r="CW158" s="97"/>
      <c r="CX158" s="96"/>
      <c r="CY158" s="96"/>
      <c r="CZ158" s="96"/>
      <c r="DA158" s="97" t="s">
        <v>479</v>
      </c>
      <c r="DB158" s="97" t="s">
        <v>5713</v>
      </c>
      <c r="DC158" s="96">
        <v>870</v>
      </c>
      <c r="DD158" s="97" t="s">
        <v>479</v>
      </c>
      <c r="DE158" s="97" t="s">
        <v>5565</v>
      </c>
      <c r="DF158" s="96">
        <v>10</v>
      </c>
      <c r="DG158" s="96" t="s">
        <v>479</v>
      </c>
      <c r="DH158" s="97" t="s">
        <v>5565</v>
      </c>
      <c r="DI158" s="96">
        <v>10</v>
      </c>
      <c r="DJ158" s="96" t="s">
        <v>470</v>
      </c>
      <c r="DK158" s="96"/>
      <c r="DL158" s="96"/>
      <c r="DM158" s="97" t="s">
        <v>470</v>
      </c>
      <c r="DN158" s="97"/>
      <c r="DO158" s="96"/>
      <c r="DP158" s="97" t="s">
        <v>470</v>
      </c>
      <c r="DQ158" s="97"/>
      <c r="DR158" s="96"/>
      <c r="DS158" s="97" t="s">
        <v>470</v>
      </c>
      <c r="DT158" s="97"/>
      <c r="DU158" s="96"/>
      <c r="DV158" s="97"/>
      <c r="DW158" s="97"/>
      <c r="DX158" s="96"/>
      <c r="DY158" s="97" t="s">
        <v>470</v>
      </c>
      <c r="DZ158" s="97"/>
      <c r="EA158" s="96"/>
      <c r="EB158" s="97" t="s">
        <v>470</v>
      </c>
      <c r="EC158" s="97"/>
      <c r="ED158" s="96"/>
      <c r="EE158" s="96" t="s">
        <v>470</v>
      </c>
      <c r="EF158" s="96"/>
      <c r="EG158" s="96"/>
      <c r="EH158" s="97" t="s">
        <v>470</v>
      </c>
      <c r="EI158" s="97"/>
      <c r="EJ158" s="96"/>
      <c r="EK158" s="97" t="s">
        <v>470</v>
      </c>
      <c r="EL158" s="97"/>
      <c r="EM158" s="96"/>
      <c r="EN158" s="97" t="s">
        <v>470</v>
      </c>
      <c r="EO158" s="97"/>
      <c r="EP158" s="96"/>
      <c r="EQ158" s="96" t="s">
        <v>479</v>
      </c>
      <c r="ER158" s="96" t="s">
        <v>5304</v>
      </c>
      <c r="ES158" s="96">
        <v>9</v>
      </c>
      <c r="ET158" s="97"/>
      <c r="EU158" s="97"/>
      <c r="EV158" s="96"/>
      <c r="EW158" s="96"/>
      <c r="EX158" s="96"/>
      <c r="EY158" s="96"/>
      <c r="EZ158" s="97" t="s">
        <v>470</v>
      </c>
      <c r="FA158" s="97"/>
      <c r="FB158" s="506" t="s">
        <v>5001</v>
      </c>
      <c r="FC158" s="506" t="s">
        <v>5001</v>
      </c>
      <c r="FD158" s="97"/>
      <c r="FE158" s="97"/>
      <c r="FF158" s="97"/>
      <c r="FG158" s="97"/>
      <c r="FH158" s="97"/>
      <c r="FI158" s="97"/>
      <c r="FJ158" s="97" t="s">
        <v>4488</v>
      </c>
      <c r="FK158" s="97">
        <v>89181827608</v>
      </c>
      <c r="FL158" s="506" t="s">
        <v>3739</v>
      </c>
      <c r="FM158" s="97" t="s">
        <v>3888</v>
      </c>
      <c r="FN158" s="97">
        <v>89184684884</v>
      </c>
      <c r="FO158" s="506" t="s">
        <v>3739</v>
      </c>
    </row>
    <row r="159" spans="5:195" ht="36" customHeight="1" x14ac:dyDescent="0.2">
      <c r="E159" s="94" t="s">
        <v>9305</v>
      </c>
      <c r="F159" s="94" t="s">
        <v>9121</v>
      </c>
      <c r="G159" s="97" t="s">
        <v>326</v>
      </c>
      <c r="H159" s="97" t="s">
        <v>407</v>
      </c>
      <c r="I159" s="97" t="s">
        <v>8789</v>
      </c>
      <c r="J159" s="97" t="s">
        <v>8560</v>
      </c>
      <c r="K159" s="97" t="s">
        <v>656</v>
      </c>
      <c r="L159" s="502">
        <v>2022</v>
      </c>
      <c r="M159" s="841">
        <v>44590</v>
      </c>
      <c r="N159" s="841">
        <v>44921</v>
      </c>
      <c r="O159" s="841"/>
      <c r="P159" s="841"/>
      <c r="Q159" s="841"/>
      <c r="R159" s="841"/>
      <c r="S159" s="841"/>
      <c r="T159" s="841"/>
      <c r="U159" s="841"/>
      <c r="V159" s="841"/>
      <c r="W159" s="841"/>
      <c r="X159" s="841"/>
      <c r="Y159" s="841"/>
      <c r="Z159" s="97" t="s">
        <v>8136</v>
      </c>
      <c r="AA159" s="943" t="s">
        <v>5144</v>
      </c>
      <c r="AB159" s="97" t="s">
        <v>7836</v>
      </c>
      <c r="AC159" s="943" t="s">
        <v>5144</v>
      </c>
      <c r="AD159" s="97" t="s">
        <v>7507</v>
      </c>
      <c r="AE159" s="943" t="s">
        <v>7310</v>
      </c>
      <c r="AF159" s="97" t="s">
        <v>656</v>
      </c>
      <c r="AG159" s="97" t="s">
        <v>656</v>
      </c>
      <c r="AH159" s="97" t="s">
        <v>6537</v>
      </c>
      <c r="AI159" s="97" t="s">
        <v>6537</v>
      </c>
      <c r="AJ159" s="97"/>
      <c r="AK159" s="97" t="s">
        <v>6537</v>
      </c>
      <c r="AL159" s="580">
        <f t="shared" si="12"/>
        <v>3.2199999999999998</v>
      </c>
      <c r="AM159" s="504">
        <v>3.2199999999999998</v>
      </c>
      <c r="AN159" s="516"/>
      <c r="AO159" s="97"/>
      <c r="AP159" s="97"/>
      <c r="AQ159" s="504">
        <v>3.2149999999999999</v>
      </c>
      <c r="AR159" s="507">
        <v>0.99839999999999995</v>
      </c>
      <c r="AS159" s="507">
        <v>7.0099999999999996E-2</v>
      </c>
      <c r="AT159" s="516">
        <v>0</v>
      </c>
      <c r="AU159" s="507">
        <v>0</v>
      </c>
      <c r="AV159" s="516">
        <v>0</v>
      </c>
      <c r="AW159" s="507">
        <v>0</v>
      </c>
      <c r="AX159" s="516">
        <v>5.0000000000000001E-3</v>
      </c>
      <c r="AY159" s="507">
        <v>1.6000000000000001E-3</v>
      </c>
      <c r="AZ159" s="516"/>
      <c r="BA159" s="507"/>
      <c r="BB159" s="507"/>
      <c r="BC159" s="507"/>
      <c r="BD159" s="507"/>
      <c r="BE159" s="507" t="s">
        <v>479</v>
      </c>
      <c r="BF159" s="507" t="s">
        <v>656</v>
      </c>
      <c r="BG159" s="507" t="s">
        <v>656</v>
      </c>
      <c r="BH159" s="852" t="s">
        <v>656</v>
      </c>
      <c r="BI159" s="504">
        <v>0.4</v>
      </c>
      <c r="BJ159" s="507">
        <v>6.6E-3</v>
      </c>
      <c r="BK159" s="96">
        <v>2</v>
      </c>
      <c r="BL159" s="96">
        <v>2</v>
      </c>
      <c r="BM159" s="96">
        <v>2</v>
      </c>
      <c r="BN159" s="96">
        <v>0</v>
      </c>
      <c r="BO159" s="96">
        <v>0</v>
      </c>
      <c r="BP159" s="96">
        <v>1</v>
      </c>
      <c r="BQ159" s="96">
        <v>0</v>
      </c>
      <c r="BR159" s="96">
        <v>0</v>
      </c>
      <c r="BS159" s="96">
        <v>0</v>
      </c>
      <c r="BT159" s="96">
        <v>0</v>
      </c>
      <c r="BU159" s="96">
        <v>0</v>
      </c>
      <c r="BV159" s="96">
        <v>0</v>
      </c>
      <c r="BW159" s="96">
        <v>0</v>
      </c>
      <c r="BX159" s="96">
        <v>0</v>
      </c>
      <c r="BY159" s="96">
        <v>1</v>
      </c>
      <c r="BZ159" s="96">
        <v>0</v>
      </c>
      <c r="CA159" s="96">
        <v>0</v>
      </c>
      <c r="CB159" s="96">
        <v>0</v>
      </c>
      <c r="CC159" s="96">
        <v>0</v>
      </c>
      <c r="CD159" s="96">
        <v>0</v>
      </c>
      <c r="CE159" s="96">
        <v>0</v>
      </c>
      <c r="CF159" s="96">
        <v>0</v>
      </c>
      <c r="CG159" s="96">
        <v>0</v>
      </c>
      <c r="CH159" s="96">
        <v>0</v>
      </c>
      <c r="CI159" s="96">
        <v>0</v>
      </c>
      <c r="CJ159" s="96">
        <v>0</v>
      </c>
      <c r="CK159" s="96">
        <v>0</v>
      </c>
      <c r="CL159" s="815">
        <f t="shared" si="14"/>
        <v>2</v>
      </c>
      <c r="CM159" s="824">
        <f t="shared" si="13"/>
        <v>0</v>
      </c>
      <c r="CN159" s="504">
        <v>7.2309999999999999</v>
      </c>
      <c r="CO159" s="97" t="s">
        <v>6130</v>
      </c>
      <c r="CP159" s="97"/>
      <c r="CQ159" s="97">
        <v>100</v>
      </c>
      <c r="CR159" s="504">
        <v>7.2309999999999999</v>
      </c>
      <c r="CS159" s="507"/>
      <c r="CT159" s="97" t="s">
        <v>470</v>
      </c>
      <c r="CU159" s="97" t="s">
        <v>656</v>
      </c>
      <c r="CV159" s="97" t="s">
        <v>656</v>
      </c>
      <c r="CW159" s="97" t="s">
        <v>656</v>
      </c>
      <c r="CX159" s="96" t="s">
        <v>656</v>
      </c>
      <c r="CY159" s="96" t="s">
        <v>656</v>
      </c>
      <c r="CZ159" s="96" t="s">
        <v>656</v>
      </c>
      <c r="DA159" s="97" t="s">
        <v>479</v>
      </c>
      <c r="DB159" s="97" t="s">
        <v>5712</v>
      </c>
      <c r="DC159" s="96">
        <v>1663</v>
      </c>
      <c r="DD159" s="97" t="s">
        <v>470</v>
      </c>
      <c r="DE159" s="97"/>
      <c r="DF159" s="96"/>
      <c r="DG159" s="96" t="s">
        <v>479</v>
      </c>
      <c r="DH159" s="96" t="s">
        <v>920</v>
      </c>
      <c r="DI159" s="96">
        <v>10</v>
      </c>
      <c r="DJ159" s="96" t="s">
        <v>470</v>
      </c>
      <c r="DK159" s="96"/>
      <c r="DL159" s="96"/>
      <c r="DM159" s="97" t="s">
        <v>470</v>
      </c>
      <c r="DN159" s="97"/>
      <c r="DO159" s="96"/>
      <c r="DP159" s="97" t="s">
        <v>470</v>
      </c>
      <c r="DQ159" s="97"/>
      <c r="DR159" s="96"/>
      <c r="DS159" s="97" t="s">
        <v>470</v>
      </c>
      <c r="DT159" s="97"/>
      <c r="DU159" s="96"/>
      <c r="DV159" s="97" t="s">
        <v>656</v>
      </c>
      <c r="DW159" s="97" t="s">
        <v>656</v>
      </c>
      <c r="DX159" s="96" t="s">
        <v>656</v>
      </c>
      <c r="DY159" s="97" t="s">
        <v>470</v>
      </c>
      <c r="DZ159" s="97"/>
      <c r="EA159" s="96"/>
      <c r="EB159" s="97" t="s">
        <v>470</v>
      </c>
      <c r="EC159" s="97"/>
      <c r="ED159" s="96"/>
      <c r="EE159" s="96" t="s">
        <v>470</v>
      </c>
      <c r="EF159" s="96"/>
      <c r="EG159" s="96"/>
      <c r="EH159" s="97" t="s">
        <v>470</v>
      </c>
      <c r="EI159" s="97"/>
      <c r="EJ159" s="96"/>
      <c r="EK159" s="97" t="s">
        <v>470</v>
      </c>
      <c r="EL159" s="97"/>
      <c r="EM159" s="96"/>
      <c r="EN159" s="97" t="s">
        <v>470</v>
      </c>
      <c r="EO159" s="97"/>
      <c r="EP159" s="96"/>
      <c r="EQ159" s="97" t="s">
        <v>479</v>
      </c>
      <c r="ER159" s="97" t="s">
        <v>5303</v>
      </c>
      <c r="ES159" s="96">
        <v>8</v>
      </c>
      <c r="ET159" s="97" t="s">
        <v>656</v>
      </c>
      <c r="EU159" s="97" t="s">
        <v>656</v>
      </c>
      <c r="EV159" s="96" t="s">
        <v>656</v>
      </c>
      <c r="EW159" s="96"/>
      <c r="EX159" s="96"/>
      <c r="EY159" s="96"/>
      <c r="EZ159" s="97" t="s">
        <v>470</v>
      </c>
      <c r="FA159" s="97"/>
      <c r="FB159" s="872" t="s">
        <v>5144</v>
      </c>
      <c r="FC159" s="97" t="s">
        <v>656</v>
      </c>
      <c r="FD159" s="97" t="s">
        <v>656</v>
      </c>
      <c r="FE159" s="97" t="s">
        <v>656</v>
      </c>
      <c r="FF159" s="97" t="s">
        <v>656</v>
      </c>
      <c r="FG159" s="97" t="s">
        <v>4648</v>
      </c>
      <c r="FH159" s="97">
        <v>1</v>
      </c>
      <c r="FI159" s="97">
        <v>20</v>
      </c>
      <c r="FJ159" s="97" t="s">
        <v>3887</v>
      </c>
      <c r="FK159" s="97">
        <v>89186727078</v>
      </c>
      <c r="FL159" s="943" t="s">
        <v>3738</v>
      </c>
      <c r="FM159" s="97" t="s">
        <v>3887</v>
      </c>
      <c r="FN159" s="97">
        <v>89186727078</v>
      </c>
      <c r="FO159" s="943" t="s">
        <v>3738</v>
      </c>
    </row>
    <row r="160" spans="5:195" ht="28" customHeight="1" x14ac:dyDescent="0.2">
      <c r="E160" s="94" t="s">
        <v>9302</v>
      </c>
      <c r="F160" s="94" t="s">
        <v>9121</v>
      </c>
      <c r="G160" s="97" t="s">
        <v>326</v>
      </c>
      <c r="H160" s="97" t="s">
        <v>407</v>
      </c>
      <c r="I160" s="97" t="s">
        <v>8788</v>
      </c>
      <c r="J160" s="97" t="s">
        <v>8559</v>
      </c>
      <c r="K160" s="97"/>
      <c r="L160" s="502">
        <v>2022</v>
      </c>
      <c r="M160" s="841">
        <v>44609</v>
      </c>
      <c r="N160" s="841">
        <v>44921</v>
      </c>
      <c r="O160" s="841"/>
      <c r="P160" s="841"/>
      <c r="Q160" s="841"/>
      <c r="R160" s="841"/>
      <c r="S160" s="841"/>
      <c r="T160" s="841"/>
      <c r="U160" s="841"/>
      <c r="V160" s="841"/>
      <c r="W160" s="841"/>
      <c r="X160" s="841"/>
      <c r="Y160" s="841"/>
      <c r="Z160" s="97" t="s">
        <v>8135</v>
      </c>
      <c r="AA160" s="97" t="s">
        <v>7982</v>
      </c>
      <c r="AB160" s="97" t="s">
        <v>7835</v>
      </c>
      <c r="AC160" s="97" t="s">
        <v>7660</v>
      </c>
      <c r="AD160" s="97" t="s">
        <v>7506</v>
      </c>
      <c r="AE160" s="842" t="s">
        <v>7309</v>
      </c>
      <c r="AF160" s="97" t="s">
        <v>470</v>
      </c>
      <c r="AG160" s="97"/>
      <c r="AH160" s="97" t="s">
        <v>7007</v>
      </c>
      <c r="AI160" s="97"/>
      <c r="AJ160" s="97"/>
      <c r="AK160" s="97"/>
      <c r="AL160" s="580">
        <f t="shared" si="12"/>
        <v>1.4177031899999999</v>
      </c>
      <c r="AM160" s="504">
        <v>1.4177031899999999</v>
      </c>
      <c r="AN160" s="516"/>
      <c r="AO160" s="97"/>
      <c r="AP160" s="97"/>
      <c r="AQ160" s="504">
        <v>1.4177031899999999</v>
      </c>
      <c r="AR160" s="507">
        <v>1</v>
      </c>
      <c r="AS160" s="507">
        <v>3.6200000000000003E-2</v>
      </c>
      <c r="AT160" s="516">
        <v>0</v>
      </c>
      <c r="AU160" s="507"/>
      <c r="AV160" s="516">
        <v>0</v>
      </c>
      <c r="AW160" s="507"/>
      <c r="AX160" s="516"/>
      <c r="AY160" s="507"/>
      <c r="AZ160" s="516"/>
      <c r="BA160" s="507"/>
      <c r="BB160" s="507"/>
      <c r="BC160" s="507"/>
      <c r="BD160" s="507"/>
      <c r="BE160" s="507" t="s">
        <v>479</v>
      </c>
      <c r="BF160" s="507" t="s">
        <v>1111</v>
      </c>
      <c r="BG160" s="507" t="s">
        <v>5642</v>
      </c>
      <c r="BH160" s="852">
        <v>0</v>
      </c>
      <c r="BI160" s="504"/>
      <c r="BJ160" s="507"/>
      <c r="BK160" s="96">
        <v>2</v>
      </c>
      <c r="BL160" s="96">
        <v>2</v>
      </c>
      <c r="BM160" s="96">
        <v>1</v>
      </c>
      <c r="BN160" s="96">
        <v>0</v>
      </c>
      <c r="BO160" s="96">
        <v>0</v>
      </c>
      <c r="BP160" s="96">
        <v>0</v>
      </c>
      <c r="BQ160" s="96">
        <v>0</v>
      </c>
      <c r="BR160" s="96">
        <v>0</v>
      </c>
      <c r="BS160" s="96">
        <v>0</v>
      </c>
      <c r="BT160" s="96">
        <v>0</v>
      </c>
      <c r="BU160" s="96">
        <v>0</v>
      </c>
      <c r="BV160" s="96">
        <v>1</v>
      </c>
      <c r="BW160" s="96">
        <v>0</v>
      </c>
      <c r="BX160" s="96">
        <v>0</v>
      </c>
      <c r="BY160" s="96">
        <v>1</v>
      </c>
      <c r="BZ160" s="96">
        <v>0</v>
      </c>
      <c r="CA160" s="96">
        <v>0</v>
      </c>
      <c r="CB160" s="96">
        <v>0</v>
      </c>
      <c r="CC160" s="96">
        <v>0</v>
      </c>
      <c r="CD160" s="96">
        <v>0</v>
      </c>
      <c r="CE160" s="96">
        <v>0</v>
      </c>
      <c r="CF160" s="96">
        <v>0</v>
      </c>
      <c r="CG160" s="96">
        <v>0</v>
      </c>
      <c r="CH160" s="96">
        <v>0</v>
      </c>
      <c r="CI160" s="96">
        <v>0</v>
      </c>
      <c r="CJ160" s="96">
        <v>0</v>
      </c>
      <c r="CK160" s="96">
        <v>0</v>
      </c>
      <c r="CL160" s="815">
        <f t="shared" si="14"/>
        <v>2</v>
      </c>
      <c r="CM160" s="824">
        <f t="shared" si="13"/>
        <v>0</v>
      </c>
      <c r="CN160" s="504">
        <v>4.157</v>
      </c>
      <c r="CO160" s="97" t="s">
        <v>5996</v>
      </c>
      <c r="CP160" s="97" t="s">
        <v>5996</v>
      </c>
      <c r="CQ160" s="97">
        <v>67</v>
      </c>
      <c r="CR160" s="504">
        <v>6.1609999999999996</v>
      </c>
      <c r="CS160" s="507" t="s">
        <v>5902</v>
      </c>
      <c r="CT160" s="97" t="s">
        <v>470</v>
      </c>
      <c r="CU160" s="97"/>
      <c r="CV160" s="97"/>
      <c r="CW160" s="97"/>
      <c r="CX160" s="96"/>
      <c r="CY160" s="96"/>
      <c r="CZ160" s="96"/>
      <c r="DA160" s="97" t="s">
        <v>479</v>
      </c>
      <c r="DB160" s="97" t="s">
        <v>5711</v>
      </c>
      <c r="DC160" s="96">
        <v>527</v>
      </c>
      <c r="DD160" s="97" t="s">
        <v>479</v>
      </c>
      <c r="DE160" s="842" t="s">
        <v>5642</v>
      </c>
      <c r="DF160" s="96">
        <v>34</v>
      </c>
      <c r="DG160" s="96" t="s">
        <v>479</v>
      </c>
      <c r="DH160" s="96" t="s">
        <v>5564</v>
      </c>
      <c r="DI160" s="96">
        <v>34</v>
      </c>
      <c r="DJ160" s="96" t="s">
        <v>470</v>
      </c>
      <c r="DK160" s="96"/>
      <c r="DL160" s="96"/>
      <c r="DM160" s="97" t="s">
        <v>470</v>
      </c>
      <c r="DN160" s="97"/>
      <c r="DO160" s="96"/>
      <c r="DP160" s="97" t="s">
        <v>470</v>
      </c>
      <c r="DQ160" s="97"/>
      <c r="DR160" s="96"/>
      <c r="DS160" s="97" t="s">
        <v>470</v>
      </c>
      <c r="DT160" s="97"/>
      <c r="DU160" s="96"/>
      <c r="DV160" s="97"/>
      <c r="DW160" s="97"/>
      <c r="DX160" s="96"/>
      <c r="DY160" s="97" t="s">
        <v>470</v>
      </c>
      <c r="DZ160" s="97"/>
      <c r="EA160" s="96"/>
      <c r="EB160" s="97" t="s">
        <v>479</v>
      </c>
      <c r="EC160" s="97" t="s">
        <v>5415</v>
      </c>
      <c r="ED160" s="96">
        <v>40</v>
      </c>
      <c r="EE160" s="96" t="s">
        <v>470</v>
      </c>
      <c r="EF160" s="96"/>
      <c r="EG160" s="96"/>
      <c r="EH160" s="97" t="s">
        <v>470</v>
      </c>
      <c r="EI160" s="97"/>
      <c r="EJ160" s="96"/>
      <c r="EK160" s="97" t="s">
        <v>470</v>
      </c>
      <c r="EL160" s="97"/>
      <c r="EM160" s="96"/>
      <c r="EN160" s="97" t="s">
        <v>470</v>
      </c>
      <c r="EO160" s="97"/>
      <c r="EP160" s="96"/>
      <c r="EQ160" s="96" t="s">
        <v>689</v>
      </c>
      <c r="ER160" s="96" t="s">
        <v>5303</v>
      </c>
      <c r="ES160" s="96">
        <v>6</v>
      </c>
      <c r="ET160" s="97"/>
      <c r="EU160" s="97"/>
      <c r="EV160" s="96"/>
      <c r="EW160" s="96"/>
      <c r="EX160" s="96"/>
      <c r="EY160" s="96"/>
      <c r="EZ160" s="97" t="s">
        <v>470</v>
      </c>
      <c r="FA160" s="97"/>
      <c r="FB160" s="97" t="s">
        <v>5143</v>
      </c>
      <c r="FC160" s="97" t="s">
        <v>5000</v>
      </c>
      <c r="FD160" s="97"/>
      <c r="FE160" s="97" t="s">
        <v>4834</v>
      </c>
      <c r="FF160" s="97"/>
      <c r="FG160" s="97"/>
      <c r="FH160" s="97"/>
      <c r="FI160" s="97"/>
      <c r="FJ160" s="97" t="s">
        <v>4487</v>
      </c>
      <c r="FK160" s="97" t="s">
        <v>4270</v>
      </c>
      <c r="FL160" s="842" t="s">
        <v>3737</v>
      </c>
      <c r="FM160" s="97" t="s">
        <v>3886</v>
      </c>
      <c r="FN160" s="97" t="s">
        <v>3814</v>
      </c>
      <c r="FO160" s="842" t="s">
        <v>3737</v>
      </c>
    </row>
    <row r="161" spans="4:195" ht="36" customHeight="1" x14ac:dyDescent="0.2">
      <c r="E161" s="94" t="s">
        <v>9305</v>
      </c>
      <c r="F161" s="94" t="s">
        <v>9121</v>
      </c>
      <c r="G161" s="97" t="s">
        <v>326</v>
      </c>
      <c r="H161" s="97" t="s">
        <v>407</v>
      </c>
      <c r="I161" s="97" t="s">
        <v>8787</v>
      </c>
      <c r="J161" s="97" t="s">
        <v>8558</v>
      </c>
      <c r="K161" s="97" t="s">
        <v>8415</v>
      </c>
      <c r="L161" s="502" t="s">
        <v>8340</v>
      </c>
      <c r="M161" s="841">
        <v>44835</v>
      </c>
      <c r="N161" s="841">
        <v>44914</v>
      </c>
      <c r="O161" s="841"/>
      <c r="P161" s="841"/>
      <c r="Q161" s="841"/>
      <c r="R161" s="841"/>
      <c r="S161" s="841"/>
      <c r="T161" s="841"/>
      <c r="U161" s="841"/>
      <c r="V161" s="841"/>
      <c r="W161" s="841"/>
      <c r="X161" s="841"/>
      <c r="Y161" s="841"/>
      <c r="Z161" s="97" t="s">
        <v>8134</v>
      </c>
      <c r="AA161" s="842" t="s">
        <v>7981</v>
      </c>
      <c r="AB161" s="97" t="s">
        <v>7834</v>
      </c>
      <c r="AC161" s="842" t="s">
        <v>7659</v>
      </c>
      <c r="AD161" s="97" t="s">
        <v>7505</v>
      </c>
      <c r="AE161" s="842" t="s">
        <v>7308</v>
      </c>
      <c r="AF161" s="97" t="s">
        <v>470</v>
      </c>
      <c r="AG161" s="842"/>
      <c r="AH161" s="97" t="s">
        <v>6536</v>
      </c>
      <c r="AI161" s="97" t="s">
        <v>6536</v>
      </c>
      <c r="AJ161" s="97" t="s">
        <v>6661</v>
      </c>
      <c r="AK161" s="97" t="s">
        <v>6536</v>
      </c>
      <c r="AL161" s="580">
        <f t="shared" si="12"/>
        <v>0.93300000000000005</v>
      </c>
      <c r="AM161" s="504">
        <v>0.93300000000000005</v>
      </c>
      <c r="AN161" s="516"/>
      <c r="AO161" s="97"/>
      <c r="AP161" s="97"/>
      <c r="AQ161" s="504">
        <v>0.93300000000000005</v>
      </c>
      <c r="AR161" s="507">
        <v>1</v>
      </c>
      <c r="AS161" s="507">
        <v>6.4000000000000003E-3</v>
      </c>
      <c r="AT161" s="516">
        <v>0</v>
      </c>
      <c r="AU161" s="507">
        <v>0</v>
      </c>
      <c r="AV161" s="516">
        <v>0</v>
      </c>
      <c r="AW161" s="507">
        <v>0</v>
      </c>
      <c r="AX161" s="516"/>
      <c r="AY161" s="507">
        <v>0</v>
      </c>
      <c r="AZ161" s="516"/>
      <c r="BA161" s="507"/>
      <c r="BB161" s="507"/>
      <c r="BC161" s="507"/>
      <c r="BD161" s="507"/>
      <c r="BE161" s="507" t="s">
        <v>470</v>
      </c>
      <c r="BF161" s="507"/>
      <c r="BG161" s="507"/>
      <c r="BH161" s="852">
        <v>0</v>
      </c>
      <c r="BI161" s="504">
        <v>3</v>
      </c>
      <c r="BJ161" s="507">
        <v>0</v>
      </c>
      <c r="BK161" s="96">
        <v>2</v>
      </c>
      <c r="BL161" s="96">
        <v>1</v>
      </c>
      <c r="BM161" s="96">
        <v>1</v>
      </c>
      <c r="BN161" s="96">
        <v>0</v>
      </c>
      <c r="BO161" s="96">
        <v>0</v>
      </c>
      <c r="BP161" s="96">
        <v>0</v>
      </c>
      <c r="BQ161" s="96">
        <v>0</v>
      </c>
      <c r="BR161" s="96">
        <v>0</v>
      </c>
      <c r="BS161" s="96">
        <v>0</v>
      </c>
      <c r="BT161" s="96">
        <v>0</v>
      </c>
      <c r="BU161" s="96">
        <v>0</v>
      </c>
      <c r="BV161" s="96">
        <v>1</v>
      </c>
      <c r="BW161" s="96">
        <v>0</v>
      </c>
      <c r="BX161" s="96">
        <v>0</v>
      </c>
      <c r="BY161" s="96">
        <v>0</v>
      </c>
      <c r="BZ161" s="96">
        <v>0</v>
      </c>
      <c r="CA161" s="96">
        <v>0</v>
      </c>
      <c r="CB161" s="96">
        <v>0</v>
      </c>
      <c r="CC161" s="96">
        <v>0</v>
      </c>
      <c r="CD161" s="96">
        <v>0</v>
      </c>
      <c r="CE161" s="96">
        <v>0</v>
      </c>
      <c r="CF161" s="96">
        <v>0</v>
      </c>
      <c r="CG161" s="96">
        <v>0</v>
      </c>
      <c r="CH161" s="96">
        <v>0</v>
      </c>
      <c r="CI161" s="96">
        <v>0</v>
      </c>
      <c r="CJ161" s="96">
        <v>0</v>
      </c>
      <c r="CK161" s="96">
        <v>0</v>
      </c>
      <c r="CL161" s="815">
        <f t="shared" si="14"/>
        <v>1</v>
      </c>
      <c r="CM161" s="824">
        <f t="shared" si="13"/>
        <v>0</v>
      </c>
      <c r="CN161" s="504">
        <v>0.70099999999999996</v>
      </c>
      <c r="CO161" s="97" t="s">
        <v>6129</v>
      </c>
      <c r="CP161" s="97" t="s">
        <v>470</v>
      </c>
      <c r="CQ161" s="97">
        <v>85</v>
      </c>
      <c r="CR161" s="504">
        <v>11.877000000000001</v>
      </c>
      <c r="CS161" s="507" t="s">
        <v>5901</v>
      </c>
      <c r="CT161" s="97" t="s">
        <v>470</v>
      </c>
      <c r="CU161" s="97"/>
      <c r="CV161" s="97"/>
      <c r="CW161" s="97"/>
      <c r="CX161" s="96"/>
      <c r="CY161" s="96"/>
      <c r="CZ161" s="96"/>
      <c r="DA161" s="97" t="s">
        <v>470</v>
      </c>
      <c r="DB161" s="97"/>
      <c r="DC161" s="96"/>
      <c r="DD161" s="97" t="s">
        <v>479</v>
      </c>
      <c r="DE161" s="842" t="s">
        <v>5641</v>
      </c>
      <c r="DF161" s="96">
        <v>10</v>
      </c>
      <c r="DG161" s="96" t="s">
        <v>479</v>
      </c>
      <c r="DH161" s="96" t="s">
        <v>5563</v>
      </c>
      <c r="DI161" s="96">
        <v>10</v>
      </c>
      <c r="DJ161" s="96" t="s">
        <v>470</v>
      </c>
      <c r="DK161" s="96"/>
      <c r="DL161" s="96"/>
      <c r="DM161" s="97" t="s">
        <v>470</v>
      </c>
      <c r="DN161" s="97"/>
      <c r="DO161" s="96"/>
      <c r="DP161" s="97"/>
      <c r="DQ161" s="97"/>
      <c r="DR161" s="96"/>
      <c r="DS161" s="97" t="s">
        <v>470</v>
      </c>
      <c r="DT161" s="97"/>
      <c r="DU161" s="96"/>
      <c r="DV161" s="97"/>
      <c r="DW161" s="97"/>
      <c r="DX161" s="96"/>
      <c r="DY161" s="97" t="s">
        <v>470</v>
      </c>
      <c r="DZ161" s="97"/>
      <c r="EA161" s="96"/>
      <c r="EB161" s="97" t="s">
        <v>479</v>
      </c>
      <c r="EC161" s="97"/>
      <c r="ED161" s="96">
        <v>10</v>
      </c>
      <c r="EE161" s="96" t="s">
        <v>470</v>
      </c>
      <c r="EF161" s="96"/>
      <c r="EG161" s="96"/>
      <c r="EH161" s="97" t="s">
        <v>470</v>
      </c>
      <c r="EI161" s="97"/>
      <c r="EJ161" s="96"/>
      <c r="EK161" s="97" t="s">
        <v>470</v>
      </c>
      <c r="EL161" s="97"/>
      <c r="EM161" s="96"/>
      <c r="EN161" s="97" t="s">
        <v>470</v>
      </c>
      <c r="EO161" s="97"/>
      <c r="EP161" s="96"/>
      <c r="EQ161" s="96" t="s">
        <v>479</v>
      </c>
      <c r="ER161" s="948" t="s">
        <v>5302</v>
      </c>
      <c r="ES161" s="96">
        <v>10</v>
      </c>
      <c r="ET161" s="97" t="s">
        <v>470</v>
      </c>
      <c r="EU161" s="97"/>
      <c r="EV161" s="96"/>
      <c r="EW161" s="96"/>
      <c r="EX161" s="96"/>
      <c r="EY161" s="96"/>
      <c r="EZ161" s="97" t="s">
        <v>470</v>
      </c>
      <c r="FA161" s="97" t="s">
        <v>470</v>
      </c>
      <c r="FB161" s="842" t="s">
        <v>5142</v>
      </c>
      <c r="FC161" s="97" t="s">
        <v>470</v>
      </c>
      <c r="FD161" s="97" t="s">
        <v>470</v>
      </c>
      <c r="FE161" s="97" t="s">
        <v>470</v>
      </c>
      <c r="FF161" s="97" t="s">
        <v>470</v>
      </c>
      <c r="FG161" s="97" t="s">
        <v>470</v>
      </c>
      <c r="FH161" s="97"/>
      <c r="FI161" s="97"/>
      <c r="FJ161" s="97" t="s">
        <v>4486</v>
      </c>
      <c r="FK161" s="97" t="s">
        <v>4269</v>
      </c>
      <c r="FL161" s="842" t="s">
        <v>4081</v>
      </c>
      <c r="FM161" s="97" t="s">
        <v>3885</v>
      </c>
      <c r="FN161" s="97" t="s">
        <v>3813</v>
      </c>
      <c r="FO161" s="842" t="s">
        <v>3736</v>
      </c>
    </row>
    <row r="162" spans="4:195" ht="37" customHeight="1" x14ac:dyDescent="0.2">
      <c r="D162" s="93" t="s">
        <v>9320</v>
      </c>
      <c r="E162" s="94" t="s">
        <v>9305</v>
      </c>
      <c r="F162" s="94" t="s">
        <v>9121</v>
      </c>
      <c r="G162" s="97" t="s">
        <v>326</v>
      </c>
      <c r="H162" s="97" t="s">
        <v>407</v>
      </c>
      <c r="I162" s="97" t="s">
        <v>8786</v>
      </c>
      <c r="J162" s="97" t="s">
        <v>8557</v>
      </c>
      <c r="K162" s="97" t="s">
        <v>8414</v>
      </c>
      <c r="L162" s="502">
        <v>2022</v>
      </c>
      <c r="M162" s="841">
        <v>44651</v>
      </c>
      <c r="N162" s="841">
        <v>44909</v>
      </c>
      <c r="O162" s="841"/>
      <c r="P162" s="841"/>
      <c r="Q162" s="841"/>
      <c r="R162" s="841"/>
      <c r="S162" s="841"/>
      <c r="T162" s="841"/>
      <c r="U162" s="841"/>
      <c r="V162" s="841"/>
      <c r="W162" s="841"/>
      <c r="X162" s="841"/>
      <c r="Y162" s="841"/>
      <c r="Z162" s="98" t="s">
        <v>8133</v>
      </c>
      <c r="AA162" s="842" t="s">
        <v>7980</v>
      </c>
      <c r="AB162" s="97" t="s">
        <v>7833</v>
      </c>
      <c r="AC162" s="842" t="s">
        <v>7307</v>
      </c>
      <c r="AD162" s="97" t="s">
        <v>7504</v>
      </c>
      <c r="AE162" s="97" t="s">
        <v>7307</v>
      </c>
      <c r="AF162" s="97"/>
      <c r="AG162" s="97"/>
      <c r="AH162" s="97" t="s">
        <v>6535</v>
      </c>
      <c r="AI162" s="97" t="s">
        <v>6535</v>
      </c>
      <c r="AJ162" s="97" t="s">
        <v>6716</v>
      </c>
      <c r="AK162" s="97" t="s">
        <v>6535</v>
      </c>
      <c r="AL162" s="580">
        <f t="shared" si="12"/>
        <v>0.48599999999999999</v>
      </c>
      <c r="AM162" s="504">
        <v>0.48599999999999999</v>
      </c>
      <c r="AN162" s="516"/>
      <c r="AO162" s="97"/>
      <c r="AP162" s="97"/>
      <c r="AQ162" s="504"/>
      <c r="AR162" s="507"/>
      <c r="AS162" s="507"/>
      <c r="AT162" s="516"/>
      <c r="AU162" s="507"/>
      <c r="AV162" s="516">
        <v>0.48599999999999999</v>
      </c>
      <c r="AW162" s="876">
        <v>0.16</v>
      </c>
      <c r="AX162" s="516"/>
      <c r="AY162" s="876">
        <v>0.08</v>
      </c>
      <c r="AZ162" s="516"/>
      <c r="BA162" s="876"/>
      <c r="BB162" s="876"/>
      <c r="BC162" s="876"/>
      <c r="BD162" s="876"/>
      <c r="BE162" s="507" t="s">
        <v>470</v>
      </c>
      <c r="BF162" s="507"/>
      <c r="BG162" s="507"/>
      <c r="BH162" s="852"/>
      <c r="BI162" s="504">
        <v>3.895</v>
      </c>
      <c r="BJ162" s="507">
        <v>0.11890000000000001</v>
      </c>
      <c r="BK162" s="96">
        <v>2</v>
      </c>
      <c r="BL162" s="96">
        <v>2</v>
      </c>
      <c r="BM162" s="96">
        <v>1</v>
      </c>
      <c r="BN162" s="96"/>
      <c r="BO162" s="96"/>
      <c r="BP162" s="96"/>
      <c r="BQ162" s="96"/>
      <c r="BR162" s="96"/>
      <c r="BS162" s="96"/>
      <c r="BT162" s="96"/>
      <c r="BU162" s="96"/>
      <c r="BV162" s="96"/>
      <c r="BW162" s="96"/>
      <c r="BX162" s="96">
        <v>1</v>
      </c>
      <c r="BY162" s="96"/>
      <c r="BZ162" s="96"/>
      <c r="CA162" s="96"/>
      <c r="CB162" s="96"/>
      <c r="CC162" s="96"/>
      <c r="CD162" s="96"/>
      <c r="CE162" s="96"/>
      <c r="CF162" s="96"/>
      <c r="CG162" s="96"/>
      <c r="CH162" s="96"/>
      <c r="CI162" s="96"/>
      <c r="CJ162" s="96"/>
      <c r="CK162" s="96"/>
      <c r="CL162" s="815">
        <f t="shared" si="14"/>
        <v>1</v>
      </c>
      <c r="CM162" s="824">
        <f t="shared" si="13"/>
        <v>0</v>
      </c>
      <c r="CN162" s="504">
        <v>0.83199999999999996</v>
      </c>
      <c r="CO162" s="97" t="s">
        <v>6128</v>
      </c>
      <c r="CP162" s="97" t="s">
        <v>5900</v>
      </c>
      <c r="CQ162" s="97">
        <v>100</v>
      </c>
      <c r="CR162" s="96">
        <v>832</v>
      </c>
      <c r="CS162" s="507" t="s">
        <v>5900</v>
      </c>
      <c r="CT162" s="97" t="s">
        <v>470</v>
      </c>
      <c r="CU162" s="97"/>
      <c r="CV162" s="97"/>
      <c r="CW162" s="97"/>
      <c r="CX162" s="96"/>
      <c r="CY162" s="96"/>
      <c r="CZ162" s="96"/>
      <c r="DA162" s="97" t="s">
        <v>479</v>
      </c>
      <c r="DB162" s="97" t="s">
        <v>1876</v>
      </c>
      <c r="DC162" s="96">
        <v>453</v>
      </c>
      <c r="DD162" s="97" t="s">
        <v>479</v>
      </c>
      <c r="DE162" s="97" t="s">
        <v>2533</v>
      </c>
      <c r="DF162" s="96">
        <v>36</v>
      </c>
      <c r="DG162" s="96" t="s">
        <v>479</v>
      </c>
      <c r="DH162" s="97" t="s">
        <v>2533</v>
      </c>
      <c r="DI162" s="96">
        <v>36</v>
      </c>
      <c r="DJ162" s="96"/>
      <c r="DK162" s="96"/>
      <c r="DL162" s="96"/>
      <c r="DM162" s="97"/>
      <c r="DN162" s="97"/>
      <c r="DO162" s="96"/>
      <c r="DP162" s="97"/>
      <c r="DQ162" s="97"/>
      <c r="DR162" s="96"/>
      <c r="DS162" s="97"/>
      <c r="DT162" s="97"/>
      <c r="DU162" s="96"/>
      <c r="DV162" s="97"/>
      <c r="DW162" s="97"/>
      <c r="DX162" s="96"/>
      <c r="DY162" s="97"/>
      <c r="DZ162" s="97"/>
      <c r="EA162" s="96"/>
      <c r="EB162" s="97" t="s">
        <v>479</v>
      </c>
      <c r="EC162" s="97" t="s">
        <v>2533</v>
      </c>
      <c r="ED162" s="96">
        <v>36</v>
      </c>
      <c r="EE162" s="96"/>
      <c r="EF162" s="96"/>
      <c r="EG162" s="96"/>
      <c r="EH162" s="97"/>
      <c r="EI162" s="97"/>
      <c r="EJ162" s="96"/>
      <c r="EK162" s="97"/>
      <c r="EL162" s="97"/>
      <c r="EM162" s="96"/>
      <c r="EN162" s="97"/>
      <c r="EO162" s="97"/>
      <c r="EP162" s="96"/>
      <c r="EQ162" s="96"/>
      <c r="ER162" s="96"/>
      <c r="ES162" s="96"/>
      <c r="ET162" s="97"/>
      <c r="EU162" s="97"/>
      <c r="EV162" s="96"/>
      <c r="EW162" s="96"/>
      <c r="EX162" s="96"/>
      <c r="EY162" s="96"/>
      <c r="EZ162" s="97" t="s">
        <v>470</v>
      </c>
      <c r="FA162" s="97"/>
      <c r="FB162" s="97"/>
      <c r="FC162" s="97"/>
      <c r="FD162" s="97"/>
      <c r="FE162" s="97" t="s">
        <v>4833</v>
      </c>
      <c r="FF162" s="97" t="s">
        <v>4718</v>
      </c>
      <c r="FG162" s="97"/>
      <c r="FH162" s="97"/>
      <c r="FI162" s="97"/>
      <c r="FJ162" s="97" t="s">
        <v>4485</v>
      </c>
      <c r="FK162" s="97">
        <v>89180983388</v>
      </c>
      <c r="FL162" s="842" t="s">
        <v>4080</v>
      </c>
      <c r="FM162" s="97" t="s">
        <v>3884</v>
      </c>
      <c r="FN162" s="97">
        <v>89182114617</v>
      </c>
      <c r="FO162" s="842" t="s">
        <v>3735</v>
      </c>
    </row>
    <row r="163" spans="4:195" ht="36" customHeight="1" x14ac:dyDescent="0.2">
      <c r="E163" s="94" t="s">
        <v>9305</v>
      </c>
      <c r="F163" s="94" t="s">
        <v>9121</v>
      </c>
      <c r="G163" s="97" t="s">
        <v>326</v>
      </c>
      <c r="H163" s="97" t="s">
        <v>407</v>
      </c>
      <c r="I163" s="97" t="s">
        <v>8785</v>
      </c>
      <c r="J163" s="97" t="s">
        <v>8556</v>
      </c>
      <c r="K163" s="97" t="s">
        <v>656</v>
      </c>
      <c r="L163" s="502" t="s">
        <v>8337</v>
      </c>
      <c r="M163" s="841" t="s">
        <v>1577</v>
      </c>
      <c r="N163" s="841" t="s">
        <v>1578</v>
      </c>
      <c r="O163" s="841"/>
      <c r="P163" s="841"/>
      <c r="Q163" s="841"/>
      <c r="R163" s="841"/>
      <c r="S163" s="841"/>
      <c r="T163" s="841"/>
      <c r="U163" s="841"/>
      <c r="V163" s="841"/>
      <c r="W163" s="841"/>
      <c r="X163" s="841"/>
      <c r="Y163" s="841"/>
      <c r="Z163" s="97" t="s">
        <v>8132</v>
      </c>
      <c r="AA163" s="506" t="s">
        <v>5899</v>
      </c>
      <c r="AB163" s="97" t="s">
        <v>7832</v>
      </c>
      <c r="AC163" s="506" t="s">
        <v>5899</v>
      </c>
      <c r="AD163" s="97" t="s">
        <v>7503</v>
      </c>
      <c r="AE163" s="506" t="s">
        <v>5899</v>
      </c>
      <c r="AF163" s="97" t="s">
        <v>656</v>
      </c>
      <c r="AG163" s="97" t="s">
        <v>656</v>
      </c>
      <c r="AH163" s="97" t="s">
        <v>6534</v>
      </c>
      <c r="AI163" s="97" t="s">
        <v>6534</v>
      </c>
      <c r="AJ163" s="97" t="s">
        <v>2328</v>
      </c>
      <c r="AK163" s="97" t="s">
        <v>6534</v>
      </c>
      <c r="AL163" s="580">
        <f t="shared" si="12"/>
        <v>0.50600000000000001</v>
      </c>
      <c r="AM163" s="504">
        <v>0.50600000000000001</v>
      </c>
      <c r="AN163" s="516"/>
      <c r="AO163" s="97"/>
      <c r="AP163" s="97"/>
      <c r="AQ163" s="504">
        <v>0.48599999999999999</v>
      </c>
      <c r="AR163" s="507">
        <v>0.96</v>
      </c>
      <c r="AS163" s="507">
        <v>5.1999999999999998E-3</v>
      </c>
      <c r="AT163" s="516"/>
      <c r="AU163" s="507"/>
      <c r="AV163" s="516"/>
      <c r="AW163" s="507"/>
      <c r="AX163" s="516">
        <v>0.02</v>
      </c>
      <c r="AY163" s="507">
        <v>0.04</v>
      </c>
      <c r="AZ163" s="516"/>
      <c r="BA163" s="507"/>
      <c r="BB163" s="507"/>
      <c r="BC163" s="507"/>
      <c r="BD163" s="507"/>
      <c r="BE163" s="507" t="s">
        <v>540</v>
      </c>
      <c r="BF163" s="507" t="s">
        <v>6316</v>
      </c>
      <c r="BG163" s="874" t="s">
        <v>5899</v>
      </c>
      <c r="BH163" s="852" t="s">
        <v>656</v>
      </c>
      <c r="BI163" s="504" t="s">
        <v>656</v>
      </c>
      <c r="BJ163" s="507" t="s">
        <v>656</v>
      </c>
      <c r="BK163" s="96">
        <v>2</v>
      </c>
      <c r="BL163" s="96">
        <v>2</v>
      </c>
      <c r="BM163" s="96">
        <v>2</v>
      </c>
      <c r="BN163" s="96"/>
      <c r="BO163" s="96">
        <v>1</v>
      </c>
      <c r="BP163" s="96"/>
      <c r="BQ163" s="96"/>
      <c r="BR163" s="96"/>
      <c r="BS163" s="96"/>
      <c r="BT163" s="96"/>
      <c r="BU163" s="96"/>
      <c r="BV163" s="96"/>
      <c r="BW163" s="96"/>
      <c r="BX163" s="96">
        <v>1</v>
      </c>
      <c r="BY163" s="96"/>
      <c r="BZ163" s="96"/>
      <c r="CA163" s="96"/>
      <c r="CB163" s="96"/>
      <c r="CC163" s="96"/>
      <c r="CD163" s="96"/>
      <c r="CE163" s="96"/>
      <c r="CF163" s="96"/>
      <c r="CG163" s="96"/>
      <c r="CH163" s="96"/>
      <c r="CI163" s="96"/>
      <c r="CJ163" s="96"/>
      <c r="CK163" s="96"/>
      <c r="CL163" s="815">
        <f t="shared" si="14"/>
        <v>2</v>
      </c>
      <c r="CM163" s="824">
        <f t="shared" si="13"/>
        <v>0</v>
      </c>
      <c r="CN163" s="504">
        <v>0.69</v>
      </c>
      <c r="CO163" s="97" t="s">
        <v>6127</v>
      </c>
      <c r="CP163" s="506" t="s">
        <v>5899</v>
      </c>
      <c r="CQ163" s="97">
        <v>7.1</v>
      </c>
      <c r="CR163" s="504">
        <v>9.68</v>
      </c>
      <c r="CS163" s="506" t="s">
        <v>5899</v>
      </c>
      <c r="CT163" s="97" t="s">
        <v>470</v>
      </c>
      <c r="CU163" s="97" t="s">
        <v>656</v>
      </c>
      <c r="CV163" s="97" t="s">
        <v>656</v>
      </c>
      <c r="CW163" s="97" t="s">
        <v>656</v>
      </c>
      <c r="CX163" s="96" t="s">
        <v>656</v>
      </c>
      <c r="CY163" s="96" t="s">
        <v>656</v>
      </c>
      <c r="CZ163" s="96" t="s">
        <v>656</v>
      </c>
      <c r="DA163" s="97" t="s">
        <v>479</v>
      </c>
      <c r="DB163" s="97" t="s">
        <v>1876</v>
      </c>
      <c r="DC163" s="96">
        <v>214</v>
      </c>
      <c r="DD163" s="97" t="s">
        <v>479</v>
      </c>
      <c r="DE163" s="97" t="s">
        <v>1007</v>
      </c>
      <c r="DF163" s="96">
        <v>214</v>
      </c>
      <c r="DG163" s="96" t="s">
        <v>479</v>
      </c>
      <c r="DH163" s="96" t="s">
        <v>1007</v>
      </c>
      <c r="DI163" s="96">
        <v>214</v>
      </c>
      <c r="DJ163" s="96" t="s">
        <v>470</v>
      </c>
      <c r="DK163" s="96" t="s">
        <v>656</v>
      </c>
      <c r="DL163" s="96" t="s">
        <v>656</v>
      </c>
      <c r="DM163" s="97" t="s">
        <v>470</v>
      </c>
      <c r="DN163" s="97" t="s">
        <v>656</v>
      </c>
      <c r="DO163" s="96" t="s">
        <v>656</v>
      </c>
      <c r="DP163" s="97" t="s">
        <v>470</v>
      </c>
      <c r="DQ163" s="97" t="s">
        <v>656</v>
      </c>
      <c r="DR163" s="96" t="s">
        <v>656</v>
      </c>
      <c r="DS163" s="97" t="s">
        <v>470</v>
      </c>
      <c r="DT163" s="97" t="s">
        <v>656</v>
      </c>
      <c r="DU163" s="96" t="s">
        <v>656</v>
      </c>
      <c r="DV163" s="97" t="s">
        <v>656</v>
      </c>
      <c r="DW163" s="97" t="s">
        <v>656</v>
      </c>
      <c r="DX163" s="96" t="s">
        <v>656</v>
      </c>
      <c r="DY163" s="97" t="s">
        <v>470</v>
      </c>
      <c r="DZ163" s="97" t="s">
        <v>656</v>
      </c>
      <c r="EA163" s="96" t="s">
        <v>656</v>
      </c>
      <c r="EB163" s="97" t="s">
        <v>479</v>
      </c>
      <c r="EC163" s="97" t="s">
        <v>1007</v>
      </c>
      <c r="ED163" s="96">
        <v>214</v>
      </c>
      <c r="EE163" s="96" t="s">
        <v>470</v>
      </c>
      <c r="EF163" s="96" t="s">
        <v>656</v>
      </c>
      <c r="EG163" s="96" t="s">
        <v>656</v>
      </c>
      <c r="EH163" s="97" t="s">
        <v>470</v>
      </c>
      <c r="EI163" s="97" t="s">
        <v>656</v>
      </c>
      <c r="EJ163" s="96" t="s">
        <v>656</v>
      </c>
      <c r="EK163" s="97" t="s">
        <v>470</v>
      </c>
      <c r="EL163" s="97" t="s">
        <v>656</v>
      </c>
      <c r="EM163" s="96" t="s">
        <v>656</v>
      </c>
      <c r="EN163" s="97" t="s">
        <v>479</v>
      </c>
      <c r="EO163" s="97" t="s">
        <v>5268</v>
      </c>
      <c r="EP163" s="96">
        <v>8</v>
      </c>
      <c r="EQ163" s="96" t="s">
        <v>470</v>
      </c>
      <c r="ER163" s="96" t="s">
        <v>656</v>
      </c>
      <c r="ES163" s="96" t="s">
        <v>656</v>
      </c>
      <c r="ET163" s="97" t="s">
        <v>656</v>
      </c>
      <c r="EU163" s="97" t="s">
        <v>656</v>
      </c>
      <c r="EV163" s="96" t="s">
        <v>656</v>
      </c>
      <c r="EW163" s="96"/>
      <c r="EX163" s="96"/>
      <c r="EY163" s="96"/>
      <c r="EZ163" s="97" t="s">
        <v>470</v>
      </c>
      <c r="FA163" s="97" t="s">
        <v>656</v>
      </c>
      <c r="FB163" s="97" t="s">
        <v>656</v>
      </c>
      <c r="FC163" s="97" t="s">
        <v>656</v>
      </c>
      <c r="FD163" s="97" t="s">
        <v>656</v>
      </c>
      <c r="FE163" s="97" t="s">
        <v>4832</v>
      </c>
      <c r="FF163" s="97" t="s">
        <v>4717</v>
      </c>
      <c r="FG163" s="97" t="s">
        <v>4647</v>
      </c>
      <c r="FH163" s="97">
        <v>5</v>
      </c>
      <c r="FI163" s="97">
        <v>20</v>
      </c>
      <c r="FJ163" s="97" t="s">
        <v>4485</v>
      </c>
      <c r="FK163" s="97">
        <v>89180983388</v>
      </c>
      <c r="FL163" s="506" t="s">
        <v>4080</v>
      </c>
      <c r="FM163" s="97" t="s">
        <v>3884</v>
      </c>
      <c r="FN163" s="97">
        <v>89182114617</v>
      </c>
      <c r="FO163" s="506" t="s">
        <v>3735</v>
      </c>
    </row>
    <row r="164" spans="4:195" ht="36" customHeight="1" x14ac:dyDescent="0.2">
      <c r="E164" s="94" t="s">
        <v>9305</v>
      </c>
      <c r="F164" s="94" t="s">
        <v>9121</v>
      </c>
      <c r="G164" s="97" t="s">
        <v>326</v>
      </c>
      <c r="H164" s="97" t="s">
        <v>407</v>
      </c>
      <c r="I164" s="198" t="s">
        <v>8783</v>
      </c>
      <c r="J164" s="515" t="s">
        <v>8555</v>
      </c>
      <c r="K164" s="198" t="s">
        <v>1414</v>
      </c>
      <c r="L164" s="578">
        <v>2022</v>
      </c>
      <c r="M164" s="822">
        <v>44540</v>
      </c>
      <c r="N164" s="822">
        <v>44876</v>
      </c>
      <c r="O164" s="822"/>
      <c r="P164" s="822"/>
      <c r="Q164" s="822"/>
      <c r="R164" s="822"/>
      <c r="S164" s="822"/>
      <c r="T164" s="822"/>
      <c r="U164" s="822"/>
      <c r="V164" s="822"/>
      <c r="W164" s="822"/>
      <c r="X164" s="822"/>
      <c r="Y164" s="822"/>
      <c r="Z164" s="198" t="s">
        <v>8130</v>
      </c>
      <c r="AA164" s="844" t="s">
        <v>7979</v>
      </c>
      <c r="AB164" s="198" t="s">
        <v>7831</v>
      </c>
      <c r="AC164" s="844" t="s">
        <v>7658</v>
      </c>
      <c r="AD164" s="198" t="s">
        <v>7502</v>
      </c>
      <c r="AE164" s="198" t="s">
        <v>470</v>
      </c>
      <c r="AF164" s="198" t="s">
        <v>470</v>
      </c>
      <c r="AG164" s="198" t="s">
        <v>470</v>
      </c>
      <c r="AH164" s="198" t="s">
        <v>6533</v>
      </c>
      <c r="AI164" s="198" t="s">
        <v>6533</v>
      </c>
      <c r="AJ164" s="198" t="s">
        <v>6714</v>
      </c>
      <c r="AK164" s="198" t="s">
        <v>6533</v>
      </c>
      <c r="AL164" s="580">
        <f t="shared" si="12"/>
        <v>0.59599999999999997</v>
      </c>
      <c r="AM164" s="580">
        <v>0.59599999999999997</v>
      </c>
      <c r="AN164" s="580"/>
      <c r="AO164" s="580"/>
      <c r="AP164" s="580"/>
      <c r="AQ164" s="580">
        <v>0.59599999999999997</v>
      </c>
      <c r="AR164" s="137">
        <v>1</v>
      </c>
      <c r="AS164" s="137">
        <f>0.596/36.6</f>
        <v>1.6284153005464479E-2</v>
      </c>
      <c r="AT164" s="580">
        <v>0</v>
      </c>
      <c r="AU164" s="137">
        <v>0</v>
      </c>
      <c r="AV164" s="580">
        <v>0</v>
      </c>
      <c r="AW164" s="137">
        <v>0</v>
      </c>
      <c r="AX164" s="823">
        <v>0</v>
      </c>
      <c r="AY164" s="137">
        <v>0</v>
      </c>
      <c r="AZ164" s="137"/>
      <c r="BA164" s="137"/>
      <c r="BB164" s="137"/>
      <c r="BC164" s="137"/>
      <c r="BD164" s="137"/>
      <c r="BE164" s="137" t="s">
        <v>479</v>
      </c>
      <c r="BF164" s="93" t="s">
        <v>6313</v>
      </c>
      <c r="BG164" s="137" t="s">
        <v>470</v>
      </c>
      <c r="BH164" s="823" t="s">
        <v>470</v>
      </c>
      <c r="BI164" s="580">
        <v>5.4387650000000001</v>
      </c>
      <c r="BJ164" s="137">
        <v>0.1938</v>
      </c>
      <c r="BK164" s="83">
        <v>4</v>
      </c>
      <c r="BL164" s="83">
        <v>4</v>
      </c>
      <c r="BM164" s="83">
        <v>1</v>
      </c>
      <c r="BN164" s="83">
        <v>0</v>
      </c>
      <c r="BO164" s="83">
        <v>1</v>
      </c>
      <c r="BP164" s="83">
        <v>0</v>
      </c>
      <c r="BQ164" s="83">
        <v>0</v>
      </c>
      <c r="BR164" s="83">
        <v>0</v>
      </c>
      <c r="BS164" s="83">
        <v>0</v>
      </c>
      <c r="BT164" s="83">
        <v>0</v>
      </c>
      <c r="BU164" s="83">
        <v>0</v>
      </c>
      <c r="BV164" s="83">
        <v>0</v>
      </c>
      <c r="BW164" s="83">
        <v>1</v>
      </c>
      <c r="BX164" s="83">
        <v>0</v>
      </c>
      <c r="BY164" s="83">
        <v>0</v>
      </c>
      <c r="BZ164" s="83">
        <v>0</v>
      </c>
      <c r="CA164" s="83">
        <v>0</v>
      </c>
      <c r="CB164" s="83">
        <v>0</v>
      </c>
      <c r="CC164" s="83">
        <v>0</v>
      </c>
      <c r="CD164" s="83">
        <v>0</v>
      </c>
      <c r="CE164" s="83">
        <v>0</v>
      </c>
      <c r="CF164" s="83">
        <v>0</v>
      </c>
      <c r="CG164" s="83">
        <v>0</v>
      </c>
      <c r="CH164" s="83">
        <v>0</v>
      </c>
      <c r="CI164" s="83">
        <v>0</v>
      </c>
      <c r="CJ164" s="83">
        <v>0</v>
      </c>
      <c r="CK164" s="83">
        <v>0</v>
      </c>
      <c r="CL164" s="857">
        <f>SUM(BN164:CK164)</f>
        <v>2</v>
      </c>
      <c r="CM164" s="824">
        <f t="shared" si="13"/>
        <v>0</v>
      </c>
      <c r="CN164" s="580">
        <v>2.419</v>
      </c>
      <c r="CO164" s="198" t="s">
        <v>6126</v>
      </c>
      <c r="CP164" s="198" t="s">
        <v>470</v>
      </c>
      <c r="CQ164" s="198">
        <v>92.79</v>
      </c>
      <c r="CR164" s="580">
        <v>2.6070000000000002</v>
      </c>
      <c r="CS164" s="198" t="s">
        <v>470</v>
      </c>
      <c r="CT164" s="198" t="s">
        <v>470</v>
      </c>
      <c r="CU164" s="198" t="s">
        <v>470</v>
      </c>
      <c r="CV164" s="198" t="s">
        <v>470</v>
      </c>
      <c r="CW164" s="198" t="s">
        <v>470</v>
      </c>
      <c r="CX164" s="198">
        <v>0</v>
      </c>
      <c r="CY164" s="198">
        <v>0</v>
      </c>
      <c r="CZ164" s="198">
        <v>0</v>
      </c>
      <c r="DA164" s="198" t="s">
        <v>479</v>
      </c>
      <c r="DB164" s="198" t="s">
        <v>5687</v>
      </c>
      <c r="DC164" s="83">
        <v>877</v>
      </c>
      <c r="DD164" s="198" t="s">
        <v>479</v>
      </c>
      <c r="DE164" s="198" t="s">
        <v>5412</v>
      </c>
      <c r="DF164" s="83">
        <v>43</v>
      </c>
      <c r="DG164" s="83" t="s">
        <v>470</v>
      </c>
      <c r="DH164" s="83" t="s">
        <v>470</v>
      </c>
      <c r="DI164" s="83">
        <v>0</v>
      </c>
      <c r="DJ164" s="83" t="s">
        <v>470</v>
      </c>
      <c r="DK164" s="83" t="s">
        <v>470</v>
      </c>
      <c r="DL164" s="83">
        <v>0</v>
      </c>
      <c r="DM164" s="198" t="s">
        <v>470</v>
      </c>
      <c r="DN164" s="198" t="s">
        <v>470</v>
      </c>
      <c r="DO164" s="198">
        <v>0</v>
      </c>
      <c r="DP164" s="198" t="s">
        <v>479</v>
      </c>
      <c r="DQ164" s="198" t="s">
        <v>5486</v>
      </c>
      <c r="DR164" s="198">
        <v>0</v>
      </c>
      <c r="DS164" s="198" t="s">
        <v>470</v>
      </c>
      <c r="DT164" s="198" t="s">
        <v>470</v>
      </c>
      <c r="DU164" s="198">
        <v>0</v>
      </c>
      <c r="DV164" s="198" t="s">
        <v>470</v>
      </c>
      <c r="DW164" s="198" t="s">
        <v>470</v>
      </c>
      <c r="DX164" s="198">
        <v>0</v>
      </c>
      <c r="DY164" s="198" t="s">
        <v>470</v>
      </c>
      <c r="DZ164" s="198" t="s">
        <v>470</v>
      </c>
      <c r="EA164" s="198">
        <v>0</v>
      </c>
      <c r="EB164" s="198" t="s">
        <v>479</v>
      </c>
      <c r="EC164" s="198" t="s">
        <v>5412</v>
      </c>
      <c r="ED164" s="83">
        <v>43</v>
      </c>
      <c r="EE164" s="198" t="s">
        <v>470</v>
      </c>
      <c r="EF164" s="198" t="s">
        <v>470</v>
      </c>
      <c r="EG164" s="198">
        <v>0</v>
      </c>
      <c r="EH164" s="198" t="s">
        <v>470</v>
      </c>
      <c r="EI164" s="198" t="s">
        <v>470</v>
      </c>
      <c r="EJ164" s="198">
        <v>0</v>
      </c>
      <c r="EK164" s="198" t="s">
        <v>470</v>
      </c>
      <c r="EL164" s="198" t="s">
        <v>470</v>
      </c>
      <c r="EM164" s="198">
        <v>0</v>
      </c>
      <c r="EN164" s="198" t="s">
        <v>479</v>
      </c>
      <c r="EO164" s="198" t="s">
        <v>5354</v>
      </c>
      <c r="EP164" s="83">
        <v>7</v>
      </c>
      <c r="EQ164" s="198" t="s">
        <v>470</v>
      </c>
      <c r="ER164" s="198" t="s">
        <v>470</v>
      </c>
      <c r="ES164" s="198">
        <v>0</v>
      </c>
      <c r="ET164" s="198" t="s">
        <v>470</v>
      </c>
      <c r="EU164" s="198" t="s">
        <v>470</v>
      </c>
      <c r="EV164" s="198">
        <v>0</v>
      </c>
      <c r="EW164" s="198"/>
      <c r="EX164" s="198"/>
      <c r="EY164" s="198"/>
      <c r="EZ164" s="198" t="s">
        <v>470</v>
      </c>
      <c r="FA164" s="198" t="s">
        <v>470</v>
      </c>
      <c r="FB164" s="198" t="s">
        <v>470</v>
      </c>
      <c r="FC164" s="844" t="s">
        <v>4998</v>
      </c>
      <c r="FD164" s="198" t="s">
        <v>470</v>
      </c>
      <c r="FE164" s="198" t="s">
        <v>4830</v>
      </c>
      <c r="FF164" s="198" t="s">
        <v>470</v>
      </c>
      <c r="FG164" s="198" t="s">
        <v>470</v>
      </c>
      <c r="FH164" s="198">
        <v>0</v>
      </c>
      <c r="FI164" s="198">
        <v>0</v>
      </c>
      <c r="FJ164" s="198" t="s">
        <v>4483</v>
      </c>
      <c r="FK164" s="198" t="s">
        <v>4267</v>
      </c>
      <c r="FL164" s="198" t="s">
        <v>4078</v>
      </c>
      <c r="FM164" s="198"/>
      <c r="FN164" s="198"/>
      <c r="FO164" s="198"/>
      <c r="FP164" s="97"/>
      <c r="FQ164" s="97"/>
      <c r="FR164" s="97"/>
      <c r="FS164" s="97"/>
      <c r="FT164" s="97"/>
      <c r="FU164" s="97"/>
      <c r="FV164" s="97"/>
      <c r="FW164" s="97"/>
      <c r="FX164" s="97"/>
      <c r="FY164" s="97"/>
      <c r="FZ164" s="97"/>
      <c r="GA164" s="872"/>
      <c r="GB164" s="97"/>
      <c r="GC164" s="97"/>
      <c r="GD164" s="97"/>
      <c r="GE164" s="97"/>
      <c r="GF164" s="97"/>
      <c r="GG164" s="97"/>
      <c r="GH164" s="97"/>
      <c r="GI164" s="97"/>
      <c r="GJ164" s="97"/>
      <c r="GK164" s="97"/>
      <c r="GL164" s="97"/>
      <c r="GM164" s="97"/>
    </row>
    <row r="165" spans="4:195" ht="28" customHeight="1" x14ac:dyDescent="0.2">
      <c r="E165" s="94" t="s">
        <v>9305</v>
      </c>
      <c r="F165" s="94" t="s">
        <v>9121</v>
      </c>
      <c r="G165" s="97" t="s">
        <v>326</v>
      </c>
      <c r="H165" s="97" t="s">
        <v>407</v>
      </c>
      <c r="I165" s="97" t="s">
        <v>8782</v>
      </c>
      <c r="J165" s="97" t="s">
        <v>8554</v>
      </c>
      <c r="K165" s="97" t="s">
        <v>1414</v>
      </c>
      <c r="L165" s="502">
        <v>2022</v>
      </c>
      <c r="M165" s="841">
        <v>44571</v>
      </c>
      <c r="N165" s="841">
        <v>44920</v>
      </c>
      <c r="O165" s="841"/>
      <c r="P165" s="841"/>
      <c r="Q165" s="841"/>
      <c r="R165" s="841"/>
      <c r="S165" s="841"/>
      <c r="T165" s="841"/>
      <c r="U165" s="841"/>
      <c r="V165" s="841"/>
      <c r="W165" s="841"/>
      <c r="X165" s="841"/>
      <c r="Y165" s="841"/>
      <c r="Z165" s="97" t="s">
        <v>8129</v>
      </c>
      <c r="AA165" s="546" t="s">
        <v>7978</v>
      </c>
      <c r="AB165" s="97" t="s">
        <v>7830</v>
      </c>
      <c r="AC165" s="546" t="s">
        <v>7657</v>
      </c>
      <c r="AD165" s="97" t="s">
        <v>7501</v>
      </c>
      <c r="AE165" s="872" t="s">
        <v>7306</v>
      </c>
      <c r="AF165" s="97" t="s">
        <v>470</v>
      </c>
      <c r="AG165" s="97" t="s">
        <v>470</v>
      </c>
      <c r="AH165" s="97" t="s">
        <v>6532</v>
      </c>
      <c r="AI165" s="97" t="s">
        <v>6532</v>
      </c>
      <c r="AJ165" s="97" t="s">
        <v>6715</v>
      </c>
      <c r="AK165" s="97" t="s">
        <v>6532</v>
      </c>
      <c r="AL165" s="580">
        <f t="shared" si="12"/>
        <v>0.37</v>
      </c>
      <c r="AM165" s="504">
        <v>0.37</v>
      </c>
      <c r="AN165" s="516"/>
      <c r="AO165" s="97"/>
      <c r="AP165" s="97"/>
      <c r="AQ165" s="504">
        <v>0.37</v>
      </c>
      <c r="AR165" s="507">
        <v>1</v>
      </c>
      <c r="AS165" s="507">
        <v>3.6900000000000002E-2</v>
      </c>
      <c r="AT165" s="516">
        <v>0</v>
      </c>
      <c r="AU165" s="507">
        <v>0</v>
      </c>
      <c r="AV165" s="516">
        <v>0</v>
      </c>
      <c r="AW165" s="507">
        <v>0</v>
      </c>
      <c r="AX165" s="516">
        <v>0</v>
      </c>
      <c r="AY165" s="507">
        <v>0</v>
      </c>
      <c r="AZ165" s="516"/>
      <c r="BA165" s="507"/>
      <c r="BB165" s="507"/>
      <c r="BC165" s="507"/>
      <c r="BD165" s="507"/>
      <c r="BE165" s="507" t="s">
        <v>479</v>
      </c>
      <c r="BF165" s="97" t="s">
        <v>6314</v>
      </c>
      <c r="BG165" s="507" t="s">
        <v>470</v>
      </c>
      <c r="BH165" s="852" t="s">
        <v>470</v>
      </c>
      <c r="BI165" s="504">
        <v>0.3</v>
      </c>
      <c r="BJ165" s="507">
        <v>3.27E-2</v>
      </c>
      <c r="BK165" s="96">
        <v>4</v>
      </c>
      <c r="BL165" s="96">
        <v>4</v>
      </c>
      <c r="BM165" s="96">
        <v>2</v>
      </c>
      <c r="BN165" s="96">
        <v>0</v>
      </c>
      <c r="BO165" s="96">
        <v>1</v>
      </c>
      <c r="BP165" s="96">
        <v>0</v>
      </c>
      <c r="BQ165" s="96">
        <v>0</v>
      </c>
      <c r="BR165" s="96">
        <v>0</v>
      </c>
      <c r="BS165" s="96">
        <v>0</v>
      </c>
      <c r="BT165" s="96">
        <v>0</v>
      </c>
      <c r="BU165" s="96">
        <v>0</v>
      </c>
      <c r="BV165" s="96">
        <v>0</v>
      </c>
      <c r="BW165" s="96">
        <v>0</v>
      </c>
      <c r="BX165" s="96">
        <v>0</v>
      </c>
      <c r="BY165" s="96">
        <v>0</v>
      </c>
      <c r="BZ165" s="96">
        <v>0</v>
      </c>
      <c r="CA165" s="96">
        <v>0</v>
      </c>
      <c r="CB165" s="96">
        <v>0</v>
      </c>
      <c r="CC165" s="96">
        <v>0</v>
      </c>
      <c r="CD165" s="96">
        <v>0</v>
      </c>
      <c r="CE165" s="96">
        <v>0</v>
      </c>
      <c r="CF165" s="96">
        <v>0</v>
      </c>
      <c r="CG165" s="96">
        <v>0</v>
      </c>
      <c r="CH165" s="96">
        <v>0</v>
      </c>
      <c r="CI165" s="96">
        <v>0</v>
      </c>
      <c r="CJ165" s="96">
        <v>0</v>
      </c>
      <c r="CK165" s="96">
        <v>1</v>
      </c>
      <c r="CL165" s="815">
        <f t="shared" si="14"/>
        <v>2</v>
      </c>
      <c r="CM165" s="824">
        <f t="shared" si="13"/>
        <v>0</v>
      </c>
      <c r="CN165" s="504">
        <v>1.3</v>
      </c>
      <c r="CO165" s="97" t="s">
        <v>6126</v>
      </c>
      <c r="CP165" s="97" t="s">
        <v>470</v>
      </c>
      <c r="CQ165" s="97">
        <v>100</v>
      </c>
      <c r="CR165" s="504">
        <v>1.33</v>
      </c>
      <c r="CS165" s="97" t="s">
        <v>470</v>
      </c>
      <c r="CT165" s="97" t="s">
        <v>470</v>
      </c>
      <c r="CU165" s="97" t="s">
        <v>470</v>
      </c>
      <c r="CV165" s="97" t="s">
        <v>470</v>
      </c>
      <c r="CW165" s="97" t="s">
        <v>470</v>
      </c>
      <c r="CX165" s="97">
        <v>0</v>
      </c>
      <c r="CY165" s="97">
        <v>0</v>
      </c>
      <c r="CZ165" s="97">
        <v>0</v>
      </c>
      <c r="DA165" s="97" t="s">
        <v>479</v>
      </c>
      <c r="DB165" s="97" t="s">
        <v>5687</v>
      </c>
      <c r="DC165" s="96">
        <v>70</v>
      </c>
      <c r="DD165" s="97" t="s">
        <v>479</v>
      </c>
      <c r="DE165" s="97" t="s">
        <v>5640</v>
      </c>
      <c r="DF165" s="96">
        <v>35</v>
      </c>
      <c r="DG165" s="96" t="s">
        <v>479</v>
      </c>
      <c r="DH165" s="96" t="s">
        <v>5562</v>
      </c>
      <c r="DI165" s="96">
        <v>70</v>
      </c>
      <c r="DJ165" s="96" t="s">
        <v>470</v>
      </c>
      <c r="DK165" s="96" t="s">
        <v>470</v>
      </c>
      <c r="DL165" s="96">
        <v>0</v>
      </c>
      <c r="DM165" s="97" t="s">
        <v>470</v>
      </c>
      <c r="DN165" s="97" t="s">
        <v>470</v>
      </c>
      <c r="DO165" s="97">
        <v>0</v>
      </c>
      <c r="DP165" s="97" t="s">
        <v>479</v>
      </c>
      <c r="DQ165" s="97" t="s">
        <v>5486</v>
      </c>
      <c r="DR165" s="97">
        <v>0</v>
      </c>
      <c r="DS165" s="97" t="s">
        <v>470</v>
      </c>
      <c r="DT165" s="97" t="s">
        <v>470</v>
      </c>
      <c r="DU165" s="97">
        <v>0</v>
      </c>
      <c r="DV165" s="97" t="s">
        <v>470</v>
      </c>
      <c r="DW165" s="97" t="s">
        <v>470</v>
      </c>
      <c r="DX165" s="97">
        <v>0</v>
      </c>
      <c r="DY165" s="97" t="s">
        <v>470</v>
      </c>
      <c r="DZ165" s="97" t="s">
        <v>470</v>
      </c>
      <c r="EA165" s="97">
        <v>0</v>
      </c>
      <c r="EB165" s="97" t="s">
        <v>479</v>
      </c>
      <c r="EC165" s="97" t="s">
        <v>5414</v>
      </c>
      <c r="ED165" s="96">
        <v>35</v>
      </c>
      <c r="EE165" s="97" t="s">
        <v>470</v>
      </c>
      <c r="EF165" s="97" t="s">
        <v>470</v>
      </c>
      <c r="EG165" s="97">
        <v>0</v>
      </c>
      <c r="EH165" s="97" t="s">
        <v>470</v>
      </c>
      <c r="EI165" s="97" t="s">
        <v>470</v>
      </c>
      <c r="EJ165" s="97">
        <v>0</v>
      </c>
      <c r="EK165" s="97" t="s">
        <v>470</v>
      </c>
      <c r="EL165" s="97" t="s">
        <v>470</v>
      </c>
      <c r="EM165" s="97">
        <v>0</v>
      </c>
      <c r="EN165" s="97" t="s">
        <v>479</v>
      </c>
      <c r="EO165" s="97" t="s">
        <v>5307</v>
      </c>
      <c r="EP165" s="96">
        <v>7</v>
      </c>
      <c r="EQ165" s="97" t="s">
        <v>470</v>
      </c>
      <c r="ER165" s="97" t="s">
        <v>470</v>
      </c>
      <c r="ES165" s="97">
        <v>0</v>
      </c>
      <c r="ET165" s="97" t="s">
        <v>470</v>
      </c>
      <c r="EU165" s="97" t="s">
        <v>470</v>
      </c>
      <c r="EV165" s="97">
        <v>0</v>
      </c>
      <c r="EW165" s="97"/>
      <c r="EX165" s="97"/>
      <c r="EY165" s="97"/>
      <c r="EZ165" s="97" t="s">
        <v>470</v>
      </c>
      <c r="FA165" s="97" t="s">
        <v>470</v>
      </c>
      <c r="FB165" s="97" t="s">
        <v>470</v>
      </c>
      <c r="FC165" s="872" t="s">
        <v>4997</v>
      </c>
      <c r="FD165" s="97" t="s">
        <v>470</v>
      </c>
      <c r="FE165" s="97" t="s">
        <v>4829</v>
      </c>
      <c r="FF165" s="97" t="s">
        <v>470</v>
      </c>
      <c r="FG165" s="97" t="s">
        <v>470</v>
      </c>
      <c r="FH165" s="97">
        <v>0</v>
      </c>
      <c r="FI165" s="97">
        <v>0</v>
      </c>
      <c r="FJ165" s="97" t="s">
        <v>4482</v>
      </c>
      <c r="FK165" s="97" t="s">
        <v>4266</v>
      </c>
      <c r="FL165" s="872" t="s">
        <v>4077</v>
      </c>
      <c r="FM165" s="97"/>
      <c r="FN165" s="97"/>
      <c r="FO165" s="97"/>
    </row>
    <row r="166" spans="4:195" ht="36" customHeight="1" x14ac:dyDescent="0.2">
      <c r="E166" s="94" t="s">
        <v>9305</v>
      </c>
      <c r="F166" s="94" t="s">
        <v>9121</v>
      </c>
      <c r="G166" s="97" t="s">
        <v>326</v>
      </c>
      <c r="H166" s="97" t="s">
        <v>407</v>
      </c>
      <c r="I166" s="97" t="s">
        <v>8781</v>
      </c>
      <c r="J166" s="97" t="s">
        <v>8553</v>
      </c>
      <c r="K166" s="97" t="s">
        <v>1414</v>
      </c>
      <c r="L166" s="502">
        <v>2022</v>
      </c>
      <c r="M166" s="841">
        <v>44576</v>
      </c>
      <c r="N166" s="841">
        <v>44926</v>
      </c>
      <c r="O166" s="841"/>
      <c r="P166" s="841"/>
      <c r="Q166" s="841"/>
      <c r="R166" s="841"/>
      <c r="S166" s="841"/>
      <c r="T166" s="841"/>
      <c r="U166" s="841"/>
      <c r="V166" s="841"/>
      <c r="W166" s="841"/>
      <c r="X166" s="841"/>
      <c r="Y166" s="841"/>
      <c r="Z166" s="97" t="s">
        <v>8128</v>
      </c>
      <c r="AA166" s="872" t="s">
        <v>7977</v>
      </c>
      <c r="AB166" s="97" t="s">
        <v>7829</v>
      </c>
      <c r="AC166" s="872" t="s">
        <v>7656</v>
      </c>
      <c r="AD166" s="97" t="s">
        <v>7500</v>
      </c>
      <c r="AE166" s="546" t="s">
        <v>7305</v>
      </c>
      <c r="AF166" s="97" t="s">
        <v>470</v>
      </c>
      <c r="AG166" s="97" t="s">
        <v>470</v>
      </c>
      <c r="AH166" s="97" t="s">
        <v>6531</v>
      </c>
      <c r="AI166" s="97" t="s">
        <v>6531</v>
      </c>
      <c r="AJ166" s="97" t="s">
        <v>6714</v>
      </c>
      <c r="AK166" s="97" t="s">
        <v>6531</v>
      </c>
      <c r="AL166" s="580">
        <f t="shared" si="12"/>
        <v>4.7</v>
      </c>
      <c r="AM166" s="504">
        <v>4.7</v>
      </c>
      <c r="AN166" s="516"/>
      <c r="AO166" s="97"/>
      <c r="AP166" s="97"/>
      <c r="AQ166" s="97">
        <v>4.7</v>
      </c>
      <c r="AR166" s="507">
        <v>1</v>
      </c>
      <c r="AS166" s="507">
        <v>7.2099999999999997E-2</v>
      </c>
      <c r="AT166" s="516">
        <v>0</v>
      </c>
      <c r="AU166" s="507">
        <v>0</v>
      </c>
      <c r="AV166" s="516">
        <v>0</v>
      </c>
      <c r="AW166" s="507">
        <v>0</v>
      </c>
      <c r="AX166" s="516">
        <v>0</v>
      </c>
      <c r="AY166" s="507">
        <v>0</v>
      </c>
      <c r="AZ166" s="516"/>
      <c r="BA166" s="507"/>
      <c r="BB166" s="507"/>
      <c r="BC166" s="507"/>
      <c r="BD166" s="507"/>
      <c r="BE166" s="507" t="s">
        <v>479</v>
      </c>
      <c r="BF166" s="97" t="s">
        <v>6315</v>
      </c>
      <c r="BG166" s="97" t="s">
        <v>6237</v>
      </c>
      <c r="BH166" s="852">
        <v>0</v>
      </c>
      <c r="BI166" s="504">
        <v>0</v>
      </c>
      <c r="BJ166" s="507">
        <v>0</v>
      </c>
      <c r="BK166" s="96">
        <v>4</v>
      </c>
      <c r="BL166" s="96">
        <v>4</v>
      </c>
      <c r="BM166" s="96">
        <v>1</v>
      </c>
      <c r="BN166" s="96">
        <v>0</v>
      </c>
      <c r="BO166" s="96">
        <v>0</v>
      </c>
      <c r="BP166" s="96">
        <v>0</v>
      </c>
      <c r="BQ166" s="96">
        <v>0</v>
      </c>
      <c r="BR166" s="96">
        <v>0</v>
      </c>
      <c r="BS166" s="96">
        <v>0</v>
      </c>
      <c r="BT166" s="96">
        <v>0</v>
      </c>
      <c r="BU166" s="96">
        <v>0</v>
      </c>
      <c r="BV166" s="96">
        <v>0</v>
      </c>
      <c r="BW166" s="96">
        <v>0</v>
      </c>
      <c r="BX166" s="96">
        <v>0</v>
      </c>
      <c r="BY166" s="96">
        <v>1</v>
      </c>
      <c r="BZ166" s="96">
        <v>0</v>
      </c>
      <c r="CA166" s="96">
        <v>0</v>
      </c>
      <c r="CB166" s="96">
        <v>0</v>
      </c>
      <c r="CC166" s="96">
        <v>0</v>
      </c>
      <c r="CD166" s="96">
        <v>0</v>
      </c>
      <c r="CE166" s="96">
        <v>0</v>
      </c>
      <c r="CF166" s="96">
        <v>0</v>
      </c>
      <c r="CG166" s="96">
        <v>0</v>
      </c>
      <c r="CH166" s="96">
        <v>0</v>
      </c>
      <c r="CI166" s="96">
        <v>0</v>
      </c>
      <c r="CJ166" s="96">
        <v>0</v>
      </c>
      <c r="CK166" s="96">
        <v>0</v>
      </c>
      <c r="CL166" s="815">
        <f t="shared" si="14"/>
        <v>1</v>
      </c>
      <c r="CM166" s="824">
        <f t="shared" si="13"/>
        <v>0</v>
      </c>
      <c r="CN166" s="504">
        <v>4.7690000000000001</v>
      </c>
      <c r="CO166" s="97" t="s">
        <v>6126</v>
      </c>
      <c r="CP166" s="97" t="s">
        <v>470</v>
      </c>
      <c r="CQ166" s="97">
        <v>89.9</v>
      </c>
      <c r="CR166" s="504">
        <v>5.3049999999999997</v>
      </c>
      <c r="CS166" s="97" t="s">
        <v>470</v>
      </c>
      <c r="CT166" s="97" t="s">
        <v>470</v>
      </c>
      <c r="CU166" s="97" t="s">
        <v>470</v>
      </c>
      <c r="CV166" s="97" t="s">
        <v>470</v>
      </c>
      <c r="CW166" s="97" t="s">
        <v>470</v>
      </c>
      <c r="CX166" s="97">
        <v>0</v>
      </c>
      <c r="CY166" s="97">
        <v>0</v>
      </c>
      <c r="CZ166" s="97">
        <v>0</v>
      </c>
      <c r="DA166" s="97" t="s">
        <v>479</v>
      </c>
      <c r="DB166" s="97" t="s">
        <v>5687</v>
      </c>
      <c r="DC166" s="96">
        <v>1720</v>
      </c>
      <c r="DD166" s="97" t="s">
        <v>479</v>
      </c>
      <c r="DE166" s="97" t="s">
        <v>5355</v>
      </c>
      <c r="DF166" s="96">
        <v>30</v>
      </c>
      <c r="DG166" s="96" t="s">
        <v>470</v>
      </c>
      <c r="DH166" s="96" t="s">
        <v>470</v>
      </c>
      <c r="DI166" s="96">
        <v>0</v>
      </c>
      <c r="DJ166" s="96" t="s">
        <v>470</v>
      </c>
      <c r="DK166" s="96" t="s">
        <v>470</v>
      </c>
      <c r="DL166" s="96">
        <v>0</v>
      </c>
      <c r="DM166" s="97" t="s">
        <v>470</v>
      </c>
      <c r="DN166" s="97" t="s">
        <v>470</v>
      </c>
      <c r="DO166" s="97">
        <v>0</v>
      </c>
      <c r="DP166" s="97" t="s">
        <v>470</v>
      </c>
      <c r="DQ166" s="97" t="s">
        <v>470</v>
      </c>
      <c r="DR166" s="97">
        <v>0</v>
      </c>
      <c r="DS166" s="97" t="s">
        <v>470</v>
      </c>
      <c r="DT166" s="97" t="s">
        <v>470</v>
      </c>
      <c r="DU166" s="97">
        <v>0</v>
      </c>
      <c r="DV166" s="97" t="s">
        <v>470</v>
      </c>
      <c r="DW166" s="97" t="s">
        <v>470</v>
      </c>
      <c r="DX166" s="97">
        <v>0</v>
      </c>
      <c r="DY166" s="97" t="s">
        <v>470</v>
      </c>
      <c r="DZ166" s="97" t="s">
        <v>470</v>
      </c>
      <c r="EA166" s="97">
        <v>0</v>
      </c>
      <c r="EB166" s="97" t="s">
        <v>479</v>
      </c>
      <c r="EC166" s="97" t="s">
        <v>5355</v>
      </c>
      <c r="ED166" s="96">
        <v>30</v>
      </c>
      <c r="EE166" s="97" t="s">
        <v>470</v>
      </c>
      <c r="EF166" s="97" t="s">
        <v>470</v>
      </c>
      <c r="EG166" s="97">
        <v>0</v>
      </c>
      <c r="EH166" s="97" t="s">
        <v>470</v>
      </c>
      <c r="EI166" s="97" t="s">
        <v>470</v>
      </c>
      <c r="EJ166" s="97">
        <v>0</v>
      </c>
      <c r="EK166" s="97" t="s">
        <v>470</v>
      </c>
      <c r="EL166" s="97" t="s">
        <v>470</v>
      </c>
      <c r="EM166" s="97">
        <v>0</v>
      </c>
      <c r="EN166" s="97" t="s">
        <v>479</v>
      </c>
      <c r="EO166" s="97" t="s">
        <v>5355</v>
      </c>
      <c r="EP166" s="96">
        <v>7</v>
      </c>
      <c r="EQ166" s="97" t="s">
        <v>470</v>
      </c>
      <c r="ER166" s="97" t="s">
        <v>470</v>
      </c>
      <c r="ES166" s="97">
        <v>0</v>
      </c>
      <c r="ET166" s="97" t="s">
        <v>470</v>
      </c>
      <c r="EU166" s="97" t="s">
        <v>470</v>
      </c>
      <c r="EV166" s="97">
        <v>0</v>
      </c>
      <c r="EW166" s="97"/>
      <c r="EX166" s="97"/>
      <c r="EY166" s="97"/>
      <c r="EZ166" s="97" t="s">
        <v>470</v>
      </c>
      <c r="FA166" s="97" t="s">
        <v>470</v>
      </c>
      <c r="FB166" s="97" t="s">
        <v>470</v>
      </c>
      <c r="FC166" s="872" t="s">
        <v>4996</v>
      </c>
      <c r="FD166" s="97" t="s">
        <v>470</v>
      </c>
      <c r="FE166" s="97" t="s">
        <v>4828</v>
      </c>
      <c r="FF166" s="97" t="s">
        <v>470</v>
      </c>
      <c r="FG166" s="97" t="s">
        <v>470</v>
      </c>
      <c r="FH166" s="97">
        <v>0</v>
      </c>
      <c r="FI166" s="97">
        <v>0</v>
      </c>
      <c r="FJ166" s="97" t="s">
        <v>4481</v>
      </c>
      <c r="FK166" s="97" t="s">
        <v>4265</v>
      </c>
      <c r="FL166" s="97" t="s">
        <v>4076</v>
      </c>
      <c r="FM166" s="97"/>
      <c r="FN166" s="97"/>
      <c r="FO166" s="97"/>
    </row>
    <row r="167" spans="4:195" ht="28" customHeight="1" x14ac:dyDescent="0.2">
      <c r="E167" s="94" t="s">
        <v>9305</v>
      </c>
      <c r="F167" s="94" t="s">
        <v>9121</v>
      </c>
      <c r="G167" s="97" t="s">
        <v>326</v>
      </c>
      <c r="H167" s="97" t="s">
        <v>407</v>
      </c>
      <c r="I167" s="97" t="s">
        <v>8780</v>
      </c>
      <c r="J167" s="97" t="s">
        <v>8552</v>
      </c>
      <c r="K167" s="97" t="s">
        <v>1414</v>
      </c>
      <c r="L167" s="502">
        <v>2022</v>
      </c>
      <c r="M167" s="841">
        <v>44704</v>
      </c>
      <c r="N167" s="841">
        <v>44847</v>
      </c>
      <c r="O167" s="841"/>
      <c r="P167" s="841"/>
      <c r="Q167" s="841"/>
      <c r="R167" s="841"/>
      <c r="S167" s="841"/>
      <c r="T167" s="841"/>
      <c r="U167" s="841"/>
      <c r="V167" s="841"/>
      <c r="W167" s="841"/>
      <c r="X167" s="841"/>
      <c r="Y167" s="841"/>
      <c r="Z167" s="97" t="s">
        <v>8127</v>
      </c>
      <c r="AA167" s="872" t="s">
        <v>7976</v>
      </c>
      <c r="AB167" s="97" t="s">
        <v>7828</v>
      </c>
      <c r="AC167" s="872" t="s">
        <v>7655</v>
      </c>
      <c r="AD167" s="97" t="s">
        <v>7499</v>
      </c>
      <c r="AE167" s="872" t="s">
        <v>7304</v>
      </c>
      <c r="AF167" s="97" t="s">
        <v>470</v>
      </c>
      <c r="AG167" s="97" t="s">
        <v>470</v>
      </c>
      <c r="AH167" s="97" t="s">
        <v>6530</v>
      </c>
      <c r="AI167" s="97" t="s">
        <v>6530</v>
      </c>
      <c r="AJ167" s="97" t="s">
        <v>6714</v>
      </c>
      <c r="AK167" s="97" t="s">
        <v>6530</v>
      </c>
      <c r="AL167" s="580">
        <f t="shared" si="12"/>
        <v>0.185</v>
      </c>
      <c r="AM167" s="504">
        <v>0.185</v>
      </c>
      <c r="AN167" s="516"/>
      <c r="AO167" s="97"/>
      <c r="AP167" s="97"/>
      <c r="AQ167" s="504">
        <v>0.185</v>
      </c>
      <c r="AR167" s="507">
        <v>1</v>
      </c>
      <c r="AS167" s="507">
        <v>2.7000000000000001E-3</v>
      </c>
      <c r="AT167" s="516">
        <v>0</v>
      </c>
      <c r="AU167" s="507">
        <v>0</v>
      </c>
      <c r="AV167" s="516">
        <v>0</v>
      </c>
      <c r="AW167" s="507">
        <v>0</v>
      </c>
      <c r="AX167" s="516">
        <v>0</v>
      </c>
      <c r="AY167" s="507">
        <v>0</v>
      </c>
      <c r="AZ167" s="516"/>
      <c r="BA167" s="507"/>
      <c r="BB167" s="507"/>
      <c r="BC167" s="507"/>
      <c r="BD167" s="507"/>
      <c r="BE167" s="507" t="s">
        <v>479</v>
      </c>
      <c r="BF167" s="97" t="s">
        <v>6314</v>
      </c>
      <c r="BG167" s="507" t="s">
        <v>470</v>
      </c>
      <c r="BH167" s="852">
        <v>0</v>
      </c>
      <c r="BI167" s="504">
        <v>0</v>
      </c>
      <c r="BJ167" s="507">
        <v>0</v>
      </c>
      <c r="BK167" s="96">
        <v>4</v>
      </c>
      <c r="BL167" s="96">
        <v>2</v>
      </c>
      <c r="BM167" s="96">
        <v>2</v>
      </c>
      <c r="BN167" s="96">
        <v>0</v>
      </c>
      <c r="BO167" s="96">
        <v>0</v>
      </c>
      <c r="BP167" s="96">
        <v>0</v>
      </c>
      <c r="BQ167" s="96">
        <v>0</v>
      </c>
      <c r="BR167" s="96">
        <v>0</v>
      </c>
      <c r="BS167" s="96">
        <v>0</v>
      </c>
      <c r="BT167" s="96">
        <v>0</v>
      </c>
      <c r="BU167" s="96">
        <v>0</v>
      </c>
      <c r="BV167" s="96">
        <v>0</v>
      </c>
      <c r="BW167" s="96">
        <v>0</v>
      </c>
      <c r="BX167" s="96">
        <v>0</v>
      </c>
      <c r="BY167" s="96">
        <v>1</v>
      </c>
      <c r="BZ167" s="96">
        <v>0</v>
      </c>
      <c r="CA167" s="96">
        <v>0</v>
      </c>
      <c r="CB167" s="96">
        <v>0</v>
      </c>
      <c r="CC167" s="96">
        <v>0</v>
      </c>
      <c r="CD167" s="96">
        <v>0</v>
      </c>
      <c r="CE167" s="96">
        <v>0</v>
      </c>
      <c r="CF167" s="96">
        <v>0</v>
      </c>
      <c r="CG167" s="96">
        <v>0</v>
      </c>
      <c r="CH167" s="96">
        <v>0</v>
      </c>
      <c r="CI167" s="96">
        <v>0</v>
      </c>
      <c r="CJ167" s="96">
        <v>0</v>
      </c>
      <c r="CK167" s="96">
        <v>1</v>
      </c>
      <c r="CL167" s="815">
        <f t="shared" si="14"/>
        <v>2</v>
      </c>
      <c r="CM167" s="824">
        <f t="shared" si="13"/>
        <v>0</v>
      </c>
      <c r="CN167" s="504">
        <v>1.806</v>
      </c>
      <c r="CO167" s="97" t="s">
        <v>6126</v>
      </c>
      <c r="CP167" s="97" t="s">
        <v>470</v>
      </c>
      <c r="CQ167" s="97">
        <v>80.7</v>
      </c>
      <c r="CR167" s="504">
        <v>2.2370000000000001</v>
      </c>
      <c r="CS167" s="507" t="s">
        <v>5898</v>
      </c>
      <c r="CT167" s="97" t="s">
        <v>470</v>
      </c>
      <c r="CU167" s="97" t="s">
        <v>470</v>
      </c>
      <c r="CV167" s="97" t="s">
        <v>470</v>
      </c>
      <c r="CW167" s="97" t="s">
        <v>470</v>
      </c>
      <c r="CX167" s="97">
        <v>0</v>
      </c>
      <c r="CY167" s="97">
        <v>0</v>
      </c>
      <c r="CZ167" s="97">
        <v>2</v>
      </c>
      <c r="DA167" s="97" t="s">
        <v>479</v>
      </c>
      <c r="DB167" s="97" t="s">
        <v>5710</v>
      </c>
      <c r="DC167" s="96">
        <v>689</v>
      </c>
      <c r="DD167" s="97" t="s">
        <v>479</v>
      </c>
      <c r="DE167" s="97" t="s">
        <v>5639</v>
      </c>
      <c r="DF167" s="96">
        <v>45</v>
      </c>
      <c r="DG167" s="96" t="s">
        <v>470</v>
      </c>
      <c r="DH167" s="96" t="s">
        <v>470</v>
      </c>
      <c r="DI167" s="96">
        <v>0</v>
      </c>
      <c r="DJ167" s="96" t="s">
        <v>470</v>
      </c>
      <c r="DK167" s="96" t="s">
        <v>470</v>
      </c>
      <c r="DL167" s="96">
        <v>0</v>
      </c>
      <c r="DM167" s="97" t="s">
        <v>470</v>
      </c>
      <c r="DN167" s="97" t="s">
        <v>470</v>
      </c>
      <c r="DO167" s="97">
        <v>0</v>
      </c>
      <c r="DP167" s="97" t="s">
        <v>470</v>
      </c>
      <c r="DQ167" s="97" t="s">
        <v>470</v>
      </c>
      <c r="DR167" s="97">
        <v>0</v>
      </c>
      <c r="DS167" s="97" t="s">
        <v>470</v>
      </c>
      <c r="DT167" s="97" t="s">
        <v>470</v>
      </c>
      <c r="DU167" s="97">
        <v>0</v>
      </c>
      <c r="DV167" s="97" t="s">
        <v>470</v>
      </c>
      <c r="DW167" s="97" t="s">
        <v>470</v>
      </c>
      <c r="DX167" s="97">
        <v>0</v>
      </c>
      <c r="DY167" s="97" t="s">
        <v>470</v>
      </c>
      <c r="DZ167" s="97" t="s">
        <v>470</v>
      </c>
      <c r="EA167" s="97">
        <v>0</v>
      </c>
      <c r="EB167" s="97" t="s">
        <v>479</v>
      </c>
      <c r="EC167" s="97" t="s">
        <v>5413</v>
      </c>
      <c r="ED167" s="96">
        <v>45</v>
      </c>
      <c r="EE167" s="97" t="s">
        <v>470</v>
      </c>
      <c r="EF167" s="97" t="s">
        <v>470</v>
      </c>
      <c r="EG167" s="97">
        <v>0</v>
      </c>
      <c r="EH167" s="97" t="s">
        <v>470</v>
      </c>
      <c r="EI167" s="97" t="s">
        <v>470</v>
      </c>
      <c r="EJ167" s="97">
        <v>0</v>
      </c>
      <c r="EK167" s="97" t="s">
        <v>470</v>
      </c>
      <c r="EL167" s="97" t="s">
        <v>470</v>
      </c>
      <c r="EM167" s="97">
        <v>0</v>
      </c>
      <c r="EN167" s="97" t="s">
        <v>479</v>
      </c>
      <c r="EO167" s="97" t="s">
        <v>5355</v>
      </c>
      <c r="EP167" s="96">
        <v>7</v>
      </c>
      <c r="EQ167" s="97" t="s">
        <v>470</v>
      </c>
      <c r="ER167" s="97" t="s">
        <v>470</v>
      </c>
      <c r="ES167" s="97">
        <v>0</v>
      </c>
      <c r="ET167" s="97" t="s">
        <v>470</v>
      </c>
      <c r="EU167" s="97" t="s">
        <v>470</v>
      </c>
      <c r="EV167" s="97">
        <v>0</v>
      </c>
      <c r="EW167" s="97"/>
      <c r="EX167" s="97"/>
      <c r="EY167" s="97"/>
      <c r="EZ167" s="97" t="s">
        <v>470</v>
      </c>
      <c r="FA167" s="97" t="s">
        <v>470</v>
      </c>
      <c r="FB167" s="97" t="s">
        <v>470</v>
      </c>
      <c r="FC167" s="872" t="s">
        <v>4995</v>
      </c>
      <c r="FD167" s="97" t="s">
        <v>470</v>
      </c>
      <c r="FE167" s="97" t="s">
        <v>4827</v>
      </c>
      <c r="FF167" s="97" t="s">
        <v>470</v>
      </c>
      <c r="FG167" s="97" t="s">
        <v>470</v>
      </c>
      <c r="FH167" s="97">
        <v>0</v>
      </c>
      <c r="FI167" s="97">
        <v>0</v>
      </c>
      <c r="FJ167" s="97" t="s">
        <v>4480</v>
      </c>
      <c r="FK167" s="97" t="s">
        <v>4264</v>
      </c>
      <c r="FL167" s="872" t="s">
        <v>4075</v>
      </c>
      <c r="FM167" s="97"/>
      <c r="FN167" s="97"/>
      <c r="FO167" s="97"/>
    </row>
    <row r="168" spans="4:195" ht="36" customHeight="1" x14ac:dyDescent="0.2">
      <c r="D168" s="93" t="s">
        <v>9317</v>
      </c>
      <c r="E168" s="94" t="s">
        <v>9305</v>
      </c>
      <c r="F168" s="94" t="s">
        <v>9121</v>
      </c>
      <c r="G168" s="97" t="s">
        <v>326</v>
      </c>
      <c r="H168" s="97" t="s">
        <v>407</v>
      </c>
      <c r="I168" s="97" t="s">
        <v>8779</v>
      </c>
      <c r="J168" s="97" t="s">
        <v>9618</v>
      </c>
      <c r="K168" s="97" t="s">
        <v>1414</v>
      </c>
      <c r="L168" s="502">
        <v>2022</v>
      </c>
      <c r="M168" s="841">
        <v>44573</v>
      </c>
      <c r="N168" s="841">
        <v>44599</v>
      </c>
      <c r="O168" s="841"/>
      <c r="P168" s="841"/>
      <c r="Q168" s="841"/>
      <c r="R168" s="841"/>
      <c r="S168" s="841"/>
      <c r="T168" s="841"/>
      <c r="U168" s="841"/>
      <c r="V168" s="841"/>
      <c r="W168" s="841"/>
      <c r="X168" s="841"/>
      <c r="Y168" s="841"/>
      <c r="Z168" s="97" t="s">
        <v>8126</v>
      </c>
      <c r="AA168" s="546" t="s">
        <v>7975</v>
      </c>
      <c r="AB168" s="97" t="s">
        <v>7827</v>
      </c>
      <c r="AC168" s="546" t="s">
        <v>7654</v>
      </c>
      <c r="AD168" s="863" t="s">
        <v>7498</v>
      </c>
      <c r="AE168" s="97" t="s">
        <v>7303</v>
      </c>
      <c r="AF168" s="97" t="s">
        <v>470</v>
      </c>
      <c r="AG168" s="97" t="s">
        <v>470</v>
      </c>
      <c r="AH168" s="97" t="s">
        <v>6529</v>
      </c>
      <c r="AI168" s="97" t="s">
        <v>6529</v>
      </c>
      <c r="AJ168" s="97" t="s">
        <v>6714</v>
      </c>
      <c r="AK168" s="97" t="s">
        <v>6529</v>
      </c>
      <c r="AL168" s="580">
        <f t="shared" si="12"/>
        <v>0.17299999999999999</v>
      </c>
      <c r="AM168" s="504">
        <v>0.17299999999999999</v>
      </c>
      <c r="AN168" s="516"/>
      <c r="AO168" s="97"/>
      <c r="AP168" s="97"/>
      <c r="AQ168" s="504">
        <v>0.17299999999999999</v>
      </c>
      <c r="AR168" s="507">
        <v>6.4799999999999996E-2</v>
      </c>
      <c r="AS168" s="507">
        <v>1.47E-2</v>
      </c>
      <c r="AT168" s="516">
        <v>0</v>
      </c>
      <c r="AU168" s="507">
        <v>0</v>
      </c>
      <c r="AV168" s="516">
        <v>0</v>
      </c>
      <c r="AW168" s="507">
        <v>0</v>
      </c>
      <c r="AX168" s="516">
        <v>0</v>
      </c>
      <c r="AY168" s="507">
        <v>0</v>
      </c>
      <c r="AZ168" s="516"/>
      <c r="BA168" s="507"/>
      <c r="BB168" s="507"/>
      <c r="BC168" s="507"/>
      <c r="BD168" s="507"/>
      <c r="BE168" s="507" t="s">
        <v>479</v>
      </c>
      <c r="BF168" s="97" t="s">
        <v>6313</v>
      </c>
      <c r="BG168" s="507" t="s">
        <v>470</v>
      </c>
      <c r="BH168" s="852" t="s">
        <v>470</v>
      </c>
      <c r="BI168" s="504">
        <v>0.05</v>
      </c>
      <c r="BJ168" s="507">
        <v>3.5999999999999999E-3</v>
      </c>
      <c r="BK168" s="96">
        <v>4</v>
      </c>
      <c r="BL168" s="96">
        <v>4</v>
      </c>
      <c r="BM168" s="96">
        <v>2</v>
      </c>
      <c r="BN168" s="96">
        <v>0</v>
      </c>
      <c r="BO168" s="96">
        <v>0</v>
      </c>
      <c r="BP168" s="96">
        <v>0</v>
      </c>
      <c r="BQ168" s="96">
        <v>0</v>
      </c>
      <c r="BR168" s="96">
        <v>0</v>
      </c>
      <c r="BS168" s="96">
        <v>0</v>
      </c>
      <c r="BT168" s="96">
        <v>0</v>
      </c>
      <c r="BU168" s="96">
        <v>0</v>
      </c>
      <c r="BV168" s="96">
        <v>0</v>
      </c>
      <c r="BW168" s="96">
        <v>0</v>
      </c>
      <c r="BX168" s="96">
        <v>0</v>
      </c>
      <c r="BY168" s="96">
        <v>2</v>
      </c>
      <c r="BZ168" s="96">
        <v>0</v>
      </c>
      <c r="CA168" s="96">
        <v>0</v>
      </c>
      <c r="CB168" s="96">
        <v>0</v>
      </c>
      <c r="CC168" s="96">
        <v>0</v>
      </c>
      <c r="CD168" s="96">
        <v>0</v>
      </c>
      <c r="CE168" s="96">
        <v>0</v>
      </c>
      <c r="CF168" s="96">
        <v>0</v>
      </c>
      <c r="CG168" s="96">
        <v>0</v>
      </c>
      <c r="CH168" s="96">
        <v>0</v>
      </c>
      <c r="CI168" s="96">
        <v>0</v>
      </c>
      <c r="CJ168" s="96">
        <v>0</v>
      </c>
      <c r="CK168" s="96">
        <v>0</v>
      </c>
      <c r="CL168" s="815">
        <f t="shared" si="14"/>
        <v>2</v>
      </c>
      <c r="CM168" s="824">
        <f t="shared" si="13"/>
        <v>0</v>
      </c>
      <c r="CN168" s="504">
        <v>2.6789999999999998</v>
      </c>
      <c r="CO168" s="97" t="s">
        <v>6125</v>
      </c>
      <c r="CP168" s="97" t="s">
        <v>470</v>
      </c>
      <c r="CQ168" s="97">
        <v>100</v>
      </c>
      <c r="CR168" s="504">
        <v>2.6789999999999998</v>
      </c>
      <c r="CS168" s="97" t="s">
        <v>470</v>
      </c>
      <c r="CT168" s="97" t="s">
        <v>470</v>
      </c>
      <c r="CU168" s="97" t="s">
        <v>470</v>
      </c>
      <c r="CV168" s="97" t="s">
        <v>470</v>
      </c>
      <c r="CW168" s="97" t="s">
        <v>470</v>
      </c>
      <c r="CX168" s="97">
        <v>0</v>
      </c>
      <c r="CY168" s="97">
        <v>0</v>
      </c>
      <c r="CZ168" s="97">
        <v>0</v>
      </c>
      <c r="DA168" s="97" t="s">
        <v>479</v>
      </c>
      <c r="DB168" s="97" t="s">
        <v>5687</v>
      </c>
      <c r="DC168" s="96">
        <v>834</v>
      </c>
      <c r="DD168" s="97" t="s">
        <v>479</v>
      </c>
      <c r="DE168" s="97" t="s">
        <v>5412</v>
      </c>
      <c r="DF168" s="96">
        <v>124</v>
      </c>
      <c r="DG168" s="96" t="s">
        <v>470</v>
      </c>
      <c r="DH168" s="96" t="s">
        <v>470</v>
      </c>
      <c r="DI168" s="96">
        <v>0</v>
      </c>
      <c r="DJ168" s="96" t="s">
        <v>470</v>
      </c>
      <c r="DK168" s="96" t="s">
        <v>470</v>
      </c>
      <c r="DL168" s="96">
        <v>0</v>
      </c>
      <c r="DM168" s="97" t="s">
        <v>470</v>
      </c>
      <c r="DN168" s="97" t="s">
        <v>470</v>
      </c>
      <c r="DO168" s="97">
        <v>0</v>
      </c>
      <c r="DP168" s="97" t="s">
        <v>470</v>
      </c>
      <c r="DQ168" s="97" t="s">
        <v>470</v>
      </c>
      <c r="DR168" s="97">
        <v>0</v>
      </c>
      <c r="DS168" s="97" t="s">
        <v>470</v>
      </c>
      <c r="DT168" s="97" t="s">
        <v>470</v>
      </c>
      <c r="DU168" s="97">
        <v>0</v>
      </c>
      <c r="DV168" s="97" t="s">
        <v>470</v>
      </c>
      <c r="DW168" s="97" t="s">
        <v>470</v>
      </c>
      <c r="DX168" s="97">
        <v>0</v>
      </c>
      <c r="DY168" s="97" t="s">
        <v>470</v>
      </c>
      <c r="DZ168" s="97" t="s">
        <v>470</v>
      </c>
      <c r="EA168" s="97">
        <v>0</v>
      </c>
      <c r="EB168" s="97" t="s">
        <v>479</v>
      </c>
      <c r="EC168" s="97" t="s">
        <v>5412</v>
      </c>
      <c r="ED168" s="96">
        <v>124</v>
      </c>
      <c r="EE168" s="97" t="s">
        <v>470</v>
      </c>
      <c r="EF168" s="97" t="s">
        <v>470</v>
      </c>
      <c r="EG168" s="97">
        <v>0</v>
      </c>
      <c r="EH168" s="97" t="s">
        <v>470</v>
      </c>
      <c r="EI168" s="97" t="s">
        <v>470</v>
      </c>
      <c r="EJ168" s="97">
        <v>0</v>
      </c>
      <c r="EK168" s="97" t="s">
        <v>470</v>
      </c>
      <c r="EL168" s="97" t="s">
        <v>470</v>
      </c>
      <c r="EM168" s="97">
        <v>0</v>
      </c>
      <c r="EN168" s="97" t="s">
        <v>479</v>
      </c>
      <c r="EO168" s="97" t="s">
        <v>5354</v>
      </c>
      <c r="EP168" s="96">
        <v>7</v>
      </c>
      <c r="EQ168" s="97" t="s">
        <v>470</v>
      </c>
      <c r="ER168" s="97" t="s">
        <v>470</v>
      </c>
      <c r="ES168" s="97">
        <v>0</v>
      </c>
      <c r="ET168" s="97" t="s">
        <v>470</v>
      </c>
      <c r="EU168" s="97" t="s">
        <v>470</v>
      </c>
      <c r="EV168" s="97">
        <v>0</v>
      </c>
      <c r="EW168" s="97"/>
      <c r="EX168" s="97"/>
      <c r="EY168" s="97"/>
      <c r="EZ168" s="97" t="s">
        <v>470</v>
      </c>
      <c r="FA168" s="97" t="s">
        <v>470</v>
      </c>
      <c r="FB168" s="97" t="s">
        <v>470</v>
      </c>
      <c r="FC168" s="872" t="s">
        <v>4994</v>
      </c>
      <c r="FD168" s="97" t="s">
        <v>470</v>
      </c>
      <c r="FE168" s="97" t="s">
        <v>4826</v>
      </c>
      <c r="FF168" s="97" t="s">
        <v>470</v>
      </c>
      <c r="FG168" s="97" t="s">
        <v>470</v>
      </c>
      <c r="FH168" s="97">
        <v>0</v>
      </c>
      <c r="FI168" s="97">
        <v>0</v>
      </c>
      <c r="FJ168" s="97" t="s">
        <v>4479</v>
      </c>
      <c r="FK168" s="97" t="s">
        <v>4263</v>
      </c>
      <c r="FL168" s="97" t="s">
        <v>4074</v>
      </c>
      <c r="FM168" s="97"/>
      <c r="FN168" s="97"/>
      <c r="FO168" s="97"/>
    </row>
    <row r="169" spans="4:195" ht="28" customHeight="1" x14ac:dyDescent="0.2">
      <c r="E169" s="94" t="s">
        <v>9305</v>
      </c>
      <c r="F169" s="94" t="s">
        <v>9121</v>
      </c>
      <c r="G169" s="97" t="s">
        <v>326</v>
      </c>
      <c r="H169" s="97" t="s">
        <v>407</v>
      </c>
      <c r="I169" s="97" t="s">
        <v>8778</v>
      </c>
      <c r="J169" s="97" t="s">
        <v>8551</v>
      </c>
      <c r="K169" s="97" t="s">
        <v>8412</v>
      </c>
      <c r="L169" s="502">
        <v>2021</v>
      </c>
      <c r="M169" s="841">
        <v>44571</v>
      </c>
      <c r="N169" s="841" t="s">
        <v>8241</v>
      </c>
      <c r="O169" s="841"/>
      <c r="P169" s="841"/>
      <c r="Q169" s="841"/>
      <c r="R169" s="841"/>
      <c r="S169" s="841"/>
      <c r="T169" s="841"/>
      <c r="U169" s="841"/>
      <c r="V169" s="841"/>
      <c r="W169" s="841"/>
      <c r="X169" s="841"/>
      <c r="Y169" s="841"/>
      <c r="Z169" s="97" t="s">
        <v>8125</v>
      </c>
      <c r="AA169" s="97" t="s">
        <v>7974</v>
      </c>
      <c r="AB169" s="97" t="s">
        <v>7826</v>
      </c>
      <c r="AC169" s="97" t="s">
        <v>7653</v>
      </c>
      <c r="AD169" s="97" t="s">
        <v>7497</v>
      </c>
      <c r="AE169" s="842" t="s">
        <v>7302</v>
      </c>
      <c r="AF169" s="97" t="s">
        <v>1924</v>
      </c>
      <c r="AG169" s="97" t="s">
        <v>1924</v>
      </c>
      <c r="AH169" s="97" t="s">
        <v>6528</v>
      </c>
      <c r="AI169" s="97" t="s">
        <v>6528</v>
      </c>
      <c r="AJ169" s="97" t="s">
        <v>6713</v>
      </c>
      <c r="AK169" s="97" t="s">
        <v>6528</v>
      </c>
      <c r="AL169" s="580">
        <f t="shared" si="12"/>
        <v>0.02</v>
      </c>
      <c r="AM169" s="504">
        <v>0.02</v>
      </c>
      <c r="AN169" s="516"/>
      <c r="AO169" s="97"/>
      <c r="AP169" s="97"/>
      <c r="AQ169" s="504">
        <v>0.02</v>
      </c>
      <c r="AR169" s="507">
        <v>1</v>
      </c>
      <c r="AS169" s="507">
        <v>8.0000000000000004E-4</v>
      </c>
      <c r="AT169" s="516">
        <v>0</v>
      </c>
      <c r="AU169" s="507">
        <v>0</v>
      </c>
      <c r="AV169" s="516">
        <v>0</v>
      </c>
      <c r="AW169" s="507">
        <v>0</v>
      </c>
      <c r="AX169" s="516"/>
      <c r="AY169" s="507">
        <v>0</v>
      </c>
      <c r="AZ169" s="516"/>
      <c r="BA169" s="507"/>
      <c r="BB169" s="507"/>
      <c r="BC169" s="507"/>
      <c r="BD169" s="507"/>
      <c r="BE169" s="507" t="s">
        <v>470</v>
      </c>
      <c r="BF169" s="507" t="s">
        <v>470</v>
      </c>
      <c r="BG169" s="507" t="s">
        <v>470</v>
      </c>
      <c r="BH169" s="852" t="s">
        <v>470</v>
      </c>
      <c r="BI169" s="504">
        <v>0.01</v>
      </c>
      <c r="BJ169" s="507">
        <v>4.0000000000000002E-4</v>
      </c>
      <c r="BK169" s="96">
        <v>0</v>
      </c>
      <c r="BL169" s="96">
        <v>0</v>
      </c>
      <c r="BM169" s="96">
        <v>0</v>
      </c>
      <c r="BN169" s="96">
        <v>0</v>
      </c>
      <c r="BO169" s="96">
        <v>0</v>
      </c>
      <c r="BP169" s="96">
        <v>0</v>
      </c>
      <c r="BQ169" s="96">
        <v>0</v>
      </c>
      <c r="BR169" s="96">
        <v>0</v>
      </c>
      <c r="BS169" s="96">
        <v>0</v>
      </c>
      <c r="BT169" s="96">
        <v>0</v>
      </c>
      <c r="BU169" s="96">
        <v>0</v>
      </c>
      <c r="BV169" s="96">
        <v>0</v>
      </c>
      <c r="BW169" s="96">
        <v>0</v>
      </c>
      <c r="BX169" s="96">
        <v>0</v>
      </c>
      <c r="BY169" s="96">
        <v>0</v>
      </c>
      <c r="BZ169" s="96">
        <v>0</v>
      </c>
      <c r="CA169" s="96">
        <v>0</v>
      </c>
      <c r="CB169" s="96">
        <v>0</v>
      </c>
      <c r="CC169" s="96">
        <v>0</v>
      </c>
      <c r="CD169" s="96">
        <v>0</v>
      </c>
      <c r="CE169" s="96">
        <v>0</v>
      </c>
      <c r="CF169" s="96">
        <v>0</v>
      </c>
      <c r="CG169" s="96">
        <v>0</v>
      </c>
      <c r="CH169" s="96">
        <v>0</v>
      </c>
      <c r="CI169" s="96">
        <v>0</v>
      </c>
      <c r="CJ169" s="96">
        <v>0</v>
      </c>
      <c r="CK169" s="96">
        <v>0</v>
      </c>
      <c r="CL169" s="815">
        <f t="shared" si="14"/>
        <v>0</v>
      </c>
      <c r="CM169" s="824">
        <f t="shared" si="13"/>
        <v>0</v>
      </c>
      <c r="CN169" s="504">
        <v>2.488</v>
      </c>
      <c r="CO169" s="97" t="s">
        <v>6124</v>
      </c>
      <c r="CP169" s="97" t="s">
        <v>1924</v>
      </c>
      <c r="CQ169" s="97">
        <v>81.900000000000006</v>
      </c>
      <c r="CR169" s="504">
        <v>3.0369999999999999</v>
      </c>
      <c r="CS169" s="887" t="s">
        <v>1902</v>
      </c>
      <c r="CT169" s="97" t="s">
        <v>470</v>
      </c>
      <c r="CU169" s="97" t="s">
        <v>470</v>
      </c>
      <c r="CV169" s="97" t="s">
        <v>470</v>
      </c>
      <c r="CW169" s="97" t="s">
        <v>470</v>
      </c>
      <c r="CX169" s="96">
        <v>0</v>
      </c>
      <c r="CY169" s="96">
        <v>0</v>
      </c>
      <c r="CZ169" s="96">
        <v>0</v>
      </c>
      <c r="DA169" s="97" t="s">
        <v>470</v>
      </c>
      <c r="DB169" s="97" t="s">
        <v>470</v>
      </c>
      <c r="DC169" s="96">
        <v>0</v>
      </c>
      <c r="DD169" s="97" t="s">
        <v>470</v>
      </c>
      <c r="DE169" s="97" t="s">
        <v>470</v>
      </c>
      <c r="DF169" s="96">
        <v>0</v>
      </c>
      <c r="DG169" s="96" t="s">
        <v>479</v>
      </c>
      <c r="DH169" s="96" t="s">
        <v>5561</v>
      </c>
      <c r="DI169" s="96">
        <v>65</v>
      </c>
      <c r="DJ169" s="96" t="s">
        <v>470</v>
      </c>
      <c r="DK169" s="96" t="s">
        <v>470</v>
      </c>
      <c r="DL169" s="96">
        <v>0</v>
      </c>
      <c r="DM169" s="97" t="s">
        <v>470</v>
      </c>
      <c r="DN169" s="97" t="s">
        <v>470</v>
      </c>
      <c r="DO169" s="96">
        <v>0</v>
      </c>
      <c r="DP169" s="97" t="s">
        <v>479</v>
      </c>
      <c r="DQ169" s="97" t="s">
        <v>5539</v>
      </c>
      <c r="DR169" s="96">
        <v>0</v>
      </c>
      <c r="DS169" s="97" t="s">
        <v>470</v>
      </c>
      <c r="DT169" s="97" t="s">
        <v>470</v>
      </c>
      <c r="DU169" s="96">
        <v>0</v>
      </c>
      <c r="DV169" s="97" t="s">
        <v>470</v>
      </c>
      <c r="DW169" s="97" t="s">
        <v>470</v>
      </c>
      <c r="DX169" s="96"/>
      <c r="DY169" s="97" t="s">
        <v>470</v>
      </c>
      <c r="DZ169" s="97" t="s">
        <v>470</v>
      </c>
      <c r="EA169" s="96">
        <v>0</v>
      </c>
      <c r="EB169" s="97" t="s">
        <v>470</v>
      </c>
      <c r="EC169" s="97" t="s">
        <v>470</v>
      </c>
      <c r="ED169" s="96">
        <v>0</v>
      </c>
      <c r="EE169" s="96" t="s">
        <v>470</v>
      </c>
      <c r="EF169" s="96"/>
      <c r="EG169" s="96">
        <v>0</v>
      </c>
      <c r="EH169" s="97" t="s">
        <v>470</v>
      </c>
      <c r="EI169" s="97" t="s">
        <v>470</v>
      </c>
      <c r="EJ169" s="96">
        <v>0</v>
      </c>
      <c r="EK169" s="97" t="s">
        <v>470</v>
      </c>
      <c r="EL169" s="97" t="s">
        <v>470</v>
      </c>
      <c r="EM169" s="96">
        <v>0</v>
      </c>
      <c r="EN169" s="97" t="s">
        <v>470</v>
      </c>
      <c r="EO169" s="97"/>
      <c r="EP169" s="96">
        <v>0</v>
      </c>
      <c r="EQ169" s="96" t="s">
        <v>470</v>
      </c>
      <c r="ER169" s="96" t="s">
        <v>470</v>
      </c>
      <c r="ES169" s="96">
        <v>0</v>
      </c>
      <c r="ET169" s="97" t="s">
        <v>470</v>
      </c>
      <c r="EU169" s="97" t="s">
        <v>470</v>
      </c>
      <c r="EV169" s="96">
        <v>0</v>
      </c>
      <c r="EW169" s="96"/>
      <c r="EX169" s="96"/>
      <c r="EY169" s="96"/>
      <c r="EZ169" s="97" t="s">
        <v>470</v>
      </c>
      <c r="FA169" s="97" t="s">
        <v>470</v>
      </c>
      <c r="FB169" s="842" t="s">
        <v>5141</v>
      </c>
      <c r="FC169" s="842"/>
      <c r="FD169" s="842"/>
      <c r="FE169" s="842"/>
      <c r="FF169" s="97" t="s">
        <v>470</v>
      </c>
      <c r="FG169" s="97" t="s">
        <v>470</v>
      </c>
      <c r="FH169" s="97" t="s">
        <v>470</v>
      </c>
      <c r="FI169" s="97" t="s">
        <v>470</v>
      </c>
      <c r="FJ169" s="97" t="s">
        <v>4478</v>
      </c>
      <c r="FK169" s="97" t="s">
        <v>4262</v>
      </c>
      <c r="FL169" s="842" t="s">
        <v>4073</v>
      </c>
      <c r="FM169" s="97"/>
      <c r="FN169" s="97"/>
      <c r="FO169" s="97"/>
    </row>
    <row r="170" spans="4:195" ht="36" customHeight="1" x14ac:dyDescent="0.2">
      <c r="E170" s="94" t="s">
        <v>9305</v>
      </c>
      <c r="F170" s="94" t="s">
        <v>9121</v>
      </c>
      <c r="G170" s="97" t="s">
        <v>326</v>
      </c>
      <c r="H170" s="97" t="s">
        <v>407</v>
      </c>
      <c r="I170" s="97" t="s">
        <v>8777</v>
      </c>
      <c r="J170" s="97" t="s">
        <v>8550</v>
      </c>
      <c r="K170" s="97" t="s">
        <v>8411</v>
      </c>
      <c r="L170" s="502">
        <v>2021</v>
      </c>
      <c r="M170" s="841" t="s">
        <v>8232</v>
      </c>
      <c r="N170" s="841" t="s">
        <v>8240</v>
      </c>
      <c r="O170" s="841"/>
      <c r="P170" s="841"/>
      <c r="Q170" s="841"/>
      <c r="R170" s="841"/>
      <c r="S170" s="841"/>
      <c r="T170" s="841"/>
      <c r="U170" s="841"/>
      <c r="V170" s="841"/>
      <c r="W170" s="841"/>
      <c r="X170" s="841"/>
      <c r="Y170" s="841"/>
      <c r="Z170" s="97" t="s">
        <v>8124</v>
      </c>
      <c r="AA170" s="842" t="s">
        <v>7973</v>
      </c>
      <c r="AB170" s="97" t="s">
        <v>7825</v>
      </c>
      <c r="AC170" s="842" t="s">
        <v>7652</v>
      </c>
      <c r="AD170" s="97" t="s">
        <v>7496</v>
      </c>
      <c r="AE170" s="842" t="s">
        <v>7301</v>
      </c>
      <c r="AF170" s="97"/>
      <c r="AG170" s="97"/>
      <c r="AH170" s="97" t="s">
        <v>6527</v>
      </c>
      <c r="AI170" s="97" t="s">
        <v>6527</v>
      </c>
      <c r="AJ170" s="97" t="s">
        <v>6713</v>
      </c>
      <c r="AK170" s="97" t="s">
        <v>6527</v>
      </c>
      <c r="AL170" s="580">
        <f t="shared" si="12"/>
        <v>0.5</v>
      </c>
      <c r="AM170" s="504">
        <v>0.5</v>
      </c>
      <c r="AN170" s="516"/>
      <c r="AO170" s="97"/>
      <c r="AP170" s="97"/>
      <c r="AQ170" s="504">
        <v>0.5</v>
      </c>
      <c r="AR170" s="507">
        <v>1</v>
      </c>
      <c r="AS170" s="507">
        <v>3.5000000000000001E-3</v>
      </c>
      <c r="AT170" s="516">
        <v>0</v>
      </c>
      <c r="AU170" s="507">
        <v>0</v>
      </c>
      <c r="AV170" s="516">
        <v>0</v>
      </c>
      <c r="AW170" s="507">
        <v>0</v>
      </c>
      <c r="AX170" s="516">
        <v>0</v>
      </c>
      <c r="AY170" s="507">
        <v>0</v>
      </c>
      <c r="AZ170" s="516"/>
      <c r="BA170" s="507"/>
      <c r="BB170" s="507"/>
      <c r="BC170" s="507"/>
      <c r="BD170" s="507"/>
      <c r="BE170" s="507" t="s">
        <v>470</v>
      </c>
      <c r="BF170" s="507"/>
      <c r="BG170" s="507"/>
      <c r="BH170" s="504">
        <v>0</v>
      </c>
      <c r="BI170" s="504">
        <v>0.5</v>
      </c>
      <c r="BJ170" s="507">
        <v>4.4999999999999997E-3</v>
      </c>
      <c r="BK170" s="96">
        <v>1</v>
      </c>
      <c r="BL170" s="96">
        <v>1</v>
      </c>
      <c r="BM170" s="96">
        <v>1</v>
      </c>
      <c r="BN170" s="96">
        <v>0</v>
      </c>
      <c r="BO170" s="96">
        <v>0</v>
      </c>
      <c r="BP170" s="96">
        <v>0</v>
      </c>
      <c r="BQ170" s="96">
        <v>0</v>
      </c>
      <c r="BR170" s="96">
        <v>0</v>
      </c>
      <c r="BS170" s="96">
        <v>0</v>
      </c>
      <c r="BT170" s="96">
        <v>0</v>
      </c>
      <c r="BU170" s="96">
        <v>0</v>
      </c>
      <c r="BV170" s="96">
        <v>0</v>
      </c>
      <c r="BW170" s="96">
        <v>0</v>
      </c>
      <c r="BX170" s="96">
        <v>0</v>
      </c>
      <c r="BY170" s="96">
        <v>1</v>
      </c>
      <c r="BZ170" s="96">
        <v>0</v>
      </c>
      <c r="CA170" s="96">
        <v>0</v>
      </c>
      <c r="CB170" s="96">
        <v>0</v>
      </c>
      <c r="CC170" s="96">
        <v>0</v>
      </c>
      <c r="CD170" s="96">
        <v>0</v>
      </c>
      <c r="CE170" s="96">
        <v>0</v>
      </c>
      <c r="CF170" s="96">
        <v>0</v>
      </c>
      <c r="CG170" s="96">
        <v>0</v>
      </c>
      <c r="CH170" s="96">
        <v>0</v>
      </c>
      <c r="CI170" s="96">
        <v>0</v>
      </c>
      <c r="CJ170" s="96">
        <v>0</v>
      </c>
      <c r="CK170" s="96">
        <v>0</v>
      </c>
      <c r="CL170" s="815">
        <f t="shared" si="14"/>
        <v>1</v>
      </c>
      <c r="CM170" s="824">
        <f t="shared" si="13"/>
        <v>0</v>
      </c>
      <c r="CN170" s="504">
        <v>16.414000000000001</v>
      </c>
      <c r="CO170" s="97" t="s">
        <v>6123</v>
      </c>
      <c r="CP170" s="97" t="s">
        <v>5995</v>
      </c>
      <c r="CQ170" s="97">
        <v>100</v>
      </c>
      <c r="CR170" s="504">
        <v>16.414000000000001</v>
      </c>
      <c r="CS170" s="887" t="s">
        <v>1902</v>
      </c>
      <c r="CT170" s="97" t="s">
        <v>470</v>
      </c>
      <c r="CU170" s="97"/>
      <c r="CV170" s="97"/>
      <c r="CW170" s="97"/>
      <c r="CX170" s="96"/>
      <c r="CY170" s="96"/>
      <c r="CZ170" s="96"/>
      <c r="DA170" s="97" t="s">
        <v>479</v>
      </c>
      <c r="DB170" s="97" t="s">
        <v>1876</v>
      </c>
      <c r="DC170" s="96">
        <v>464</v>
      </c>
      <c r="DD170" s="97" t="s">
        <v>479</v>
      </c>
      <c r="DE170" s="97" t="s">
        <v>5638</v>
      </c>
      <c r="DF170" s="96">
        <v>25</v>
      </c>
      <c r="DG170" s="96" t="s">
        <v>470</v>
      </c>
      <c r="DH170" s="96"/>
      <c r="DI170" s="96"/>
      <c r="DJ170" s="96" t="s">
        <v>470</v>
      </c>
      <c r="DK170" s="96"/>
      <c r="DL170" s="96"/>
      <c r="DM170" s="97" t="s">
        <v>470</v>
      </c>
      <c r="DN170" s="97"/>
      <c r="DO170" s="96"/>
      <c r="DP170" s="97" t="s">
        <v>470</v>
      </c>
      <c r="DQ170" s="97"/>
      <c r="DR170" s="96"/>
      <c r="DS170" s="97" t="s">
        <v>470</v>
      </c>
      <c r="DT170" s="97"/>
      <c r="DU170" s="96"/>
      <c r="DV170" s="97"/>
      <c r="DW170" s="97"/>
      <c r="DX170" s="96"/>
      <c r="DY170" s="97" t="s">
        <v>470</v>
      </c>
      <c r="DZ170" s="97"/>
      <c r="EA170" s="96"/>
      <c r="EB170" s="97" t="s">
        <v>470</v>
      </c>
      <c r="EC170" s="97"/>
      <c r="ED170" s="96"/>
      <c r="EE170" s="96" t="s">
        <v>470</v>
      </c>
      <c r="EF170" s="96"/>
      <c r="EG170" s="96"/>
      <c r="EH170" s="97" t="s">
        <v>470</v>
      </c>
      <c r="EI170" s="97"/>
      <c r="EJ170" s="96"/>
      <c r="EK170" s="97" t="s">
        <v>470</v>
      </c>
      <c r="EL170" s="97"/>
      <c r="EM170" s="96"/>
      <c r="EN170" s="97" t="s">
        <v>470</v>
      </c>
      <c r="EO170" s="97"/>
      <c r="EP170" s="96"/>
      <c r="EQ170" s="96" t="s">
        <v>470</v>
      </c>
      <c r="ER170" s="96"/>
      <c r="ES170" s="96"/>
      <c r="ET170" s="97"/>
      <c r="EU170" s="97"/>
      <c r="EV170" s="96"/>
      <c r="EW170" s="96"/>
      <c r="EX170" s="96"/>
      <c r="EY170" s="96"/>
      <c r="EZ170" s="97" t="s">
        <v>470</v>
      </c>
      <c r="FA170" s="97"/>
      <c r="FB170" s="97"/>
      <c r="FC170" s="842" t="s">
        <v>4993</v>
      </c>
      <c r="FD170" s="842" t="s">
        <v>4916</v>
      </c>
      <c r="FE170" s="97"/>
      <c r="FF170" s="97"/>
      <c r="FG170" s="97"/>
      <c r="FH170" s="97">
        <v>1</v>
      </c>
      <c r="FI170" s="97"/>
      <c r="FJ170" s="97" t="s">
        <v>4477</v>
      </c>
      <c r="FK170" s="97" t="s">
        <v>4261</v>
      </c>
      <c r="FL170" s="842" t="s">
        <v>4072</v>
      </c>
      <c r="FM170" s="97"/>
      <c r="FN170" s="97"/>
      <c r="FO170" s="842"/>
    </row>
    <row r="171" spans="4:195" ht="39" customHeight="1" x14ac:dyDescent="0.2">
      <c r="E171" s="94" t="s">
        <v>9305</v>
      </c>
      <c r="F171" s="94" t="s">
        <v>9121</v>
      </c>
      <c r="G171" s="97" t="s">
        <v>326</v>
      </c>
      <c r="H171" s="97" t="s">
        <v>407</v>
      </c>
      <c r="I171" s="97" t="s">
        <v>9372</v>
      </c>
      <c r="J171" s="198" t="s">
        <v>8410</v>
      </c>
      <c r="K171" s="198" t="s">
        <v>8410</v>
      </c>
      <c r="L171" s="578">
        <v>2020</v>
      </c>
      <c r="M171" s="822">
        <v>44447</v>
      </c>
      <c r="N171" s="822">
        <v>44917</v>
      </c>
      <c r="O171" s="822"/>
      <c r="P171" s="822"/>
      <c r="Q171" s="822"/>
      <c r="R171" s="822"/>
      <c r="S171" s="822"/>
      <c r="T171" s="822"/>
      <c r="U171" s="822"/>
      <c r="V171" s="822"/>
      <c r="W171" s="822"/>
      <c r="X171" s="822"/>
      <c r="Y171" s="822"/>
      <c r="Z171" s="822" t="s">
        <v>8123</v>
      </c>
      <c r="AA171" s="822" t="s">
        <v>2234</v>
      </c>
      <c r="AB171" s="822" t="s">
        <v>7824</v>
      </c>
      <c r="AC171" s="822" t="s">
        <v>2234</v>
      </c>
      <c r="AD171" s="822" t="s">
        <v>2234</v>
      </c>
      <c r="AE171" s="822" t="s">
        <v>2234</v>
      </c>
      <c r="AF171" s="822" t="s">
        <v>2234</v>
      </c>
      <c r="AG171" s="822" t="s">
        <v>2234</v>
      </c>
      <c r="AH171" s="822" t="s">
        <v>2234</v>
      </c>
      <c r="AI171" s="822" t="s">
        <v>2234</v>
      </c>
      <c r="AJ171" s="822" t="s">
        <v>2234</v>
      </c>
      <c r="AK171" s="822" t="s">
        <v>2234</v>
      </c>
      <c r="AL171" s="580">
        <f t="shared" si="12"/>
        <v>0.439</v>
      </c>
      <c r="AM171" s="580">
        <v>0.439</v>
      </c>
      <c r="AN171" s="580"/>
      <c r="AO171" s="580"/>
      <c r="AP171" s="580"/>
      <c r="AQ171" s="580">
        <v>0.439</v>
      </c>
      <c r="AR171" s="137">
        <v>1</v>
      </c>
      <c r="AS171" s="949">
        <v>0.1</v>
      </c>
      <c r="AT171" s="822" t="s">
        <v>2234</v>
      </c>
      <c r="AU171" s="822" t="s">
        <v>2234</v>
      </c>
      <c r="AV171" s="822" t="s">
        <v>2234</v>
      </c>
      <c r="AW171" s="822" t="s">
        <v>2234</v>
      </c>
      <c r="AX171" s="822" t="s">
        <v>2234</v>
      </c>
      <c r="AY171" s="822" t="s">
        <v>2234</v>
      </c>
      <c r="AZ171" s="822" t="s">
        <v>2234</v>
      </c>
      <c r="BA171" s="822"/>
      <c r="BB171" s="822"/>
      <c r="BC171" s="822"/>
      <c r="BD171" s="822"/>
      <c r="BE171" s="822"/>
      <c r="BF171" s="822" t="s">
        <v>2234</v>
      </c>
      <c r="BG171" s="822" t="s">
        <v>2234</v>
      </c>
      <c r="BH171" s="822" t="s">
        <v>2234</v>
      </c>
      <c r="BI171" s="822" t="s">
        <v>2234</v>
      </c>
      <c r="BJ171" s="822" t="s">
        <v>2234</v>
      </c>
      <c r="BK171" s="83">
        <v>3</v>
      </c>
      <c r="BL171" s="83">
        <v>3</v>
      </c>
      <c r="BM171" s="83">
        <v>3</v>
      </c>
      <c r="BN171" s="83">
        <v>0</v>
      </c>
      <c r="BO171" s="83">
        <v>0</v>
      </c>
      <c r="BP171" s="83">
        <v>0</v>
      </c>
      <c r="BQ171" s="83">
        <v>0</v>
      </c>
      <c r="BR171" s="83">
        <v>0</v>
      </c>
      <c r="BS171" s="83">
        <v>0</v>
      </c>
      <c r="BT171" s="83">
        <v>0</v>
      </c>
      <c r="BU171" s="83">
        <v>2</v>
      </c>
      <c r="BV171" s="83">
        <v>0</v>
      </c>
      <c r="BW171" s="83">
        <v>0</v>
      </c>
      <c r="BX171" s="83">
        <v>0</v>
      </c>
      <c r="BY171" s="83">
        <v>0</v>
      </c>
      <c r="BZ171" s="83">
        <v>1</v>
      </c>
      <c r="CA171" s="83">
        <v>0</v>
      </c>
      <c r="CB171" s="83">
        <v>0</v>
      </c>
      <c r="CC171" s="83">
        <v>0</v>
      </c>
      <c r="CD171" s="83">
        <v>0</v>
      </c>
      <c r="CE171" s="83">
        <v>0</v>
      </c>
      <c r="CF171" s="83">
        <v>0</v>
      </c>
      <c r="CG171" s="83">
        <v>0</v>
      </c>
      <c r="CH171" s="83">
        <v>0</v>
      </c>
      <c r="CI171" s="83">
        <v>0</v>
      </c>
      <c r="CJ171" s="83">
        <v>0</v>
      </c>
      <c r="CK171" s="83">
        <v>0</v>
      </c>
      <c r="CL171" s="857">
        <f>SUM(BN171:CK171)</f>
        <v>3</v>
      </c>
      <c r="CM171" s="824">
        <f t="shared" si="13"/>
        <v>0</v>
      </c>
      <c r="CN171" s="822" t="s">
        <v>2234</v>
      </c>
      <c r="CO171" s="822" t="s">
        <v>2234</v>
      </c>
      <c r="CP171" s="822" t="s">
        <v>2234</v>
      </c>
      <c r="CQ171" s="822" t="s">
        <v>2234</v>
      </c>
      <c r="CR171" s="822" t="s">
        <v>2234</v>
      </c>
      <c r="CS171" s="822" t="s">
        <v>2234</v>
      </c>
      <c r="CT171" s="822" t="s">
        <v>2234</v>
      </c>
      <c r="CU171" s="822" t="s">
        <v>2234</v>
      </c>
      <c r="CV171" s="822" t="s">
        <v>2234</v>
      </c>
      <c r="CW171" s="822" t="s">
        <v>2234</v>
      </c>
      <c r="CX171" s="822" t="s">
        <v>2234</v>
      </c>
      <c r="CY171" s="822" t="s">
        <v>2234</v>
      </c>
      <c r="CZ171" s="822" t="s">
        <v>2234</v>
      </c>
      <c r="DA171" s="822" t="s">
        <v>2234</v>
      </c>
      <c r="DB171" s="822" t="s">
        <v>2234</v>
      </c>
      <c r="DC171" s="822" t="s">
        <v>2234</v>
      </c>
      <c r="DD171" s="822" t="s">
        <v>2234</v>
      </c>
      <c r="DE171" s="822" t="s">
        <v>2234</v>
      </c>
      <c r="DF171" s="822" t="s">
        <v>2234</v>
      </c>
      <c r="DG171" s="822" t="s">
        <v>2234</v>
      </c>
      <c r="DH171" s="822" t="s">
        <v>2234</v>
      </c>
      <c r="DI171" s="822" t="s">
        <v>2234</v>
      </c>
      <c r="DJ171" s="822" t="s">
        <v>2234</v>
      </c>
      <c r="DK171" s="822" t="s">
        <v>2234</v>
      </c>
      <c r="DL171" s="822" t="s">
        <v>2234</v>
      </c>
      <c r="DM171" s="822" t="s">
        <v>2234</v>
      </c>
      <c r="DN171" s="822" t="s">
        <v>2234</v>
      </c>
      <c r="DO171" s="822" t="s">
        <v>2234</v>
      </c>
      <c r="DP171" s="822" t="s">
        <v>2234</v>
      </c>
      <c r="DQ171" s="822" t="s">
        <v>2234</v>
      </c>
      <c r="DR171" s="822" t="s">
        <v>2234</v>
      </c>
      <c r="DS171" s="822" t="s">
        <v>2234</v>
      </c>
      <c r="DT171" s="822" t="s">
        <v>2234</v>
      </c>
      <c r="DU171" s="822" t="s">
        <v>2234</v>
      </c>
      <c r="DV171" s="822" t="s">
        <v>2234</v>
      </c>
      <c r="DW171" s="822" t="s">
        <v>2234</v>
      </c>
      <c r="DX171" s="822" t="s">
        <v>2234</v>
      </c>
      <c r="DY171" s="822" t="s">
        <v>2234</v>
      </c>
      <c r="DZ171" s="822" t="s">
        <v>2234</v>
      </c>
      <c r="EA171" s="822" t="s">
        <v>2234</v>
      </c>
      <c r="EB171" s="822" t="s">
        <v>2234</v>
      </c>
      <c r="EC171" s="822" t="s">
        <v>2234</v>
      </c>
      <c r="ED171" s="822" t="s">
        <v>2234</v>
      </c>
      <c r="EE171" s="822" t="s">
        <v>2234</v>
      </c>
      <c r="EF171" s="822" t="s">
        <v>2234</v>
      </c>
      <c r="EG171" s="822" t="s">
        <v>2234</v>
      </c>
      <c r="EH171" s="822" t="s">
        <v>2234</v>
      </c>
      <c r="EI171" s="822" t="s">
        <v>2234</v>
      </c>
      <c r="EJ171" s="822" t="s">
        <v>2234</v>
      </c>
      <c r="EK171" s="822" t="s">
        <v>2234</v>
      </c>
      <c r="EL171" s="822" t="s">
        <v>2234</v>
      </c>
      <c r="EM171" s="822" t="s">
        <v>2234</v>
      </c>
      <c r="EN171" s="822" t="s">
        <v>2234</v>
      </c>
      <c r="EO171" s="822" t="s">
        <v>2234</v>
      </c>
      <c r="EP171" s="822" t="s">
        <v>2234</v>
      </c>
      <c r="EQ171" s="822" t="s">
        <v>2234</v>
      </c>
      <c r="ER171" s="822" t="s">
        <v>2234</v>
      </c>
      <c r="ES171" s="822" t="s">
        <v>2234</v>
      </c>
      <c r="ET171" s="822" t="s">
        <v>2234</v>
      </c>
      <c r="EU171" s="822" t="s">
        <v>2234</v>
      </c>
      <c r="EV171" s="822" t="s">
        <v>2234</v>
      </c>
      <c r="EW171" s="822"/>
      <c r="EX171" s="822"/>
      <c r="EY171" s="822"/>
      <c r="EZ171" s="822" t="s">
        <v>2234</v>
      </c>
      <c r="FA171" s="822" t="s">
        <v>2234</v>
      </c>
      <c r="FB171" s="822" t="s">
        <v>2234</v>
      </c>
      <c r="FC171" s="822" t="s">
        <v>2234</v>
      </c>
      <c r="FD171" s="822" t="s">
        <v>2234</v>
      </c>
      <c r="FE171" s="822" t="s">
        <v>2234</v>
      </c>
      <c r="FF171" s="822" t="s">
        <v>2234</v>
      </c>
      <c r="FG171" s="822" t="s">
        <v>2234</v>
      </c>
      <c r="FH171" s="822" t="s">
        <v>2234</v>
      </c>
      <c r="FI171" s="822" t="s">
        <v>2234</v>
      </c>
      <c r="FJ171" s="198" t="s">
        <v>3882</v>
      </c>
      <c r="FK171" s="198" t="s">
        <v>3811</v>
      </c>
      <c r="FL171" s="950" t="s">
        <v>3733</v>
      </c>
      <c r="FM171" s="198" t="s">
        <v>3882</v>
      </c>
      <c r="FN171" s="198" t="s">
        <v>3811</v>
      </c>
      <c r="FO171" s="198" t="s">
        <v>3733</v>
      </c>
      <c r="FP171" s="841"/>
      <c r="FQ171" s="841"/>
      <c r="FR171" s="841"/>
      <c r="FS171" s="841"/>
      <c r="FT171" s="841"/>
      <c r="FU171" s="841"/>
      <c r="FV171" s="841"/>
      <c r="FW171" s="841"/>
      <c r="FX171" s="841"/>
      <c r="FY171" s="841"/>
      <c r="FZ171" s="841"/>
      <c r="GA171" s="841"/>
      <c r="GB171" s="841"/>
      <c r="GC171" s="841"/>
      <c r="GD171" s="841"/>
      <c r="GE171" s="841"/>
      <c r="GF171" s="841"/>
      <c r="GG171" s="841"/>
      <c r="GH171" s="97"/>
      <c r="GI171" s="97"/>
      <c r="GJ171" s="849"/>
      <c r="GK171" s="97"/>
      <c r="GL171" s="97"/>
      <c r="GM171" s="97"/>
    </row>
    <row r="172" spans="4:195" ht="44" customHeight="1" x14ac:dyDescent="0.2">
      <c r="E172" s="94" t="s">
        <v>9302</v>
      </c>
      <c r="F172" s="94" t="s">
        <v>9120</v>
      </c>
      <c r="G172" s="97" t="s">
        <v>327</v>
      </c>
      <c r="H172" s="198" t="s">
        <v>408</v>
      </c>
      <c r="I172" s="198"/>
      <c r="J172" s="517" t="s">
        <v>2094</v>
      </c>
      <c r="K172" s="517"/>
      <c r="L172" s="518">
        <v>2017</v>
      </c>
      <c r="M172" s="519">
        <v>44462</v>
      </c>
      <c r="N172" s="519">
        <v>44918</v>
      </c>
      <c r="O172" s="517" t="s">
        <v>2095</v>
      </c>
      <c r="P172" s="517" t="s">
        <v>2096</v>
      </c>
      <c r="Q172" s="951" t="s">
        <v>2097</v>
      </c>
      <c r="R172" s="517" t="s">
        <v>470</v>
      </c>
      <c r="S172" s="517" t="s">
        <v>470</v>
      </c>
      <c r="T172" s="517" t="s">
        <v>2098</v>
      </c>
      <c r="U172" s="951" t="s">
        <v>2099</v>
      </c>
      <c r="V172" s="517" t="s">
        <v>470</v>
      </c>
      <c r="W172" s="517" t="s">
        <v>470</v>
      </c>
      <c r="X172" s="517" t="s">
        <v>2100</v>
      </c>
      <c r="Y172" s="951" t="s">
        <v>2101</v>
      </c>
      <c r="Z172" s="951"/>
      <c r="AA172" s="951"/>
      <c r="AB172" s="951"/>
      <c r="AC172" s="951"/>
      <c r="AD172" s="951"/>
      <c r="AE172" s="951"/>
      <c r="AF172" s="951"/>
      <c r="AG172" s="951"/>
      <c r="AH172" s="517" t="s">
        <v>2102</v>
      </c>
      <c r="AI172" s="517" t="s">
        <v>2102</v>
      </c>
      <c r="AJ172" s="198" t="s">
        <v>1763</v>
      </c>
      <c r="AK172" s="517" t="s">
        <v>2103</v>
      </c>
      <c r="AL172" s="580">
        <f t="shared" si="12"/>
        <v>301.58199999999999</v>
      </c>
      <c r="AM172" s="504">
        <v>301.58199999999999</v>
      </c>
      <c r="AN172" s="516">
        <v>245.285</v>
      </c>
      <c r="AO172" s="137">
        <v>0.81299999999999994</v>
      </c>
      <c r="AP172" s="137">
        <f>AN172/376231.567</f>
        <v>6.5195220580733463E-4</v>
      </c>
      <c r="AQ172" s="504">
        <v>23.337</v>
      </c>
      <c r="AR172" s="137">
        <v>7.6999999999999999E-2</v>
      </c>
      <c r="AS172" s="137"/>
      <c r="AT172" s="520"/>
      <c r="AU172" s="137"/>
      <c r="AV172" s="520"/>
      <c r="AW172" s="137"/>
      <c r="AX172" s="520">
        <v>32.96</v>
      </c>
      <c r="AY172" s="137">
        <v>9.8500000000000004E-2</v>
      </c>
      <c r="AZ172" s="520" t="s">
        <v>470</v>
      </c>
      <c r="BA172" s="517" t="s">
        <v>470</v>
      </c>
      <c r="BB172" s="517" t="s">
        <v>470</v>
      </c>
      <c r="BC172" s="517" t="s">
        <v>470</v>
      </c>
      <c r="BD172" s="517" t="s">
        <v>470</v>
      </c>
      <c r="BE172" s="198" t="s">
        <v>479</v>
      </c>
      <c r="BF172" s="517" t="s">
        <v>2104</v>
      </c>
      <c r="BG172" s="951" t="s">
        <v>2099</v>
      </c>
      <c r="BH172" s="198">
        <v>23.3</v>
      </c>
      <c r="BI172" s="586">
        <v>304</v>
      </c>
      <c r="BJ172" s="137">
        <f>304/406603.4</f>
        <v>7.4765729947167184E-4</v>
      </c>
      <c r="BK172" s="83">
        <v>614</v>
      </c>
      <c r="BL172" s="83">
        <v>266</v>
      </c>
      <c r="BM172" s="83">
        <v>254</v>
      </c>
      <c r="BN172" s="83">
        <v>18</v>
      </c>
      <c r="BO172" s="83"/>
      <c r="BP172" s="83">
        <v>34</v>
      </c>
      <c r="BQ172" s="83">
        <v>2</v>
      </c>
      <c r="BR172" s="83"/>
      <c r="BS172" s="83"/>
      <c r="BT172" s="83"/>
      <c r="BU172" s="83">
        <v>27</v>
      </c>
      <c r="BV172" s="83">
        <v>3</v>
      </c>
      <c r="BW172" s="83"/>
      <c r="BX172" s="83">
        <v>78</v>
      </c>
      <c r="BY172" s="83">
        <v>52</v>
      </c>
      <c r="BZ172" s="83"/>
      <c r="CA172" s="83"/>
      <c r="CB172" s="83"/>
      <c r="CC172" s="83"/>
      <c r="CD172" s="83"/>
      <c r="CE172" s="83">
        <v>38</v>
      </c>
      <c r="CF172" s="83"/>
      <c r="CG172" s="83"/>
      <c r="CH172" s="83"/>
      <c r="CI172" s="83"/>
      <c r="CJ172" s="83"/>
      <c r="CK172" s="83"/>
      <c r="CL172" s="824">
        <f t="shared" si="14"/>
        <v>252</v>
      </c>
      <c r="CM172" s="824">
        <f t="shared" si="13"/>
        <v>0</v>
      </c>
      <c r="CN172" s="580">
        <v>350.97800000000001</v>
      </c>
      <c r="CO172" s="198" t="s">
        <v>2105</v>
      </c>
      <c r="CP172" s="198"/>
      <c r="CQ172" s="137">
        <f>CN172/CR172</f>
        <v>0.12318609391018925</v>
      </c>
      <c r="CR172" s="580">
        <v>2849.1689999999999</v>
      </c>
      <c r="CS172" s="834" t="s">
        <v>2106</v>
      </c>
      <c r="CT172" s="198" t="s">
        <v>479</v>
      </c>
      <c r="CU172" s="517" t="s">
        <v>2107</v>
      </c>
      <c r="CV172" s="517" t="s">
        <v>2108</v>
      </c>
      <c r="CW172" s="517"/>
      <c r="CX172" s="83">
        <v>9</v>
      </c>
      <c r="CY172" s="83"/>
      <c r="CZ172" s="83"/>
      <c r="DA172" s="198" t="s">
        <v>479</v>
      </c>
      <c r="DB172" s="198" t="s">
        <v>2109</v>
      </c>
      <c r="DC172" s="83">
        <v>61917</v>
      </c>
      <c r="DD172" s="198" t="s">
        <v>479</v>
      </c>
      <c r="DE172" s="198" t="s">
        <v>2110</v>
      </c>
      <c r="DF172" s="83">
        <v>9077</v>
      </c>
      <c r="DG172" s="83" t="s">
        <v>479</v>
      </c>
      <c r="DH172" s="83" t="s">
        <v>2111</v>
      </c>
      <c r="DI172" s="83">
        <v>126</v>
      </c>
      <c r="DJ172" s="517" t="s">
        <v>470</v>
      </c>
      <c r="DK172" s="83"/>
      <c r="DL172" s="83"/>
      <c r="DM172" s="517" t="s">
        <v>470</v>
      </c>
      <c r="DN172" s="198"/>
      <c r="DO172" s="83"/>
      <c r="DP172" s="517" t="s">
        <v>470</v>
      </c>
      <c r="DQ172" s="198"/>
      <c r="DR172" s="83"/>
      <c r="DS172" s="517" t="s">
        <v>470</v>
      </c>
      <c r="DT172" s="198"/>
      <c r="DU172" s="83"/>
      <c r="DV172" s="198" t="s">
        <v>479</v>
      </c>
      <c r="DW172" s="198" t="s">
        <v>2112</v>
      </c>
      <c r="DX172" s="83">
        <v>11313</v>
      </c>
      <c r="DY172" s="198" t="s">
        <v>470</v>
      </c>
      <c r="DZ172" s="198"/>
      <c r="EA172" s="83"/>
      <c r="EB172" s="198" t="s">
        <v>479</v>
      </c>
      <c r="EC172" s="198" t="s">
        <v>2113</v>
      </c>
      <c r="ED172" s="83">
        <v>10864</v>
      </c>
      <c r="EE172" s="83" t="s">
        <v>470</v>
      </c>
      <c r="EF172" s="83"/>
      <c r="EG172" s="83"/>
      <c r="EH172" s="198" t="s">
        <v>470</v>
      </c>
      <c r="EI172" s="198"/>
      <c r="EJ172" s="83"/>
      <c r="EK172" s="198" t="s">
        <v>470</v>
      </c>
      <c r="EL172" s="198"/>
      <c r="EM172" s="83"/>
      <c r="EN172" s="198"/>
      <c r="EO172" s="517" t="s">
        <v>2114</v>
      </c>
      <c r="EP172" s="83">
        <v>16</v>
      </c>
      <c r="EQ172" s="83" t="s">
        <v>470</v>
      </c>
      <c r="ER172" s="83"/>
      <c r="ES172" s="83"/>
      <c r="ET172" s="198" t="s">
        <v>470</v>
      </c>
      <c r="EU172" s="198"/>
      <c r="EV172" s="83"/>
      <c r="EW172" s="517" t="s">
        <v>2115</v>
      </c>
      <c r="EX172" s="517" t="s">
        <v>2116</v>
      </c>
      <c r="EY172" s="505">
        <v>266</v>
      </c>
      <c r="EZ172" s="517" t="s">
        <v>2117</v>
      </c>
      <c r="FA172" s="198"/>
      <c r="FB172" s="549" t="s">
        <v>2118</v>
      </c>
      <c r="FC172" s="198" t="s">
        <v>2119</v>
      </c>
      <c r="FD172" s="503" t="s">
        <v>2120</v>
      </c>
      <c r="FE172" s="503" t="s">
        <v>2121</v>
      </c>
      <c r="FF172" s="503" t="s">
        <v>2122</v>
      </c>
      <c r="FG172" s="198" t="s">
        <v>2123</v>
      </c>
      <c r="FH172" s="198">
        <v>32</v>
      </c>
      <c r="FI172" s="198">
        <v>1382</v>
      </c>
      <c r="FJ172" s="198" t="s">
        <v>2124</v>
      </c>
      <c r="FK172" s="198" t="s">
        <v>2125</v>
      </c>
      <c r="FL172" s="844" t="s">
        <v>2126</v>
      </c>
      <c r="FM172" s="198"/>
      <c r="FN172" s="198"/>
      <c r="FO172" s="198"/>
    </row>
    <row r="173" spans="4:195" ht="104" customHeight="1" x14ac:dyDescent="0.2">
      <c r="E173" s="94" t="s">
        <v>9305</v>
      </c>
      <c r="F173" s="94" t="s">
        <v>9121</v>
      </c>
      <c r="G173" s="97" t="s">
        <v>327</v>
      </c>
      <c r="H173" s="97" t="s">
        <v>408</v>
      </c>
      <c r="I173" s="97" t="s">
        <v>8775</v>
      </c>
      <c r="J173" s="97" t="s">
        <v>8549</v>
      </c>
      <c r="K173" s="97" t="s">
        <v>8409</v>
      </c>
      <c r="L173" s="502">
        <v>2021</v>
      </c>
      <c r="M173" s="841" t="s">
        <v>8312</v>
      </c>
      <c r="N173" s="841" t="s">
        <v>472</v>
      </c>
      <c r="O173" s="841"/>
      <c r="P173" s="841"/>
      <c r="Q173" s="841"/>
      <c r="R173" s="841"/>
      <c r="S173" s="841"/>
      <c r="T173" s="841"/>
      <c r="U173" s="841"/>
      <c r="V173" s="841"/>
      <c r="W173" s="841"/>
      <c r="X173" s="841"/>
      <c r="Y173" s="841"/>
      <c r="Z173" s="97"/>
      <c r="AA173" s="97"/>
      <c r="AB173" s="97" t="s">
        <v>7823</v>
      </c>
      <c r="AC173" s="872" t="s">
        <v>6236</v>
      </c>
      <c r="AD173" s="97" t="s">
        <v>7495</v>
      </c>
      <c r="AE173" s="97"/>
      <c r="AF173" s="97" t="s">
        <v>7162</v>
      </c>
      <c r="AG173" s="97" t="s">
        <v>7092</v>
      </c>
      <c r="AH173" s="97" t="s">
        <v>6867</v>
      </c>
      <c r="AI173" s="97" t="s">
        <v>6867</v>
      </c>
      <c r="AJ173" s="97" t="s">
        <v>6711</v>
      </c>
      <c r="AK173" s="97" t="s">
        <v>6526</v>
      </c>
      <c r="AL173" s="580">
        <f t="shared" si="12"/>
        <v>1.1000000000000001</v>
      </c>
      <c r="AM173" s="504">
        <v>1.1000000000000001</v>
      </c>
      <c r="AN173" s="516"/>
      <c r="AO173" s="97"/>
      <c r="AP173" s="97"/>
      <c r="AQ173" s="504">
        <v>1</v>
      </c>
      <c r="AR173" s="507">
        <v>0.90900000000000003</v>
      </c>
      <c r="AS173" s="507">
        <v>5.0000000000000001E-4</v>
      </c>
      <c r="AT173" s="516">
        <v>0</v>
      </c>
      <c r="AU173" s="507">
        <v>0</v>
      </c>
      <c r="AV173" s="516">
        <v>0</v>
      </c>
      <c r="AW173" s="507">
        <v>0</v>
      </c>
      <c r="AX173" s="516">
        <v>0.1</v>
      </c>
      <c r="AY173" s="507">
        <v>9.0999999999999998E-2</v>
      </c>
      <c r="AZ173" s="516"/>
      <c r="BA173" s="507"/>
      <c r="BB173" s="507"/>
      <c r="BC173" s="507"/>
      <c r="BD173" s="507"/>
      <c r="BE173" s="507" t="s">
        <v>479</v>
      </c>
      <c r="BF173" s="507" t="s">
        <v>6312</v>
      </c>
      <c r="BG173" s="888" t="s">
        <v>6236</v>
      </c>
      <c r="BH173" s="852">
        <v>0</v>
      </c>
      <c r="BI173" s="504">
        <v>1.03</v>
      </c>
      <c r="BJ173" s="507">
        <v>5.9999999999999995E-4</v>
      </c>
      <c r="BK173" s="96">
        <v>2</v>
      </c>
      <c r="BL173" s="96">
        <v>2</v>
      </c>
      <c r="BM173" s="96">
        <v>1</v>
      </c>
      <c r="BN173" s="96"/>
      <c r="BO173" s="96"/>
      <c r="BP173" s="96"/>
      <c r="BQ173" s="96"/>
      <c r="BR173" s="96"/>
      <c r="BS173" s="96"/>
      <c r="BT173" s="96"/>
      <c r="BU173" s="96"/>
      <c r="BV173" s="96"/>
      <c r="BW173" s="96"/>
      <c r="BX173" s="96">
        <v>1</v>
      </c>
      <c r="BY173" s="96"/>
      <c r="BZ173" s="96"/>
      <c r="CA173" s="96"/>
      <c r="CB173" s="96"/>
      <c r="CC173" s="96"/>
      <c r="CD173" s="96"/>
      <c r="CE173" s="96"/>
      <c r="CF173" s="96"/>
      <c r="CG173" s="96"/>
      <c r="CH173" s="96"/>
      <c r="CI173" s="96"/>
      <c r="CJ173" s="96"/>
      <c r="CK173" s="96"/>
      <c r="CL173" s="815">
        <f t="shared" si="14"/>
        <v>1</v>
      </c>
      <c r="CM173" s="824">
        <f t="shared" si="13"/>
        <v>0</v>
      </c>
      <c r="CN173" s="504">
        <v>0.5</v>
      </c>
      <c r="CO173" s="97" t="s">
        <v>6121</v>
      </c>
      <c r="CP173" s="97" t="s">
        <v>5994</v>
      </c>
      <c r="CQ173" s="97">
        <v>1.6</v>
      </c>
      <c r="CR173" s="504">
        <v>31.462</v>
      </c>
      <c r="CS173" s="888" t="s">
        <v>5896</v>
      </c>
      <c r="CT173" s="97" t="s">
        <v>470</v>
      </c>
      <c r="CU173" s="97"/>
      <c r="CV173" s="97"/>
      <c r="CW173" s="97"/>
      <c r="CX173" s="96"/>
      <c r="CY173" s="96"/>
      <c r="CZ173" s="96"/>
      <c r="DA173" s="97" t="s">
        <v>479</v>
      </c>
      <c r="DB173" s="97" t="s">
        <v>5709</v>
      </c>
      <c r="DC173" s="96">
        <v>123</v>
      </c>
      <c r="DD173" s="97" t="s">
        <v>470</v>
      </c>
      <c r="DE173" s="97"/>
      <c r="DF173" s="96"/>
      <c r="DG173" s="96" t="s">
        <v>470</v>
      </c>
      <c r="DH173" s="96"/>
      <c r="DI173" s="96"/>
      <c r="DJ173" s="96" t="s">
        <v>470</v>
      </c>
      <c r="DK173" s="96"/>
      <c r="DL173" s="96"/>
      <c r="DM173" s="97" t="s">
        <v>470</v>
      </c>
      <c r="DN173" s="97"/>
      <c r="DO173" s="96"/>
      <c r="DP173" s="97" t="s">
        <v>470</v>
      </c>
      <c r="DQ173" s="97"/>
      <c r="DR173" s="96"/>
      <c r="DS173" s="97" t="s">
        <v>470</v>
      </c>
      <c r="DT173" s="97"/>
      <c r="DU173" s="96"/>
      <c r="DV173" s="97" t="s">
        <v>470</v>
      </c>
      <c r="DW173" s="97"/>
      <c r="DX173" s="96"/>
      <c r="DY173" s="97" t="s">
        <v>470</v>
      </c>
      <c r="DZ173" s="97"/>
      <c r="EA173" s="96"/>
      <c r="EB173" s="97" t="s">
        <v>470</v>
      </c>
      <c r="EC173" s="97"/>
      <c r="ED173" s="96"/>
      <c r="EE173" s="96" t="s">
        <v>470</v>
      </c>
      <c r="EF173" s="96"/>
      <c r="EG173" s="96"/>
      <c r="EH173" s="97" t="s">
        <v>470</v>
      </c>
      <c r="EI173" s="97"/>
      <c r="EJ173" s="96"/>
      <c r="EK173" s="97" t="s">
        <v>470</v>
      </c>
      <c r="EL173" s="97"/>
      <c r="EM173" s="96"/>
      <c r="EN173" s="97" t="s">
        <v>479</v>
      </c>
      <c r="EO173" s="97" t="s">
        <v>5353</v>
      </c>
      <c r="EP173" s="96">
        <v>8</v>
      </c>
      <c r="EQ173" s="96" t="s">
        <v>470</v>
      </c>
      <c r="ER173" s="96"/>
      <c r="ES173" s="96"/>
      <c r="ET173" s="97" t="s">
        <v>470</v>
      </c>
      <c r="EU173" s="97"/>
      <c r="EV173" s="96"/>
      <c r="EW173" s="96"/>
      <c r="EX173" s="96"/>
      <c r="EY173" s="96"/>
      <c r="EZ173" s="97" t="s">
        <v>470</v>
      </c>
      <c r="FA173" s="97"/>
      <c r="FB173" s="872" t="s">
        <v>5140</v>
      </c>
      <c r="FC173" s="97" t="s">
        <v>4992</v>
      </c>
      <c r="FD173" s="97"/>
      <c r="FE173" s="97" t="s">
        <v>4825</v>
      </c>
      <c r="FF173" s="97"/>
      <c r="FG173" s="97"/>
      <c r="FH173" s="97"/>
      <c r="FI173" s="97"/>
      <c r="FJ173" s="97" t="s">
        <v>4476</v>
      </c>
      <c r="FK173" s="97" t="s">
        <v>4260</v>
      </c>
      <c r="FL173" s="872" t="s">
        <v>4071</v>
      </c>
      <c r="FM173" s="97" t="s">
        <v>2124</v>
      </c>
      <c r="FN173" s="97" t="s">
        <v>2125</v>
      </c>
      <c r="FO173" s="872" t="s">
        <v>2126</v>
      </c>
    </row>
    <row r="174" spans="4:195" ht="104" customHeight="1" x14ac:dyDescent="0.2">
      <c r="E174" s="94" t="s">
        <v>9305</v>
      </c>
      <c r="F174" s="94" t="s">
        <v>9121</v>
      </c>
      <c r="G174" s="97" t="s">
        <v>327</v>
      </c>
      <c r="H174" s="97" t="s">
        <v>408</v>
      </c>
      <c r="I174" s="97" t="s">
        <v>8774</v>
      </c>
      <c r="J174" s="97" t="s">
        <v>1413</v>
      </c>
      <c r="K174" s="97"/>
      <c r="L174" s="502">
        <v>2018</v>
      </c>
      <c r="M174" s="841" t="s">
        <v>8311</v>
      </c>
      <c r="N174" s="841" t="s">
        <v>8239</v>
      </c>
      <c r="O174" s="841"/>
      <c r="P174" s="841"/>
      <c r="Q174" s="841"/>
      <c r="R174" s="841"/>
      <c r="S174" s="841"/>
      <c r="T174" s="841"/>
      <c r="U174" s="841"/>
      <c r="V174" s="841"/>
      <c r="W174" s="841"/>
      <c r="X174" s="841"/>
      <c r="Y174" s="841"/>
      <c r="Z174" s="97" t="s">
        <v>8122</v>
      </c>
      <c r="AA174" s="97" t="s">
        <v>7091</v>
      </c>
      <c r="AB174" s="97" t="s">
        <v>7822</v>
      </c>
      <c r="AC174" s="97" t="s">
        <v>7091</v>
      </c>
      <c r="AD174" s="97" t="s">
        <v>7494</v>
      </c>
      <c r="AE174" s="97" t="s">
        <v>7091</v>
      </c>
      <c r="AF174" s="97" t="s">
        <v>7161</v>
      </c>
      <c r="AG174" s="97" t="s">
        <v>7091</v>
      </c>
      <c r="AH174" s="97" t="s">
        <v>7005</v>
      </c>
      <c r="AI174" s="97" t="s">
        <v>6866</v>
      </c>
      <c r="AJ174" s="97" t="s">
        <v>6710</v>
      </c>
      <c r="AK174" s="97" t="s">
        <v>6525</v>
      </c>
      <c r="AL174" s="580">
        <f t="shared" si="12"/>
        <v>45.808999999999997</v>
      </c>
      <c r="AM174" s="504">
        <v>45.808999999999997</v>
      </c>
      <c r="AN174" s="516"/>
      <c r="AO174" s="97"/>
      <c r="AP174" s="97"/>
      <c r="AQ174" s="504">
        <v>36.814999999999998</v>
      </c>
      <c r="AR174" s="507">
        <v>0.80369999999999997</v>
      </c>
      <c r="AS174" s="507">
        <v>6.9999999999999999E-4</v>
      </c>
      <c r="AT174" s="516">
        <v>1.7589999999999999</v>
      </c>
      <c r="AU174" s="507">
        <v>3.8399999999999997E-2</v>
      </c>
      <c r="AV174" s="516">
        <v>7.2350000000000003</v>
      </c>
      <c r="AW174" s="507">
        <v>0.15790000000000001</v>
      </c>
      <c r="AX174" s="516"/>
      <c r="AY174" s="507"/>
      <c r="AZ174" s="516"/>
      <c r="BA174" s="507"/>
      <c r="BB174" s="507"/>
      <c r="BC174" s="507"/>
      <c r="BD174" s="507"/>
      <c r="BE174" s="507" t="s">
        <v>540</v>
      </c>
      <c r="BF174" s="1233" t="s">
        <v>6311</v>
      </c>
      <c r="BG174" s="1233"/>
      <c r="BH174" s="852" t="s">
        <v>6208</v>
      </c>
      <c r="BI174" s="504">
        <v>76.186999999999998</v>
      </c>
      <c r="BJ174" s="507">
        <v>1.5E-3</v>
      </c>
      <c r="BK174" s="96">
        <v>12</v>
      </c>
      <c r="BL174" s="96">
        <v>9</v>
      </c>
      <c r="BM174" s="96" t="s">
        <v>6193</v>
      </c>
      <c r="BN174" s="96"/>
      <c r="BO174" s="96"/>
      <c r="BP174" s="96"/>
      <c r="BQ174" s="96"/>
      <c r="BR174" s="96"/>
      <c r="BS174" s="96"/>
      <c r="BT174" s="96"/>
      <c r="BU174" s="96"/>
      <c r="BV174" s="96"/>
      <c r="BW174" s="96">
        <v>1</v>
      </c>
      <c r="BX174" s="96"/>
      <c r="BY174" s="96">
        <v>6</v>
      </c>
      <c r="BZ174" s="96"/>
      <c r="CA174" s="96"/>
      <c r="CB174" s="96"/>
      <c r="CC174" s="96"/>
      <c r="CD174" s="96"/>
      <c r="CE174" s="96"/>
      <c r="CF174" s="96"/>
      <c r="CG174" s="96"/>
      <c r="CH174" s="96"/>
      <c r="CI174" s="96"/>
      <c r="CJ174" s="96"/>
      <c r="CK174" s="96"/>
      <c r="CL174" s="815">
        <f t="shared" si="14"/>
        <v>7</v>
      </c>
      <c r="CM174" s="824">
        <f t="shared" si="13"/>
        <v>0</v>
      </c>
      <c r="CN174" s="504">
        <v>661.81500000000005</v>
      </c>
      <c r="CO174" s="97" t="s">
        <v>6120</v>
      </c>
      <c r="CP174" s="97"/>
      <c r="CQ174" s="876">
        <v>0.59950000000000003</v>
      </c>
      <c r="CR174" s="504">
        <v>1103.9570000000001</v>
      </c>
      <c r="CS174" s="850" t="s">
        <v>5895</v>
      </c>
      <c r="CT174" s="97" t="s">
        <v>539</v>
      </c>
      <c r="CU174" s="97"/>
      <c r="CV174" s="97"/>
      <c r="CW174" s="97"/>
      <c r="CX174" s="96"/>
      <c r="CY174" s="96"/>
      <c r="CZ174" s="96"/>
      <c r="DA174" s="97" t="s">
        <v>540</v>
      </c>
      <c r="DB174" s="97" t="s">
        <v>920</v>
      </c>
      <c r="DC174" s="96">
        <v>912</v>
      </c>
      <c r="DD174" s="97" t="s">
        <v>540</v>
      </c>
      <c r="DE174" s="97" t="s">
        <v>920</v>
      </c>
      <c r="DF174" s="96">
        <v>322</v>
      </c>
      <c r="DG174" s="96" t="s">
        <v>539</v>
      </c>
      <c r="DH174" s="96"/>
      <c r="DI174" s="96"/>
      <c r="DJ174" s="96" t="s">
        <v>539</v>
      </c>
      <c r="DK174" s="96"/>
      <c r="DL174" s="96"/>
      <c r="DM174" s="97" t="s">
        <v>539</v>
      </c>
      <c r="DN174" s="97"/>
      <c r="DO174" s="96"/>
      <c r="DP174" s="97" t="s">
        <v>539</v>
      </c>
      <c r="DQ174" s="97"/>
      <c r="DR174" s="96"/>
      <c r="DS174" s="97" t="s">
        <v>539</v>
      </c>
      <c r="DT174" s="97"/>
      <c r="DU174" s="96"/>
      <c r="DV174" s="97" t="s">
        <v>539</v>
      </c>
      <c r="DW174" s="97"/>
      <c r="DX174" s="96"/>
      <c r="DY174" s="97" t="s">
        <v>539</v>
      </c>
      <c r="DZ174" s="97"/>
      <c r="EA174" s="96"/>
      <c r="EB174" s="97" t="s">
        <v>539</v>
      </c>
      <c r="EC174" s="97"/>
      <c r="ED174" s="96"/>
      <c r="EE174" s="96" t="s">
        <v>539</v>
      </c>
      <c r="EF174" s="96"/>
      <c r="EG174" s="96"/>
      <c r="EH174" s="97" t="s">
        <v>539</v>
      </c>
      <c r="EI174" s="97"/>
      <c r="EJ174" s="96"/>
      <c r="EK174" s="97" t="s">
        <v>539</v>
      </c>
      <c r="EL174" s="97"/>
      <c r="EM174" s="96"/>
      <c r="EN174" s="97" t="s">
        <v>539</v>
      </c>
      <c r="EO174" s="97"/>
      <c r="EP174" s="96"/>
      <c r="EQ174" s="96" t="s">
        <v>540</v>
      </c>
      <c r="ER174" s="96" t="s">
        <v>1097</v>
      </c>
      <c r="ES174" s="96">
        <v>7</v>
      </c>
      <c r="ET174" s="97"/>
      <c r="EU174" s="97"/>
      <c r="EV174" s="96"/>
      <c r="EW174" s="96"/>
      <c r="EX174" s="96"/>
      <c r="EY174" s="96"/>
      <c r="EZ174" s="97" t="s">
        <v>539</v>
      </c>
      <c r="FA174" s="97"/>
      <c r="FB174" s="849" t="s">
        <v>5139</v>
      </c>
      <c r="FC174" s="97"/>
      <c r="FD174" s="97" t="s">
        <v>4824</v>
      </c>
      <c r="FE174" s="97" t="s">
        <v>4824</v>
      </c>
      <c r="FF174" s="97"/>
      <c r="FG174" s="97" t="s">
        <v>539</v>
      </c>
      <c r="FH174" s="97"/>
      <c r="FI174" s="97"/>
      <c r="FJ174" s="97" t="s">
        <v>4475</v>
      </c>
      <c r="FK174" s="97" t="s">
        <v>4259</v>
      </c>
      <c r="FL174" s="849" t="s">
        <v>4070</v>
      </c>
      <c r="FM174" s="97" t="s">
        <v>3881</v>
      </c>
      <c r="FN174" s="97" t="s">
        <v>3810</v>
      </c>
      <c r="FO174" s="849" t="s">
        <v>3732</v>
      </c>
    </row>
    <row r="175" spans="4:195" ht="104" customHeight="1" x14ac:dyDescent="0.2">
      <c r="E175" s="94" t="s">
        <v>9305</v>
      </c>
      <c r="F175" s="94" t="s">
        <v>9121</v>
      </c>
      <c r="G175" s="97" t="s">
        <v>327</v>
      </c>
      <c r="H175" s="97" t="s">
        <v>408</v>
      </c>
      <c r="I175" s="513" t="s">
        <v>8773</v>
      </c>
      <c r="J175" s="513" t="s">
        <v>8365</v>
      </c>
      <c r="K175" s="513" t="s">
        <v>8365</v>
      </c>
      <c r="L175" s="513">
        <v>2021</v>
      </c>
      <c r="M175" s="513" t="s">
        <v>8310</v>
      </c>
      <c r="N175" s="513" t="s">
        <v>8205</v>
      </c>
      <c r="O175" s="513"/>
      <c r="P175" s="513"/>
      <c r="Q175" s="513"/>
      <c r="R175" s="513"/>
      <c r="S175" s="513"/>
      <c r="T175" s="513"/>
      <c r="U175" s="513"/>
      <c r="V175" s="513"/>
      <c r="W175" s="513"/>
      <c r="X175" s="513"/>
      <c r="Y175" s="513"/>
      <c r="Z175" s="513" t="s">
        <v>8121</v>
      </c>
      <c r="AA175" s="513" t="s">
        <v>7972</v>
      </c>
      <c r="AB175" s="513" t="s">
        <v>7821</v>
      </c>
      <c r="AC175" s="849" t="s">
        <v>7651</v>
      </c>
      <c r="AD175" s="513" t="s">
        <v>7493</v>
      </c>
      <c r="AE175" s="849" t="s">
        <v>7300</v>
      </c>
      <c r="AF175" s="97"/>
      <c r="AG175" s="97"/>
      <c r="AH175" s="97" t="s">
        <v>6865</v>
      </c>
      <c r="AI175" s="97" t="s">
        <v>6865</v>
      </c>
      <c r="AJ175" s="97" t="s">
        <v>6709</v>
      </c>
      <c r="AK175" s="97" t="s">
        <v>6524</v>
      </c>
      <c r="AL175" s="580">
        <f t="shared" si="12"/>
        <v>11.065</v>
      </c>
      <c r="AM175" s="504">
        <v>11.065</v>
      </c>
      <c r="AN175" s="516"/>
      <c r="AO175" s="97"/>
      <c r="AP175" s="97"/>
      <c r="AQ175" s="504">
        <v>10.763999999999999</v>
      </c>
      <c r="AR175" s="507">
        <v>0.9728</v>
      </c>
      <c r="AS175" s="507">
        <v>2.66E-3</v>
      </c>
      <c r="AT175" s="516"/>
      <c r="AU175" s="507"/>
      <c r="AV175" s="516"/>
      <c r="AW175" s="507"/>
      <c r="AX175" s="516">
        <v>0.30099999999999999</v>
      </c>
      <c r="AY175" s="507">
        <v>2.7199999999999998E-2</v>
      </c>
      <c r="AZ175" s="516"/>
      <c r="BA175" s="507"/>
      <c r="BB175" s="507"/>
      <c r="BC175" s="507"/>
      <c r="BD175" s="507"/>
      <c r="BE175" s="507" t="s">
        <v>470</v>
      </c>
      <c r="BF175" s="507"/>
      <c r="BG175" s="507"/>
      <c r="BH175" s="852"/>
      <c r="BI175" s="504">
        <v>2.8260000000000001</v>
      </c>
      <c r="BJ175" s="507">
        <v>8.1999999999999998E-4</v>
      </c>
      <c r="BK175" s="96">
        <v>9</v>
      </c>
      <c r="BL175" s="96">
        <v>4</v>
      </c>
      <c r="BM175" s="96">
        <v>4</v>
      </c>
      <c r="BN175" s="96"/>
      <c r="BO175" s="96">
        <v>1</v>
      </c>
      <c r="BP175" s="96"/>
      <c r="BQ175" s="96"/>
      <c r="BR175" s="96"/>
      <c r="BS175" s="96"/>
      <c r="BT175" s="96"/>
      <c r="BU175" s="96"/>
      <c r="BV175" s="96"/>
      <c r="BW175" s="96">
        <v>9</v>
      </c>
      <c r="BX175" s="96">
        <v>2</v>
      </c>
      <c r="BY175" s="96"/>
      <c r="BZ175" s="96"/>
      <c r="CA175" s="96"/>
      <c r="CB175" s="96"/>
      <c r="CC175" s="96"/>
      <c r="CD175" s="96"/>
      <c r="CE175" s="96"/>
      <c r="CF175" s="96"/>
      <c r="CG175" s="96"/>
      <c r="CH175" s="96"/>
      <c r="CI175" s="96"/>
      <c r="CJ175" s="96"/>
      <c r="CK175" s="96">
        <v>1</v>
      </c>
      <c r="CL175" s="815">
        <f t="shared" si="14"/>
        <v>13</v>
      </c>
      <c r="CM175" s="824">
        <f t="shared" si="13"/>
        <v>0</v>
      </c>
      <c r="CN175" s="504">
        <v>2.7530000000000001</v>
      </c>
      <c r="CO175" s="97" t="s">
        <v>6119</v>
      </c>
      <c r="CP175" s="97" t="s">
        <v>470</v>
      </c>
      <c r="CQ175" s="97">
        <v>28.5</v>
      </c>
      <c r="CR175" s="504">
        <v>9.6620000000000008</v>
      </c>
      <c r="CS175" s="850" t="s">
        <v>5894</v>
      </c>
      <c r="CT175" s="97" t="s">
        <v>470</v>
      </c>
      <c r="CU175" s="97"/>
      <c r="CV175" s="97"/>
      <c r="CW175" s="97"/>
      <c r="CX175" s="96"/>
      <c r="CY175" s="96"/>
      <c r="CZ175" s="96"/>
      <c r="DA175" s="97" t="s">
        <v>479</v>
      </c>
      <c r="DB175" s="97" t="s">
        <v>1877</v>
      </c>
      <c r="DC175" s="96">
        <v>343</v>
      </c>
      <c r="DD175" s="97" t="s">
        <v>479</v>
      </c>
      <c r="DE175" s="97" t="s">
        <v>5637</v>
      </c>
      <c r="DF175" s="96">
        <v>156</v>
      </c>
      <c r="DG175" s="96" t="s">
        <v>479</v>
      </c>
      <c r="DH175" s="96" t="s">
        <v>1877</v>
      </c>
      <c r="DI175" s="96">
        <v>155</v>
      </c>
      <c r="DJ175" s="96" t="s">
        <v>470</v>
      </c>
      <c r="DK175" s="96"/>
      <c r="DL175" s="96"/>
      <c r="DM175" s="97" t="s">
        <v>470</v>
      </c>
      <c r="DN175" s="97"/>
      <c r="DO175" s="96"/>
      <c r="DP175" s="97" t="s">
        <v>470</v>
      </c>
      <c r="DQ175" s="97"/>
      <c r="DR175" s="96"/>
      <c r="DS175" s="97" t="s">
        <v>470</v>
      </c>
      <c r="DT175" s="97"/>
      <c r="DU175" s="96"/>
      <c r="DV175" s="97" t="s">
        <v>470</v>
      </c>
      <c r="DW175" s="97"/>
      <c r="DX175" s="96"/>
      <c r="DY175" s="97" t="s">
        <v>470</v>
      </c>
      <c r="DZ175" s="97"/>
      <c r="EA175" s="96"/>
      <c r="EB175" s="97" t="s">
        <v>470</v>
      </c>
      <c r="EC175" s="97"/>
      <c r="ED175" s="96"/>
      <c r="EE175" s="97" t="s">
        <v>470</v>
      </c>
      <c r="EF175" s="97"/>
      <c r="EG175" s="96"/>
      <c r="EH175" s="97" t="s">
        <v>470</v>
      </c>
      <c r="EI175" s="97"/>
      <c r="EJ175" s="96"/>
      <c r="EK175" s="97" t="s">
        <v>470</v>
      </c>
      <c r="EL175" s="97"/>
      <c r="EM175" s="96"/>
      <c r="EN175" s="97" t="s">
        <v>470</v>
      </c>
      <c r="EO175" s="97"/>
      <c r="EP175" s="96"/>
      <c r="EQ175" s="96" t="s">
        <v>5322</v>
      </c>
      <c r="ER175" s="96" t="s">
        <v>2535</v>
      </c>
      <c r="ES175" s="96">
        <v>8</v>
      </c>
      <c r="ET175" s="97" t="s">
        <v>470</v>
      </c>
      <c r="EU175" s="97"/>
      <c r="EV175" s="96"/>
      <c r="EW175" s="96"/>
      <c r="EX175" s="96"/>
      <c r="EY175" s="96"/>
      <c r="EZ175" s="97" t="s">
        <v>470</v>
      </c>
      <c r="FA175" s="97" t="s">
        <v>470</v>
      </c>
      <c r="FB175" s="849" t="s">
        <v>5138</v>
      </c>
      <c r="FC175" s="849" t="s">
        <v>4991</v>
      </c>
      <c r="FD175" s="97" t="s">
        <v>470</v>
      </c>
      <c r="FE175" s="97" t="s">
        <v>4823</v>
      </c>
      <c r="FF175" s="97" t="s">
        <v>470</v>
      </c>
      <c r="FG175" s="97" t="s">
        <v>470</v>
      </c>
      <c r="FH175" s="97">
        <v>0</v>
      </c>
      <c r="FI175" s="97">
        <v>0</v>
      </c>
      <c r="FJ175" s="97" t="s">
        <v>4474</v>
      </c>
      <c r="FK175" s="97" t="s">
        <v>4258</v>
      </c>
      <c r="FL175" s="849" t="s">
        <v>4069</v>
      </c>
      <c r="FM175" s="97" t="s">
        <v>3880</v>
      </c>
      <c r="FN175" s="97" t="s">
        <v>3809</v>
      </c>
      <c r="FO175" s="849" t="s">
        <v>3731</v>
      </c>
    </row>
    <row r="176" spans="4:195" ht="104" customHeight="1" x14ac:dyDescent="0.2">
      <c r="E176" s="94" t="s">
        <v>9302</v>
      </c>
      <c r="F176" s="94" t="s">
        <v>9121</v>
      </c>
      <c r="G176" s="97" t="s">
        <v>327</v>
      </c>
      <c r="H176" s="97" t="s">
        <v>408</v>
      </c>
      <c r="I176" s="97" t="s">
        <v>8772</v>
      </c>
      <c r="J176" s="97" t="s">
        <v>8548</v>
      </c>
      <c r="K176" s="97" t="s">
        <v>8408</v>
      </c>
      <c r="L176" s="502">
        <v>2015</v>
      </c>
      <c r="M176" s="841">
        <v>44609</v>
      </c>
      <c r="N176" s="841">
        <v>44901</v>
      </c>
      <c r="O176" s="841"/>
      <c r="P176" s="841"/>
      <c r="Q176" s="841"/>
      <c r="R176" s="841"/>
      <c r="S176" s="841"/>
      <c r="T176" s="841"/>
      <c r="U176" s="841"/>
      <c r="V176" s="841"/>
      <c r="W176" s="841"/>
      <c r="X176" s="841"/>
      <c r="Y176" s="841"/>
      <c r="Z176" s="97" t="s">
        <v>8120</v>
      </c>
      <c r="AA176" s="849" t="s">
        <v>7971</v>
      </c>
      <c r="AB176" s="97"/>
      <c r="AC176" s="97"/>
      <c r="AD176" s="97" t="s">
        <v>7492</v>
      </c>
      <c r="AE176" s="849" t="s">
        <v>7299</v>
      </c>
      <c r="AF176" s="97"/>
      <c r="AG176" s="97"/>
      <c r="AH176" s="97" t="s">
        <v>6864</v>
      </c>
      <c r="AI176" s="97" t="s">
        <v>6864</v>
      </c>
      <c r="AJ176" s="97" t="s">
        <v>6708</v>
      </c>
      <c r="AK176" s="97" t="s">
        <v>6523</v>
      </c>
      <c r="AL176" s="580">
        <f t="shared" si="12"/>
        <v>3.2719999999999998</v>
      </c>
      <c r="AM176" s="504">
        <v>3.2719999999999998</v>
      </c>
      <c r="AN176" s="516"/>
      <c r="AO176" s="97"/>
      <c r="AP176" s="97"/>
      <c r="AQ176" s="504">
        <v>1.6359999999999999</v>
      </c>
      <c r="AR176" s="507">
        <v>0.5</v>
      </c>
      <c r="AS176" s="507">
        <v>1.4E-3</v>
      </c>
      <c r="AT176" s="516">
        <v>1.5860000000000001</v>
      </c>
      <c r="AU176" s="507">
        <v>0.48470000000000002</v>
      </c>
      <c r="AV176" s="516">
        <v>0.05</v>
      </c>
      <c r="AW176" s="507">
        <v>1.5299999999999999E-2</v>
      </c>
      <c r="AX176" s="516"/>
      <c r="AY176" s="507"/>
      <c r="AZ176" s="516"/>
      <c r="BA176" s="507"/>
      <c r="BB176" s="507"/>
      <c r="BC176" s="507"/>
      <c r="BD176" s="507"/>
      <c r="BE176" s="507" t="s">
        <v>470</v>
      </c>
      <c r="BF176" s="507"/>
      <c r="BG176" s="507"/>
      <c r="BH176" s="852"/>
      <c r="BI176" s="504">
        <v>1</v>
      </c>
      <c r="BJ176" s="507">
        <v>8.5999999999999998E-4</v>
      </c>
      <c r="BK176" s="96"/>
      <c r="BL176" s="96"/>
      <c r="BM176" s="96"/>
      <c r="BN176" s="96">
        <v>5</v>
      </c>
      <c r="BO176" s="96">
        <v>1</v>
      </c>
      <c r="BP176" s="96"/>
      <c r="BQ176" s="96"/>
      <c r="BR176" s="96"/>
      <c r="BS176" s="96"/>
      <c r="BT176" s="96">
        <v>4</v>
      </c>
      <c r="BU176" s="96"/>
      <c r="BV176" s="96"/>
      <c r="BW176" s="96">
        <v>2</v>
      </c>
      <c r="BX176" s="96"/>
      <c r="BY176" s="96"/>
      <c r="BZ176" s="96"/>
      <c r="CA176" s="96"/>
      <c r="CB176" s="96"/>
      <c r="CC176" s="96"/>
      <c r="CD176" s="96"/>
      <c r="CE176" s="96"/>
      <c r="CF176" s="96"/>
      <c r="CG176" s="96"/>
      <c r="CH176" s="96"/>
      <c r="CI176" s="96"/>
      <c r="CJ176" s="96"/>
      <c r="CK176" s="96"/>
      <c r="CL176" s="815">
        <f t="shared" si="14"/>
        <v>12</v>
      </c>
      <c r="CM176" s="824">
        <f t="shared" si="13"/>
        <v>0</v>
      </c>
      <c r="CN176" s="504">
        <v>0.312</v>
      </c>
      <c r="CO176" s="97"/>
      <c r="CP176" s="97"/>
      <c r="CQ176" s="97">
        <v>1.62</v>
      </c>
      <c r="CR176" s="504">
        <v>19.606000000000002</v>
      </c>
      <c r="CS176" s="97" t="s">
        <v>5893</v>
      </c>
      <c r="CT176" s="97" t="s">
        <v>470</v>
      </c>
      <c r="CU176" s="97"/>
      <c r="CV176" s="97"/>
      <c r="CW176" s="97"/>
      <c r="CX176" s="96"/>
      <c r="CY176" s="96"/>
      <c r="CZ176" s="96">
        <v>4</v>
      </c>
      <c r="DA176" s="97" t="s">
        <v>470</v>
      </c>
      <c r="DB176" s="97"/>
      <c r="DC176" s="96"/>
      <c r="DD176" s="97" t="s">
        <v>470</v>
      </c>
      <c r="DE176" s="97"/>
      <c r="DF176" s="96"/>
      <c r="DG176" s="96" t="s">
        <v>470</v>
      </c>
      <c r="DH176" s="96"/>
      <c r="DI176" s="96"/>
      <c r="DJ176" s="96" t="s">
        <v>470</v>
      </c>
      <c r="DK176" s="96"/>
      <c r="DL176" s="96"/>
      <c r="DM176" s="97" t="s">
        <v>470</v>
      </c>
      <c r="DN176" s="97"/>
      <c r="DO176" s="96"/>
      <c r="DP176" s="97" t="s">
        <v>470</v>
      </c>
      <c r="DQ176" s="97"/>
      <c r="DR176" s="96"/>
      <c r="DS176" s="97" t="s">
        <v>470</v>
      </c>
      <c r="DT176" s="97"/>
      <c r="DU176" s="96"/>
      <c r="DV176" s="97" t="s">
        <v>5512</v>
      </c>
      <c r="DW176" s="97"/>
      <c r="DX176" s="96">
        <v>312</v>
      </c>
      <c r="DY176" s="97" t="s">
        <v>470</v>
      </c>
      <c r="DZ176" s="97"/>
      <c r="EA176" s="96"/>
      <c r="EB176" s="97" t="s">
        <v>470</v>
      </c>
      <c r="EC176" s="97"/>
      <c r="ED176" s="96"/>
      <c r="EE176" s="96" t="s">
        <v>470</v>
      </c>
      <c r="EF176" s="96"/>
      <c r="EG176" s="96"/>
      <c r="EH176" s="97" t="s">
        <v>470</v>
      </c>
      <c r="EI176" s="97"/>
      <c r="EJ176" s="96"/>
      <c r="EK176" s="97" t="s">
        <v>470</v>
      </c>
      <c r="EL176" s="97"/>
      <c r="EM176" s="96"/>
      <c r="EN176" s="97" t="s">
        <v>479</v>
      </c>
      <c r="EO176" s="97"/>
      <c r="EP176" s="96"/>
      <c r="EQ176" s="96" t="s">
        <v>470</v>
      </c>
      <c r="ER176" s="96"/>
      <c r="ES176" s="96"/>
      <c r="ET176" s="97" t="s">
        <v>5249</v>
      </c>
      <c r="EU176" s="97"/>
      <c r="EV176" s="96"/>
      <c r="EW176" s="96"/>
      <c r="EX176" s="96"/>
      <c r="EY176" s="96"/>
      <c r="EZ176" s="97" t="s">
        <v>470</v>
      </c>
      <c r="FA176" s="97"/>
      <c r="FB176" s="97"/>
      <c r="FC176" s="849" t="s">
        <v>4990</v>
      </c>
      <c r="FD176" s="97"/>
      <c r="FE176" s="97"/>
      <c r="FF176" s="97"/>
      <c r="FG176" s="97"/>
      <c r="FH176" s="97"/>
      <c r="FI176" s="97"/>
      <c r="FJ176" s="97" t="s">
        <v>4473</v>
      </c>
      <c r="FK176" s="97" t="s">
        <v>4257</v>
      </c>
      <c r="FL176" s="849" t="s">
        <v>4068</v>
      </c>
      <c r="FM176" s="97" t="s">
        <v>2124</v>
      </c>
      <c r="FN176" s="97" t="s">
        <v>2125</v>
      </c>
      <c r="FO176" s="506" t="s">
        <v>2126</v>
      </c>
    </row>
    <row r="177" spans="5:171" ht="104" customHeight="1" x14ac:dyDescent="0.2">
      <c r="E177" s="94" t="s">
        <v>9302</v>
      </c>
      <c r="F177" s="94" t="s">
        <v>9120</v>
      </c>
      <c r="G177" s="198" t="s">
        <v>465</v>
      </c>
      <c r="H177" s="198" t="s">
        <v>409</v>
      </c>
      <c r="I177" s="198"/>
      <c r="J177" s="198" t="s">
        <v>1413</v>
      </c>
      <c r="K177" s="198" t="s">
        <v>1413</v>
      </c>
      <c r="L177" s="578">
        <v>2022</v>
      </c>
      <c r="M177" s="822">
        <v>44862</v>
      </c>
      <c r="N177" s="822">
        <v>44896</v>
      </c>
      <c r="O177" s="198" t="s">
        <v>3533</v>
      </c>
      <c r="P177" s="198" t="s">
        <v>3534</v>
      </c>
      <c r="Q177" s="844" t="s">
        <v>3535</v>
      </c>
      <c r="R177" s="198"/>
      <c r="S177" s="198"/>
      <c r="T177" s="198"/>
      <c r="U177" s="198"/>
      <c r="V177" s="198"/>
      <c r="W177" s="198"/>
      <c r="X177" s="198" t="s">
        <v>3536</v>
      </c>
      <c r="Y177" s="844" t="s">
        <v>3537</v>
      </c>
      <c r="Z177" s="844"/>
      <c r="AA177" s="844"/>
      <c r="AB177" s="844"/>
      <c r="AC177" s="844"/>
      <c r="AD177" s="844"/>
      <c r="AE177" s="844"/>
      <c r="AF177" s="844"/>
      <c r="AG177" s="844"/>
      <c r="AH177" s="198" t="s">
        <v>3538</v>
      </c>
      <c r="AI177" s="198" t="s">
        <v>3538</v>
      </c>
      <c r="AJ177" s="198" t="s">
        <v>3539</v>
      </c>
      <c r="AK177" s="198" t="s">
        <v>3540</v>
      </c>
      <c r="AL177" s="580">
        <f t="shared" si="12"/>
        <v>0.47545234000000003</v>
      </c>
      <c r="AM177" s="504">
        <v>0.47545234000000003</v>
      </c>
      <c r="AN177" s="516">
        <v>0.23024</v>
      </c>
      <c r="AO177" s="137">
        <f>AN177/AL177</f>
        <v>0.48425463633221361</v>
      </c>
      <c r="AP177" s="137">
        <f>AN177/28.222</f>
        <v>8.1581744738147537E-3</v>
      </c>
      <c r="AQ177" s="504"/>
      <c r="AR177" s="137" t="s">
        <v>656</v>
      </c>
      <c r="AS177" s="137"/>
      <c r="AT177" s="520"/>
      <c r="AU177" s="137" t="s">
        <v>656</v>
      </c>
      <c r="AV177" s="520"/>
      <c r="AW177" s="137" t="s">
        <v>656</v>
      </c>
      <c r="AX177" s="520">
        <v>0.24521234</v>
      </c>
      <c r="AY177" s="137">
        <v>0.51570000000000005</v>
      </c>
      <c r="AZ177" s="520" t="s">
        <v>656</v>
      </c>
      <c r="BA177" s="137" t="s">
        <v>656</v>
      </c>
      <c r="BB177" s="198" t="s">
        <v>656</v>
      </c>
      <c r="BC177" s="198" t="s">
        <v>656</v>
      </c>
      <c r="BD177" s="198" t="s">
        <v>656</v>
      </c>
      <c r="BE177" s="198" t="s">
        <v>470</v>
      </c>
      <c r="BF177" s="198" t="s">
        <v>656</v>
      </c>
      <c r="BG177" s="198" t="s">
        <v>656</v>
      </c>
      <c r="BH177" s="198" t="s">
        <v>656</v>
      </c>
      <c r="BI177" s="520">
        <v>23.5</v>
      </c>
      <c r="BJ177" s="137"/>
      <c r="BK177" s="83">
        <v>17</v>
      </c>
      <c r="BL177" s="83">
        <v>17</v>
      </c>
      <c r="BM177" s="83">
        <v>17</v>
      </c>
      <c r="BN177" s="83">
        <v>12</v>
      </c>
      <c r="BO177" s="83" t="s">
        <v>656</v>
      </c>
      <c r="BP177" s="83" t="s">
        <v>656</v>
      </c>
      <c r="BQ177" s="83" t="s">
        <v>656</v>
      </c>
      <c r="BR177" s="83" t="s">
        <v>656</v>
      </c>
      <c r="BS177" s="83" t="s">
        <v>656</v>
      </c>
      <c r="BT177" s="83" t="s">
        <v>656</v>
      </c>
      <c r="BU177" s="83" t="s">
        <v>656</v>
      </c>
      <c r="BV177" s="83" t="s">
        <v>656</v>
      </c>
      <c r="BW177" s="83" t="s">
        <v>656</v>
      </c>
      <c r="BX177" s="83" t="s">
        <v>656</v>
      </c>
      <c r="BY177" s="83" t="s">
        <v>656</v>
      </c>
      <c r="BZ177" s="83" t="s">
        <v>656</v>
      </c>
      <c r="CA177" s="83" t="s">
        <v>656</v>
      </c>
      <c r="CB177" s="83" t="s">
        <v>656</v>
      </c>
      <c r="CC177" s="83" t="s">
        <v>656</v>
      </c>
      <c r="CD177" s="83" t="s">
        <v>656</v>
      </c>
      <c r="CE177" s="83" t="s">
        <v>656</v>
      </c>
      <c r="CF177" s="83" t="s">
        <v>656</v>
      </c>
      <c r="CG177" s="83" t="s">
        <v>656</v>
      </c>
      <c r="CH177" s="83" t="s">
        <v>656</v>
      </c>
      <c r="CI177" s="83" t="s">
        <v>656</v>
      </c>
      <c r="CJ177" s="83" t="s">
        <v>656</v>
      </c>
      <c r="CK177" s="83" t="s">
        <v>656</v>
      </c>
      <c r="CL177" s="824">
        <f t="shared" si="14"/>
        <v>12</v>
      </c>
      <c r="CM177" s="824">
        <f t="shared" si="13"/>
        <v>0</v>
      </c>
      <c r="CN177" s="580"/>
      <c r="CO177" s="198"/>
      <c r="CP177" s="198"/>
      <c r="CQ177" s="137"/>
      <c r="CR177" s="580">
        <v>776.66099999999994</v>
      </c>
      <c r="CS177" s="137"/>
      <c r="CT177" s="198" t="s">
        <v>470</v>
      </c>
      <c r="CU177" s="198" t="s">
        <v>656</v>
      </c>
      <c r="CV177" s="198" t="s">
        <v>656</v>
      </c>
      <c r="CW177" s="198" t="s">
        <v>656</v>
      </c>
      <c r="CX177" s="83" t="s">
        <v>656</v>
      </c>
      <c r="CY177" s="83" t="s">
        <v>656</v>
      </c>
      <c r="CZ177" s="83" t="s">
        <v>656</v>
      </c>
      <c r="DA177" s="198" t="s">
        <v>470</v>
      </c>
      <c r="DB177" s="198" t="s">
        <v>656</v>
      </c>
      <c r="DC177" s="83" t="s">
        <v>656</v>
      </c>
      <c r="DD177" s="198" t="s">
        <v>479</v>
      </c>
      <c r="DE177" s="198"/>
      <c r="DF177" s="83"/>
      <c r="DG177" s="83" t="s">
        <v>479</v>
      </c>
      <c r="DH177" s="83"/>
      <c r="DI177" s="83"/>
      <c r="DJ177" s="83" t="s">
        <v>479</v>
      </c>
      <c r="DK177" s="83"/>
      <c r="DL177" s="83"/>
      <c r="DM177" s="198" t="s">
        <v>470</v>
      </c>
      <c r="DN177" s="198" t="s">
        <v>656</v>
      </c>
      <c r="DO177" s="83" t="s">
        <v>656</v>
      </c>
      <c r="DP177" s="198" t="s">
        <v>470</v>
      </c>
      <c r="DQ177" s="198" t="s">
        <v>656</v>
      </c>
      <c r="DR177" s="83" t="s">
        <v>656</v>
      </c>
      <c r="DS177" s="198" t="s">
        <v>470</v>
      </c>
      <c r="DT177" s="198" t="s">
        <v>656</v>
      </c>
      <c r="DU177" s="83" t="s">
        <v>656</v>
      </c>
      <c r="DV177" s="198" t="s">
        <v>470</v>
      </c>
      <c r="DW177" s="198" t="s">
        <v>656</v>
      </c>
      <c r="DX177" s="83" t="s">
        <v>656</v>
      </c>
      <c r="DY177" s="198" t="s">
        <v>470</v>
      </c>
      <c r="DZ177" s="198" t="s">
        <v>656</v>
      </c>
      <c r="EA177" s="83" t="s">
        <v>656</v>
      </c>
      <c r="EB177" s="198" t="s">
        <v>479</v>
      </c>
      <c r="EC177" s="198"/>
      <c r="ED177" s="83"/>
      <c r="EE177" s="198" t="s">
        <v>470</v>
      </c>
      <c r="EF177" s="198" t="s">
        <v>656</v>
      </c>
      <c r="EG177" s="83" t="s">
        <v>656</v>
      </c>
      <c r="EH177" s="198" t="s">
        <v>470</v>
      </c>
      <c r="EI177" s="198" t="s">
        <v>656</v>
      </c>
      <c r="EJ177" s="83" t="s">
        <v>656</v>
      </c>
      <c r="EK177" s="198" t="s">
        <v>470</v>
      </c>
      <c r="EL177" s="198" t="s">
        <v>656</v>
      </c>
      <c r="EM177" s="83" t="s">
        <v>656</v>
      </c>
      <c r="EN177" s="198" t="s">
        <v>470</v>
      </c>
      <c r="EO177" s="198" t="s">
        <v>656</v>
      </c>
      <c r="EP177" s="83" t="s">
        <v>656</v>
      </c>
      <c r="EQ177" s="198" t="s">
        <v>470</v>
      </c>
      <c r="ER177" s="83" t="s">
        <v>656</v>
      </c>
      <c r="ES177" s="83" t="s">
        <v>656</v>
      </c>
      <c r="ET177" s="198" t="s">
        <v>470</v>
      </c>
      <c r="EU177" s="198" t="s">
        <v>656</v>
      </c>
      <c r="EV177" s="83" t="s">
        <v>656</v>
      </c>
      <c r="EW177" s="837">
        <v>1</v>
      </c>
      <c r="EX177" s="198" t="s">
        <v>656</v>
      </c>
      <c r="EY177" s="505">
        <v>4</v>
      </c>
      <c r="EZ177" s="198" t="s">
        <v>470</v>
      </c>
      <c r="FA177" s="198" t="s">
        <v>656</v>
      </c>
      <c r="FB177" s="198" t="s">
        <v>656</v>
      </c>
      <c r="FC177" s="198" t="s">
        <v>656</v>
      </c>
      <c r="FD177" s="198" t="s">
        <v>656</v>
      </c>
      <c r="FE177" s="198" t="s">
        <v>656</v>
      </c>
      <c r="FF177" s="198" t="s">
        <v>656</v>
      </c>
      <c r="FG177" s="198" t="s">
        <v>656</v>
      </c>
      <c r="FH177" s="198" t="s">
        <v>656</v>
      </c>
      <c r="FI177" s="198" t="s">
        <v>656</v>
      </c>
      <c r="FJ177" s="198" t="s">
        <v>3541</v>
      </c>
      <c r="FK177" s="198" t="s">
        <v>3542</v>
      </c>
      <c r="FL177" s="844" t="s">
        <v>3543</v>
      </c>
      <c r="FM177" s="198" t="s">
        <v>3544</v>
      </c>
      <c r="FN177" s="198" t="s">
        <v>3545</v>
      </c>
      <c r="FO177" s="198" t="s">
        <v>3546</v>
      </c>
    </row>
    <row r="178" spans="5:171" ht="104" customHeight="1" x14ac:dyDescent="0.2">
      <c r="E178" s="94" t="s">
        <v>9304</v>
      </c>
      <c r="F178" s="94" t="s">
        <v>9120</v>
      </c>
      <c r="G178" s="198" t="s">
        <v>465</v>
      </c>
      <c r="H178" s="198" t="s">
        <v>409</v>
      </c>
      <c r="I178" s="198"/>
      <c r="J178" s="198" t="s">
        <v>3557</v>
      </c>
      <c r="K178" s="198" t="s">
        <v>3557</v>
      </c>
      <c r="L178" s="578">
        <v>2017</v>
      </c>
      <c r="M178" s="822">
        <v>44562</v>
      </c>
      <c r="N178" s="822">
        <v>44926</v>
      </c>
      <c r="O178" s="198" t="s">
        <v>3557</v>
      </c>
      <c r="P178" s="198" t="s">
        <v>3558</v>
      </c>
      <c r="Q178" s="198" t="s">
        <v>3559</v>
      </c>
      <c r="R178" s="198"/>
      <c r="S178" s="198"/>
      <c r="T178" s="198"/>
      <c r="U178" s="198"/>
      <c r="V178" s="198" t="s">
        <v>3558</v>
      </c>
      <c r="W178" s="198" t="s">
        <v>3559</v>
      </c>
      <c r="X178" s="198"/>
      <c r="Y178" s="198"/>
      <c r="Z178" s="198"/>
      <c r="AA178" s="198"/>
      <c r="AB178" s="198"/>
      <c r="AC178" s="198"/>
      <c r="AD178" s="198"/>
      <c r="AE178" s="198"/>
      <c r="AF178" s="198"/>
      <c r="AG178" s="198"/>
      <c r="AH178" s="198" t="s">
        <v>3560</v>
      </c>
      <c r="AI178" s="198" t="s">
        <v>3560</v>
      </c>
      <c r="AJ178" s="198" t="s">
        <v>477</v>
      </c>
      <c r="AK178" s="198" t="s">
        <v>3540</v>
      </c>
      <c r="AL178" s="580">
        <f t="shared" si="12"/>
        <v>299.37200000000001</v>
      </c>
      <c r="AM178" s="504">
        <v>299.37200000000001</v>
      </c>
      <c r="AN178" s="516">
        <v>27.945</v>
      </c>
      <c r="AO178" s="137">
        <f>AN178/AL178</f>
        <v>9.3345403043704825E-2</v>
      </c>
      <c r="AP178" s="137"/>
      <c r="AQ178" s="504">
        <v>27.867000000000001</v>
      </c>
      <c r="AR178" s="137">
        <f>AQ178/AL178</f>
        <v>9.3084857635316598E-2</v>
      </c>
      <c r="AS178" s="137"/>
      <c r="AT178" s="520">
        <v>0</v>
      </c>
      <c r="AU178" s="137">
        <f>AT178/AL178</f>
        <v>0</v>
      </c>
      <c r="AV178" s="520">
        <v>0</v>
      </c>
      <c r="AW178" s="137">
        <f>AV178/AL178</f>
        <v>0</v>
      </c>
      <c r="AX178" s="520">
        <v>0</v>
      </c>
      <c r="AY178" s="137">
        <f>AX178/AL178</f>
        <v>0</v>
      </c>
      <c r="AZ178" s="520">
        <v>243.56</v>
      </c>
      <c r="BA178" s="520">
        <f>AZ178/AL178*100</f>
        <v>81.356973932097858</v>
      </c>
      <c r="BB178" s="198" t="s">
        <v>3561</v>
      </c>
      <c r="BC178" s="198" t="s">
        <v>3562</v>
      </c>
      <c r="BD178" s="198" t="s">
        <v>3560</v>
      </c>
      <c r="BE178" s="198"/>
      <c r="BF178" s="823" t="s">
        <v>470</v>
      </c>
      <c r="BH178" s="137"/>
      <c r="BI178" s="580">
        <v>4.25</v>
      </c>
      <c r="BJ178" s="137">
        <v>1E-4</v>
      </c>
      <c r="BK178" s="83"/>
      <c r="BL178" s="83"/>
      <c r="BM178" s="83"/>
      <c r="BN178" s="83"/>
      <c r="BO178" s="83"/>
      <c r="BP178" s="83"/>
      <c r="BQ178" s="83"/>
      <c r="BR178" s="83"/>
      <c r="BS178" s="83"/>
      <c r="BT178" s="83"/>
      <c r="BU178" s="83"/>
      <c r="BV178" s="83"/>
      <c r="BW178" s="83"/>
      <c r="BX178" s="83"/>
      <c r="BY178" s="83">
        <v>112</v>
      </c>
      <c r="BZ178" s="83"/>
      <c r="CA178" s="83"/>
      <c r="CB178" s="83"/>
      <c r="CC178" s="83"/>
      <c r="CD178" s="83"/>
      <c r="CE178" s="83"/>
      <c r="CF178" s="83"/>
      <c r="CG178" s="857"/>
      <c r="CH178" s="580"/>
      <c r="CI178" s="198"/>
      <c r="CJ178" s="198"/>
      <c r="CK178" s="137"/>
      <c r="CL178" s="578">
        <v>112</v>
      </c>
      <c r="CM178" s="824">
        <f t="shared" si="13"/>
        <v>0</v>
      </c>
      <c r="CN178" s="137"/>
      <c r="CO178" s="198"/>
      <c r="CP178" s="198"/>
      <c r="CQ178" s="198"/>
      <c r="CR178" s="83"/>
      <c r="CS178" s="83"/>
      <c r="CT178" s="83"/>
      <c r="CU178" s="198" t="s">
        <v>470</v>
      </c>
      <c r="CV178" s="198"/>
      <c r="CW178" s="83"/>
      <c r="CX178" s="198"/>
      <c r="CY178" s="198"/>
      <c r="CZ178" s="83"/>
      <c r="DA178" s="83" t="s">
        <v>479</v>
      </c>
      <c r="DB178" s="83"/>
      <c r="DC178" s="83"/>
      <c r="DD178" s="83"/>
      <c r="DE178" s="83"/>
      <c r="DF178" s="83"/>
      <c r="DG178" s="198"/>
      <c r="DH178" s="198"/>
      <c r="DI178" s="83"/>
      <c r="DJ178" s="198"/>
      <c r="DK178" s="198"/>
      <c r="DL178" s="83"/>
      <c r="DM178" s="198"/>
      <c r="DN178" s="198"/>
      <c r="DO178" s="83"/>
      <c r="DP178" s="198" t="s">
        <v>479</v>
      </c>
      <c r="DQ178" s="198"/>
      <c r="DR178" s="83"/>
      <c r="DS178" s="198"/>
      <c r="DT178" s="549"/>
      <c r="DU178" s="83"/>
      <c r="DV178" s="198"/>
      <c r="DW178" s="549"/>
      <c r="DX178" s="83"/>
      <c r="DY178" s="83" t="s">
        <v>479</v>
      </c>
      <c r="DZ178" s="83"/>
      <c r="EA178" s="83"/>
      <c r="EB178" s="198" t="s">
        <v>479</v>
      </c>
      <c r="EC178" s="198"/>
      <c r="ED178" s="83"/>
      <c r="EE178" s="198"/>
      <c r="EF178" s="198"/>
      <c r="EG178" s="83"/>
      <c r="EH178" s="198"/>
      <c r="EI178" s="549"/>
      <c r="EJ178" s="83"/>
      <c r="EK178" s="198"/>
      <c r="EL178" s="549"/>
      <c r="EM178" s="83"/>
      <c r="EN178" s="198"/>
      <c r="EO178" s="198"/>
      <c r="EP178" s="83"/>
      <c r="EQ178" s="198"/>
      <c r="ER178" s="198" t="s">
        <v>3563</v>
      </c>
      <c r="ES178" s="505">
        <v>14</v>
      </c>
      <c r="ET178" s="198" t="s">
        <v>470</v>
      </c>
      <c r="EU178" s="198" t="s">
        <v>470</v>
      </c>
      <c r="EV178" s="198"/>
      <c r="EW178" s="198"/>
      <c r="EX178" s="198"/>
      <c r="EY178" s="198"/>
      <c r="EZ178" s="198"/>
      <c r="FA178" s="198"/>
      <c r="FB178" s="198"/>
      <c r="FC178" s="198"/>
      <c r="FD178" s="198"/>
      <c r="FE178" s="198"/>
      <c r="FF178" s="549"/>
      <c r="FG178" s="198"/>
      <c r="FH178" s="198"/>
      <c r="FI178" s="198"/>
      <c r="FJ178" s="198" t="s">
        <v>3564</v>
      </c>
      <c r="FK178" s="198" t="s">
        <v>3565</v>
      </c>
      <c r="FL178" s="549" t="s">
        <v>3566</v>
      </c>
      <c r="FM178" s="198" t="s">
        <v>3544</v>
      </c>
      <c r="FN178" s="198" t="s">
        <v>3545</v>
      </c>
      <c r="FO178" s="198" t="s">
        <v>3546</v>
      </c>
    </row>
    <row r="179" spans="5:171" ht="104" customHeight="1" x14ac:dyDescent="0.2">
      <c r="E179" s="94" t="s">
        <v>9303</v>
      </c>
      <c r="F179" s="94" t="s">
        <v>9120</v>
      </c>
      <c r="G179" s="198" t="s">
        <v>465</v>
      </c>
      <c r="H179" s="198" t="s">
        <v>409</v>
      </c>
      <c r="I179" s="198"/>
      <c r="J179" s="589" t="s">
        <v>1045</v>
      </c>
      <c r="K179" s="589" t="s">
        <v>1045</v>
      </c>
      <c r="L179" s="952">
        <v>2020</v>
      </c>
      <c r="M179" s="953">
        <v>44652</v>
      </c>
      <c r="N179" s="953">
        <v>44926</v>
      </c>
      <c r="O179" s="589" t="s">
        <v>3547</v>
      </c>
      <c r="P179" s="589" t="s">
        <v>3548</v>
      </c>
      <c r="Q179" s="589" t="s">
        <v>3549</v>
      </c>
      <c r="R179" s="589"/>
      <c r="S179" s="589"/>
      <c r="T179" s="589"/>
      <c r="U179" s="589"/>
      <c r="V179" s="589"/>
      <c r="W179" s="589"/>
      <c r="X179" s="589"/>
      <c r="Y179" s="589"/>
      <c r="Z179" s="589"/>
      <c r="AA179" s="589"/>
      <c r="AB179" s="589"/>
      <c r="AC179" s="589"/>
      <c r="AD179" s="589"/>
      <c r="AE179" s="589"/>
      <c r="AF179" s="589"/>
      <c r="AG179" s="589"/>
      <c r="AH179" s="589" t="s">
        <v>3550</v>
      </c>
      <c r="AI179" s="589" t="s">
        <v>3550</v>
      </c>
      <c r="AJ179" s="589" t="s">
        <v>477</v>
      </c>
      <c r="AK179" s="589" t="s">
        <v>3551</v>
      </c>
      <c r="AL179" s="580">
        <f t="shared" si="12"/>
        <v>3.3284699999999998</v>
      </c>
      <c r="AM179" s="504">
        <v>3.3284699999999998</v>
      </c>
      <c r="AN179" s="954">
        <v>4.657E-2</v>
      </c>
      <c r="AO179" s="955">
        <v>1.4E-2</v>
      </c>
      <c r="AP179" s="956">
        <f>AN179/28.222</f>
        <v>1.6501311033945149E-3</v>
      </c>
      <c r="AQ179" s="504">
        <v>0.495</v>
      </c>
      <c r="AR179" s="137">
        <v>0.15</v>
      </c>
      <c r="AS179" s="137"/>
      <c r="AT179" s="520">
        <v>0.185</v>
      </c>
      <c r="AU179" s="137">
        <v>5.5E-2</v>
      </c>
      <c r="AV179" s="520">
        <v>0.32</v>
      </c>
      <c r="AW179" s="137">
        <v>9.6000000000000002E-2</v>
      </c>
      <c r="AX179" s="520"/>
      <c r="AY179" s="137">
        <v>0</v>
      </c>
      <c r="AZ179" s="520">
        <v>2.2818999999999998</v>
      </c>
      <c r="BA179" s="955">
        <v>0.68500000000000005</v>
      </c>
      <c r="BB179" s="589" t="s">
        <v>3552</v>
      </c>
      <c r="BC179" s="589" t="s">
        <v>875</v>
      </c>
      <c r="BD179" s="589" t="s">
        <v>3550</v>
      </c>
      <c r="BE179" s="589" t="s">
        <v>479</v>
      </c>
      <c r="BF179" s="589" t="s">
        <v>3553</v>
      </c>
      <c r="BG179" s="589" t="s">
        <v>3549</v>
      </c>
      <c r="BH179" s="589">
        <v>0</v>
      </c>
      <c r="BI179" s="589">
        <v>3.1768999999999998</v>
      </c>
      <c r="BJ179" s="957">
        <v>4.0000000000000003E-5</v>
      </c>
      <c r="BK179" s="958">
        <v>22</v>
      </c>
      <c r="BL179" s="958">
        <v>22</v>
      </c>
      <c r="BM179" s="958">
        <v>3</v>
      </c>
      <c r="BN179" s="958"/>
      <c r="BO179" s="958"/>
      <c r="BP179" s="958"/>
      <c r="BQ179" s="958"/>
      <c r="BR179" s="958"/>
      <c r="BS179" s="958"/>
      <c r="BT179" s="958"/>
      <c r="BU179" s="958"/>
      <c r="BV179" s="958"/>
      <c r="BW179" s="958"/>
      <c r="BX179" s="958">
        <v>3</v>
      </c>
      <c r="BY179" s="958"/>
      <c r="BZ179" s="958"/>
      <c r="CA179" s="958"/>
      <c r="CB179" s="958"/>
      <c r="CC179" s="958"/>
      <c r="CD179" s="958"/>
      <c r="CE179" s="958"/>
      <c r="CF179" s="958"/>
      <c r="CG179" s="958"/>
      <c r="CH179" s="958"/>
      <c r="CI179" s="958"/>
      <c r="CJ179" s="958"/>
      <c r="CK179" s="958"/>
      <c r="CL179" s="959">
        <f t="shared" ref="CL179:CL187" si="15">SUM(BN179:CK179)</f>
        <v>3</v>
      </c>
      <c r="CM179" s="824">
        <f t="shared" si="13"/>
        <v>0</v>
      </c>
      <c r="CN179" s="960">
        <v>1</v>
      </c>
      <c r="CO179" s="589"/>
      <c r="CP179" s="589"/>
      <c r="CQ179" s="955">
        <v>1.1999999999999999E-3</v>
      </c>
      <c r="CR179" s="583">
        <v>805.5</v>
      </c>
      <c r="CS179" s="961" t="s">
        <v>3554</v>
      </c>
      <c r="CT179" s="589" t="s">
        <v>470</v>
      </c>
      <c r="CU179" s="589"/>
      <c r="CV179" s="589"/>
      <c r="CW179" s="589"/>
      <c r="CX179" s="958"/>
      <c r="CY179" s="958"/>
      <c r="CZ179" s="958"/>
      <c r="DA179" s="589" t="s">
        <v>479</v>
      </c>
      <c r="DB179" s="589" t="s">
        <v>1876</v>
      </c>
      <c r="DC179" s="958">
        <v>166</v>
      </c>
      <c r="DD179" s="589" t="s">
        <v>479</v>
      </c>
      <c r="DE179" s="589" t="s">
        <v>1365</v>
      </c>
      <c r="DF179" s="958">
        <v>166</v>
      </c>
      <c r="DG179" s="958" t="s">
        <v>470</v>
      </c>
      <c r="DH179" s="958"/>
      <c r="DI179" s="958"/>
      <c r="DJ179" s="958" t="s">
        <v>470</v>
      </c>
      <c r="DK179" s="958"/>
      <c r="DL179" s="958"/>
      <c r="DM179" s="589" t="s">
        <v>470</v>
      </c>
      <c r="DN179" s="589"/>
      <c r="DO179" s="958"/>
      <c r="DP179" s="589" t="s">
        <v>470</v>
      </c>
      <c r="DQ179" s="589"/>
      <c r="DR179" s="958"/>
      <c r="DS179" s="589" t="s">
        <v>470</v>
      </c>
      <c r="DT179" s="589"/>
      <c r="DU179" s="958"/>
      <c r="DV179" s="589" t="s">
        <v>470</v>
      </c>
      <c r="DW179" s="589"/>
      <c r="DX179" s="958"/>
      <c r="DY179" s="589" t="s">
        <v>470</v>
      </c>
      <c r="DZ179" s="589"/>
      <c r="EA179" s="958"/>
      <c r="EB179" s="589" t="s">
        <v>479</v>
      </c>
      <c r="EC179" s="589" t="s">
        <v>1365</v>
      </c>
      <c r="ED179" s="958">
        <v>166</v>
      </c>
      <c r="EE179" s="958" t="s">
        <v>470</v>
      </c>
      <c r="EF179" s="958"/>
      <c r="EG179" s="958"/>
      <c r="EH179" s="589" t="s">
        <v>470</v>
      </c>
      <c r="EI179" s="589"/>
      <c r="EJ179" s="958"/>
      <c r="EK179" s="589" t="s">
        <v>470</v>
      </c>
      <c r="EL179" s="589"/>
      <c r="EM179" s="958"/>
      <c r="EN179" s="589" t="s">
        <v>470</v>
      </c>
      <c r="EO179" s="589"/>
      <c r="EP179" s="958"/>
      <c r="EQ179" s="958" t="s">
        <v>470</v>
      </c>
      <c r="ER179" s="958"/>
      <c r="ES179" s="958"/>
      <c r="ET179" s="589"/>
      <c r="EU179" s="589"/>
      <c r="EV179" s="958"/>
      <c r="EW179" s="955">
        <v>1</v>
      </c>
      <c r="EX179" s="589"/>
      <c r="EY179" s="960">
        <v>9</v>
      </c>
      <c r="EZ179" s="589" t="s">
        <v>470</v>
      </c>
      <c r="FA179" s="589"/>
      <c r="FB179" s="589" t="s">
        <v>3549</v>
      </c>
      <c r="FC179" s="589"/>
      <c r="FD179" s="589"/>
      <c r="FE179" s="589"/>
      <c r="FF179" s="589"/>
      <c r="FG179" s="589"/>
      <c r="FH179" s="589"/>
      <c r="FI179" s="589"/>
      <c r="FJ179" s="589" t="s">
        <v>3555</v>
      </c>
      <c r="FK179" s="589">
        <v>83522433750</v>
      </c>
      <c r="FL179" s="589" t="s">
        <v>3556</v>
      </c>
      <c r="FM179" s="589" t="s">
        <v>3544</v>
      </c>
      <c r="FN179" s="589" t="s">
        <v>3545</v>
      </c>
      <c r="FO179" s="589" t="s">
        <v>3546</v>
      </c>
    </row>
    <row r="180" spans="5:171" ht="104" customHeight="1" x14ac:dyDescent="0.2">
      <c r="E180" s="94" t="s">
        <v>9302</v>
      </c>
      <c r="F180" s="94" t="s">
        <v>9121</v>
      </c>
      <c r="G180" s="97" t="s">
        <v>465</v>
      </c>
      <c r="H180" s="97" t="s">
        <v>409</v>
      </c>
      <c r="I180" s="97" t="s">
        <v>8771</v>
      </c>
      <c r="J180" s="97" t="s">
        <v>8407</v>
      </c>
      <c r="K180" s="97" t="s">
        <v>8407</v>
      </c>
      <c r="L180" s="502" t="s">
        <v>8339</v>
      </c>
      <c r="M180" s="841" t="s">
        <v>8309</v>
      </c>
      <c r="N180" s="841" t="s">
        <v>8238</v>
      </c>
      <c r="O180" s="841"/>
      <c r="P180" s="841"/>
      <c r="Q180" s="841"/>
      <c r="R180" s="841"/>
      <c r="S180" s="841"/>
      <c r="T180" s="841"/>
      <c r="U180" s="841"/>
      <c r="V180" s="841"/>
      <c r="W180" s="841"/>
      <c r="X180" s="841"/>
      <c r="Y180" s="841"/>
      <c r="Z180" s="97" t="s">
        <v>8119</v>
      </c>
      <c r="AA180" s="849" t="s">
        <v>7970</v>
      </c>
      <c r="AB180" s="97" t="s">
        <v>7820</v>
      </c>
      <c r="AC180" s="849" t="s">
        <v>7650</v>
      </c>
      <c r="AD180" s="97" t="s">
        <v>7491</v>
      </c>
      <c r="AE180" s="849" t="s">
        <v>7298</v>
      </c>
      <c r="AF180" s="97" t="s">
        <v>7160</v>
      </c>
      <c r="AG180" s="849" t="s">
        <v>7090</v>
      </c>
      <c r="AH180" s="97" t="s">
        <v>6863</v>
      </c>
      <c r="AI180" s="97" t="s">
        <v>6863</v>
      </c>
      <c r="AJ180" s="97" t="s">
        <v>6707</v>
      </c>
      <c r="AK180" s="97" t="s">
        <v>6522</v>
      </c>
      <c r="AL180" s="580">
        <f t="shared" si="12"/>
        <v>0.505</v>
      </c>
      <c r="AM180" s="504">
        <v>0.505</v>
      </c>
      <c r="AN180" s="516"/>
      <c r="AO180" s="97"/>
      <c r="AP180" s="97"/>
      <c r="AQ180" s="504">
        <v>0.40500000000000003</v>
      </c>
      <c r="AR180" s="507">
        <v>0.8</v>
      </c>
      <c r="AS180" s="507">
        <v>4.0000000000000002E-4</v>
      </c>
      <c r="AT180" s="516"/>
      <c r="AU180" s="507"/>
      <c r="AV180" s="516">
        <v>0.1</v>
      </c>
      <c r="AW180" s="507">
        <v>0.2</v>
      </c>
      <c r="AX180" s="516"/>
      <c r="AY180" s="507"/>
      <c r="AZ180" s="516"/>
      <c r="BA180" s="507"/>
      <c r="BB180" s="507"/>
      <c r="BC180" s="507"/>
      <c r="BD180" s="507"/>
      <c r="BE180" s="507" t="s">
        <v>479</v>
      </c>
      <c r="BF180" s="507" t="s">
        <v>6310</v>
      </c>
      <c r="BG180" s="507"/>
      <c r="BH180" s="852"/>
      <c r="BI180" s="504">
        <v>0</v>
      </c>
      <c r="BJ180" s="507"/>
      <c r="BK180" s="96">
        <v>3</v>
      </c>
      <c r="BL180" s="96">
        <v>3</v>
      </c>
      <c r="BM180" s="96">
        <v>3</v>
      </c>
      <c r="BN180" s="96"/>
      <c r="BO180" s="96"/>
      <c r="BP180" s="96"/>
      <c r="BQ180" s="96"/>
      <c r="BR180" s="96"/>
      <c r="BS180" s="96"/>
      <c r="BT180" s="96"/>
      <c r="BU180" s="96"/>
      <c r="BV180" s="96"/>
      <c r="BW180" s="96"/>
      <c r="BX180" s="96">
        <v>3</v>
      </c>
      <c r="BY180" s="96"/>
      <c r="BZ180" s="96"/>
      <c r="CA180" s="96"/>
      <c r="CB180" s="96"/>
      <c r="CC180" s="96"/>
      <c r="CD180" s="96"/>
      <c r="CE180" s="96"/>
      <c r="CF180" s="96"/>
      <c r="CG180" s="96"/>
      <c r="CH180" s="96"/>
      <c r="CI180" s="96"/>
      <c r="CJ180" s="96"/>
      <c r="CK180" s="96"/>
      <c r="CL180" s="815">
        <f t="shared" si="15"/>
        <v>3</v>
      </c>
      <c r="CM180" s="824">
        <f t="shared" si="13"/>
        <v>0</v>
      </c>
      <c r="CN180" s="504">
        <v>0.96799999999999997</v>
      </c>
      <c r="CO180" s="97"/>
      <c r="CP180" s="97"/>
      <c r="CQ180" s="97">
        <v>4</v>
      </c>
      <c r="CR180" s="504">
        <v>23.529</v>
      </c>
      <c r="CS180" s="850" t="s">
        <v>5892</v>
      </c>
      <c r="CT180" s="97" t="s">
        <v>470</v>
      </c>
      <c r="CU180" s="97"/>
      <c r="CV180" s="97"/>
      <c r="CW180" s="97"/>
      <c r="CX180" s="96"/>
      <c r="CY180" s="96"/>
      <c r="CZ180" s="96"/>
      <c r="DA180" s="97" t="s">
        <v>470</v>
      </c>
      <c r="DB180" s="97"/>
      <c r="DC180" s="96"/>
      <c r="DD180" s="97" t="s">
        <v>479</v>
      </c>
      <c r="DE180" s="97" t="s">
        <v>5411</v>
      </c>
      <c r="DF180" s="96">
        <v>54</v>
      </c>
      <c r="DG180" s="96" t="s">
        <v>470</v>
      </c>
      <c r="DH180" s="96"/>
      <c r="DI180" s="96"/>
      <c r="DJ180" s="96" t="s">
        <v>470</v>
      </c>
      <c r="DK180" s="96"/>
      <c r="DL180" s="96"/>
      <c r="DM180" s="97" t="s">
        <v>470</v>
      </c>
      <c r="DN180" s="97"/>
      <c r="DO180" s="96"/>
      <c r="DP180" s="97" t="s">
        <v>470</v>
      </c>
      <c r="DQ180" s="97"/>
      <c r="DR180" s="96"/>
      <c r="DS180" s="97" t="s">
        <v>470</v>
      </c>
      <c r="DT180" s="97"/>
      <c r="DU180" s="96"/>
      <c r="DV180" s="97"/>
      <c r="DW180" s="97"/>
      <c r="DX180" s="96"/>
      <c r="DY180" s="97" t="s">
        <v>470</v>
      </c>
      <c r="DZ180" s="97"/>
      <c r="EA180" s="96"/>
      <c r="EB180" s="97" t="s">
        <v>479</v>
      </c>
      <c r="EC180" s="97" t="s">
        <v>5411</v>
      </c>
      <c r="ED180" s="96">
        <v>54</v>
      </c>
      <c r="EE180" s="96" t="s">
        <v>470</v>
      </c>
      <c r="EF180" s="96"/>
      <c r="EG180" s="96"/>
      <c r="EH180" s="97" t="s">
        <v>470</v>
      </c>
      <c r="EI180" s="97"/>
      <c r="EJ180" s="96"/>
      <c r="EK180" s="97" t="s">
        <v>470</v>
      </c>
      <c r="EL180" s="97"/>
      <c r="EM180" s="96"/>
      <c r="EN180" s="97" t="s">
        <v>470</v>
      </c>
      <c r="EO180" s="97"/>
      <c r="EP180" s="96"/>
      <c r="EQ180" s="96" t="s">
        <v>470</v>
      </c>
      <c r="ER180" s="96"/>
      <c r="ES180" s="96"/>
      <c r="ET180" s="97"/>
      <c r="EU180" s="97"/>
      <c r="EV180" s="96"/>
      <c r="EW180" s="96"/>
      <c r="EX180" s="96"/>
      <c r="EY180" s="96"/>
      <c r="EZ180" s="97" t="s">
        <v>470</v>
      </c>
      <c r="FA180" s="97"/>
      <c r="FB180" s="97"/>
      <c r="FC180" s="97"/>
      <c r="FD180" s="97"/>
      <c r="FE180" s="97"/>
      <c r="FF180" s="97"/>
      <c r="FG180" s="97"/>
      <c r="FH180" s="97"/>
      <c r="FI180" s="97"/>
      <c r="FJ180" s="97" t="s">
        <v>4472</v>
      </c>
      <c r="FK180" s="97">
        <v>83525237012</v>
      </c>
      <c r="FL180" s="849" t="s">
        <v>4067</v>
      </c>
      <c r="FM180" s="97" t="s">
        <v>3544</v>
      </c>
      <c r="FN180" s="97" t="s">
        <v>3545</v>
      </c>
      <c r="FO180" s="97" t="s">
        <v>3546</v>
      </c>
    </row>
    <row r="181" spans="5:171" ht="104" customHeight="1" x14ac:dyDescent="0.2">
      <c r="E181" s="94" t="s">
        <v>9302</v>
      </c>
      <c r="F181" s="94" t="s">
        <v>9120</v>
      </c>
      <c r="G181" s="198" t="s">
        <v>328</v>
      </c>
      <c r="H181" s="198" t="s">
        <v>410</v>
      </c>
      <c r="I181" s="198"/>
      <c r="J181" s="198" t="s">
        <v>551</v>
      </c>
      <c r="K181" s="198" t="s">
        <v>552</v>
      </c>
      <c r="L181" s="578">
        <v>2017</v>
      </c>
      <c r="M181" s="822" t="s">
        <v>553</v>
      </c>
      <c r="N181" s="822" t="s">
        <v>554</v>
      </c>
      <c r="O181" s="198" t="s">
        <v>470</v>
      </c>
      <c r="P181" s="198" t="s">
        <v>470</v>
      </c>
      <c r="Q181" s="198" t="s">
        <v>470</v>
      </c>
      <c r="R181" s="198" t="s">
        <v>555</v>
      </c>
      <c r="S181" s="844" t="s">
        <v>556</v>
      </c>
      <c r="T181" s="198" t="s">
        <v>470</v>
      </c>
      <c r="U181" s="198" t="s">
        <v>470</v>
      </c>
      <c r="V181" s="198" t="s">
        <v>470</v>
      </c>
      <c r="W181" s="198" t="s">
        <v>470</v>
      </c>
      <c r="X181" s="198" t="s">
        <v>557</v>
      </c>
      <c r="Y181" s="844" t="s">
        <v>558</v>
      </c>
      <c r="Z181" s="844"/>
      <c r="AA181" s="844"/>
      <c r="AB181" s="844"/>
      <c r="AC181" s="844"/>
      <c r="AD181" s="844"/>
      <c r="AE181" s="844"/>
      <c r="AF181" s="844"/>
      <c r="AG181" s="844"/>
      <c r="AH181" s="198" t="s">
        <v>559</v>
      </c>
      <c r="AI181" s="198" t="s">
        <v>560</v>
      </c>
      <c r="AJ181" s="198" t="s">
        <v>477</v>
      </c>
      <c r="AK181" s="198" t="s">
        <v>561</v>
      </c>
      <c r="AL181" s="580">
        <f t="shared" si="12"/>
        <v>785.04499999999996</v>
      </c>
      <c r="AM181" s="504">
        <v>785.04499999999996</v>
      </c>
      <c r="AN181" s="516">
        <v>382.92599999999999</v>
      </c>
      <c r="AO181" s="137">
        <v>0.48799999999999999</v>
      </c>
      <c r="AP181" s="137">
        <v>3.5999999999999999E-3</v>
      </c>
      <c r="AQ181" s="504">
        <v>367.125</v>
      </c>
      <c r="AR181" s="137">
        <v>0.46789999999999998</v>
      </c>
      <c r="AS181" s="137"/>
      <c r="AT181" s="520"/>
      <c r="AU181" s="137"/>
      <c r="AV181" s="520"/>
      <c r="AW181" s="137"/>
      <c r="AX181" s="520">
        <v>34.994</v>
      </c>
      <c r="AY181" s="137">
        <v>4.4600000000000001E-2</v>
      </c>
      <c r="AZ181" s="520">
        <v>0</v>
      </c>
      <c r="BA181" s="137">
        <v>0</v>
      </c>
      <c r="BB181" s="198" t="s">
        <v>470</v>
      </c>
      <c r="BC181" s="198" t="s">
        <v>470</v>
      </c>
      <c r="BD181" s="198" t="s">
        <v>470</v>
      </c>
      <c r="BE181" s="198" t="s">
        <v>470</v>
      </c>
      <c r="BF181" s="198" t="s">
        <v>470</v>
      </c>
      <c r="BG181" s="198" t="s">
        <v>470</v>
      </c>
      <c r="BH181" s="198" t="s">
        <v>470</v>
      </c>
      <c r="BI181" s="823">
        <v>399.81900000000002</v>
      </c>
      <c r="BJ181" s="137">
        <v>4.3E-3</v>
      </c>
      <c r="BK181" s="83">
        <v>375</v>
      </c>
      <c r="BL181" s="83">
        <v>375</v>
      </c>
      <c r="BM181" s="83">
        <v>372</v>
      </c>
      <c r="BN181" s="83">
        <v>21</v>
      </c>
      <c r="BO181" s="83">
        <v>53</v>
      </c>
      <c r="BP181" s="83">
        <v>3</v>
      </c>
      <c r="BQ181" s="83">
        <v>0</v>
      </c>
      <c r="BR181" s="83">
        <v>0</v>
      </c>
      <c r="BS181" s="83">
        <v>0</v>
      </c>
      <c r="BT181" s="83">
        <v>141</v>
      </c>
      <c r="BU181" s="83">
        <v>23</v>
      </c>
      <c r="BV181" s="83">
        <v>15</v>
      </c>
      <c r="BW181" s="83">
        <v>2</v>
      </c>
      <c r="BX181" s="83">
        <v>14</v>
      </c>
      <c r="BY181" s="83">
        <v>16</v>
      </c>
      <c r="BZ181" s="83">
        <v>50</v>
      </c>
      <c r="CA181" s="83">
        <v>0</v>
      </c>
      <c r="CB181" s="83">
        <v>0</v>
      </c>
      <c r="CC181" s="83">
        <v>0</v>
      </c>
      <c r="CD181" s="83">
        <v>0</v>
      </c>
      <c r="CE181" s="83">
        <v>0</v>
      </c>
      <c r="CF181" s="83">
        <v>0</v>
      </c>
      <c r="CG181" s="83">
        <v>0</v>
      </c>
      <c r="CH181" s="83">
        <v>0</v>
      </c>
      <c r="CI181" s="83">
        <v>0</v>
      </c>
      <c r="CJ181" s="83">
        <v>0</v>
      </c>
      <c r="CK181" s="83">
        <v>3</v>
      </c>
      <c r="CL181" s="824">
        <f t="shared" si="15"/>
        <v>341</v>
      </c>
      <c r="CM181" s="824">
        <f t="shared" si="13"/>
        <v>0</v>
      </c>
      <c r="CN181" s="580">
        <v>572</v>
      </c>
      <c r="CO181" s="198" t="s">
        <v>562</v>
      </c>
      <c r="CP181" s="198" t="s">
        <v>470</v>
      </c>
      <c r="CQ181" s="137">
        <v>0.52790000000000004</v>
      </c>
      <c r="CR181" s="580">
        <v>1083.5840000000001</v>
      </c>
      <c r="CS181" s="873" t="s">
        <v>563</v>
      </c>
      <c r="CT181" s="198" t="s">
        <v>470</v>
      </c>
      <c r="CU181" s="198" t="s">
        <v>470</v>
      </c>
      <c r="CV181" s="198" t="s">
        <v>470</v>
      </c>
      <c r="CW181" s="198" t="s">
        <v>470</v>
      </c>
      <c r="CX181" s="83" t="s">
        <v>470</v>
      </c>
      <c r="CY181" s="83" t="s">
        <v>470</v>
      </c>
      <c r="CZ181" s="83">
        <v>8</v>
      </c>
      <c r="DA181" s="198" t="s">
        <v>470</v>
      </c>
      <c r="DB181" s="198" t="s">
        <v>470</v>
      </c>
      <c r="DC181" s="83" t="s">
        <v>470</v>
      </c>
      <c r="DD181" s="198" t="s">
        <v>479</v>
      </c>
      <c r="DE181" s="198" t="s">
        <v>564</v>
      </c>
      <c r="DF181" s="83">
        <v>18232</v>
      </c>
      <c r="DG181" s="83" t="s">
        <v>470</v>
      </c>
      <c r="DH181" s="83" t="s">
        <v>470</v>
      </c>
      <c r="DI181" s="83" t="s">
        <v>470</v>
      </c>
      <c r="DJ181" s="83" t="s">
        <v>470</v>
      </c>
      <c r="DK181" s="83" t="s">
        <v>470</v>
      </c>
      <c r="DL181" s="83" t="s">
        <v>470</v>
      </c>
      <c r="DM181" s="198" t="s">
        <v>470</v>
      </c>
      <c r="DN181" s="198" t="s">
        <v>470</v>
      </c>
      <c r="DO181" s="83" t="s">
        <v>470</v>
      </c>
      <c r="DP181" s="198" t="s">
        <v>470</v>
      </c>
      <c r="DQ181" s="198" t="s">
        <v>470</v>
      </c>
      <c r="DR181" s="83" t="s">
        <v>470</v>
      </c>
      <c r="DS181" s="198" t="s">
        <v>470</v>
      </c>
      <c r="DT181" s="198" t="s">
        <v>470</v>
      </c>
      <c r="DU181" s="83" t="s">
        <v>470</v>
      </c>
      <c r="DV181" s="198" t="s">
        <v>470</v>
      </c>
      <c r="DW181" s="198" t="s">
        <v>470</v>
      </c>
      <c r="DX181" s="83" t="s">
        <v>470</v>
      </c>
      <c r="DY181" s="198" t="s">
        <v>470</v>
      </c>
      <c r="DZ181" s="198" t="s">
        <v>470</v>
      </c>
      <c r="EA181" s="83" t="s">
        <v>470</v>
      </c>
      <c r="EB181" s="198" t="s">
        <v>470</v>
      </c>
      <c r="EC181" s="198" t="s">
        <v>470</v>
      </c>
      <c r="ED181" s="83" t="s">
        <v>470</v>
      </c>
      <c r="EE181" s="83" t="s">
        <v>470</v>
      </c>
      <c r="EF181" s="83" t="s">
        <v>470</v>
      </c>
      <c r="EG181" s="83" t="s">
        <v>470</v>
      </c>
      <c r="EH181" s="198" t="s">
        <v>470</v>
      </c>
      <c r="EI181" s="198" t="s">
        <v>470</v>
      </c>
      <c r="EJ181" s="83" t="s">
        <v>470</v>
      </c>
      <c r="EK181" s="198" t="s">
        <v>470</v>
      </c>
      <c r="EL181" s="198" t="s">
        <v>470</v>
      </c>
      <c r="EM181" s="83" t="s">
        <v>470</v>
      </c>
      <c r="EN181" s="198" t="s">
        <v>470</v>
      </c>
      <c r="EO181" s="198" t="s">
        <v>470</v>
      </c>
      <c r="EP181" s="83" t="s">
        <v>470</v>
      </c>
      <c r="EQ181" s="83" t="s">
        <v>479</v>
      </c>
      <c r="ER181" s="83" t="s">
        <v>565</v>
      </c>
      <c r="ES181" s="83" t="s">
        <v>566</v>
      </c>
      <c r="ET181" s="198" t="s">
        <v>470</v>
      </c>
      <c r="EU181" s="198" t="s">
        <v>470</v>
      </c>
      <c r="EV181" s="83" t="s">
        <v>470</v>
      </c>
      <c r="EW181" s="837">
        <v>1</v>
      </c>
      <c r="EX181" s="198" t="s">
        <v>470</v>
      </c>
      <c r="EY181" s="505">
        <v>87</v>
      </c>
      <c r="EZ181" s="198" t="s">
        <v>470</v>
      </c>
      <c r="FA181" s="198" t="s">
        <v>470</v>
      </c>
      <c r="FB181" s="198" t="s">
        <v>470</v>
      </c>
      <c r="FC181" s="198" t="s">
        <v>470</v>
      </c>
      <c r="FD181" s="198" t="s">
        <v>470</v>
      </c>
      <c r="FE181" s="198" t="s">
        <v>567</v>
      </c>
      <c r="FF181" s="198" t="s">
        <v>568</v>
      </c>
      <c r="FG181" s="198" t="s">
        <v>569</v>
      </c>
      <c r="FH181" s="198">
        <v>3</v>
      </c>
      <c r="FI181" s="198">
        <v>400</v>
      </c>
      <c r="FJ181" s="198" t="s">
        <v>570</v>
      </c>
      <c r="FK181" s="198" t="s">
        <v>571</v>
      </c>
      <c r="FL181" s="844" t="s">
        <v>572</v>
      </c>
      <c r="FM181" s="198" t="s">
        <v>573</v>
      </c>
      <c r="FN181" s="198" t="s">
        <v>574</v>
      </c>
      <c r="FO181" s="844" t="s">
        <v>575</v>
      </c>
    </row>
    <row r="182" spans="5:171" ht="104" customHeight="1" x14ac:dyDescent="0.2">
      <c r="E182" s="94" t="s">
        <v>9302</v>
      </c>
      <c r="F182" s="94" t="s">
        <v>9120</v>
      </c>
      <c r="G182" s="198" t="s">
        <v>329</v>
      </c>
      <c r="H182" s="198" t="s">
        <v>411</v>
      </c>
      <c r="I182" s="198"/>
      <c r="J182" s="198" t="s">
        <v>3023</v>
      </c>
      <c r="K182" s="198" t="s">
        <v>3024</v>
      </c>
      <c r="L182" s="578" t="s">
        <v>1887</v>
      </c>
      <c r="M182" s="822">
        <v>44636</v>
      </c>
      <c r="N182" s="822">
        <v>44926</v>
      </c>
      <c r="O182" s="198" t="s">
        <v>470</v>
      </c>
      <c r="P182" s="198" t="s">
        <v>470</v>
      </c>
      <c r="Q182" s="198" t="s">
        <v>470</v>
      </c>
      <c r="R182" s="198" t="s">
        <v>3025</v>
      </c>
      <c r="S182" s="549" t="s">
        <v>3026</v>
      </c>
      <c r="T182" s="198" t="s">
        <v>3027</v>
      </c>
      <c r="U182" s="549" t="s">
        <v>3028</v>
      </c>
      <c r="V182" s="198" t="s">
        <v>3029</v>
      </c>
      <c r="W182" s="549" t="s">
        <v>3028</v>
      </c>
      <c r="X182" s="198" t="s">
        <v>3030</v>
      </c>
      <c r="Y182" s="549" t="s">
        <v>3028</v>
      </c>
      <c r="Z182" s="549"/>
      <c r="AA182" s="549"/>
      <c r="AB182" s="549"/>
      <c r="AC182" s="549"/>
      <c r="AD182" s="549"/>
      <c r="AE182" s="549"/>
      <c r="AF182" s="549"/>
      <c r="AG182" s="549"/>
      <c r="AH182" s="198" t="s">
        <v>3031</v>
      </c>
      <c r="AI182" s="198" t="s">
        <v>3032</v>
      </c>
      <c r="AJ182" s="198" t="s">
        <v>504</v>
      </c>
      <c r="AK182" s="198" t="s">
        <v>3033</v>
      </c>
      <c r="AL182" s="580">
        <f t="shared" si="12"/>
        <v>73.100000000000009</v>
      </c>
      <c r="AM182" s="504">
        <v>73.100000000000009</v>
      </c>
      <c r="AN182" s="516">
        <v>52.3</v>
      </c>
      <c r="AO182" s="137">
        <f>AN182/AL182</f>
        <v>0.71545827633378922</v>
      </c>
      <c r="AP182" s="137">
        <v>2.009267988711218E-4</v>
      </c>
      <c r="AQ182" s="504">
        <v>8.6</v>
      </c>
      <c r="AR182" s="137">
        <f>AQ182/AL182</f>
        <v>0.1176470588235294</v>
      </c>
      <c r="AS182" s="137"/>
      <c r="AT182" s="520">
        <v>2.9</v>
      </c>
      <c r="AU182" s="137">
        <f>AT182/AL182</f>
        <v>3.967168262653898E-2</v>
      </c>
      <c r="AV182" s="520">
        <v>3.4</v>
      </c>
      <c r="AW182" s="137">
        <f>AV182/AL182</f>
        <v>4.6511627906976737E-2</v>
      </c>
      <c r="AX182" s="520">
        <v>5.9</v>
      </c>
      <c r="AY182" s="137">
        <f>AX182/AL182</f>
        <v>8.0711354309165526E-2</v>
      </c>
      <c r="AZ182" s="520">
        <v>0</v>
      </c>
      <c r="BA182" s="137"/>
      <c r="BB182" s="198" t="s">
        <v>470</v>
      </c>
      <c r="BC182" s="198" t="s">
        <v>470</v>
      </c>
      <c r="BD182" s="198" t="s">
        <v>470</v>
      </c>
      <c r="BE182" s="198" t="s">
        <v>479</v>
      </c>
      <c r="BF182" s="198" t="s">
        <v>3034</v>
      </c>
      <c r="BG182" s="198" t="s">
        <v>470</v>
      </c>
      <c r="BH182" s="137" t="s">
        <v>3035</v>
      </c>
      <c r="BI182" s="580">
        <v>120</v>
      </c>
      <c r="BJ182" s="137">
        <v>5.0746437811509122E-4</v>
      </c>
      <c r="BK182" s="83">
        <v>188</v>
      </c>
      <c r="BL182" s="83">
        <v>185</v>
      </c>
      <c r="BM182" s="83">
        <v>63</v>
      </c>
      <c r="BN182" s="83">
        <v>0</v>
      </c>
      <c r="BO182" s="83">
        <v>1</v>
      </c>
      <c r="BP182" s="83">
        <v>11</v>
      </c>
      <c r="BQ182" s="83">
        <v>0</v>
      </c>
      <c r="BR182" s="83">
        <v>0</v>
      </c>
      <c r="BS182" s="83">
        <v>0</v>
      </c>
      <c r="BT182" s="83">
        <v>0</v>
      </c>
      <c r="BU182" s="83">
        <v>0</v>
      </c>
      <c r="BV182" s="83">
        <v>10</v>
      </c>
      <c r="BW182" s="83">
        <v>6</v>
      </c>
      <c r="BX182" s="83">
        <v>15</v>
      </c>
      <c r="BY182" s="83">
        <v>8</v>
      </c>
      <c r="BZ182" s="83">
        <v>12</v>
      </c>
      <c r="CA182" s="83">
        <v>0</v>
      </c>
      <c r="CB182" s="83">
        <v>0</v>
      </c>
      <c r="CC182" s="83">
        <v>0</v>
      </c>
      <c r="CD182" s="83">
        <v>0</v>
      </c>
      <c r="CE182" s="83">
        <v>0</v>
      </c>
      <c r="CF182" s="83">
        <v>0</v>
      </c>
      <c r="CG182" s="83">
        <v>0</v>
      </c>
      <c r="CH182" s="83">
        <v>0</v>
      </c>
      <c r="CI182" s="83">
        <v>0</v>
      </c>
      <c r="CJ182" s="83">
        <v>0</v>
      </c>
      <c r="CK182" s="83"/>
      <c r="CL182" s="824">
        <f t="shared" si="15"/>
        <v>63</v>
      </c>
      <c r="CM182" s="824">
        <f t="shared" si="13"/>
        <v>0</v>
      </c>
      <c r="CN182" s="580">
        <v>67.5</v>
      </c>
      <c r="CO182" s="198" t="s">
        <v>3037</v>
      </c>
      <c r="CP182" s="549" t="s">
        <v>3038</v>
      </c>
      <c r="CQ182" s="137">
        <f>CN182/CR182</f>
        <v>3.5593887975751859E-2</v>
      </c>
      <c r="CR182" s="580">
        <v>1896.393</v>
      </c>
      <c r="CS182" s="137" t="s">
        <v>3039</v>
      </c>
      <c r="CT182" s="198" t="s">
        <v>479</v>
      </c>
      <c r="CU182" s="198" t="s">
        <v>9619</v>
      </c>
      <c r="CV182" s="549" t="s">
        <v>3040</v>
      </c>
      <c r="CW182" s="198" t="s">
        <v>3041</v>
      </c>
      <c r="CX182" s="198">
        <v>8</v>
      </c>
      <c r="CY182" s="83">
        <v>0</v>
      </c>
      <c r="CZ182" s="83">
        <v>0</v>
      </c>
      <c r="DA182" s="198" t="s">
        <v>479</v>
      </c>
      <c r="DB182" s="198" t="s">
        <v>9620</v>
      </c>
      <c r="DC182" s="83" t="s">
        <v>3042</v>
      </c>
      <c r="DD182" s="198" t="s">
        <v>470</v>
      </c>
      <c r="DE182" s="198"/>
      <c r="DF182" s="83"/>
      <c r="DG182" s="83" t="s">
        <v>470</v>
      </c>
      <c r="DH182" s="83"/>
      <c r="DI182" s="83"/>
      <c r="DJ182" s="83" t="s">
        <v>470</v>
      </c>
      <c r="DK182" s="83"/>
      <c r="DL182" s="83"/>
      <c r="DM182" s="198" t="s">
        <v>470</v>
      </c>
      <c r="DN182" s="198"/>
      <c r="DO182" s="83"/>
      <c r="DP182" s="198" t="s">
        <v>470</v>
      </c>
      <c r="DQ182" s="198"/>
      <c r="DR182" s="83"/>
      <c r="DS182" s="198" t="s">
        <v>470</v>
      </c>
      <c r="DT182" s="198"/>
      <c r="DU182" s="83"/>
      <c r="DV182" s="198" t="s">
        <v>470</v>
      </c>
      <c r="DW182" s="198"/>
      <c r="DX182" s="83"/>
      <c r="DY182" s="198" t="s">
        <v>470</v>
      </c>
      <c r="DZ182" s="198"/>
      <c r="EA182" s="83"/>
      <c r="EB182" s="198" t="s">
        <v>479</v>
      </c>
      <c r="EC182" s="198" t="s">
        <v>3043</v>
      </c>
      <c r="ED182" s="83" t="s">
        <v>3044</v>
      </c>
      <c r="EE182" s="83" t="s">
        <v>470</v>
      </c>
      <c r="EF182" s="83"/>
      <c r="EG182" s="83"/>
      <c r="EH182" s="198" t="s">
        <v>470</v>
      </c>
      <c r="EI182" s="198"/>
      <c r="EJ182" s="83"/>
      <c r="EK182" s="198" t="s">
        <v>470</v>
      </c>
      <c r="EL182" s="198"/>
      <c r="EM182" s="83"/>
      <c r="EN182" s="198" t="s">
        <v>470</v>
      </c>
      <c r="EO182" s="198"/>
      <c r="EP182" s="83"/>
      <c r="EQ182" s="83" t="s">
        <v>470</v>
      </c>
      <c r="ER182" s="83"/>
      <c r="ES182" s="83"/>
      <c r="ET182" s="198" t="s">
        <v>470</v>
      </c>
      <c r="EU182" s="198"/>
      <c r="EV182" s="83"/>
      <c r="EW182" s="198" t="s">
        <v>3045</v>
      </c>
      <c r="EX182" s="550" t="s">
        <v>3046</v>
      </c>
      <c r="EY182" s="505">
        <v>89</v>
      </c>
      <c r="EZ182" s="198" t="s">
        <v>540</v>
      </c>
      <c r="FA182" s="198" t="s">
        <v>3047</v>
      </c>
      <c r="FB182" s="549" t="s">
        <v>3048</v>
      </c>
      <c r="FC182" s="549" t="s">
        <v>3049</v>
      </c>
      <c r="FD182" s="549" t="s">
        <v>3038</v>
      </c>
      <c r="FE182" s="198" t="s">
        <v>3050</v>
      </c>
      <c r="FF182" s="198" t="s">
        <v>3051</v>
      </c>
      <c r="FG182" s="198" t="s">
        <v>3052</v>
      </c>
      <c r="FH182" s="198">
        <v>60</v>
      </c>
      <c r="FI182" s="198">
        <v>1200</v>
      </c>
      <c r="FJ182" s="198" t="s">
        <v>3053</v>
      </c>
      <c r="FK182" s="198" t="s">
        <v>3054</v>
      </c>
      <c r="FL182" s="549" t="s">
        <v>3055</v>
      </c>
      <c r="FM182" s="198" t="s">
        <v>3056</v>
      </c>
      <c r="FN182" s="198" t="s">
        <v>3057</v>
      </c>
      <c r="FO182" s="549" t="s">
        <v>3055</v>
      </c>
    </row>
    <row r="183" spans="5:171" ht="51" customHeight="1" x14ac:dyDescent="0.2">
      <c r="E183" s="94" t="s">
        <v>3236</v>
      </c>
      <c r="F183" s="94" t="s">
        <v>9121</v>
      </c>
      <c r="G183" s="97" t="s">
        <v>329</v>
      </c>
      <c r="H183" s="97" t="s">
        <v>411</v>
      </c>
      <c r="I183" s="97" t="s">
        <v>8769</v>
      </c>
      <c r="J183" s="97" t="s">
        <v>8547</v>
      </c>
      <c r="K183" s="97" t="s">
        <v>5242</v>
      </c>
      <c r="L183" s="502">
        <v>2022</v>
      </c>
      <c r="M183" s="841">
        <v>44440</v>
      </c>
      <c r="N183" s="841">
        <v>44925</v>
      </c>
      <c r="O183" s="841"/>
      <c r="P183" s="841"/>
      <c r="Q183" s="841"/>
      <c r="R183" s="841"/>
      <c r="S183" s="841"/>
      <c r="T183" s="841"/>
      <c r="U183" s="841"/>
      <c r="V183" s="841"/>
      <c r="W183" s="841"/>
      <c r="X183" s="841"/>
      <c r="Y183" s="841"/>
      <c r="Z183" s="97" t="s">
        <v>8118</v>
      </c>
      <c r="AA183" s="97" t="s">
        <v>7969</v>
      </c>
      <c r="AB183" s="97" t="s">
        <v>7818</v>
      </c>
      <c r="AC183" s="849" t="s">
        <v>7649</v>
      </c>
      <c r="AD183" s="97" t="s">
        <v>7490</v>
      </c>
      <c r="AE183" s="97" t="s">
        <v>7297</v>
      </c>
      <c r="AF183" s="97" t="s">
        <v>7159</v>
      </c>
      <c r="AG183" s="849" t="s">
        <v>7089</v>
      </c>
      <c r="AH183" s="97" t="s">
        <v>7004</v>
      </c>
      <c r="AI183" s="97" t="s">
        <v>6862</v>
      </c>
      <c r="AJ183" s="97" t="s">
        <v>6629</v>
      </c>
      <c r="AK183" s="97" t="s">
        <v>6521</v>
      </c>
      <c r="AL183" s="580">
        <f t="shared" si="12"/>
        <v>2</v>
      </c>
      <c r="AM183" s="504">
        <v>2</v>
      </c>
      <c r="AN183" s="516"/>
      <c r="AO183" s="97"/>
      <c r="AP183" s="97"/>
      <c r="AQ183" s="504">
        <v>2</v>
      </c>
      <c r="AR183" s="507">
        <v>1</v>
      </c>
      <c r="AS183" s="507">
        <v>1.7600000000000001E-3</v>
      </c>
      <c r="AT183" s="516">
        <v>0</v>
      </c>
      <c r="AU183" s="507">
        <v>0</v>
      </c>
      <c r="AV183" s="516">
        <v>0</v>
      </c>
      <c r="AW183" s="507">
        <v>0</v>
      </c>
      <c r="AX183" s="516"/>
      <c r="AY183" s="507">
        <v>0</v>
      </c>
      <c r="AZ183" s="516"/>
      <c r="BA183" s="507"/>
      <c r="BB183" s="507"/>
      <c r="BC183" s="507"/>
      <c r="BD183" s="507"/>
      <c r="BE183" s="507" t="s">
        <v>470</v>
      </c>
      <c r="BF183" s="507"/>
      <c r="BG183" s="507"/>
      <c r="BH183" s="852">
        <v>0</v>
      </c>
      <c r="BI183" s="504">
        <v>2</v>
      </c>
      <c r="BJ183" s="507">
        <v>2E-3</v>
      </c>
      <c r="BK183" s="96">
        <v>29</v>
      </c>
      <c r="BL183" s="96">
        <v>8</v>
      </c>
      <c r="BM183" s="96">
        <v>8</v>
      </c>
      <c r="BN183" s="96">
        <v>0</v>
      </c>
      <c r="BO183" s="96">
        <v>0</v>
      </c>
      <c r="BP183" s="96">
        <v>0</v>
      </c>
      <c r="BQ183" s="96">
        <v>0</v>
      </c>
      <c r="BR183" s="96">
        <v>0</v>
      </c>
      <c r="BS183" s="96">
        <v>0</v>
      </c>
      <c r="BT183" s="96">
        <v>0</v>
      </c>
      <c r="BU183" s="96">
        <v>0</v>
      </c>
      <c r="BV183" s="96">
        <v>0</v>
      </c>
      <c r="BW183" s="96">
        <v>0</v>
      </c>
      <c r="BX183" s="96">
        <v>0</v>
      </c>
      <c r="BY183" s="96">
        <v>0</v>
      </c>
      <c r="BZ183" s="96">
        <v>0</v>
      </c>
      <c r="CA183" s="96">
        <v>0</v>
      </c>
      <c r="CB183" s="96">
        <v>0</v>
      </c>
      <c r="CC183" s="96">
        <v>0</v>
      </c>
      <c r="CD183" s="96">
        <v>0</v>
      </c>
      <c r="CE183" s="96">
        <v>0</v>
      </c>
      <c r="CF183" s="96">
        <v>0</v>
      </c>
      <c r="CG183" s="96">
        <v>8</v>
      </c>
      <c r="CH183" s="96">
        <v>0</v>
      </c>
      <c r="CI183" s="96">
        <v>0</v>
      </c>
      <c r="CJ183" s="96">
        <v>0</v>
      </c>
      <c r="CK183" s="96">
        <v>0</v>
      </c>
      <c r="CL183" s="815">
        <f t="shared" si="15"/>
        <v>8</v>
      </c>
      <c r="CM183" s="824">
        <f t="shared" si="13"/>
        <v>0</v>
      </c>
      <c r="CN183" s="504">
        <v>5.7</v>
      </c>
      <c r="CO183" s="97"/>
      <c r="CP183" s="97"/>
      <c r="CQ183" s="97">
        <v>15.622999999999999</v>
      </c>
      <c r="CR183" s="504">
        <v>36.484000000000002</v>
      </c>
      <c r="CS183" s="850" t="s">
        <v>5890</v>
      </c>
      <c r="CT183" s="97" t="s">
        <v>470</v>
      </c>
      <c r="CU183" s="97">
        <v>0</v>
      </c>
      <c r="CV183" s="97">
        <v>0</v>
      </c>
      <c r="CW183" s="97">
        <v>0</v>
      </c>
      <c r="CX183" s="96">
        <v>0</v>
      </c>
      <c r="CY183" s="96">
        <v>0</v>
      </c>
      <c r="CZ183" s="96">
        <v>17</v>
      </c>
      <c r="DA183" s="97" t="s">
        <v>470</v>
      </c>
      <c r="DB183" s="97"/>
      <c r="DC183" s="96"/>
      <c r="DD183" s="97" t="s">
        <v>479</v>
      </c>
      <c r="DE183" s="97" t="s">
        <v>9621</v>
      </c>
      <c r="DF183" s="96">
        <v>1093</v>
      </c>
      <c r="DG183" s="96" t="s">
        <v>470</v>
      </c>
      <c r="DH183" s="962"/>
      <c r="DI183" s="96" t="s">
        <v>470</v>
      </c>
      <c r="DJ183" s="96"/>
      <c r="DK183" s="96"/>
      <c r="DL183" s="96"/>
      <c r="DM183" s="97" t="s">
        <v>470</v>
      </c>
      <c r="DN183" s="97"/>
      <c r="DO183" s="96"/>
      <c r="DP183" s="97" t="s">
        <v>470</v>
      </c>
      <c r="DQ183" s="97"/>
      <c r="DR183" s="96"/>
      <c r="DS183" s="97" t="s">
        <v>470</v>
      </c>
      <c r="DT183" s="97"/>
      <c r="DU183" s="96"/>
      <c r="DV183" s="97"/>
      <c r="DW183" s="97"/>
      <c r="DX183" s="96"/>
      <c r="DY183" s="97" t="s">
        <v>470</v>
      </c>
      <c r="DZ183" s="97"/>
      <c r="EA183" s="96"/>
      <c r="EB183" s="97" t="s">
        <v>470</v>
      </c>
      <c r="EC183" s="97"/>
      <c r="ED183" s="96"/>
      <c r="EE183" s="96" t="s">
        <v>470</v>
      </c>
      <c r="EF183" s="96"/>
      <c r="EG183" s="96"/>
      <c r="EH183" s="97" t="s">
        <v>470</v>
      </c>
      <c r="EI183" s="97"/>
      <c r="EJ183" s="96"/>
      <c r="EK183" s="97" t="s">
        <v>470</v>
      </c>
      <c r="EL183" s="97"/>
      <c r="EM183" s="96"/>
      <c r="EN183" s="97" t="s">
        <v>470</v>
      </c>
      <c r="EO183" s="97"/>
      <c r="EP183" s="96"/>
      <c r="EQ183" s="96" t="s">
        <v>479</v>
      </c>
      <c r="ER183" s="962" t="s">
        <v>5301</v>
      </c>
      <c r="ES183" s="96">
        <v>17</v>
      </c>
      <c r="ET183" s="97"/>
      <c r="EU183" s="97"/>
      <c r="EV183" s="96"/>
      <c r="EW183" s="96"/>
      <c r="EX183" s="96"/>
      <c r="EY183" s="96"/>
      <c r="EZ183" s="97" t="s">
        <v>470</v>
      </c>
      <c r="FA183" s="97"/>
      <c r="FB183" s="849" t="s">
        <v>5137</v>
      </c>
      <c r="FC183" s="97"/>
      <c r="FD183" s="849" t="s">
        <v>4915</v>
      </c>
      <c r="FE183" s="97" t="s">
        <v>4822</v>
      </c>
      <c r="FF183" s="849" t="s">
        <v>4716</v>
      </c>
      <c r="FG183" s="97" t="s">
        <v>4646</v>
      </c>
      <c r="FH183" s="97">
        <v>16</v>
      </c>
      <c r="FI183" s="97">
        <v>530</v>
      </c>
      <c r="FJ183" s="97" t="s">
        <v>4471</v>
      </c>
      <c r="FK183" s="97" t="s">
        <v>4256</v>
      </c>
      <c r="FL183" s="849" t="s">
        <v>4066</v>
      </c>
      <c r="FM183" s="97"/>
      <c r="FN183" s="97"/>
      <c r="FO183" s="97"/>
    </row>
    <row r="184" spans="5:171" ht="52" customHeight="1" x14ac:dyDescent="0.2">
      <c r="E184" s="94" t="s">
        <v>9305</v>
      </c>
      <c r="F184" s="94" t="s">
        <v>9121</v>
      </c>
      <c r="G184" s="97" t="s">
        <v>329</v>
      </c>
      <c r="H184" s="97" t="s">
        <v>411</v>
      </c>
      <c r="I184" s="97" t="s">
        <v>8770</v>
      </c>
      <c r="J184" s="97" t="s">
        <v>8546</v>
      </c>
      <c r="K184" s="97" t="s">
        <v>656</v>
      </c>
      <c r="L184" s="502">
        <v>2022</v>
      </c>
      <c r="M184" s="841">
        <v>44645</v>
      </c>
      <c r="N184" s="841">
        <v>44886</v>
      </c>
      <c r="O184" s="841"/>
      <c r="P184" s="841"/>
      <c r="Q184" s="841"/>
      <c r="R184" s="841"/>
      <c r="S184" s="841"/>
      <c r="T184" s="841"/>
      <c r="U184" s="841"/>
      <c r="V184" s="841"/>
      <c r="W184" s="841"/>
      <c r="X184" s="841"/>
      <c r="Y184" s="841"/>
      <c r="Z184" s="97" t="s">
        <v>656</v>
      </c>
      <c r="AA184" s="97" t="s">
        <v>656</v>
      </c>
      <c r="AB184" s="97" t="s">
        <v>7819</v>
      </c>
      <c r="AC184" s="849" t="s">
        <v>6235</v>
      </c>
      <c r="AD184" s="97"/>
      <c r="AE184" s="97"/>
      <c r="AF184" s="97" t="s">
        <v>656</v>
      </c>
      <c r="AG184" s="97" t="s">
        <v>656</v>
      </c>
      <c r="AH184" s="97" t="s">
        <v>6520</v>
      </c>
      <c r="AI184" s="97" t="s">
        <v>6520</v>
      </c>
      <c r="AJ184" s="97"/>
      <c r="AK184" s="97" t="s">
        <v>6520</v>
      </c>
      <c r="AL184" s="580">
        <f t="shared" si="12"/>
        <v>4.3889999999999993</v>
      </c>
      <c r="AM184" s="504">
        <v>4.3889999999999993</v>
      </c>
      <c r="AN184" s="516"/>
      <c r="AO184" s="97"/>
      <c r="AP184" s="97"/>
      <c r="AQ184" s="504">
        <v>4.0709999999999997</v>
      </c>
      <c r="AR184" s="507">
        <f>(4.071*100%)/4.389</f>
        <v>0.92754613807245379</v>
      </c>
      <c r="AS184" s="507">
        <f>(4.389*100%)/104.493</f>
        <v>4.2002813585599041E-2</v>
      </c>
      <c r="AT184" s="516">
        <v>0</v>
      </c>
      <c r="AU184" s="507" t="s">
        <v>64</v>
      </c>
      <c r="AV184" s="516">
        <v>0</v>
      </c>
      <c r="AW184" s="507" t="s">
        <v>64</v>
      </c>
      <c r="AX184" s="516">
        <v>0.318</v>
      </c>
      <c r="AY184" s="507">
        <f>(0.318*100%)/4.389</f>
        <v>7.2453861927546132E-2</v>
      </c>
      <c r="AZ184" s="516"/>
      <c r="BA184" s="507"/>
      <c r="BB184" s="507"/>
      <c r="BC184" s="507"/>
      <c r="BD184" s="507"/>
      <c r="BE184" s="507" t="s">
        <v>479</v>
      </c>
      <c r="BF184" s="97" t="s">
        <v>6309</v>
      </c>
      <c r="BG184" s="849" t="s">
        <v>6235</v>
      </c>
      <c r="BH184" s="852" t="s">
        <v>656</v>
      </c>
      <c r="BI184" s="504">
        <v>0</v>
      </c>
      <c r="BJ184" s="507">
        <v>0</v>
      </c>
      <c r="BK184" s="96">
        <v>12</v>
      </c>
      <c r="BL184" s="96">
        <v>12</v>
      </c>
      <c r="BM184" s="96">
        <v>12</v>
      </c>
      <c r="BN184" s="96">
        <v>0</v>
      </c>
      <c r="BO184" s="96">
        <v>0</v>
      </c>
      <c r="BP184" s="96">
        <v>12</v>
      </c>
      <c r="BQ184" s="96">
        <v>0</v>
      </c>
      <c r="BR184" s="96">
        <v>0</v>
      </c>
      <c r="BS184" s="96">
        <v>0</v>
      </c>
      <c r="BT184" s="96">
        <v>0</v>
      </c>
      <c r="BU184" s="96">
        <v>0</v>
      </c>
      <c r="BV184" s="96">
        <v>0</v>
      </c>
      <c r="BW184" s="96">
        <v>0</v>
      </c>
      <c r="BX184" s="96">
        <v>0</v>
      </c>
      <c r="BY184" s="96">
        <v>0</v>
      </c>
      <c r="BZ184" s="96">
        <v>0</v>
      </c>
      <c r="CA184" s="96">
        <v>0</v>
      </c>
      <c r="CB184" s="96"/>
      <c r="CC184" s="96">
        <v>0</v>
      </c>
      <c r="CD184" s="96">
        <v>0</v>
      </c>
      <c r="CE184" s="96">
        <v>0</v>
      </c>
      <c r="CF184" s="96">
        <v>0</v>
      </c>
      <c r="CG184" s="96">
        <v>0</v>
      </c>
      <c r="CH184" s="96">
        <v>0</v>
      </c>
      <c r="CI184" s="96">
        <v>0</v>
      </c>
      <c r="CJ184" s="96">
        <v>0</v>
      </c>
      <c r="CK184" s="96"/>
      <c r="CL184" s="815">
        <f t="shared" si="15"/>
        <v>12</v>
      </c>
      <c r="CM184" s="824">
        <f t="shared" si="13"/>
        <v>0</v>
      </c>
      <c r="CN184" s="504">
        <v>3.4</v>
      </c>
      <c r="CO184" s="97" t="s">
        <v>656</v>
      </c>
      <c r="CP184" s="97" t="s">
        <v>656</v>
      </c>
      <c r="CQ184" s="97">
        <v>20</v>
      </c>
      <c r="CR184" s="504">
        <v>17</v>
      </c>
      <c r="CS184" s="850" t="s">
        <v>5891</v>
      </c>
      <c r="CT184" s="97" t="s">
        <v>470</v>
      </c>
      <c r="CU184" s="97" t="s">
        <v>656</v>
      </c>
      <c r="CV184" s="97" t="s">
        <v>656</v>
      </c>
      <c r="CW184" s="97" t="s">
        <v>656</v>
      </c>
      <c r="CX184" s="96" t="s">
        <v>656</v>
      </c>
      <c r="CY184" s="96" t="s">
        <v>656</v>
      </c>
      <c r="CZ184" s="96" t="s">
        <v>656</v>
      </c>
      <c r="DA184" s="97" t="s">
        <v>656</v>
      </c>
      <c r="DB184" s="97" t="s">
        <v>656</v>
      </c>
      <c r="DC184" s="96" t="s">
        <v>656</v>
      </c>
      <c r="DD184" s="97" t="s">
        <v>656</v>
      </c>
      <c r="DE184" s="97" t="s">
        <v>656</v>
      </c>
      <c r="DF184" s="96" t="s">
        <v>656</v>
      </c>
      <c r="DG184" s="97" t="s">
        <v>479</v>
      </c>
      <c r="DH184" s="97" t="s">
        <v>5560</v>
      </c>
      <c r="DI184" s="96">
        <v>40</v>
      </c>
      <c r="DJ184" s="96" t="s">
        <v>470</v>
      </c>
      <c r="DK184" s="96" t="s">
        <v>656</v>
      </c>
      <c r="DL184" s="96" t="s">
        <v>656</v>
      </c>
      <c r="DM184" s="97" t="s">
        <v>470</v>
      </c>
      <c r="DN184" s="97" t="s">
        <v>656</v>
      </c>
      <c r="DO184" s="96" t="s">
        <v>656</v>
      </c>
      <c r="DP184" s="97" t="s">
        <v>470</v>
      </c>
      <c r="DQ184" s="97" t="s">
        <v>656</v>
      </c>
      <c r="DR184" s="96" t="s">
        <v>656</v>
      </c>
      <c r="DS184" s="97" t="s">
        <v>470</v>
      </c>
      <c r="DT184" s="97" t="s">
        <v>656</v>
      </c>
      <c r="DU184" s="96" t="s">
        <v>656</v>
      </c>
      <c r="DV184" s="97" t="s">
        <v>656</v>
      </c>
      <c r="DW184" s="97" t="s">
        <v>656</v>
      </c>
      <c r="DX184" s="96" t="s">
        <v>656</v>
      </c>
      <c r="DY184" s="97" t="s">
        <v>470</v>
      </c>
      <c r="DZ184" s="97" t="s">
        <v>656</v>
      </c>
      <c r="EA184" s="96" t="s">
        <v>656</v>
      </c>
      <c r="EB184" s="97" t="s">
        <v>479</v>
      </c>
      <c r="EC184" s="97" t="s">
        <v>5410</v>
      </c>
      <c r="ED184" s="96">
        <v>7</v>
      </c>
      <c r="EE184" s="96" t="s">
        <v>470</v>
      </c>
      <c r="EF184" s="96" t="s">
        <v>656</v>
      </c>
      <c r="EG184" s="96" t="s">
        <v>656</v>
      </c>
      <c r="EH184" s="97" t="s">
        <v>470</v>
      </c>
      <c r="EI184" s="97" t="s">
        <v>656</v>
      </c>
      <c r="EJ184" s="96" t="s">
        <v>656</v>
      </c>
      <c r="EK184" s="97" t="s">
        <v>470</v>
      </c>
      <c r="EL184" s="97" t="s">
        <v>656</v>
      </c>
      <c r="EM184" s="96" t="s">
        <v>656</v>
      </c>
      <c r="EN184" s="97" t="s">
        <v>470</v>
      </c>
      <c r="EO184" s="97" t="s">
        <v>656</v>
      </c>
      <c r="EP184" s="96" t="s">
        <v>656</v>
      </c>
      <c r="EQ184" s="96" t="s">
        <v>656</v>
      </c>
      <c r="ER184" s="96" t="s">
        <v>656</v>
      </c>
      <c r="ES184" s="96" t="s">
        <v>656</v>
      </c>
      <c r="ET184" s="97" t="s">
        <v>470</v>
      </c>
      <c r="EU184" s="97" t="s">
        <v>656</v>
      </c>
      <c r="EV184" s="96" t="s">
        <v>656</v>
      </c>
      <c r="EW184" s="96"/>
      <c r="EX184" s="96"/>
      <c r="EY184" s="96"/>
      <c r="EZ184" s="97" t="s">
        <v>470</v>
      </c>
      <c r="FA184" s="97" t="s">
        <v>656</v>
      </c>
      <c r="FB184" s="849" t="s">
        <v>5136</v>
      </c>
      <c r="FC184" s="97" t="s">
        <v>656</v>
      </c>
      <c r="FD184" s="97" t="s">
        <v>656</v>
      </c>
      <c r="FE184" s="97" t="s">
        <v>4821</v>
      </c>
      <c r="FF184" s="97" t="s">
        <v>656</v>
      </c>
      <c r="FG184" s="97" t="s">
        <v>4645</v>
      </c>
      <c r="FH184" s="97">
        <v>3</v>
      </c>
      <c r="FI184" s="97">
        <v>7</v>
      </c>
      <c r="FJ184" s="97" t="s">
        <v>3879</v>
      </c>
      <c r="FK184" s="97">
        <v>79787529097</v>
      </c>
      <c r="FL184" s="849" t="s">
        <v>3730</v>
      </c>
      <c r="FM184" s="97" t="s">
        <v>3879</v>
      </c>
      <c r="FN184" s="97">
        <v>79787529097</v>
      </c>
      <c r="FO184" s="849" t="s">
        <v>3730</v>
      </c>
    </row>
    <row r="185" spans="5:171" ht="59" customHeight="1" x14ac:dyDescent="0.2">
      <c r="E185" s="94" t="s">
        <v>9302</v>
      </c>
      <c r="F185" s="94" t="s">
        <v>9121</v>
      </c>
      <c r="G185" s="97" t="s">
        <v>329</v>
      </c>
      <c r="H185" s="97" t="s">
        <v>411</v>
      </c>
      <c r="I185" s="97" t="s">
        <v>8769</v>
      </c>
      <c r="J185" s="97" t="s">
        <v>8545</v>
      </c>
      <c r="K185" s="849" t="s">
        <v>8406</v>
      </c>
      <c r="L185" s="502">
        <v>2022</v>
      </c>
      <c r="M185" s="841" t="s">
        <v>8308</v>
      </c>
      <c r="N185" s="841">
        <v>44925</v>
      </c>
      <c r="O185" s="841"/>
      <c r="P185" s="841"/>
      <c r="Q185" s="841"/>
      <c r="R185" s="841"/>
      <c r="S185" s="841"/>
      <c r="T185" s="841"/>
      <c r="U185" s="841"/>
      <c r="V185" s="841"/>
      <c r="W185" s="841"/>
      <c r="X185" s="841"/>
      <c r="Y185" s="841"/>
      <c r="Z185" s="97" t="s">
        <v>8117</v>
      </c>
      <c r="AA185" s="97" t="s">
        <v>7968</v>
      </c>
      <c r="AB185" s="97" t="s">
        <v>7818</v>
      </c>
      <c r="AC185" s="849" t="s">
        <v>7649</v>
      </c>
      <c r="AD185" s="97" t="s">
        <v>7490</v>
      </c>
      <c r="AE185" s="97" t="s">
        <v>7297</v>
      </c>
      <c r="AF185" s="97" t="s">
        <v>7158</v>
      </c>
      <c r="AG185" s="849" t="s">
        <v>7088</v>
      </c>
      <c r="AH185" s="97" t="s">
        <v>7004</v>
      </c>
      <c r="AI185" s="97" t="s">
        <v>6861</v>
      </c>
      <c r="AJ185" s="97" t="s">
        <v>6706</v>
      </c>
      <c r="AK185" s="97" t="s">
        <v>6519</v>
      </c>
      <c r="AL185" s="580">
        <f t="shared" si="12"/>
        <v>1.865</v>
      </c>
      <c r="AM185" s="504">
        <v>1.865</v>
      </c>
      <c r="AN185" s="516"/>
      <c r="AO185" s="97"/>
      <c r="AP185" s="97"/>
      <c r="AQ185" s="504">
        <v>1.8089999999999999</v>
      </c>
      <c r="AR185" s="507">
        <v>0.97</v>
      </c>
      <c r="AS185" s="507">
        <v>1.5900000000000001E-3</v>
      </c>
      <c r="AT185" s="516">
        <v>5.6000000000000001E-2</v>
      </c>
      <c r="AU185" s="507">
        <v>0.03</v>
      </c>
      <c r="AV185" s="516">
        <v>0</v>
      </c>
      <c r="AW185" s="507">
        <v>0</v>
      </c>
      <c r="AX185" s="516"/>
      <c r="AY185" s="507">
        <v>0</v>
      </c>
      <c r="AZ185" s="516"/>
      <c r="BA185" s="507"/>
      <c r="BB185" s="507"/>
      <c r="BC185" s="507"/>
      <c r="BD185" s="507"/>
      <c r="BE185" s="507" t="s">
        <v>470</v>
      </c>
      <c r="BF185" s="507"/>
      <c r="BG185" s="507"/>
      <c r="BH185" s="852">
        <v>0</v>
      </c>
      <c r="BI185" s="504">
        <v>0</v>
      </c>
      <c r="BJ185" s="507">
        <v>0</v>
      </c>
      <c r="BK185" s="96">
        <v>1</v>
      </c>
      <c r="BL185" s="96">
        <v>1</v>
      </c>
      <c r="BM185" s="96">
        <v>1</v>
      </c>
      <c r="BN185" s="96"/>
      <c r="BO185" s="96"/>
      <c r="BP185" s="96"/>
      <c r="BQ185" s="96"/>
      <c r="BR185" s="96"/>
      <c r="BS185" s="96"/>
      <c r="BT185" s="96"/>
      <c r="BU185" s="96"/>
      <c r="BV185" s="96"/>
      <c r="BW185" s="96"/>
      <c r="BX185" s="96"/>
      <c r="BY185" s="96"/>
      <c r="BZ185" s="96"/>
      <c r="CA185" s="96"/>
      <c r="CB185" s="96"/>
      <c r="CC185" s="96"/>
      <c r="CD185" s="96"/>
      <c r="CE185" s="96"/>
      <c r="CF185" s="96">
        <v>1</v>
      </c>
      <c r="CG185" s="96"/>
      <c r="CH185" s="96"/>
      <c r="CI185" s="96"/>
      <c r="CJ185" s="96"/>
      <c r="CK185" s="96"/>
      <c r="CL185" s="815">
        <f t="shared" si="15"/>
        <v>1</v>
      </c>
      <c r="CM185" s="824">
        <f t="shared" si="13"/>
        <v>0</v>
      </c>
      <c r="CN185" s="504">
        <v>25</v>
      </c>
      <c r="CO185" s="97"/>
      <c r="CP185" s="849"/>
      <c r="CQ185" s="97">
        <v>68.522999999999996</v>
      </c>
      <c r="CR185" s="504">
        <v>36.484000000000002</v>
      </c>
      <c r="CS185" s="850" t="s">
        <v>5890</v>
      </c>
      <c r="CT185" s="97" t="s">
        <v>470</v>
      </c>
      <c r="CU185" s="97"/>
      <c r="CV185" s="97"/>
      <c r="CW185" s="97"/>
      <c r="CX185" s="96"/>
      <c r="CY185" s="96"/>
      <c r="CZ185" s="96">
        <v>16</v>
      </c>
      <c r="DA185" s="97"/>
      <c r="DB185" s="97"/>
      <c r="DC185" s="96"/>
      <c r="DD185" s="97" t="s">
        <v>479</v>
      </c>
      <c r="DE185" s="849" t="s">
        <v>5636</v>
      </c>
      <c r="DF185" s="96">
        <v>10</v>
      </c>
      <c r="DG185" s="96"/>
      <c r="DH185" s="962"/>
      <c r="DI185" s="96"/>
      <c r="DJ185" s="96"/>
      <c r="DK185" s="96"/>
      <c r="DL185" s="96"/>
      <c r="DM185" s="97"/>
      <c r="DN185" s="97"/>
      <c r="DO185" s="96"/>
      <c r="DP185" s="97"/>
      <c r="DQ185" s="97"/>
      <c r="DR185" s="96"/>
      <c r="DS185" s="97"/>
      <c r="DT185" s="97"/>
      <c r="DU185" s="96"/>
      <c r="DV185" s="97"/>
      <c r="DW185" s="97"/>
      <c r="DX185" s="96"/>
      <c r="DY185" s="97"/>
      <c r="DZ185" s="97"/>
      <c r="EA185" s="96"/>
      <c r="EB185" s="97"/>
      <c r="EC185" s="97"/>
      <c r="ED185" s="96"/>
      <c r="EE185" s="96"/>
      <c r="EF185" s="96"/>
      <c r="EG185" s="96"/>
      <c r="EH185" s="97"/>
      <c r="EI185" s="97"/>
      <c r="EJ185" s="96"/>
      <c r="EK185" s="97"/>
      <c r="EL185" s="97"/>
      <c r="EM185" s="96"/>
      <c r="EN185" s="97"/>
      <c r="EO185" s="97"/>
      <c r="EP185" s="96"/>
      <c r="EQ185" s="96" t="s">
        <v>479</v>
      </c>
      <c r="ER185" s="962" t="s">
        <v>5300</v>
      </c>
      <c r="ES185" s="96">
        <v>15</v>
      </c>
      <c r="ET185" s="97"/>
      <c r="EU185" s="97"/>
      <c r="EV185" s="96"/>
      <c r="EW185" s="96"/>
      <c r="EX185" s="96"/>
      <c r="EY185" s="96"/>
      <c r="EZ185" s="97" t="s">
        <v>470</v>
      </c>
      <c r="FA185" s="97"/>
      <c r="FB185" s="849" t="s">
        <v>5135</v>
      </c>
      <c r="FC185" s="97"/>
      <c r="FD185" s="849" t="s">
        <v>4915</v>
      </c>
      <c r="FE185" s="97" t="s">
        <v>4820</v>
      </c>
      <c r="FF185" s="849"/>
      <c r="FG185" s="97"/>
      <c r="FH185" s="97"/>
      <c r="FI185" s="97"/>
      <c r="FJ185" s="97" t="s">
        <v>4471</v>
      </c>
      <c r="FK185" s="97" t="s">
        <v>4256</v>
      </c>
      <c r="FL185" s="849" t="s">
        <v>4066</v>
      </c>
      <c r="FM185" s="97"/>
      <c r="FN185" s="97"/>
      <c r="FO185" s="97"/>
    </row>
    <row r="186" spans="5:171" ht="104" customHeight="1" x14ac:dyDescent="0.2">
      <c r="E186" s="94" t="s">
        <v>9302</v>
      </c>
      <c r="F186" s="94" t="s">
        <v>9120</v>
      </c>
      <c r="G186" s="198" t="s">
        <v>330</v>
      </c>
      <c r="H186" s="198" t="s">
        <v>412</v>
      </c>
      <c r="I186" s="198"/>
      <c r="J186" s="198" t="s">
        <v>2127</v>
      </c>
      <c r="K186" s="198" t="s">
        <v>2128</v>
      </c>
      <c r="L186" s="578">
        <v>2013</v>
      </c>
      <c r="M186" s="822" t="s">
        <v>1195</v>
      </c>
      <c r="N186" s="822" t="s">
        <v>865</v>
      </c>
      <c r="O186" s="198" t="s">
        <v>2129</v>
      </c>
      <c r="P186" s="198" t="s">
        <v>2130</v>
      </c>
      <c r="Q186" s="549" t="s">
        <v>2131</v>
      </c>
      <c r="R186" s="198" t="s">
        <v>656</v>
      </c>
      <c r="S186" s="198" t="s">
        <v>656</v>
      </c>
      <c r="T186" s="198" t="s">
        <v>656</v>
      </c>
      <c r="U186" s="198" t="s">
        <v>656</v>
      </c>
      <c r="V186" s="198" t="s">
        <v>656</v>
      </c>
      <c r="W186" s="198" t="s">
        <v>656</v>
      </c>
      <c r="X186" s="198" t="s">
        <v>2132</v>
      </c>
      <c r="Y186" s="549" t="s">
        <v>2133</v>
      </c>
      <c r="Z186" s="549"/>
      <c r="AA186" s="549"/>
      <c r="AB186" s="549"/>
      <c r="AC186" s="549"/>
      <c r="AD186" s="549"/>
      <c r="AE186" s="549"/>
      <c r="AF186" s="549"/>
      <c r="AG186" s="549"/>
      <c r="AH186" s="549" t="s">
        <v>2131</v>
      </c>
      <c r="AI186" s="198" t="s">
        <v>2134</v>
      </c>
      <c r="AJ186" s="198" t="s">
        <v>615</v>
      </c>
      <c r="AK186" s="198" t="s">
        <v>2135</v>
      </c>
      <c r="AL186" s="580">
        <f t="shared" si="12"/>
        <v>262.53700000000003</v>
      </c>
      <c r="AM186" s="504">
        <v>262.53700000000003</v>
      </c>
      <c r="AN186" s="516">
        <v>207.631</v>
      </c>
      <c r="AO186" s="137">
        <f>AN186/AL186</f>
        <v>0.79086376396469815</v>
      </c>
      <c r="AP186" s="137">
        <f>AN186/196774</f>
        <v>1.0551749723032515E-3</v>
      </c>
      <c r="AQ186" s="504">
        <f>54.906-AT186-AV186</f>
        <v>54.713999999999999</v>
      </c>
      <c r="AR186" s="137">
        <f>AQ186/AL186</f>
        <v>0.20840491054594207</v>
      </c>
      <c r="AS186" s="137"/>
      <c r="AT186" s="520">
        <v>0.04</v>
      </c>
      <c r="AU186" s="137">
        <f>AT186/AL186</f>
        <v>1.5235947694991562E-4</v>
      </c>
      <c r="AV186" s="520">
        <v>0.152</v>
      </c>
      <c r="AW186" s="137">
        <f>AV186/AL186</f>
        <v>5.7896601240967928E-4</v>
      </c>
      <c r="AX186" s="520">
        <v>0</v>
      </c>
      <c r="AY186" s="137">
        <v>0</v>
      </c>
      <c r="AZ186" s="520" t="s">
        <v>656</v>
      </c>
      <c r="BA186" s="137" t="s">
        <v>656</v>
      </c>
      <c r="BB186" s="198" t="s">
        <v>656</v>
      </c>
      <c r="BC186" s="198" t="s">
        <v>656</v>
      </c>
      <c r="BD186" s="198" t="s">
        <v>656</v>
      </c>
      <c r="BE186" s="198" t="s">
        <v>479</v>
      </c>
      <c r="BF186" s="198" t="s">
        <v>2136</v>
      </c>
      <c r="BG186" s="198" t="s">
        <v>656</v>
      </c>
      <c r="BH186" s="823">
        <v>3.35120526</v>
      </c>
      <c r="BI186" s="581">
        <v>210</v>
      </c>
      <c r="BJ186" s="137">
        <f>BI186/199437</f>
        <v>1.0529640939243971E-3</v>
      </c>
      <c r="BK186" s="83">
        <v>275</v>
      </c>
      <c r="BL186" s="83">
        <v>275</v>
      </c>
      <c r="BM186" s="83">
        <v>275</v>
      </c>
      <c r="BN186" s="83">
        <v>5</v>
      </c>
      <c r="BO186" s="83">
        <v>87</v>
      </c>
      <c r="BP186" s="83">
        <v>36</v>
      </c>
      <c r="BQ186" s="83">
        <v>31</v>
      </c>
      <c r="BR186" s="83">
        <v>0</v>
      </c>
      <c r="BS186" s="83">
        <v>0</v>
      </c>
      <c r="BT186" s="83">
        <v>0</v>
      </c>
      <c r="BU186" s="83">
        <v>0</v>
      </c>
      <c r="BV186" s="83">
        <v>0</v>
      </c>
      <c r="BW186" s="83">
        <v>39</v>
      </c>
      <c r="BX186" s="83">
        <v>48</v>
      </c>
      <c r="BY186" s="83">
        <v>1</v>
      </c>
      <c r="BZ186" s="83">
        <v>3</v>
      </c>
      <c r="CA186" s="83">
        <v>13</v>
      </c>
      <c r="CB186" s="83">
        <v>0</v>
      </c>
      <c r="CC186" s="83">
        <v>0</v>
      </c>
      <c r="CD186" s="83">
        <v>2</v>
      </c>
      <c r="CE186" s="83">
        <v>0</v>
      </c>
      <c r="CF186" s="83">
        <v>0</v>
      </c>
      <c r="CG186" s="83">
        <v>0</v>
      </c>
      <c r="CH186" s="83">
        <v>0</v>
      </c>
      <c r="CI186" s="83">
        <v>0</v>
      </c>
      <c r="CJ186" s="83">
        <v>0</v>
      </c>
      <c r="CK186" s="83">
        <v>10</v>
      </c>
      <c r="CL186" s="824">
        <f t="shared" si="15"/>
        <v>275</v>
      </c>
      <c r="CM186" s="824">
        <f t="shared" si="13"/>
        <v>0</v>
      </c>
      <c r="CN186" s="580">
        <v>98.07</v>
      </c>
      <c r="CO186" s="198" t="s">
        <v>2137</v>
      </c>
      <c r="CP186" s="198" t="s">
        <v>656</v>
      </c>
      <c r="CQ186" s="137">
        <v>5.1299999999999998E-2</v>
      </c>
      <c r="CR186" s="580">
        <v>1911.586</v>
      </c>
      <c r="CS186" s="834" t="s">
        <v>2138</v>
      </c>
      <c r="CT186" s="198" t="s">
        <v>479</v>
      </c>
      <c r="CU186" s="198" t="s">
        <v>2139</v>
      </c>
      <c r="CV186" s="549" t="s">
        <v>2140</v>
      </c>
      <c r="CW186" s="198" t="s">
        <v>2141</v>
      </c>
      <c r="CX186" s="83">
        <v>3</v>
      </c>
      <c r="CY186" s="83">
        <v>0</v>
      </c>
      <c r="CZ186" s="83">
        <v>6</v>
      </c>
      <c r="DA186" s="198" t="s">
        <v>479</v>
      </c>
      <c r="DB186" s="198" t="s">
        <v>2142</v>
      </c>
      <c r="DC186" s="83">
        <v>5514</v>
      </c>
      <c r="DD186" s="198" t="s">
        <v>479</v>
      </c>
      <c r="DE186" s="198" t="s">
        <v>2143</v>
      </c>
      <c r="DF186" s="83">
        <v>5514</v>
      </c>
      <c r="DG186" s="83" t="s">
        <v>470</v>
      </c>
      <c r="DH186" s="83" t="s">
        <v>656</v>
      </c>
      <c r="DI186" s="83" t="s">
        <v>656</v>
      </c>
      <c r="DJ186" s="83" t="s">
        <v>479</v>
      </c>
      <c r="DK186" s="83" t="s">
        <v>2144</v>
      </c>
      <c r="DL186" s="83">
        <v>531</v>
      </c>
      <c r="DM186" s="198" t="s">
        <v>470</v>
      </c>
      <c r="DN186" s="198" t="s">
        <v>656</v>
      </c>
      <c r="DO186" s="83" t="s">
        <v>656</v>
      </c>
      <c r="DP186" s="198" t="s">
        <v>470</v>
      </c>
      <c r="DQ186" s="198" t="s">
        <v>656</v>
      </c>
      <c r="DR186" s="83" t="s">
        <v>656</v>
      </c>
      <c r="DS186" s="198" t="s">
        <v>470</v>
      </c>
      <c r="DT186" s="198" t="s">
        <v>656</v>
      </c>
      <c r="DU186" s="83" t="s">
        <v>656</v>
      </c>
      <c r="DV186" s="198" t="s">
        <v>470</v>
      </c>
      <c r="DW186" s="198" t="s">
        <v>656</v>
      </c>
      <c r="DX186" s="83" t="s">
        <v>656</v>
      </c>
      <c r="DY186" s="198" t="s">
        <v>470</v>
      </c>
      <c r="DZ186" s="198" t="s">
        <v>656</v>
      </c>
      <c r="EA186" s="83" t="s">
        <v>656</v>
      </c>
      <c r="EB186" s="198" t="s">
        <v>479</v>
      </c>
      <c r="EC186" s="198" t="s">
        <v>2145</v>
      </c>
      <c r="ED186" s="83">
        <v>5514</v>
      </c>
      <c r="EE186" s="83" t="s">
        <v>470</v>
      </c>
      <c r="EF186" s="83" t="s">
        <v>656</v>
      </c>
      <c r="EG186" s="83" t="s">
        <v>656</v>
      </c>
      <c r="EH186" s="198" t="s">
        <v>470</v>
      </c>
      <c r="EI186" s="198" t="s">
        <v>656</v>
      </c>
      <c r="EJ186" s="83" t="s">
        <v>656</v>
      </c>
      <c r="EK186" s="198" t="s">
        <v>470</v>
      </c>
      <c r="EL186" s="198" t="s">
        <v>656</v>
      </c>
      <c r="EM186" s="83" t="s">
        <v>656</v>
      </c>
      <c r="EN186" s="198" t="s">
        <v>2146</v>
      </c>
      <c r="EO186" s="198" t="s">
        <v>640</v>
      </c>
      <c r="EP186" s="83">
        <v>795</v>
      </c>
      <c r="EQ186" s="83" t="s">
        <v>470</v>
      </c>
      <c r="ER186" s="83" t="s">
        <v>656</v>
      </c>
      <c r="ES186" s="83" t="s">
        <v>656</v>
      </c>
      <c r="ET186" s="198" t="s">
        <v>470</v>
      </c>
      <c r="EU186" s="198" t="s">
        <v>656</v>
      </c>
      <c r="EV186" s="83" t="s">
        <v>656</v>
      </c>
      <c r="EW186" s="837" t="s">
        <v>2147</v>
      </c>
      <c r="EX186" s="83" t="s">
        <v>2148</v>
      </c>
      <c r="EY186" s="505">
        <v>159</v>
      </c>
      <c r="EZ186" s="198" t="s">
        <v>470</v>
      </c>
      <c r="FA186" s="198" t="s">
        <v>656</v>
      </c>
      <c r="FB186" s="198" t="s">
        <v>656</v>
      </c>
      <c r="FC186" s="198" t="s">
        <v>2149</v>
      </c>
      <c r="FD186" s="198"/>
      <c r="FE186" s="198" t="s">
        <v>2149</v>
      </c>
      <c r="FF186" s="549" t="s">
        <v>2150</v>
      </c>
      <c r="FG186" s="198" t="s">
        <v>2151</v>
      </c>
      <c r="FH186" s="198">
        <v>3</v>
      </c>
      <c r="FI186" s="198" t="s">
        <v>2152</v>
      </c>
      <c r="FJ186" s="198" t="s">
        <v>2153</v>
      </c>
      <c r="FK186" s="198" t="s">
        <v>2154</v>
      </c>
      <c r="FL186" s="549" t="s">
        <v>2155</v>
      </c>
      <c r="FM186" s="198" t="s">
        <v>2156</v>
      </c>
      <c r="FN186" s="198" t="s">
        <v>2157</v>
      </c>
      <c r="FO186" s="549" t="s">
        <v>2158</v>
      </c>
    </row>
    <row r="187" spans="5:171" ht="104" customHeight="1" x14ac:dyDescent="0.2">
      <c r="E187" s="94" t="s">
        <v>9302</v>
      </c>
      <c r="F187" s="94" t="s">
        <v>9120</v>
      </c>
      <c r="G187" s="198" t="s">
        <v>330</v>
      </c>
      <c r="H187" s="198" t="s">
        <v>412</v>
      </c>
      <c r="I187" s="198"/>
      <c r="J187" s="198" t="s">
        <v>2159</v>
      </c>
      <c r="K187" s="198" t="s">
        <v>2128</v>
      </c>
      <c r="L187" s="578" t="s">
        <v>1313</v>
      </c>
      <c r="M187" s="822" t="s">
        <v>2160</v>
      </c>
      <c r="N187" s="822" t="s">
        <v>472</v>
      </c>
      <c r="O187" s="198" t="s">
        <v>2161</v>
      </c>
      <c r="P187" s="198" t="s">
        <v>2130</v>
      </c>
      <c r="Q187" s="549" t="s">
        <v>2131</v>
      </c>
      <c r="R187" s="198" t="s">
        <v>656</v>
      </c>
      <c r="S187" s="198" t="s">
        <v>656</v>
      </c>
      <c r="T187" s="198" t="s">
        <v>656</v>
      </c>
      <c r="U187" s="503" t="s">
        <v>656</v>
      </c>
      <c r="V187" s="198" t="s">
        <v>470</v>
      </c>
      <c r="W187" s="198" t="s">
        <v>656</v>
      </c>
      <c r="X187" s="198" t="s">
        <v>2162</v>
      </c>
      <c r="Y187" s="549" t="s">
        <v>2163</v>
      </c>
      <c r="Z187" s="549"/>
      <c r="AA187" s="549"/>
      <c r="AB187" s="549"/>
      <c r="AC187" s="549"/>
      <c r="AD187" s="549"/>
      <c r="AE187" s="549"/>
      <c r="AF187" s="549"/>
      <c r="AG187" s="549"/>
      <c r="AH187" s="198" t="s">
        <v>2134</v>
      </c>
      <c r="AI187" s="198" t="s">
        <v>2134</v>
      </c>
      <c r="AJ187" s="198" t="s">
        <v>615</v>
      </c>
      <c r="AK187" s="198" t="s">
        <v>2164</v>
      </c>
      <c r="AL187" s="580">
        <f t="shared" si="12"/>
        <v>313.90000000000003</v>
      </c>
      <c r="AM187" s="504">
        <v>313.90000000000003</v>
      </c>
      <c r="AN187" s="516">
        <v>249.56800000000001</v>
      </c>
      <c r="AO187" s="137">
        <f>AN187/AL187</f>
        <v>0.79505575023892949</v>
      </c>
      <c r="AP187" s="137">
        <f>AN187/196774</f>
        <v>1.2682976409484994E-3</v>
      </c>
      <c r="AQ187" s="504">
        <f>64.332-AT187-AV187</f>
        <v>64.152000000000001</v>
      </c>
      <c r="AR187" s="137">
        <f>AQ187/AL187</f>
        <v>0.20437081873208027</v>
      </c>
      <c r="AS187" s="137"/>
      <c r="AT187" s="520">
        <v>0.02</v>
      </c>
      <c r="AU187" s="137">
        <f>AT187/AL187</f>
        <v>6.3714558776680464E-5</v>
      </c>
      <c r="AV187" s="520">
        <v>0.16</v>
      </c>
      <c r="AW187" s="137">
        <f>AV187/AL187</f>
        <v>5.0971647021344371E-4</v>
      </c>
      <c r="AX187" s="520">
        <v>0</v>
      </c>
      <c r="AY187" s="137">
        <v>0</v>
      </c>
      <c r="AZ187" s="520" t="s">
        <v>656</v>
      </c>
      <c r="BA187" s="137" t="s">
        <v>656</v>
      </c>
      <c r="BB187" s="198" t="s">
        <v>656</v>
      </c>
      <c r="BC187" s="198" t="s">
        <v>656</v>
      </c>
      <c r="BD187" s="198" t="s">
        <v>656</v>
      </c>
      <c r="BE187" s="198" t="s">
        <v>479</v>
      </c>
      <c r="BF187" s="198" t="s">
        <v>2165</v>
      </c>
      <c r="BG187" s="198" t="s">
        <v>656</v>
      </c>
      <c r="BH187" s="198">
        <v>3.8849999999999998</v>
      </c>
      <c r="BI187" s="520">
        <v>250</v>
      </c>
      <c r="BJ187" s="137">
        <f>BI187/199437</f>
        <v>1.25352868324333E-3</v>
      </c>
      <c r="BK187" s="83">
        <v>216</v>
      </c>
      <c r="BL187" s="83">
        <v>216</v>
      </c>
      <c r="BM187" s="83">
        <v>216</v>
      </c>
      <c r="BN187" s="83">
        <v>1</v>
      </c>
      <c r="BO187" s="83">
        <v>52</v>
      </c>
      <c r="BP187" s="83">
        <v>12</v>
      </c>
      <c r="BQ187" s="83">
        <v>3</v>
      </c>
      <c r="BR187" s="83">
        <v>5</v>
      </c>
      <c r="BS187" s="83">
        <v>0</v>
      </c>
      <c r="BT187" s="83">
        <v>0</v>
      </c>
      <c r="BU187" s="83">
        <v>0</v>
      </c>
      <c r="BV187" s="83">
        <v>18</v>
      </c>
      <c r="BW187" s="83">
        <v>88</v>
      </c>
      <c r="BX187" s="83">
        <v>24</v>
      </c>
      <c r="BY187" s="83">
        <v>3</v>
      </c>
      <c r="BZ187" s="83">
        <v>2</v>
      </c>
      <c r="CA187" s="83">
        <v>4</v>
      </c>
      <c r="CB187" s="83">
        <v>0</v>
      </c>
      <c r="CC187" s="83">
        <v>0</v>
      </c>
      <c r="CD187" s="83">
        <v>0</v>
      </c>
      <c r="CE187" s="83">
        <v>0</v>
      </c>
      <c r="CF187" s="83">
        <v>0</v>
      </c>
      <c r="CG187" s="83">
        <v>0</v>
      </c>
      <c r="CH187" s="83">
        <v>0</v>
      </c>
      <c r="CI187" s="83">
        <v>0</v>
      </c>
      <c r="CJ187" s="83">
        <v>0</v>
      </c>
      <c r="CK187" s="83">
        <v>4</v>
      </c>
      <c r="CL187" s="824">
        <f t="shared" si="15"/>
        <v>216</v>
      </c>
      <c r="CM187" s="824">
        <f t="shared" si="13"/>
        <v>0</v>
      </c>
      <c r="CN187" s="580">
        <v>614.71699999999998</v>
      </c>
      <c r="CO187" s="198" t="s">
        <v>2166</v>
      </c>
      <c r="CP187" s="549" t="s">
        <v>2167</v>
      </c>
      <c r="CQ187" s="137">
        <v>0.32200000000000001</v>
      </c>
      <c r="CR187" s="580">
        <v>1911.586</v>
      </c>
      <c r="CS187" s="834" t="s">
        <v>2168</v>
      </c>
      <c r="CT187" s="198" t="s">
        <v>479</v>
      </c>
      <c r="CU187" s="198" t="s">
        <v>2139</v>
      </c>
      <c r="CV187" s="198" t="s">
        <v>2140</v>
      </c>
      <c r="CW187" s="198" t="s">
        <v>2141</v>
      </c>
      <c r="CX187" s="83">
        <v>3</v>
      </c>
      <c r="CY187" s="83">
        <v>0</v>
      </c>
      <c r="CZ187" s="83">
        <v>6</v>
      </c>
      <c r="DA187" s="198" t="s">
        <v>479</v>
      </c>
      <c r="DB187" s="198" t="s">
        <v>2142</v>
      </c>
      <c r="DC187" s="83">
        <v>4861</v>
      </c>
      <c r="DD187" s="198" t="s">
        <v>479</v>
      </c>
      <c r="DE187" s="198" t="s">
        <v>2169</v>
      </c>
      <c r="DF187" s="83">
        <v>4861</v>
      </c>
      <c r="DG187" s="83" t="s">
        <v>470</v>
      </c>
      <c r="DH187" s="83" t="s">
        <v>656</v>
      </c>
      <c r="DI187" s="83" t="s">
        <v>656</v>
      </c>
      <c r="DJ187" s="83" t="s">
        <v>470</v>
      </c>
      <c r="DK187" s="83" t="s">
        <v>656</v>
      </c>
      <c r="DL187" s="83" t="s">
        <v>656</v>
      </c>
      <c r="DM187" s="198" t="s">
        <v>873</v>
      </c>
      <c r="DN187" s="198" t="s">
        <v>656</v>
      </c>
      <c r="DO187" s="83" t="s">
        <v>656</v>
      </c>
      <c r="DP187" s="198" t="s">
        <v>470</v>
      </c>
      <c r="DQ187" s="198" t="s">
        <v>656</v>
      </c>
      <c r="DR187" s="83" t="s">
        <v>656</v>
      </c>
      <c r="DS187" s="198" t="s">
        <v>470</v>
      </c>
      <c r="DT187" s="198" t="s">
        <v>656</v>
      </c>
      <c r="DU187" s="83" t="s">
        <v>656</v>
      </c>
      <c r="DV187" s="198" t="s">
        <v>470</v>
      </c>
      <c r="DW187" s="198" t="s">
        <v>656</v>
      </c>
      <c r="DX187" s="83" t="s">
        <v>656</v>
      </c>
      <c r="DY187" s="198" t="s">
        <v>470</v>
      </c>
      <c r="DZ187" s="198" t="s">
        <v>656</v>
      </c>
      <c r="EA187" s="83" t="s">
        <v>656</v>
      </c>
      <c r="EB187" s="198" t="s">
        <v>479</v>
      </c>
      <c r="EC187" s="198" t="s">
        <v>2170</v>
      </c>
      <c r="ED187" s="83">
        <v>4861</v>
      </c>
      <c r="EE187" s="198" t="s">
        <v>470</v>
      </c>
      <c r="EF187" s="198" t="s">
        <v>656</v>
      </c>
      <c r="EG187" s="83" t="s">
        <v>656</v>
      </c>
      <c r="EH187" s="198" t="s">
        <v>470</v>
      </c>
      <c r="EI187" s="198" t="s">
        <v>656</v>
      </c>
      <c r="EJ187" s="83" t="s">
        <v>656</v>
      </c>
      <c r="EK187" s="198" t="s">
        <v>470</v>
      </c>
      <c r="EL187" s="198" t="s">
        <v>656</v>
      </c>
      <c r="EM187" s="83" t="s">
        <v>656</v>
      </c>
      <c r="EN187" s="198" t="s">
        <v>2146</v>
      </c>
      <c r="EO187" s="198" t="s">
        <v>1992</v>
      </c>
      <c r="EP187" s="83">
        <v>925</v>
      </c>
      <c r="EQ187" s="198" t="s">
        <v>470</v>
      </c>
      <c r="ER187" s="198" t="s">
        <v>656</v>
      </c>
      <c r="ES187" s="83" t="s">
        <v>656</v>
      </c>
      <c r="ET187" s="198" t="s">
        <v>470</v>
      </c>
      <c r="EU187" s="198" t="s">
        <v>656</v>
      </c>
      <c r="EV187" s="83" t="s">
        <v>656</v>
      </c>
      <c r="EW187" s="837" t="s">
        <v>2171</v>
      </c>
      <c r="EX187" s="198" t="s">
        <v>656</v>
      </c>
      <c r="EY187" s="505">
        <v>185</v>
      </c>
      <c r="EZ187" s="198" t="s">
        <v>470</v>
      </c>
      <c r="FA187" s="198" t="s">
        <v>656</v>
      </c>
      <c r="FB187" s="198" t="s">
        <v>656</v>
      </c>
      <c r="FC187" s="198" t="s">
        <v>2172</v>
      </c>
      <c r="FD187" s="198"/>
      <c r="FE187" s="198" t="s">
        <v>2173</v>
      </c>
      <c r="FF187" s="198" t="s">
        <v>2174</v>
      </c>
      <c r="FG187" s="195" t="s">
        <v>9622</v>
      </c>
      <c r="FH187" s="198">
        <v>3</v>
      </c>
      <c r="FI187" s="195" t="s">
        <v>2175</v>
      </c>
      <c r="FJ187" s="198" t="s">
        <v>2153</v>
      </c>
      <c r="FK187" s="198" t="s">
        <v>2154</v>
      </c>
      <c r="FL187" s="549" t="s">
        <v>2155</v>
      </c>
      <c r="FM187" s="198" t="s">
        <v>2156</v>
      </c>
      <c r="FN187" s="198" t="s">
        <v>2157</v>
      </c>
      <c r="FO187" s="549" t="s">
        <v>2158</v>
      </c>
    </row>
    <row r="188" spans="5:171" ht="104" customHeight="1" x14ac:dyDescent="0.2">
      <c r="E188" s="94" t="s">
        <v>9302</v>
      </c>
      <c r="F188" s="94" t="s">
        <v>9121</v>
      </c>
      <c r="G188" s="198" t="s">
        <v>330</v>
      </c>
      <c r="H188" s="198" t="s">
        <v>412</v>
      </c>
      <c r="I188" s="97" t="s">
        <v>8682</v>
      </c>
      <c r="J188" s="97" t="s">
        <v>8480</v>
      </c>
      <c r="K188" s="97" t="s">
        <v>8372</v>
      </c>
      <c r="L188" s="502">
        <v>2013</v>
      </c>
      <c r="M188" s="841">
        <v>44666</v>
      </c>
      <c r="N188" s="841">
        <v>44777</v>
      </c>
      <c r="O188" s="841"/>
      <c r="P188" s="841"/>
      <c r="Q188" s="841"/>
      <c r="R188" s="841"/>
      <c r="S188" s="841"/>
      <c r="T188" s="841"/>
      <c r="U188" s="841"/>
      <c r="V188" s="841"/>
      <c r="W188" s="841"/>
      <c r="X188" s="841"/>
      <c r="Y188" s="841"/>
      <c r="Z188" s="97" t="s">
        <v>8055</v>
      </c>
      <c r="AA188" s="872" t="s">
        <v>5083</v>
      </c>
      <c r="AB188" s="97"/>
      <c r="AC188" s="97"/>
      <c r="AD188" s="97"/>
      <c r="AE188" s="97"/>
      <c r="AF188" s="97"/>
      <c r="AG188" s="97"/>
      <c r="AH188" s="97" t="s">
        <v>6965</v>
      </c>
      <c r="AI188" s="97" t="s">
        <v>6800</v>
      </c>
      <c r="AJ188" s="97" t="s">
        <v>6669</v>
      </c>
      <c r="AK188" s="97" t="s">
        <v>6427</v>
      </c>
      <c r="AL188" s="580">
        <f t="shared" si="12"/>
        <v>13.4</v>
      </c>
      <c r="AM188" s="504">
        <v>13.4</v>
      </c>
      <c r="AN188" s="516"/>
      <c r="AO188" s="97"/>
      <c r="AP188" s="97"/>
      <c r="AQ188" s="504">
        <v>13.4</v>
      </c>
      <c r="AR188" s="507">
        <v>1</v>
      </c>
      <c r="AS188" s="507">
        <v>3.5999999999999999E-3</v>
      </c>
      <c r="AT188" s="516">
        <v>0</v>
      </c>
      <c r="AU188" s="507">
        <v>0</v>
      </c>
      <c r="AV188" s="516">
        <v>0</v>
      </c>
      <c r="AW188" s="507">
        <v>0</v>
      </c>
      <c r="AX188" s="516"/>
      <c r="AY188" s="507">
        <v>0</v>
      </c>
      <c r="AZ188" s="516"/>
      <c r="BA188" s="507"/>
      <c r="BB188" s="507"/>
      <c r="BC188" s="507"/>
      <c r="BD188" s="507"/>
      <c r="BE188" s="507" t="s">
        <v>470</v>
      </c>
      <c r="BF188" s="507"/>
      <c r="BG188" s="507"/>
      <c r="BH188" s="852">
        <v>0</v>
      </c>
      <c r="BI188" s="504">
        <v>19.5</v>
      </c>
      <c r="BJ188" s="507">
        <v>6.3E-3</v>
      </c>
      <c r="BK188" s="96">
        <v>15</v>
      </c>
      <c r="BL188" s="96">
        <v>10</v>
      </c>
      <c r="BM188" s="96">
        <v>5</v>
      </c>
      <c r="BN188" s="96" t="s">
        <v>656</v>
      </c>
      <c r="BO188" s="96">
        <v>1</v>
      </c>
      <c r="BP188" s="96" t="s">
        <v>656</v>
      </c>
      <c r="BQ188" s="96" t="s">
        <v>656</v>
      </c>
      <c r="BR188" s="96" t="s">
        <v>656</v>
      </c>
      <c r="BS188" s="96" t="s">
        <v>656</v>
      </c>
      <c r="BT188" s="96">
        <v>3</v>
      </c>
      <c r="BU188" s="96" t="s">
        <v>656</v>
      </c>
      <c r="BV188" s="96" t="s">
        <v>656</v>
      </c>
      <c r="BW188" s="96">
        <v>1</v>
      </c>
      <c r="BX188" s="96" t="s">
        <v>656</v>
      </c>
      <c r="BY188" s="96" t="s">
        <v>656</v>
      </c>
      <c r="BZ188" s="96" t="s">
        <v>656</v>
      </c>
      <c r="CA188" s="96" t="s">
        <v>656</v>
      </c>
      <c r="CB188" s="96" t="s">
        <v>656</v>
      </c>
      <c r="CC188" s="96" t="s">
        <v>656</v>
      </c>
      <c r="CD188" s="96" t="s">
        <v>656</v>
      </c>
      <c r="CE188" s="96" t="s">
        <v>656</v>
      </c>
      <c r="CF188" s="96" t="s">
        <v>656</v>
      </c>
      <c r="CG188" s="96" t="s">
        <v>656</v>
      </c>
      <c r="CH188" s="96" t="s">
        <v>656</v>
      </c>
      <c r="CI188" s="96" t="s">
        <v>656</v>
      </c>
      <c r="CJ188" s="96" t="s">
        <v>656</v>
      </c>
      <c r="CK188" s="96" t="s">
        <v>656</v>
      </c>
      <c r="CL188" s="815">
        <v>5</v>
      </c>
      <c r="CM188" s="824">
        <v>0</v>
      </c>
      <c r="CN188" s="504"/>
      <c r="CO188" s="97"/>
      <c r="CP188" s="97"/>
      <c r="CQ188" s="97"/>
      <c r="CR188" s="504">
        <v>65.099999999999994</v>
      </c>
      <c r="CS188" s="888" t="s">
        <v>5842</v>
      </c>
      <c r="CT188" s="97" t="s">
        <v>470</v>
      </c>
      <c r="CU188" s="97" t="s">
        <v>656</v>
      </c>
      <c r="CV188" s="97" t="s">
        <v>656</v>
      </c>
      <c r="CW188" s="97" t="s">
        <v>656</v>
      </c>
      <c r="CX188" s="96" t="s">
        <v>656</v>
      </c>
      <c r="CY188" s="96" t="s">
        <v>656</v>
      </c>
      <c r="CZ188" s="96">
        <v>3</v>
      </c>
      <c r="DA188" s="97" t="s">
        <v>479</v>
      </c>
      <c r="DB188" s="97" t="s">
        <v>5694</v>
      </c>
      <c r="DC188" s="96">
        <v>72</v>
      </c>
      <c r="DD188" s="97" t="s">
        <v>479</v>
      </c>
      <c r="DE188" s="872" t="s">
        <v>5369</v>
      </c>
      <c r="DF188" s="96">
        <v>20</v>
      </c>
      <c r="DG188" s="96" t="s">
        <v>470</v>
      </c>
      <c r="DH188" s="96" t="s">
        <v>656</v>
      </c>
      <c r="DI188" s="96" t="s">
        <v>656</v>
      </c>
      <c r="DJ188" s="96" t="s">
        <v>470</v>
      </c>
      <c r="DK188" s="96" t="s">
        <v>656</v>
      </c>
      <c r="DL188" s="96" t="s">
        <v>656</v>
      </c>
      <c r="DM188" s="97" t="s">
        <v>470</v>
      </c>
      <c r="DN188" s="97" t="s">
        <v>656</v>
      </c>
      <c r="DO188" s="96" t="s">
        <v>656</v>
      </c>
      <c r="DP188" s="97" t="s">
        <v>470</v>
      </c>
      <c r="DQ188" s="97" t="s">
        <v>656</v>
      </c>
      <c r="DR188" s="96" t="s">
        <v>656</v>
      </c>
      <c r="DS188" s="97" t="s">
        <v>470</v>
      </c>
      <c r="DT188" s="97" t="s">
        <v>656</v>
      </c>
      <c r="DU188" s="96" t="s">
        <v>656</v>
      </c>
      <c r="DV188" s="97" t="s">
        <v>470</v>
      </c>
      <c r="DW188" s="97" t="s">
        <v>656</v>
      </c>
      <c r="DX188" s="96" t="s">
        <v>656</v>
      </c>
      <c r="DY188" s="97" t="s">
        <v>479</v>
      </c>
      <c r="DZ188" s="872" t="s">
        <v>5453</v>
      </c>
      <c r="EA188" s="96">
        <v>209</v>
      </c>
      <c r="EB188" s="97" t="s">
        <v>479</v>
      </c>
      <c r="EC188" s="97" t="s">
        <v>5280</v>
      </c>
      <c r="ED188" s="96"/>
      <c r="EE188" s="96" t="s">
        <v>470</v>
      </c>
      <c r="EF188" s="96" t="s">
        <v>656</v>
      </c>
      <c r="EG188" s="96" t="s">
        <v>656</v>
      </c>
      <c r="EH188" s="97" t="s">
        <v>470</v>
      </c>
      <c r="EI188" s="97" t="s">
        <v>656</v>
      </c>
      <c r="EJ188" s="96" t="s">
        <v>656</v>
      </c>
      <c r="EK188" s="97" t="s">
        <v>479</v>
      </c>
      <c r="EL188" s="872" t="s">
        <v>5369</v>
      </c>
      <c r="EM188" s="96">
        <v>15</v>
      </c>
      <c r="EN188" s="97" t="s">
        <v>479</v>
      </c>
      <c r="EO188" s="97" t="s">
        <v>5332</v>
      </c>
      <c r="EP188" s="96">
        <v>7</v>
      </c>
      <c r="EQ188" s="96" t="s">
        <v>470</v>
      </c>
      <c r="ER188" s="96" t="s">
        <v>656</v>
      </c>
      <c r="ES188" s="96" t="s">
        <v>656</v>
      </c>
      <c r="ET188" s="97" t="s">
        <v>470</v>
      </c>
      <c r="EU188" s="97" t="s">
        <v>656</v>
      </c>
      <c r="EV188" s="96" t="s">
        <v>656</v>
      </c>
      <c r="EW188" s="96"/>
      <c r="EX188" s="96"/>
      <c r="EY188" s="96"/>
      <c r="EZ188" s="97" t="s">
        <v>5218</v>
      </c>
      <c r="FA188" s="97" t="s">
        <v>5202</v>
      </c>
      <c r="FB188" s="872" t="s">
        <v>5083</v>
      </c>
      <c r="FC188" s="97" t="s">
        <v>4958</v>
      </c>
      <c r="FD188" s="872" t="s">
        <v>4898</v>
      </c>
      <c r="FE188" s="97" t="s">
        <v>4777</v>
      </c>
      <c r="FF188" s="97" t="s">
        <v>656</v>
      </c>
      <c r="FG188" s="97" t="s">
        <v>4612</v>
      </c>
      <c r="FH188" s="97">
        <v>2</v>
      </c>
      <c r="FI188" s="97">
        <v>40</v>
      </c>
      <c r="FJ188" s="97" t="s">
        <v>3858</v>
      </c>
      <c r="FK188" s="97" t="s">
        <v>3790</v>
      </c>
      <c r="FL188" s="872" t="s">
        <v>3711</v>
      </c>
      <c r="FM188" s="97" t="s">
        <v>3858</v>
      </c>
      <c r="FN188" s="97" t="s">
        <v>3790</v>
      </c>
      <c r="FO188" s="872" t="s">
        <v>3711</v>
      </c>
    </row>
    <row r="189" spans="5:171" ht="104" customHeight="1" x14ac:dyDescent="0.2">
      <c r="E189" s="94" t="s">
        <v>9307</v>
      </c>
      <c r="F189" s="94" t="s">
        <v>9120</v>
      </c>
      <c r="G189" s="198" t="s">
        <v>331</v>
      </c>
      <c r="H189" s="198" t="s">
        <v>413</v>
      </c>
      <c r="I189" s="198"/>
      <c r="J189" s="198" t="s">
        <v>3567</v>
      </c>
      <c r="K189" s="198" t="s">
        <v>3568</v>
      </c>
      <c r="L189" s="578">
        <v>2018</v>
      </c>
      <c r="M189" s="822">
        <v>44562</v>
      </c>
      <c r="N189" s="822">
        <v>44926</v>
      </c>
      <c r="O189" s="198" t="s">
        <v>3569</v>
      </c>
      <c r="P189" s="198" t="s">
        <v>3570</v>
      </c>
      <c r="Q189" s="844" t="s">
        <v>3571</v>
      </c>
      <c r="R189" s="198" t="s">
        <v>3572</v>
      </c>
      <c r="S189" s="198" t="s">
        <v>656</v>
      </c>
      <c r="T189" s="198" t="s">
        <v>656</v>
      </c>
      <c r="U189" s="198" t="s">
        <v>656</v>
      </c>
      <c r="V189" s="198" t="s">
        <v>656</v>
      </c>
      <c r="W189" s="198" t="s">
        <v>656</v>
      </c>
      <c r="X189" s="198" t="s">
        <v>656</v>
      </c>
      <c r="Y189" s="198" t="s">
        <v>656</v>
      </c>
      <c r="Z189" s="198"/>
      <c r="AA189" s="198"/>
      <c r="AB189" s="198"/>
      <c r="AC189" s="198"/>
      <c r="AD189" s="198"/>
      <c r="AE189" s="198"/>
      <c r="AF189" s="198"/>
      <c r="AG189" s="198"/>
      <c r="AH189" s="198" t="s">
        <v>3573</v>
      </c>
      <c r="AI189" s="198" t="s">
        <v>3573</v>
      </c>
      <c r="AJ189" s="198" t="s">
        <v>504</v>
      </c>
      <c r="AK189" s="198" t="s">
        <v>3574</v>
      </c>
      <c r="AL189" s="580">
        <f t="shared" si="12"/>
        <v>66.525824260000007</v>
      </c>
      <c r="AM189" s="504">
        <v>66.525824260000007</v>
      </c>
      <c r="AN189" s="516">
        <v>56.912300000000002</v>
      </c>
      <c r="AO189" s="520">
        <f>AN189/AL189*100</f>
        <v>85.549184295067306</v>
      </c>
      <c r="AP189" s="520">
        <f>AN189/106844.277*100</f>
        <v>5.3266587222074613E-2</v>
      </c>
      <c r="AQ189" s="504">
        <v>5.6494501799999997</v>
      </c>
      <c r="AR189" s="520">
        <f>AQ189/AL189*100</f>
        <v>8.4921160208710802</v>
      </c>
      <c r="AS189" s="520"/>
      <c r="AT189" s="520">
        <v>3.9640740800000001</v>
      </c>
      <c r="AU189" s="520">
        <f>AT189/AL189*100</f>
        <v>5.9586996840616067</v>
      </c>
      <c r="AV189" s="520"/>
      <c r="AW189" s="137" t="s">
        <v>656</v>
      </c>
      <c r="AX189" s="520"/>
      <c r="AY189" s="137" t="s">
        <v>656</v>
      </c>
      <c r="AZ189" s="520" t="s">
        <v>656</v>
      </c>
      <c r="BA189" s="198" t="s">
        <v>656</v>
      </c>
      <c r="BB189" s="198" t="s">
        <v>656</v>
      </c>
      <c r="BC189" s="580" t="s">
        <v>656</v>
      </c>
      <c r="BD189" s="137" t="s">
        <v>656</v>
      </c>
      <c r="BE189" s="198" t="s">
        <v>656</v>
      </c>
      <c r="BF189" s="580"/>
      <c r="BI189" s="520">
        <v>26.304213319999999</v>
      </c>
      <c r="BJ189" s="520">
        <f>BI189/100227.482*100</f>
        <v>2.6244511779713271E-2</v>
      </c>
      <c r="BK189" s="83"/>
      <c r="BL189" s="83">
        <v>12</v>
      </c>
      <c r="BM189" s="83">
        <v>12</v>
      </c>
      <c r="BN189" s="83" t="s">
        <v>656</v>
      </c>
      <c r="BO189" s="83" t="s">
        <v>656</v>
      </c>
      <c r="BP189" s="83" t="s">
        <v>656</v>
      </c>
      <c r="BQ189" s="83" t="s">
        <v>656</v>
      </c>
      <c r="BR189" s="83" t="s">
        <v>656</v>
      </c>
      <c r="BS189" s="83" t="s">
        <v>656</v>
      </c>
      <c r="BT189" s="83" t="s">
        <v>656</v>
      </c>
      <c r="BU189" s="83" t="s">
        <v>656</v>
      </c>
      <c r="BV189" s="83">
        <v>3</v>
      </c>
      <c r="BW189" s="83" t="s">
        <v>656</v>
      </c>
      <c r="BX189" s="83">
        <v>6</v>
      </c>
      <c r="BY189" s="83">
        <v>8</v>
      </c>
      <c r="BZ189" s="83" t="s">
        <v>656</v>
      </c>
      <c r="CA189" s="83" t="s">
        <v>656</v>
      </c>
      <c r="CB189" s="83" t="s">
        <v>656</v>
      </c>
      <c r="CC189" s="83" t="s">
        <v>656</v>
      </c>
      <c r="CD189" s="83" t="s">
        <v>656</v>
      </c>
      <c r="CE189" s="83" t="s">
        <v>656</v>
      </c>
      <c r="CF189" s="83" t="s">
        <v>656</v>
      </c>
      <c r="CG189" s="83" t="s">
        <v>656</v>
      </c>
      <c r="CH189" s="83" t="s">
        <v>656</v>
      </c>
      <c r="CI189" s="857"/>
      <c r="CL189" s="95">
        <v>17</v>
      </c>
      <c r="CM189" s="824">
        <f t="shared" si="13"/>
        <v>0</v>
      </c>
      <c r="CN189" s="580">
        <v>123.705</v>
      </c>
      <c r="CO189" s="198" t="s">
        <v>3575</v>
      </c>
      <c r="CP189" s="198" t="s">
        <v>656</v>
      </c>
      <c r="CQ189" s="137">
        <f>CN189/CR189</f>
        <v>0.11107768838445513</v>
      </c>
      <c r="CR189" s="578">
        <v>1113.68</v>
      </c>
      <c r="CS189" s="873" t="s">
        <v>1902</v>
      </c>
      <c r="CT189" s="198" t="s">
        <v>470</v>
      </c>
      <c r="CU189" s="83">
        <v>3</v>
      </c>
      <c r="CV189" s="198" t="s">
        <v>470</v>
      </c>
      <c r="CW189" s="83" t="s">
        <v>656</v>
      </c>
      <c r="CX189" s="198" t="s">
        <v>656</v>
      </c>
      <c r="CY189" s="198" t="s">
        <v>656</v>
      </c>
      <c r="CZ189" s="83" t="s">
        <v>656</v>
      </c>
      <c r="DA189" s="83" t="s">
        <v>470</v>
      </c>
      <c r="DB189" s="83"/>
      <c r="DC189" s="83"/>
      <c r="DD189" s="198" t="s">
        <v>470</v>
      </c>
      <c r="DE189" s="198" t="s">
        <v>656</v>
      </c>
      <c r="DF189" s="83" t="s">
        <v>656</v>
      </c>
      <c r="DG189" s="198" t="s">
        <v>470</v>
      </c>
      <c r="DH189" s="198" t="s">
        <v>656</v>
      </c>
      <c r="DI189" s="83" t="s">
        <v>656</v>
      </c>
      <c r="DJ189" s="198" t="s">
        <v>470</v>
      </c>
      <c r="DK189" s="198" t="s">
        <v>656</v>
      </c>
      <c r="DL189" s="83" t="s">
        <v>656</v>
      </c>
      <c r="DM189" s="198" t="s">
        <v>470</v>
      </c>
      <c r="DN189" s="198" t="s">
        <v>656</v>
      </c>
      <c r="DO189" s="83" t="s">
        <v>656</v>
      </c>
      <c r="DP189" s="198" t="s">
        <v>470</v>
      </c>
      <c r="DQ189" s="198" t="s">
        <v>656</v>
      </c>
      <c r="DR189" s="83" t="s">
        <v>656</v>
      </c>
      <c r="DS189" s="198" t="s">
        <v>470</v>
      </c>
      <c r="DT189" s="198" t="s">
        <v>656</v>
      </c>
      <c r="DU189" s="83" t="s">
        <v>656</v>
      </c>
      <c r="DV189" s="198" t="s">
        <v>470</v>
      </c>
      <c r="DW189" s="198"/>
      <c r="DX189" s="83" t="s">
        <v>656</v>
      </c>
      <c r="DY189" s="198" t="s">
        <v>470</v>
      </c>
      <c r="DZ189" s="198" t="s">
        <v>656</v>
      </c>
      <c r="EA189" s="83" t="s">
        <v>656</v>
      </c>
      <c r="EB189" s="198" t="s">
        <v>470</v>
      </c>
      <c r="EC189" s="198" t="s">
        <v>656</v>
      </c>
      <c r="ED189" s="83" t="s">
        <v>656</v>
      </c>
      <c r="EE189" s="198" t="s">
        <v>470</v>
      </c>
      <c r="EF189" s="198" t="s">
        <v>656</v>
      </c>
      <c r="EG189" s="83" t="s">
        <v>656</v>
      </c>
      <c r="EH189" s="198" t="s">
        <v>479</v>
      </c>
      <c r="EI189" s="198" t="s">
        <v>3576</v>
      </c>
      <c r="EJ189" s="198">
        <v>96</v>
      </c>
      <c r="EK189" s="198" t="s">
        <v>470</v>
      </c>
      <c r="EL189" s="198" t="s">
        <v>656</v>
      </c>
      <c r="EM189" s="83" t="s">
        <v>656</v>
      </c>
      <c r="EN189" s="198" t="s">
        <v>470</v>
      </c>
      <c r="EO189" s="198" t="s">
        <v>656</v>
      </c>
      <c r="EP189" s="198"/>
      <c r="EQ189" s="198"/>
      <c r="ER189" s="198"/>
      <c r="ES189" s="198"/>
      <c r="ET189" s="198"/>
      <c r="EU189" s="198"/>
      <c r="EV189" s="83" t="s">
        <v>656</v>
      </c>
      <c r="EW189" s="198" t="s">
        <v>3577</v>
      </c>
      <c r="EX189" s="198" t="s">
        <v>3578</v>
      </c>
      <c r="EY189" s="505">
        <v>13</v>
      </c>
      <c r="EZ189" s="198" t="s">
        <v>470</v>
      </c>
      <c r="FA189" s="198" t="s">
        <v>656</v>
      </c>
      <c r="FB189" s="844"/>
      <c r="FC189" s="844"/>
      <c r="FD189" s="844"/>
      <c r="FE189" s="844"/>
      <c r="FF189" s="844"/>
      <c r="FG189" s="198" t="s">
        <v>656</v>
      </c>
      <c r="FH189" s="198" t="s">
        <v>656</v>
      </c>
      <c r="FI189" s="198" t="s">
        <v>656</v>
      </c>
      <c r="FJ189" s="198" t="s">
        <v>656</v>
      </c>
      <c r="FK189" s="198" t="s">
        <v>656</v>
      </c>
      <c r="FL189" s="198" t="s">
        <v>656</v>
      </c>
      <c r="FM189" s="198" t="s">
        <v>3579</v>
      </c>
      <c r="FN189" s="198" t="s">
        <v>3580</v>
      </c>
      <c r="FO189" s="844" t="s">
        <v>3581</v>
      </c>
    </row>
    <row r="190" spans="5:171" ht="104" customHeight="1" x14ac:dyDescent="0.2">
      <c r="E190" s="94" t="s">
        <v>9302</v>
      </c>
      <c r="F190" s="94" t="s">
        <v>9120</v>
      </c>
      <c r="G190" s="198" t="s">
        <v>332</v>
      </c>
      <c r="H190" s="97" t="s">
        <v>414</v>
      </c>
      <c r="I190" s="198"/>
      <c r="J190" s="198" t="s">
        <v>606</v>
      </c>
      <c r="K190" s="198" t="s">
        <v>606</v>
      </c>
      <c r="L190" s="578">
        <v>2021</v>
      </c>
      <c r="M190" s="822" t="s">
        <v>607</v>
      </c>
      <c r="N190" s="822" t="s">
        <v>554</v>
      </c>
      <c r="O190" s="198" t="s">
        <v>608</v>
      </c>
      <c r="P190" s="198" t="s">
        <v>609</v>
      </c>
      <c r="Q190" s="549" t="s">
        <v>610</v>
      </c>
      <c r="R190" s="198" t="s">
        <v>470</v>
      </c>
      <c r="S190" s="198"/>
      <c r="T190" s="198" t="s">
        <v>611</v>
      </c>
      <c r="U190" s="198" t="s">
        <v>612</v>
      </c>
      <c r="V190" s="198" t="s">
        <v>613</v>
      </c>
      <c r="W190" s="198" t="s">
        <v>610</v>
      </c>
      <c r="X190" s="198" t="s">
        <v>470</v>
      </c>
      <c r="Y190" s="198"/>
      <c r="Z190" s="198"/>
      <c r="AA190" s="198"/>
      <c r="AB190" s="198"/>
      <c r="AC190" s="198"/>
      <c r="AD190" s="198"/>
      <c r="AE190" s="198"/>
      <c r="AF190" s="198"/>
      <c r="AG190" s="198"/>
      <c r="AH190" s="198" t="s">
        <v>614</v>
      </c>
      <c r="AI190" s="198" t="s">
        <v>614</v>
      </c>
      <c r="AJ190" s="198" t="s">
        <v>615</v>
      </c>
      <c r="AK190" s="198" t="s">
        <v>616</v>
      </c>
      <c r="AL190" s="580">
        <f t="shared" si="12"/>
        <v>9.5088159999999995</v>
      </c>
      <c r="AM190" s="504">
        <v>9.5088159999999995</v>
      </c>
      <c r="AN190" s="516">
        <f>8616438/1000000</f>
        <v>8.6164380000000005</v>
      </c>
      <c r="AO190" s="137">
        <v>0.90600000000000003</v>
      </c>
      <c r="AP190" s="137"/>
      <c r="AQ190" s="504">
        <f>753544/1000000</f>
        <v>0.75354399999999999</v>
      </c>
      <c r="AR190" s="137">
        <v>7.9299999999999995E-2</v>
      </c>
      <c r="AS190" s="137"/>
      <c r="AT190" s="520"/>
      <c r="AU190" s="137"/>
      <c r="AV190" s="520"/>
      <c r="AW190" s="137"/>
      <c r="AX190" s="520">
        <f>138834/1000000</f>
        <v>0.13883400000000001</v>
      </c>
      <c r="AY190" s="137">
        <v>1.47E-2</v>
      </c>
      <c r="AZ190" s="520"/>
      <c r="BA190" s="137"/>
      <c r="BB190" s="198"/>
      <c r="BC190" s="198"/>
      <c r="BD190" s="198"/>
      <c r="BE190" s="198" t="s">
        <v>470</v>
      </c>
      <c r="BF190" s="198"/>
      <c r="BG190" s="198"/>
      <c r="BH190" s="198"/>
      <c r="BI190" s="823">
        <v>11.224500000000001</v>
      </c>
      <c r="BJ190" s="137">
        <v>1</v>
      </c>
      <c r="BK190" s="83">
        <v>2</v>
      </c>
      <c r="BL190" s="83">
        <v>2</v>
      </c>
      <c r="BM190" s="83">
        <v>2</v>
      </c>
      <c r="BN190" s="83"/>
      <c r="BO190" s="83">
        <v>1</v>
      </c>
      <c r="BP190" s="83"/>
      <c r="BQ190" s="83"/>
      <c r="BR190" s="83"/>
      <c r="BS190" s="83"/>
      <c r="BT190" s="83"/>
      <c r="BU190" s="83"/>
      <c r="BV190" s="83"/>
      <c r="BW190" s="83"/>
      <c r="BX190" s="83"/>
      <c r="BY190" s="83">
        <v>1</v>
      </c>
      <c r="BZ190" s="83"/>
      <c r="CA190" s="83"/>
      <c r="CB190" s="83"/>
      <c r="CC190" s="83"/>
      <c r="CD190" s="83"/>
      <c r="CE190" s="83"/>
      <c r="CF190" s="83"/>
      <c r="CG190" s="83"/>
      <c r="CH190" s="83"/>
      <c r="CI190" s="83"/>
      <c r="CJ190" s="83"/>
      <c r="CK190" s="83"/>
      <c r="CL190" s="824">
        <f>SUM(BN190:CK190)</f>
        <v>2</v>
      </c>
      <c r="CM190" s="824">
        <f t="shared" si="13"/>
        <v>0</v>
      </c>
      <c r="CN190" s="580">
        <v>6.2240000000000002</v>
      </c>
      <c r="CO190" s="549" t="s">
        <v>617</v>
      </c>
      <c r="CP190" s="198" t="s">
        <v>618</v>
      </c>
      <c r="CQ190" s="137">
        <v>4.5100000000000001E-2</v>
      </c>
      <c r="CR190" s="580">
        <v>137.767</v>
      </c>
      <c r="CS190" s="834" t="s">
        <v>618</v>
      </c>
      <c r="CT190" s="198" t="s">
        <v>470</v>
      </c>
      <c r="CU190" s="198"/>
      <c r="CV190" s="198"/>
      <c r="CW190" s="198"/>
      <c r="CX190" s="83"/>
      <c r="CY190" s="83"/>
      <c r="CZ190" s="83"/>
      <c r="DA190" s="198" t="s">
        <v>479</v>
      </c>
      <c r="DB190" s="198" t="s">
        <v>619</v>
      </c>
      <c r="DC190" s="83">
        <v>15</v>
      </c>
      <c r="DD190" s="198"/>
      <c r="DE190" s="198"/>
      <c r="DF190" s="83"/>
      <c r="DG190" s="83" t="s">
        <v>470</v>
      </c>
      <c r="DH190" s="83"/>
      <c r="DI190" s="83"/>
      <c r="DJ190" s="83" t="s">
        <v>470</v>
      </c>
      <c r="DK190" s="83"/>
      <c r="DL190" s="83"/>
      <c r="DM190" s="198" t="s">
        <v>470</v>
      </c>
      <c r="DN190" s="198"/>
      <c r="DO190" s="83"/>
      <c r="DP190" s="198" t="s">
        <v>470</v>
      </c>
      <c r="DQ190" s="198"/>
      <c r="DR190" s="83"/>
      <c r="DS190" s="198" t="s">
        <v>470</v>
      </c>
      <c r="DT190" s="198"/>
      <c r="DU190" s="83"/>
      <c r="DV190" s="198" t="s">
        <v>470</v>
      </c>
      <c r="DW190" s="198"/>
      <c r="DX190" s="83"/>
      <c r="DY190" s="198" t="s">
        <v>470</v>
      </c>
      <c r="DZ190" s="198"/>
      <c r="EA190" s="83"/>
      <c r="EB190" s="198" t="s">
        <v>470</v>
      </c>
      <c r="EC190" s="198"/>
      <c r="ED190" s="83"/>
      <c r="EE190" s="83" t="s">
        <v>470</v>
      </c>
      <c r="EF190" s="83"/>
      <c r="EG190" s="83"/>
      <c r="EH190" s="198" t="s">
        <v>470</v>
      </c>
      <c r="EI190" s="198"/>
      <c r="EJ190" s="83"/>
      <c r="EK190" s="198" t="s">
        <v>470</v>
      </c>
      <c r="EL190" s="198"/>
      <c r="EM190" s="83"/>
      <c r="EN190" s="198" t="s">
        <v>470</v>
      </c>
      <c r="EO190" s="198"/>
      <c r="EP190" s="83"/>
      <c r="EQ190" s="83" t="s">
        <v>470</v>
      </c>
      <c r="ER190" s="83"/>
      <c r="ES190" s="83"/>
      <c r="ET190" s="198" t="s">
        <v>620</v>
      </c>
      <c r="EU190" s="198" t="s">
        <v>621</v>
      </c>
      <c r="EV190" s="83">
        <v>35</v>
      </c>
      <c r="EW190" s="837">
        <v>1</v>
      </c>
      <c r="EX190" s="198"/>
      <c r="EY190" s="505">
        <v>2</v>
      </c>
      <c r="EZ190" s="198" t="s">
        <v>470</v>
      </c>
      <c r="FA190" s="198"/>
      <c r="FB190" s="549" t="s">
        <v>622</v>
      </c>
      <c r="FC190" s="198"/>
      <c r="FD190" s="198"/>
      <c r="FE190" s="198"/>
      <c r="FF190" s="198"/>
      <c r="FG190" s="198"/>
      <c r="FH190" s="198"/>
      <c r="FI190" s="198"/>
      <c r="FJ190" s="198" t="s">
        <v>623</v>
      </c>
      <c r="FK190" s="198" t="s">
        <v>624</v>
      </c>
      <c r="FL190" s="549" t="s">
        <v>625</v>
      </c>
      <c r="FM190" s="198"/>
      <c r="FN190" s="198"/>
      <c r="FO190" s="198"/>
    </row>
    <row r="191" spans="5:171" ht="104" customHeight="1" x14ac:dyDescent="0.2">
      <c r="E191" s="94" t="s">
        <v>9305</v>
      </c>
      <c r="F191" s="94" t="s">
        <v>9121</v>
      </c>
      <c r="G191" s="198" t="s">
        <v>332</v>
      </c>
      <c r="H191" s="97" t="s">
        <v>414</v>
      </c>
      <c r="I191" s="97" t="s">
        <v>8767</v>
      </c>
      <c r="J191" s="97" t="s">
        <v>8404</v>
      </c>
      <c r="K191" s="97" t="s">
        <v>8404</v>
      </c>
      <c r="L191" s="502">
        <v>2022</v>
      </c>
      <c r="M191" s="841" t="s">
        <v>8306</v>
      </c>
      <c r="N191" s="841" t="s">
        <v>8236</v>
      </c>
      <c r="O191" s="841"/>
      <c r="P191" s="841"/>
      <c r="Q191" s="841"/>
      <c r="R191" s="841"/>
      <c r="S191" s="841"/>
      <c r="T191" s="841"/>
      <c r="U191" s="841"/>
      <c r="V191" s="841"/>
      <c r="W191" s="841"/>
      <c r="X191" s="841"/>
      <c r="Y191" s="841"/>
      <c r="Z191" s="97" t="s">
        <v>8115</v>
      </c>
      <c r="AA191" s="842" t="s">
        <v>7967</v>
      </c>
      <c r="AB191" s="97" t="s">
        <v>7817</v>
      </c>
      <c r="AC191" s="842" t="s">
        <v>5993</v>
      </c>
      <c r="AD191" s="97" t="s">
        <v>7488</v>
      </c>
      <c r="AE191" s="842" t="s">
        <v>7296</v>
      </c>
      <c r="AF191" s="97" t="s">
        <v>1924</v>
      </c>
      <c r="AG191" s="97" t="s">
        <v>1924</v>
      </c>
      <c r="AH191" s="97" t="s">
        <v>6517</v>
      </c>
      <c r="AI191" s="97" t="s">
        <v>6860</v>
      </c>
      <c r="AJ191" s="97" t="s">
        <v>633</v>
      </c>
      <c r="AK191" s="97" t="s">
        <v>6517</v>
      </c>
      <c r="AL191" s="580">
        <f t="shared" si="12"/>
        <v>0.34166999999999997</v>
      </c>
      <c r="AM191" s="504">
        <v>0.34166999999999997</v>
      </c>
      <c r="AN191" s="516"/>
      <c r="AO191" s="97"/>
      <c r="AP191" s="97"/>
      <c r="AQ191" s="504">
        <f>341670/1000000</f>
        <v>0.34166999999999997</v>
      </c>
      <c r="AR191" s="507">
        <v>1</v>
      </c>
      <c r="AS191" s="507"/>
      <c r="AT191" s="516">
        <f>0/1000000</f>
        <v>0</v>
      </c>
      <c r="AU191" s="507">
        <v>0</v>
      </c>
      <c r="AV191" s="516">
        <v>0</v>
      </c>
      <c r="AW191" s="507">
        <v>0</v>
      </c>
      <c r="AX191" s="516"/>
      <c r="AY191" s="507">
        <v>0</v>
      </c>
      <c r="AZ191" s="516"/>
      <c r="BA191" s="507"/>
      <c r="BB191" s="507"/>
      <c r="BC191" s="507"/>
      <c r="BD191" s="507"/>
      <c r="BE191" s="507" t="s">
        <v>470</v>
      </c>
      <c r="BF191" s="507" t="s">
        <v>656</v>
      </c>
      <c r="BG191" s="507" t="s">
        <v>656</v>
      </c>
      <c r="BH191" s="852">
        <v>0</v>
      </c>
      <c r="BI191" s="504">
        <v>0</v>
      </c>
      <c r="BJ191" s="507">
        <v>0</v>
      </c>
      <c r="BK191" s="96">
        <v>1</v>
      </c>
      <c r="BL191" s="96">
        <v>0</v>
      </c>
      <c r="BM191" s="96">
        <v>0</v>
      </c>
      <c r="BN191" s="96">
        <v>0</v>
      </c>
      <c r="BO191" s="96">
        <v>1</v>
      </c>
      <c r="BP191" s="96">
        <v>0</v>
      </c>
      <c r="BQ191" s="96">
        <v>0</v>
      </c>
      <c r="BR191" s="96">
        <v>0</v>
      </c>
      <c r="BS191" s="96">
        <v>0</v>
      </c>
      <c r="BT191" s="96">
        <v>0</v>
      </c>
      <c r="BU191" s="96">
        <v>0</v>
      </c>
      <c r="BV191" s="96">
        <v>0</v>
      </c>
      <c r="BW191" s="96">
        <v>0</v>
      </c>
      <c r="BX191" s="96">
        <v>0</v>
      </c>
      <c r="BY191" s="96">
        <v>0</v>
      </c>
      <c r="BZ191" s="96">
        <v>0</v>
      </c>
      <c r="CA191" s="96">
        <v>0</v>
      </c>
      <c r="CB191" s="96">
        <v>0</v>
      </c>
      <c r="CC191" s="96">
        <v>0</v>
      </c>
      <c r="CD191" s="96">
        <v>0</v>
      </c>
      <c r="CE191" s="96">
        <v>0</v>
      </c>
      <c r="CF191" s="96">
        <v>0</v>
      </c>
      <c r="CG191" s="96">
        <v>0</v>
      </c>
      <c r="CH191" s="96">
        <v>0</v>
      </c>
      <c r="CI191" s="96">
        <v>0</v>
      </c>
      <c r="CJ191" s="96">
        <v>0</v>
      </c>
      <c r="CK191" s="96">
        <v>0</v>
      </c>
      <c r="CL191" s="815">
        <f>SUM(BN191:CK191)</f>
        <v>1</v>
      </c>
      <c r="CM191" s="824">
        <f>SUM(BN191:CK191)-CL191</f>
        <v>0</v>
      </c>
      <c r="CN191" s="504">
        <v>3.5649999999999999</v>
      </c>
      <c r="CO191" s="97" t="s">
        <v>6118</v>
      </c>
      <c r="CP191" s="842" t="s">
        <v>5993</v>
      </c>
      <c r="CQ191" s="507">
        <v>0.76400000000000001</v>
      </c>
      <c r="CR191" s="504">
        <v>4.665</v>
      </c>
      <c r="CS191" s="887" t="s">
        <v>5888</v>
      </c>
      <c r="CT191" s="97" t="s">
        <v>470</v>
      </c>
      <c r="CU191" s="97" t="s">
        <v>470</v>
      </c>
      <c r="CV191" s="97" t="s">
        <v>470</v>
      </c>
      <c r="CW191" s="97" t="s">
        <v>470</v>
      </c>
      <c r="CX191" s="96" t="s">
        <v>470</v>
      </c>
      <c r="CY191" s="96" t="s">
        <v>5746</v>
      </c>
      <c r="CZ191" s="96">
        <v>5</v>
      </c>
      <c r="DA191" s="97" t="s">
        <v>479</v>
      </c>
      <c r="DB191" s="97" t="s">
        <v>5708</v>
      </c>
      <c r="DC191" s="96">
        <v>229</v>
      </c>
      <c r="DD191" s="97" t="s">
        <v>479</v>
      </c>
      <c r="DE191" s="97" t="s">
        <v>1007</v>
      </c>
      <c r="DF191" s="96">
        <v>15</v>
      </c>
      <c r="DG191" s="96" t="s">
        <v>470</v>
      </c>
      <c r="DH191" s="96" t="s">
        <v>656</v>
      </c>
      <c r="DI191" s="96" t="s">
        <v>656</v>
      </c>
      <c r="DJ191" s="96" t="s">
        <v>470</v>
      </c>
      <c r="DK191" s="96" t="s">
        <v>656</v>
      </c>
      <c r="DL191" s="96" t="s">
        <v>656</v>
      </c>
      <c r="DM191" s="97" t="s">
        <v>470</v>
      </c>
      <c r="DN191" s="97" t="s">
        <v>656</v>
      </c>
      <c r="DO191" s="96" t="s">
        <v>656</v>
      </c>
      <c r="DP191" s="97" t="s">
        <v>470</v>
      </c>
      <c r="DQ191" s="97" t="s">
        <v>656</v>
      </c>
      <c r="DR191" s="96" t="s">
        <v>656</v>
      </c>
      <c r="DS191" s="97" t="s">
        <v>470</v>
      </c>
      <c r="DT191" s="97" t="s">
        <v>656</v>
      </c>
      <c r="DU191" s="96" t="s">
        <v>656</v>
      </c>
      <c r="DV191" s="97" t="s">
        <v>470</v>
      </c>
      <c r="DW191" s="97" t="s">
        <v>656</v>
      </c>
      <c r="DX191" s="96" t="s">
        <v>656</v>
      </c>
      <c r="DY191" s="97" t="s">
        <v>470</v>
      </c>
      <c r="DZ191" s="97" t="s">
        <v>656</v>
      </c>
      <c r="EA191" s="96" t="s">
        <v>656</v>
      </c>
      <c r="EB191" s="97" t="s">
        <v>470</v>
      </c>
      <c r="EC191" s="97" t="s">
        <v>656</v>
      </c>
      <c r="ED191" s="96" t="s">
        <v>656</v>
      </c>
      <c r="EE191" s="96" t="s">
        <v>470</v>
      </c>
      <c r="EF191" s="96" t="s">
        <v>656</v>
      </c>
      <c r="EG191" s="96" t="s">
        <v>656</v>
      </c>
      <c r="EH191" s="97" t="s">
        <v>470</v>
      </c>
      <c r="EI191" s="97" t="s">
        <v>656</v>
      </c>
      <c r="EJ191" s="96" t="s">
        <v>656</v>
      </c>
      <c r="EK191" s="97" t="s">
        <v>470</v>
      </c>
      <c r="EL191" s="97" t="s">
        <v>656</v>
      </c>
      <c r="EM191" s="96" t="s">
        <v>656</v>
      </c>
      <c r="EN191" s="97" t="s">
        <v>470</v>
      </c>
      <c r="EO191" s="97" t="s">
        <v>656</v>
      </c>
      <c r="EP191" s="96" t="s">
        <v>656</v>
      </c>
      <c r="EQ191" s="96" t="s">
        <v>470</v>
      </c>
      <c r="ER191" s="96" t="s">
        <v>656</v>
      </c>
      <c r="ES191" s="96" t="s">
        <v>656</v>
      </c>
      <c r="ET191" s="97" t="s">
        <v>470</v>
      </c>
      <c r="EU191" s="97" t="s">
        <v>656</v>
      </c>
      <c r="EV191" s="96" t="s">
        <v>656</v>
      </c>
      <c r="EW191" s="96"/>
      <c r="EX191" s="96"/>
      <c r="EY191" s="96"/>
      <c r="EZ191" s="97" t="s">
        <v>470</v>
      </c>
      <c r="FA191" s="97" t="s">
        <v>656</v>
      </c>
      <c r="FB191" s="842" t="s">
        <v>5133</v>
      </c>
      <c r="FC191" s="97" t="s">
        <v>656</v>
      </c>
      <c r="FD191" s="97" t="s">
        <v>656</v>
      </c>
      <c r="FE191" s="97" t="s">
        <v>4819</v>
      </c>
      <c r="FF191" s="97" t="s">
        <v>656</v>
      </c>
      <c r="FG191" s="97" t="s">
        <v>1750</v>
      </c>
      <c r="FH191" s="97" t="s">
        <v>656</v>
      </c>
      <c r="FI191" s="97" t="s">
        <v>656</v>
      </c>
      <c r="FJ191" s="97" t="s">
        <v>4469</v>
      </c>
      <c r="FK191" s="97" t="s">
        <v>4254</v>
      </c>
      <c r="FL191" s="97" t="s">
        <v>4064</v>
      </c>
      <c r="FM191" s="97"/>
      <c r="FN191" s="97"/>
      <c r="FO191" s="97"/>
    </row>
    <row r="192" spans="5:171" ht="104" customHeight="1" x14ac:dyDescent="0.2">
      <c r="E192" s="94" t="s">
        <v>9305</v>
      </c>
      <c r="F192" s="94" t="s">
        <v>9121</v>
      </c>
      <c r="G192" s="198" t="s">
        <v>332</v>
      </c>
      <c r="H192" s="97" t="s">
        <v>414</v>
      </c>
      <c r="I192" s="97" t="s">
        <v>8768</v>
      </c>
      <c r="J192" s="97" t="s">
        <v>8544</v>
      </c>
      <c r="K192" s="97" t="s">
        <v>8405</v>
      </c>
      <c r="L192" s="502" t="s">
        <v>8338</v>
      </c>
      <c r="M192" s="841" t="s">
        <v>8307</v>
      </c>
      <c r="N192" s="841" t="s">
        <v>8237</v>
      </c>
      <c r="O192" s="841"/>
      <c r="P192" s="841"/>
      <c r="Q192" s="841"/>
      <c r="R192" s="841"/>
      <c r="S192" s="841"/>
      <c r="T192" s="841"/>
      <c r="U192" s="841"/>
      <c r="V192" s="841"/>
      <c r="W192" s="841"/>
      <c r="X192" s="841"/>
      <c r="Y192" s="841"/>
      <c r="Z192" s="97" t="s">
        <v>8116</v>
      </c>
      <c r="AA192" s="97" t="e">
        <f>#REF!</f>
        <v>#REF!</v>
      </c>
      <c r="AB192" s="97" t="s">
        <v>470</v>
      </c>
      <c r="AC192" s="97"/>
      <c r="AD192" s="97" t="s">
        <v>7489</v>
      </c>
      <c r="AE192" s="97" t="s">
        <v>5134</v>
      </c>
      <c r="AF192" s="97" t="s">
        <v>470</v>
      </c>
      <c r="AG192" s="97"/>
      <c r="AH192" s="97" t="s">
        <v>7003</v>
      </c>
      <c r="AI192" s="97" t="s">
        <v>614</v>
      </c>
      <c r="AJ192" s="97" t="s">
        <v>615</v>
      </c>
      <c r="AK192" s="97" t="s">
        <v>6518</v>
      </c>
      <c r="AL192" s="580">
        <f t="shared" si="12"/>
        <v>0.55070799999999998</v>
      </c>
      <c r="AM192" s="504">
        <v>0.55070799999999998</v>
      </c>
      <c r="AN192" s="516"/>
      <c r="AO192" s="97"/>
      <c r="AP192" s="97"/>
      <c r="AQ192" s="504">
        <f>411874/1000000</f>
        <v>0.41187400000000002</v>
      </c>
      <c r="AR192" s="507">
        <v>0.66300000000000003</v>
      </c>
      <c r="AS192" s="507"/>
      <c r="AT192" s="516"/>
      <c r="AU192" s="507"/>
      <c r="AV192" s="516"/>
      <c r="AW192" s="507"/>
      <c r="AX192" s="516">
        <f>138834/1000000</f>
        <v>0.13883400000000001</v>
      </c>
      <c r="AY192" s="507">
        <v>0.33700000000000002</v>
      </c>
      <c r="AZ192" s="516"/>
      <c r="BA192" s="507"/>
      <c r="BB192" s="507"/>
      <c r="BC192" s="507"/>
      <c r="BD192" s="507"/>
      <c r="BE192" s="507" t="s">
        <v>470</v>
      </c>
      <c r="BF192" s="507"/>
      <c r="BG192" s="507"/>
      <c r="BH192" s="852"/>
      <c r="BI192" s="504">
        <f>2314114/1000000</f>
        <v>2.314114</v>
      </c>
      <c r="BJ192" s="507"/>
      <c r="BK192" s="96">
        <v>1</v>
      </c>
      <c r="BL192" s="96">
        <v>1</v>
      </c>
      <c r="BM192" s="96">
        <v>1</v>
      </c>
      <c r="BN192" s="96"/>
      <c r="BO192" s="96"/>
      <c r="BP192" s="96"/>
      <c r="BQ192" s="96"/>
      <c r="BR192" s="96"/>
      <c r="BS192" s="96"/>
      <c r="BT192" s="96"/>
      <c r="BU192" s="96"/>
      <c r="BV192" s="96"/>
      <c r="BW192" s="96"/>
      <c r="BX192" s="96"/>
      <c r="BY192" s="96">
        <v>1</v>
      </c>
      <c r="BZ192" s="96"/>
      <c r="CA192" s="96"/>
      <c r="CB192" s="96"/>
      <c r="CC192" s="96"/>
      <c r="CD192" s="96"/>
      <c r="CE192" s="96"/>
      <c r="CF192" s="96"/>
      <c r="CG192" s="96"/>
      <c r="CH192" s="96"/>
      <c r="CI192" s="96"/>
      <c r="CJ192" s="96"/>
      <c r="CK192" s="96"/>
      <c r="CL192" s="815">
        <f t="shared" ref="CL192" si="16">SUM(BN192:CK192)</f>
        <v>1</v>
      </c>
      <c r="CM192" s="824">
        <f t="shared" ref="CM192" si="17">SUM(BN192:CK192)-CL192</f>
        <v>0</v>
      </c>
      <c r="CN192" s="504">
        <v>2.6589999999999998</v>
      </c>
      <c r="CO192" s="97" t="s">
        <v>5889</v>
      </c>
      <c r="CP192" s="97"/>
      <c r="CQ192" s="97">
        <v>82</v>
      </c>
      <c r="CR192" s="504">
        <v>3.2080000000000002</v>
      </c>
      <c r="CS192" s="507" t="s">
        <v>5889</v>
      </c>
      <c r="CT192" s="97" t="s">
        <v>470</v>
      </c>
      <c r="CU192" s="97" t="s">
        <v>470</v>
      </c>
      <c r="CV192" s="97"/>
      <c r="CW192" s="97" t="s">
        <v>470</v>
      </c>
      <c r="CX192" s="96" t="s">
        <v>470</v>
      </c>
      <c r="CY192" s="96" t="s">
        <v>470</v>
      </c>
      <c r="CZ192" s="96" t="s">
        <v>470</v>
      </c>
      <c r="DA192" s="97" t="s">
        <v>479</v>
      </c>
      <c r="DB192" s="97" t="s">
        <v>5394</v>
      </c>
      <c r="DC192" s="96">
        <v>35</v>
      </c>
      <c r="DD192" s="97" t="s">
        <v>470</v>
      </c>
      <c r="DE192" s="97"/>
      <c r="DF192" s="96"/>
      <c r="DG192" s="96" t="s">
        <v>470</v>
      </c>
      <c r="DH192" s="96"/>
      <c r="DI192" s="96"/>
      <c r="DJ192" s="96" t="s">
        <v>470</v>
      </c>
      <c r="DK192" s="96"/>
      <c r="DL192" s="96"/>
      <c r="DM192" s="97" t="s">
        <v>470</v>
      </c>
      <c r="DN192" s="97"/>
      <c r="DO192" s="96"/>
      <c r="DP192" s="97" t="s">
        <v>470</v>
      </c>
      <c r="DQ192" s="97"/>
      <c r="DR192" s="96"/>
      <c r="DS192" s="97" t="s">
        <v>470</v>
      </c>
      <c r="DT192" s="97"/>
      <c r="DU192" s="96"/>
      <c r="DV192" s="97"/>
      <c r="DW192" s="97"/>
      <c r="DX192" s="96"/>
      <c r="DY192" s="97" t="s">
        <v>470</v>
      </c>
      <c r="DZ192" s="97"/>
      <c r="EA192" s="96"/>
      <c r="EB192" s="97" t="s">
        <v>470</v>
      </c>
      <c r="EC192" s="97"/>
      <c r="ED192" s="96"/>
      <c r="EE192" s="96" t="s">
        <v>470</v>
      </c>
      <c r="EF192" s="96"/>
      <c r="EG192" s="96"/>
      <c r="EH192" s="97" t="s">
        <v>470</v>
      </c>
      <c r="EI192" s="97"/>
      <c r="EJ192" s="96"/>
      <c r="EK192" s="97" t="s">
        <v>470</v>
      </c>
      <c r="EL192" s="97"/>
      <c r="EM192" s="96"/>
      <c r="EN192" s="97" t="s">
        <v>470</v>
      </c>
      <c r="EO192" s="97"/>
      <c r="EP192" s="96"/>
      <c r="EQ192" s="96" t="s">
        <v>470</v>
      </c>
      <c r="ER192" s="96"/>
      <c r="ES192" s="96"/>
      <c r="ET192" s="97" t="s">
        <v>5248</v>
      </c>
      <c r="EU192" s="97" t="s">
        <v>5231</v>
      </c>
      <c r="EV192" s="96">
        <v>35</v>
      </c>
      <c r="EW192" s="96"/>
      <c r="EX192" s="96"/>
      <c r="EY192" s="96"/>
      <c r="EZ192" s="97" t="s">
        <v>470</v>
      </c>
      <c r="FA192" s="97"/>
      <c r="FB192" s="97" t="s">
        <v>5134</v>
      </c>
      <c r="FC192" s="97" t="s">
        <v>470</v>
      </c>
      <c r="FD192" s="97" t="s">
        <v>470</v>
      </c>
      <c r="FE192" s="97" t="s">
        <v>470</v>
      </c>
      <c r="FF192" s="97" t="s">
        <v>470</v>
      </c>
      <c r="FG192" s="97" t="s">
        <v>4644</v>
      </c>
      <c r="FH192" s="97">
        <v>1</v>
      </c>
      <c r="FI192" s="97">
        <v>50</v>
      </c>
      <c r="FJ192" s="97" t="s">
        <v>4470</v>
      </c>
      <c r="FK192" s="97" t="s">
        <v>4255</v>
      </c>
      <c r="FL192" s="842" t="s">
        <v>4065</v>
      </c>
      <c r="FM192" s="97" t="s">
        <v>3878</v>
      </c>
      <c r="FN192" s="97" t="s">
        <v>3808</v>
      </c>
      <c r="FO192" s="843" t="s">
        <v>3729</v>
      </c>
    </row>
    <row r="193" spans="5:171" ht="104" customHeight="1" x14ac:dyDescent="0.2">
      <c r="E193" s="94" t="s">
        <v>9304</v>
      </c>
      <c r="F193" s="94" t="s">
        <v>9120</v>
      </c>
      <c r="G193" s="198" t="s">
        <v>333</v>
      </c>
      <c r="H193" s="198" t="s">
        <v>415</v>
      </c>
      <c r="I193" s="198"/>
      <c r="J193" s="198" t="s">
        <v>1620</v>
      </c>
      <c r="K193" s="198" t="s">
        <v>1620</v>
      </c>
      <c r="L193" s="578">
        <v>2017</v>
      </c>
      <c r="M193" s="822">
        <v>44217</v>
      </c>
      <c r="N193" s="822">
        <v>44926</v>
      </c>
      <c r="O193" s="198" t="s">
        <v>2938</v>
      </c>
      <c r="P193" s="550" t="s">
        <v>2939</v>
      </c>
      <c r="Q193" s="198" t="s">
        <v>2940</v>
      </c>
      <c r="R193" s="198" t="s">
        <v>2941</v>
      </c>
      <c r="S193" s="198" t="s">
        <v>2942</v>
      </c>
      <c r="T193" s="198" t="s">
        <v>470</v>
      </c>
      <c r="U193" s="198"/>
      <c r="V193" s="198" t="s">
        <v>470</v>
      </c>
      <c r="W193" s="198"/>
      <c r="X193" s="198" t="s">
        <v>2943</v>
      </c>
      <c r="Y193" s="549" t="s">
        <v>2940</v>
      </c>
      <c r="Z193" s="549"/>
      <c r="AA193" s="549"/>
      <c r="AB193" s="549"/>
      <c r="AC193" s="549"/>
      <c r="AD193" s="549"/>
      <c r="AE193" s="549"/>
      <c r="AF193" s="549"/>
      <c r="AG193" s="549"/>
      <c r="AH193" s="198" t="s">
        <v>2944</v>
      </c>
      <c r="AI193" s="198" t="s">
        <v>2944</v>
      </c>
      <c r="AJ193" s="198" t="s">
        <v>504</v>
      </c>
      <c r="AK193" s="198" t="s">
        <v>2945</v>
      </c>
      <c r="AL193" s="580">
        <f t="shared" si="12"/>
        <v>193.0265</v>
      </c>
      <c r="AM193" s="504">
        <v>193.0265</v>
      </c>
      <c r="AN193" s="516">
        <v>3.5796999999999999</v>
      </c>
      <c r="AO193" s="137">
        <f>AN193/AL193</f>
        <v>1.8545122042828315E-2</v>
      </c>
      <c r="AP193" s="137">
        <f>3.5797/52631.00457579</f>
        <v>6.8015042252236315E-5</v>
      </c>
      <c r="AQ193" s="504">
        <v>12.944699999999999</v>
      </c>
      <c r="AR193" s="137">
        <f>AQ193/AL193</f>
        <v>6.7061776491828845E-2</v>
      </c>
      <c r="AS193" s="137"/>
      <c r="AT193" s="520">
        <v>1.0992</v>
      </c>
      <c r="AU193" s="137">
        <f>AT193/AL193</f>
        <v>5.6945548927219833E-3</v>
      </c>
      <c r="AV193" s="520">
        <v>0</v>
      </c>
      <c r="AW193" s="137">
        <f>AV193/AL193</f>
        <v>0</v>
      </c>
      <c r="AX193" s="520">
        <v>0</v>
      </c>
      <c r="AY193" s="137">
        <f>AX193/AL193</f>
        <v>0</v>
      </c>
      <c r="AZ193" s="520">
        <v>175.40289999999999</v>
      </c>
      <c r="BA193" s="137">
        <f>AZ193/AL193</f>
        <v>0.90869854657262084</v>
      </c>
      <c r="BB193" s="198" t="s">
        <v>2946</v>
      </c>
      <c r="BC193" s="198" t="s">
        <v>847</v>
      </c>
      <c r="BD193" s="198" t="s">
        <v>2944</v>
      </c>
      <c r="BE193" s="198" t="s">
        <v>470</v>
      </c>
      <c r="BF193" s="198" t="s">
        <v>656</v>
      </c>
      <c r="BG193" s="198" t="s">
        <v>656</v>
      </c>
      <c r="BH193" s="198">
        <v>0</v>
      </c>
      <c r="BI193" s="520">
        <v>177.1555103</v>
      </c>
      <c r="BJ193" s="137">
        <f>BI193/53227.875394</f>
        <v>3.3282468817075776E-3</v>
      </c>
      <c r="BK193" s="83">
        <v>196</v>
      </c>
      <c r="BL193" s="83">
        <v>113</v>
      </c>
      <c r="BM193" s="83">
        <v>92</v>
      </c>
      <c r="BN193" s="83">
        <v>0</v>
      </c>
      <c r="BO193" s="83">
        <v>16</v>
      </c>
      <c r="BP193" s="83">
        <v>7</v>
      </c>
      <c r="BQ193" s="83">
        <v>0</v>
      </c>
      <c r="BR193" s="83">
        <v>0</v>
      </c>
      <c r="BS193" s="83">
        <v>7</v>
      </c>
      <c r="BT193" s="83">
        <v>0</v>
      </c>
      <c r="BU193" s="83">
        <v>0</v>
      </c>
      <c r="BV193" s="83">
        <v>0</v>
      </c>
      <c r="BW193" s="83">
        <v>37</v>
      </c>
      <c r="BX193" s="83">
        <v>5</v>
      </c>
      <c r="BY193" s="83">
        <v>15</v>
      </c>
      <c r="BZ193" s="83">
        <v>2</v>
      </c>
      <c r="CA193" s="83">
        <v>1</v>
      </c>
      <c r="CB193" s="83" t="s">
        <v>656</v>
      </c>
      <c r="CC193" s="83" t="s">
        <v>656</v>
      </c>
      <c r="CD193" s="83"/>
      <c r="CE193" s="83" t="s">
        <v>656</v>
      </c>
      <c r="CF193" s="83" t="s">
        <v>656</v>
      </c>
      <c r="CG193" s="83" t="s">
        <v>656</v>
      </c>
      <c r="CH193" s="83" t="s">
        <v>656</v>
      </c>
      <c r="CI193" s="83" t="s">
        <v>656</v>
      </c>
      <c r="CJ193" s="83" t="s">
        <v>656</v>
      </c>
      <c r="CK193" s="83">
        <v>2</v>
      </c>
      <c r="CL193" s="824">
        <f>SUM(BN193:CK193)</f>
        <v>92</v>
      </c>
      <c r="CM193" s="824">
        <f t="shared" si="13"/>
        <v>0</v>
      </c>
      <c r="CN193" s="580">
        <v>562.70799999999997</v>
      </c>
      <c r="CO193" s="198" t="s">
        <v>2947</v>
      </c>
      <c r="CP193" s="549" t="s">
        <v>2948</v>
      </c>
      <c r="CQ193" s="137">
        <v>0.83799999999999997</v>
      </c>
      <c r="CR193" s="580">
        <v>671.45500000000004</v>
      </c>
      <c r="CS193" s="834" t="s">
        <v>2948</v>
      </c>
      <c r="CT193" s="198" t="s">
        <v>470</v>
      </c>
      <c r="CU193" s="198" t="s">
        <v>656</v>
      </c>
      <c r="CV193" s="198" t="s">
        <v>656</v>
      </c>
      <c r="CW193" s="198" t="s">
        <v>656</v>
      </c>
      <c r="CX193" s="83" t="s">
        <v>656</v>
      </c>
      <c r="CY193" s="83" t="s">
        <v>656</v>
      </c>
      <c r="CZ193" s="83" t="s">
        <v>656</v>
      </c>
      <c r="DA193" s="198" t="s">
        <v>479</v>
      </c>
      <c r="DB193" s="198" t="s">
        <v>2949</v>
      </c>
      <c r="DC193" s="83">
        <v>40757</v>
      </c>
      <c r="DD193" s="198" t="s">
        <v>479</v>
      </c>
      <c r="DE193" s="198" t="s">
        <v>2950</v>
      </c>
      <c r="DF193" s="83">
        <v>54448</v>
      </c>
      <c r="DG193" s="83" t="s">
        <v>656</v>
      </c>
      <c r="DH193" s="83" t="s">
        <v>656</v>
      </c>
      <c r="DI193" s="83" t="s">
        <v>656</v>
      </c>
      <c r="DJ193" s="83" t="s">
        <v>656</v>
      </c>
      <c r="DK193" s="83" t="s">
        <v>656</v>
      </c>
      <c r="DL193" s="83" t="s">
        <v>656</v>
      </c>
      <c r="DM193" s="198" t="s">
        <v>656</v>
      </c>
      <c r="DN193" s="198" t="s">
        <v>656</v>
      </c>
      <c r="DO193" s="83" t="s">
        <v>656</v>
      </c>
      <c r="DP193" s="198" t="s">
        <v>656</v>
      </c>
      <c r="DQ193" s="198" t="s">
        <v>656</v>
      </c>
      <c r="DR193" s="83" t="s">
        <v>656</v>
      </c>
      <c r="DS193" s="198" t="s">
        <v>656</v>
      </c>
      <c r="DT193" s="198" t="s">
        <v>656</v>
      </c>
      <c r="DU193" s="83" t="s">
        <v>656</v>
      </c>
      <c r="DV193" s="198" t="s">
        <v>656</v>
      </c>
      <c r="DW193" s="198" t="s">
        <v>656</v>
      </c>
      <c r="DX193" s="83" t="s">
        <v>656</v>
      </c>
      <c r="DY193" s="198" t="s">
        <v>479</v>
      </c>
      <c r="DZ193" s="198" t="s">
        <v>2949</v>
      </c>
      <c r="EA193" s="83">
        <v>40757</v>
      </c>
      <c r="EB193" s="198" t="s">
        <v>479</v>
      </c>
      <c r="EC193" s="198" t="s">
        <v>2950</v>
      </c>
      <c r="ED193" s="83">
        <v>54448</v>
      </c>
      <c r="EE193" s="83" t="s">
        <v>656</v>
      </c>
      <c r="EF193" s="83" t="s">
        <v>656</v>
      </c>
      <c r="EG193" s="83" t="s">
        <v>656</v>
      </c>
      <c r="EH193" s="198" t="s">
        <v>656</v>
      </c>
      <c r="EI193" s="198" t="s">
        <v>656</v>
      </c>
      <c r="EJ193" s="83" t="s">
        <v>656</v>
      </c>
      <c r="EK193" s="198" t="s">
        <v>656</v>
      </c>
      <c r="EL193" s="198" t="s">
        <v>656</v>
      </c>
      <c r="EM193" s="83" t="s">
        <v>656</v>
      </c>
      <c r="EN193" s="198" t="s">
        <v>656</v>
      </c>
      <c r="EO193" s="198" t="s">
        <v>656</v>
      </c>
      <c r="EP193" s="83" t="s">
        <v>656</v>
      </c>
      <c r="EQ193" s="83" t="s">
        <v>656</v>
      </c>
      <c r="ER193" s="83" t="s">
        <v>656</v>
      </c>
      <c r="ES193" s="83" t="s">
        <v>656</v>
      </c>
      <c r="ET193" s="198" t="s">
        <v>656</v>
      </c>
      <c r="EU193" s="198" t="s">
        <v>656</v>
      </c>
      <c r="EV193" s="83" t="s">
        <v>656</v>
      </c>
      <c r="EW193" s="198" t="s">
        <v>2951</v>
      </c>
      <c r="EX193" s="198" t="s">
        <v>2952</v>
      </c>
      <c r="EY193" s="505">
        <v>51</v>
      </c>
      <c r="EZ193" s="198" t="s">
        <v>2953</v>
      </c>
      <c r="FA193" s="198"/>
      <c r="FB193" s="549" t="s">
        <v>2954</v>
      </c>
      <c r="FC193" s="549" t="s">
        <v>2954</v>
      </c>
      <c r="FD193" s="549" t="s">
        <v>2955</v>
      </c>
      <c r="FE193" s="550" t="s">
        <v>2956</v>
      </c>
      <c r="FF193" s="846" t="s">
        <v>2957</v>
      </c>
      <c r="FG193" s="198" t="s">
        <v>2958</v>
      </c>
      <c r="FH193" s="549" t="s">
        <v>2959</v>
      </c>
      <c r="FI193" s="198" t="s">
        <v>656</v>
      </c>
      <c r="FJ193" s="198" t="s">
        <v>2960</v>
      </c>
      <c r="FK193" s="198" t="s">
        <v>2961</v>
      </c>
      <c r="FL193" s="549" t="s">
        <v>2962</v>
      </c>
      <c r="FM193" s="198" t="s">
        <v>2963</v>
      </c>
      <c r="FN193" s="198" t="s">
        <v>2964</v>
      </c>
      <c r="FO193" s="549" t="s">
        <v>2965</v>
      </c>
    </row>
    <row r="194" spans="5:171" ht="104" customHeight="1" x14ac:dyDescent="0.2">
      <c r="E194" s="94" t="s">
        <v>9302</v>
      </c>
      <c r="F194" s="94" t="s">
        <v>9120</v>
      </c>
      <c r="G194" s="198" t="s">
        <v>333</v>
      </c>
      <c r="H194" s="198" t="s">
        <v>415</v>
      </c>
      <c r="I194" s="198"/>
      <c r="J194" s="198" t="s">
        <v>2994</v>
      </c>
      <c r="K194" s="198" t="s">
        <v>1142</v>
      </c>
      <c r="L194" s="578" t="s">
        <v>1548</v>
      </c>
      <c r="M194" s="822" t="s">
        <v>2995</v>
      </c>
      <c r="N194" s="822" t="s">
        <v>2996</v>
      </c>
      <c r="O194" s="198" t="s">
        <v>2997</v>
      </c>
      <c r="P194" s="198" t="s">
        <v>2998</v>
      </c>
      <c r="Q194" s="198" t="s">
        <v>2999</v>
      </c>
      <c r="R194" s="198" t="s">
        <v>2941</v>
      </c>
      <c r="S194" s="198" t="s">
        <v>2942</v>
      </c>
      <c r="T194" s="198" t="s">
        <v>470</v>
      </c>
      <c r="U194" s="198" t="s">
        <v>470</v>
      </c>
      <c r="V194" s="198" t="s">
        <v>470</v>
      </c>
      <c r="W194" s="198" t="s">
        <v>470</v>
      </c>
      <c r="X194" s="198" t="s">
        <v>3000</v>
      </c>
      <c r="Y194" s="198" t="s">
        <v>3001</v>
      </c>
      <c r="Z194" s="198"/>
      <c r="AA194" s="198"/>
      <c r="AB194" s="198"/>
      <c r="AC194" s="198"/>
      <c r="AD194" s="198"/>
      <c r="AE194" s="198"/>
      <c r="AF194" s="198"/>
      <c r="AG194" s="198"/>
      <c r="AH194" s="198" t="s">
        <v>3002</v>
      </c>
      <c r="AI194" s="198" t="s">
        <v>3003</v>
      </c>
      <c r="AJ194" s="198" t="s">
        <v>477</v>
      </c>
      <c r="AK194" s="198" t="s">
        <v>2945</v>
      </c>
      <c r="AL194" s="580">
        <f t="shared" si="12"/>
        <v>34.118020600000001</v>
      </c>
      <c r="AM194" s="504">
        <v>34.118020600000001</v>
      </c>
      <c r="AN194" s="516">
        <v>23.796850599999999</v>
      </c>
      <c r="AO194" s="137">
        <v>0.71330000000000005</v>
      </c>
      <c r="AP194" s="137">
        <f>23.7968506/5263100.457579%</f>
        <v>4.521450956865534E-4</v>
      </c>
      <c r="AQ194" s="504">
        <v>5.2129339999999997</v>
      </c>
      <c r="AR194" s="137">
        <v>0.15620000000000001</v>
      </c>
      <c r="AS194" s="137"/>
      <c r="AT194" s="520"/>
      <c r="AU194" s="137"/>
      <c r="AV194" s="520"/>
      <c r="AW194" s="137"/>
      <c r="AX194" s="520">
        <f>0.125+0.060236+0.3+0.74+0.259+0.003+0.061+0.352+0.45+1.09+0.131+0.159+0.22+0.79+0.285+0.083</f>
        <v>5.1082360000000016</v>
      </c>
      <c r="AY194" s="137">
        <f>AX194/AL194</f>
        <v>0.14972251936561645</v>
      </c>
      <c r="AZ194" s="520">
        <v>0</v>
      </c>
      <c r="BA194" s="137">
        <v>0</v>
      </c>
      <c r="BB194" s="198" t="s">
        <v>470</v>
      </c>
      <c r="BC194" s="198" t="s">
        <v>470</v>
      </c>
      <c r="BD194" s="198" t="s">
        <v>470</v>
      </c>
      <c r="BE194" s="198" t="s">
        <v>479</v>
      </c>
      <c r="BF194" s="198" t="s">
        <v>3004</v>
      </c>
      <c r="BG194" s="198" t="s">
        <v>3001</v>
      </c>
      <c r="BH194" s="198">
        <v>2.0049999999999999</v>
      </c>
      <c r="BI194" s="586">
        <v>50</v>
      </c>
      <c r="BJ194" s="137">
        <f>50/53227.875394</f>
        <v>9.3935742559501337E-4</v>
      </c>
      <c r="BK194" s="83">
        <v>171</v>
      </c>
      <c r="BL194" s="83">
        <v>78</v>
      </c>
      <c r="BM194" s="83" t="s">
        <v>3005</v>
      </c>
      <c r="BN194" s="83">
        <v>0</v>
      </c>
      <c r="BO194" s="83">
        <v>9</v>
      </c>
      <c r="BP194" s="83">
        <v>5</v>
      </c>
      <c r="BQ194" s="83">
        <v>5</v>
      </c>
      <c r="BR194" s="83">
        <v>0</v>
      </c>
      <c r="BS194" s="83">
        <v>5</v>
      </c>
      <c r="BT194" s="83">
        <v>0</v>
      </c>
      <c r="BU194" s="83">
        <v>1</v>
      </c>
      <c r="BV194" s="83">
        <v>0</v>
      </c>
      <c r="BW194" s="83">
        <v>2</v>
      </c>
      <c r="BX194" s="83">
        <v>2</v>
      </c>
      <c r="BY194" s="83">
        <v>6</v>
      </c>
      <c r="BZ194" s="83">
        <v>5</v>
      </c>
      <c r="CA194" s="83">
        <v>3</v>
      </c>
      <c r="CB194" s="83">
        <v>0</v>
      </c>
      <c r="CC194" s="83">
        <v>0</v>
      </c>
      <c r="CD194" s="83">
        <v>0</v>
      </c>
      <c r="CE194" s="83">
        <v>0</v>
      </c>
      <c r="CF194" s="83">
        <v>0</v>
      </c>
      <c r="CG194" s="83">
        <v>0</v>
      </c>
      <c r="CH194" s="83">
        <v>0</v>
      </c>
      <c r="CI194" s="83">
        <v>0</v>
      </c>
      <c r="CJ194" s="83">
        <v>0</v>
      </c>
      <c r="CK194" s="83">
        <v>1</v>
      </c>
      <c r="CL194" s="824">
        <f>SUM(BN194:CK194)</f>
        <v>44</v>
      </c>
      <c r="CM194" s="824">
        <f t="shared" si="13"/>
        <v>0</v>
      </c>
      <c r="CN194" s="580">
        <v>387.50299999999999</v>
      </c>
      <c r="CO194" s="198" t="s">
        <v>3006</v>
      </c>
      <c r="CP194" s="198" t="s">
        <v>3001</v>
      </c>
      <c r="CQ194" s="137">
        <v>0.5746</v>
      </c>
      <c r="CR194" s="580">
        <v>671.45500000000004</v>
      </c>
      <c r="CS194" s="834" t="s">
        <v>2983</v>
      </c>
      <c r="CT194" s="198" t="s">
        <v>470</v>
      </c>
      <c r="CU194" s="198" t="s">
        <v>470</v>
      </c>
      <c r="CV194" s="198" t="s">
        <v>470</v>
      </c>
      <c r="CW194" s="83" t="s">
        <v>470</v>
      </c>
      <c r="CX194" s="83" t="s">
        <v>470</v>
      </c>
      <c r="CY194" s="83" t="s">
        <v>470</v>
      </c>
      <c r="CZ194" s="83">
        <v>4</v>
      </c>
      <c r="DA194" s="198" t="s">
        <v>479</v>
      </c>
      <c r="DB194" s="198" t="s">
        <v>3007</v>
      </c>
      <c r="DC194" s="83" t="s">
        <v>3007</v>
      </c>
      <c r="DD194" s="198" t="s">
        <v>479</v>
      </c>
      <c r="DE194" s="198" t="s">
        <v>3007</v>
      </c>
      <c r="DF194" s="83" t="s">
        <v>3007</v>
      </c>
      <c r="DG194" s="83" t="s">
        <v>3007</v>
      </c>
      <c r="DH194" s="83" t="s">
        <v>3007</v>
      </c>
      <c r="DI194" s="83" t="s">
        <v>3007</v>
      </c>
      <c r="DJ194" s="83" t="s">
        <v>3007</v>
      </c>
      <c r="DK194" s="83" t="s">
        <v>3007</v>
      </c>
      <c r="DL194" s="83" t="s">
        <v>3007</v>
      </c>
      <c r="DM194" s="198" t="s">
        <v>479</v>
      </c>
      <c r="DN194" s="198" t="s">
        <v>3007</v>
      </c>
      <c r="DO194" s="83" t="s">
        <v>3007</v>
      </c>
      <c r="DP194" s="198" t="s">
        <v>479</v>
      </c>
      <c r="DQ194" s="198" t="s">
        <v>3007</v>
      </c>
      <c r="DR194" s="83" t="s">
        <v>3007</v>
      </c>
      <c r="DS194" s="83" t="s">
        <v>3007</v>
      </c>
      <c r="DT194" s="83" t="s">
        <v>3007</v>
      </c>
      <c r="DU194" s="83" t="s">
        <v>3007</v>
      </c>
      <c r="DV194" s="198" t="s">
        <v>479</v>
      </c>
      <c r="DW194" s="198" t="s">
        <v>3008</v>
      </c>
      <c r="DX194" s="83">
        <v>26</v>
      </c>
      <c r="DY194" s="83" t="s">
        <v>3007</v>
      </c>
      <c r="DZ194" s="83" t="s">
        <v>3007</v>
      </c>
      <c r="EA194" s="83" t="s">
        <v>3007</v>
      </c>
      <c r="EB194" s="198" t="s">
        <v>479</v>
      </c>
      <c r="EC194" s="198" t="s">
        <v>3009</v>
      </c>
      <c r="ED194" s="83">
        <v>13024</v>
      </c>
      <c r="EE194" s="83" t="s">
        <v>470</v>
      </c>
      <c r="EF194" s="83" t="s">
        <v>470</v>
      </c>
      <c r="EG194" s="83" t="s">
        <v>470</v>
      </c>
      <c r="EH194" s="198" t="s">
        <v>470</v>
      </c>
      <c r="EI194" s="198" t="s">
        <v>470</v>
      </c>
      <c r="EJ194" s="83" t="s">
        <v>470</v>
      </c>
      <c r="EK194" s="198" t="s">
        <v>3007</v>
      </c>
      <c r="EL194" s="198" t="s">
        <v>3007</v>
      </c>
      <c r="EM194" s="83" t="s">
        <v>3007</v>
      </c>
      <c r="EN194" s="198" t="s">
        <v>479</v>
      </c>
      <c r="EO194" s="198" t="s">
        <v>3010</v>
      </c>
      <c r="EP194" s="83" t="s">
        <v>3011</v>
      </c>
      <c r="EQ194" s="83" t="s">
        <v>3007</v>
      </c>
      <c r="ER194" s="83" t="s">
        <v>3007</v>
      </c>
      <c r="ES194" s="83" t="s">
        <v>3007</v>
      </c>
      <c r="ET194" s="83" t="s">
        <v>3010</v>
      </c>
      <c r="EU194" s="83" t="s">
        <v>3012</v>
      </c>
      <c r="EV194" s="83" t="s">
        <v>3013</v>
      </c>
      <c r="EW194" s="83" t="s">
        <v>2985</v>
      </c>
      <c r="EX194" s="198" t="s">
        <v>656</v>
      </c>
      <c r="EY194" s="83">
        <v>67</v>
      </c>
      <c r="EZ194" s="198" t="s">
        <v>479</v>
      </c>
      <c r="FA194" s="198" t="s">
        <v>3014</v>
      </c>
      <c r="FB194" s="503" t="s">
        <v>3015</v>
      </c>
      <c r="FC194" s="549" t="s">
        <v>3016</v>
      </c>
      <c r="FD194" s="198" t="s">
        <v>470</v>
      </c>
      <c r="FE194" s="198" t="s">
        <v>3017</v>
      </c>
      <c r="FF194" s="198" t="s">
        <v>470</v>
      </c>
      <c r="FG194" s="198" t="s">
        <v>3018</v>
      </c>
      <c r="FH194" s="198" t="s">
        <v>3019</v>
      </c>
      <c r="FI194" s="198" t="s">
        <v>3007</v>
      </c>
      <c r="FJ194" s="198" t="s">
        <v>3020</v>
      </c>
      <c r="FK194" s="198" t="s">
        <v>3021</v>
      </c>
      <c r="FL194" s="549" t="s">
        <v>3022</v>
      </c>
      <c r="FM194" s="198" t="s">
        <v>2963</v>
      </c>
      <c r="FN194" s="198" t="s">
        <v>2964</v>
      </c>
      <c r="FO194" s="549" t="s">
        <v>2965</v>
      </c>
    </row>
    <row r="195" spans="5:171" ht="104" customHeight="1" x14ac:dyDescent="0.2">
      <c r="E195" s="94" t="s">
        <v>9303</v>
      </c>
      <c r="F195" s="94" t="s">
        <v>9120</v>
      </c>
      <c r="G195" s="198" t="s">
        <v>333</v>
      </c>
      <c r="H195" s="198" t="s">
        <v>415</v>
      </c>
      <c r="I195" s="198"/>
      <c r="J195" s="198" t="s">
        <v>2966</v>
      </c>
      <c r="K195" s="198" t="s">
        <v>2967</v>
      </c>
      <c r="L195" s="578" t="s">
        <v>2968</v>
      </c>
      <c r="M195" s="822" t="s">
        <v>2969</v>
      </c>
      <c r="N195" s="822" t="s">
        <v>865</v>
      </c>
      <c r="O195" s="198" t="s">
        <v>2970</v>
      </c>
      <c r="P195" s="198" t="s">
        <v>2971</v>
      </c>
      <c r="Q195" s="549" t="s">
        <v>2972</v>
      </c>
      <c r="R195" s="198" t="s">
        <v>2973</v>
      </c>
      <c r="S195" s="549" t="s">
        <v>2974</v>
      </c>
      <c r="T195" s="198" t="s">
        <v>470</v>
      </c>
      <c r="U195" s="198" t="s">
        <v>470</v>
      </c>
      <c r="V195" s="198" t="s">
        <v>470</v>
      </c>
      <c r="W195" s="198" t="s">
        <v>470</v>
      </c>
      <c r="X195" s="198" t="s">
        <v>2975</v>
      </c>
      <c r="Y195" s="549" t="s">
        <v>2972</v>
      </c>
      <c r="Z195" s="549"/>
      <c r="AA195" s="549"/>
      <c r="AB195" s="549"/>
      <c r="AC195" s="549"/>
      <c r="AD195" s="549"/>
      <c r="AE195" s="549"/>
      <c r="AF195" s="549"/>
      <c r="AG195" s="549"/>
      <c r="AH195" s="198" t="s">
        <v>2976</v>
      </c>
      <c r="AI195" s="198" t="s">
        <v>2976</v>
      </c>
      <c r="AJ195" s="198" t="s">
        <v>477</v>
      </c>
      <c r="AK195" s="198" t="s">
        <v>2977</v>
      </c>
      <c r="AL195" s="580">
        <f t="shared" si="12"/>
        <v>5.2279817</v>
      </c>
      <c r="AM195" s="504">
        <v>5.2279817</v>
      </c>
      <c r="AN195" s="516">
        <v>7.0493879999999995E-2</v>
      </c>
      <c r="AO195" s="137">
        <f>AN195/AL195</f>
        <v>1.3483956915916518E-2</v>
      </c>
      <c r="AP195" s="137">
        <f>3.52469388/51226.69601658</f>
        <v>6.8805801546506146E-5</v>
      </c>
      <c r="AQ195" s="504">
        <v>1.3305</v>
      </c>
      <c r="AR195" s="137">
        <f>AQ195/AL195</f>
        <v>0.25449591761195339</v>
      </c>
      <c r="AS195" s="137"/>
      <c r="AT195" s="520">
        <v>0.22173582</v>
      </c>
      <c r="AU195" s="137">
        <f>AT195/AL195</f>
        <v>4.2413273940878564E-2</v>
      </c>
      <c r="AV195" s="520"/>
      <c r="AW195" s="137"/>
      <c r="AX195" s="520">
        <v>0.15105199999999999</v>
      </c>
      <c r="AY195" s="137">
        <f>AX195/AL195</f>
        <v>2.889298560475068E-2</v>
      </c>
      <c r="AZ195" s="520">
        <v>3.4542000000000002</v>
      </c>
      <c r="BA195" s="137">
        <f>AZ195/AL195</f>
        <v>0.66071386592650094</v>
      </c>
      <c r="BB195" s="198" t="s">
        <v>2980</v>
      </c>
      <c r="BC195" s="198" t="s">
        <v>875</v>
      </c>
      <c r="BD195" s="198" t="s">
        <v>2976</v>
      </c>
      <c r="BE195" s="198" t="s">
        <v>479</v>
      </c>
      <c r="BF195" s="198" t="s">
        <v>2981</v>
      </c>
      <c r="BG195" s="549" t="s">
        <v>2972</v>
      </c>
      <c r="BH195" s="198" t="s">
        <v>470</v>
      </c>
      <c r="BI195" s="580">
        <v>5.76214286</v>
      </c>
      <c r="BJ195" s="137">
        <f>BI195/53227.875394</f>
        <v>1.0825423365760575E-4</v>
      </c>
      <c r="BK195" s="83">
        <v>203</v>
      </c>
      <c r="BL195" s="83">
        <v>203</v>
      </c>
      <c r="BM195" s="83">
        <v>49</v>
      </c>
      <c r="BN195" s="83">
        <v>0</v>
      </c>
      <c r="BO195" s="83">
        <v>0</v>
      </c>
      <c r="BP195" s="83">
        <v>13</v>
      </c>
      <c r="BQ195" s="83">
        <v>0</v>
      </c>
      <c r="BR195" s="83">
        <v>0</v>
      </c>
      <c r="BS195" s="83">
        <v>0</v>
      </c>
      <c r="BT195" s="83">
        <v>0</v>
      </c>
      <c r="BU195" s="83">
        <v>0</v>
      </c>
      <c r="BV195" s="83">
        <v>0</v>
      </c>
      <c r="BW195" s="83">
        <v>0</v>
      </c>
      <c r="BX195" s="83">
        <v>0</v>
      </c>
      <c r="BY195" s="83">
        <v>0</v>
      </c>
      <c r="BZ195" s="83">
        <v>0</v>
      </c>
      <c r="CA195" s="83">
        <v>36</v>
      </c>
      <c r="CB195" s="83">
        <v>0</v>
      </c>
      <c r="CC195" s="83">
        <v>0</v>
      </c>
      <c r="CD195" s="83">
        <v>0</v>
      </c>
      <c r="CE195" s="83">
        <v>0</v>
      </c>
      <c r="CF195" s="83">
        <v>0</v>
      </c>
      <c r="CG195" s="83">
        <v>0</v>
      </c>
      <c r="CH195" s="83">
        <v>0</v>
      </c>
      <c r="CI195" s="83">
        <v>0</v>
      </c>
      <c r="CJ195" s="83">
        <v>0</v>
      </c>
      <c r="CK195" s="83">
        <v>0</v>
      </c>
      <c r="CL195" s="824">
        <f>SUM(BN195:CK195)</f>
        <v>49</v>
      </c>
      <c r="CM195" s="824">
        <f t="shared" si="13"/>
        <v>0</v>
      </c>
      <c r="CN195" s="198">
        <v>8.8740000000000006</v>
      </c>
      <c r="CO195" s="198" t="s">
        <v>2982</v>
      </c>
      <c r="CP195" s="198"/>
      <c r="CQ195" s="137">
        <f>CN195/CR195</f>
        <v>1.3216075537452248E-2</v>
      </c>
      <c r="CR195" s="580">
        <v>671.45500000000004</v>
      </c>
      <c r="CS195" s="834" t="s">
        <v>2983</v>
      </c>
      <c r="CT195" s="198" t="s">
        <v>470</v>
      </c>
      <c r="CU195" s="198" t="s">
        <v>470</v>
      </c>
      <c r="CV195" s="198" t="s">
        <v>470</v>
      </c>
      <c r="CW195" s="198" t="s">
        <v>470</v>
      </c>
      <c r="CX195" s="198" t="s">
        <v>470</v>
      </c>
      <c r="CY195" s="198" t="s">
        <v>470</v>
      </c>
      <c r="CZ195" s="83">
        <v>4</v>
      </c>
      <c r="DA195" s="198" t="s">
        <v>470</v>
      </c>
      <c r="DB195" s="198" t="s">
        <v>470</v>
      </c>
      <c r="DC195" s="198" t="s">
        <v>470</v>
      </c>
      <c r="DD195" s="198" t="s">
        <v>479</v>
      </c>
      <c r="DE195" s="198" t="s">
        <v>2984</v>
      </c>
      <c r="DF195" s="83">
        <v>3739</v>
      </c>
      <c r="DG195" s="83" t="s">
        <v>470</v>
      </c>
      <c r="DH195" s="83" t="s">
        <v>470</v>
      </c>
      <c r="DI195" s="83" t="s">
        <v>470</v>
      </c>
      <c r="DJ195" s="83" t="s">
        <v>470</v>
      </c>
      <c r="DK195" s="83" t="s">
        <v>470</v>
      </c>
      <c r="DL195" s="83" t="s">
        <v>470</v>
      </c>
      <c r="DM195" s="83" t="s">
        <v>470</v>
      </c>
      <c r="DN195" s="83" t="s">
        <v>470</v>
      </c>
      <c r="DO195" s="83" t="s">
        <v>470</v>
      </c>
      <c r="DP195" s="83" t="s">
        <v>470</v>
      </c>
      <c r="DQ195" s="83" t="s">
        <v>470</v>
      </c>
      <c r="DR195" s="83" t="s">
        <v>470</v>
      </c>
      <c r="DS195" s="83" t="s">
        <v>470</v>
      </c>
      <c r="DT195" s="83" t="s">
        <v>470</v>
      </c>
      <c r="DU195" s="83" t="s">
        <v>470</v>
      </c>
      <c r="DV195" s="83" t="s">
        <v>470</v>
      </c>
      <c r="DW195" s="83" t="s">
        <v>470</v>
      </c>
      <c r="DX195" s="83" t="s">
        <v>470</v>
      </c>
      <c r="DY195" s="83" t="s">
        <v>470</v>
      </c>
      <c r="DZ195" s="83" t="s">
        <v>470</v>
      </c>
      <c r="EA195" s="83" t="s">
        <v>470</v>
      </c>
      <c r="EB195" s="198" t="s">
        <v>479</v>
      </c>
      <c r="EC195" s="198" t="s">
        <v>2984</v>
      </c>
      <c r="ED195" s="83">
        <v>3739</v>
      </c>
      <c r="EE195" s="83" t="s">
        <v>470</v>
      </c>
      <c r="EF195" s="83" t="s">
        <v>470</v>
      </c>
      <c r="EG195" s="83" t="s">
        <v>470</v>
      </c>
      <c r="EH195" s="83" t="s">
        <v>470</v>
      </c>
      <c r="EI195" s="83" t="s">
        <v>470</v>
      </c>
      <c r="EJ195" s="83" t="s">
        <v>470</v>
      </c>
      <c r="EK195" s="83" t="s">
        <v>470</v>
      </c>
      <c r="EL195" s="83" t="s">
        <v>470</v>
      </c>
      <c r="EM195" s="83" t="s">
        <v>470</v>
      </c>
      <c r="EN195" s="83" t="s">
        <v>470</v>
      </c>
      <c r="EO195" s="83" t="s">
        <v>470</v>
      </c>
      <c r="EP195" s="83" t="s">
        <v>470</v>
      </c>
      <c r="EQ195" s="83" t="s">
        <v>470</v>
      </c>
      <c r="ER195" s="83"/>
      <c r="ES195" s="83"/>
      <c r="ET195" s="83" t="s">
        <v>470</v>
      </c>
      <c r="EU195" s="83" t="s">
        <v>470</v>
      </c>
      <c r="EV195" s="83" t="s">
        <v>470</v>
      </c>
      <c r="EW195" s="198" t="s">
        <v>2985</v>
      </c>
      <c r="EX195" s="198"/>
      <c r="EY195" s="198">
        <v>43</v>
      </c>
      <c r="EZ195" s="198" t="s">
        <v>470</v>
      </c>
      <c r="FA195" s="198"/>
      <c r="FB195" s="198" t="s">
        <v>2986</v>
      </c>
      <c r="FC195" s="198" t="s">
        <v>470</v>
      </c>
      <c r="FD195" s="198" t="s">
        <v>470</v>
      </c>
      <c r="FE195" s="198" t="s">
        <v>2987</v>
      </c>
      <c r="FF195" s="198" t="s">
        <v>2988</v>
      </c>
      <c r="FG195" s="198" t="s">
        <v>2989</v>
      </c>
      <c r="FH195" s="198">
        <v>3</v>
      </c>
      <c r="FI195" s="198" t="s">
        <v>2990</v>
      </c>
      <c r="FJ195" s="198" t="s">
        <v>2991</v>
      </c>
      <c r="FK195" s="198" t="s">
        <v>2992</v>
      </c>
      <c r="FL195" s="198" t="s">
        <v>2993</v>
      </c>
      <c r="FM195" s="198" t="s">
        <v>2963</v>
      </c>
      <c r="FN195" s="198" t="s">
        <v>2964</v>
      </c>
      <c r="FO195" s="549" t="s">
        <v>2965</v>
      </c>
    </row>
    <row r="196" spans="5:171" ht="104" customHeight="1" x14ac:dyDescent="0.2">
      <c r="G196" s="198" t="s">
        <v>466</v>
      </c>
      <c r="H196" s="198" t="s">
        <v>416</v>
      </c>
      <c r="I196" s="198"/>
      <c r="AL196" s="580">
        <f t="shared" si="12"/>
        <v>0</v>
      </c>
      <c r="AM196" s="504">
        <v>0</v>
      </c>
      <c r="AN196" s="510"/>
      <c r="AQ196" s="511"/>
      <c r="AT196" s="569"/>
      <c r="AV196" s="569"/>
      <c r="AX196" s="569"/>
      <c r="AZ196" s="569"/>
      <c r="CL196" s="512"/>
      <c r="CM196" s="824">
        <f t="shared" si="13"/>
        <v>0</v>
      </c>
    </row>
    <row r="197" spans="5:171" ht="104" customHeight="1" x14ac:dyDescent="0.2">
      <c r="G197" s="198" t="s">
        <v>467</v>
      </c>
      <c r="H197" s="198" t="s">
        <v>417</v>
      </c>
      <c r="I197" s="198"/>
      <c r="AL197" s="580">
        <f t="shared" si="12"/>
        <v>0</v>
      </c>
      <c r="AM197" s="504">
        <v>0</v>
      </c>
      <c r="AN197" s="510"/>
      <c r="AQ197" s="511"/>
      <c r="AT197" s="569"/>
      <c r="AV197" s="569"/>
      <c r="AX197" s="569"/>
      <c r="AZ197" s="569"/>
      <c r="CL197" s="512"/>
      <c r="CM197" s="824">
        <f t="shared" si="13"/>
        <v>0</v>
      </c>
    </row>
    <row r="198" spans="5:171" ht="104" customHeight="1" x14ac:dyDescent="0.2">
      <c r="E198" s="94" t="s">
        <v>9302</v>
      </c>
      <c r="F198" s="94" t="s">
        <v>9120</v>
      </c>
      <c r="G198" s="198" t="s">
        <v>334</v>
      </c>
      <c r="H198" s="198" t="s">
        <v>418</v>
      </c>
      <c r="I198" s="198"/>
      <c r="J198" s="97" t="s">
        <v>1414</v>
      </c>
      <c r="K198" s="97" t="s">
        <v>3260</v>
      </c>
      <c r="L198" s="578">
        <v>2020</v>
      </c>
      <c r="M198" s="822" t="s">
        <v>3261</v>
      </c>
      <c r="N198" s="822" t="s">
        <v>1314</v>
      </c>
      <c r="O198" s="198" t="s">
        <v>3262</v>
      </c>
      <c r="P198" s="198" t="s">
        <v>3263</v>
      </c>
      <c r="Q198" s="549" t="s">
        <v>3264</v>
      </c>
      <c r="R198" s="198" t="s">
        <v>470</v>
      </c>
      <c r="S198" s="198"/>
      <c r="T198" s="198" t="s">
        <v>3265</v>
      </c>
      <c r="U198" s="549" t="s">
        <v>3266</v>
      </c>
      <c r="V198" s="198" t="s">
        <v>470</v>
      </c>
      <c r="W198" s="198"/>
      <c r="X198" s="198" t="s">
        <v>3267</v>
      </c>
      <c r="Y198" s="549" t="s">
        <v>3268</v>
      </c>
      <c r="Z198" s="549"/>
      <c r="AA198" s="549"/>
      <c r="AB198" s="549"/>
      <c r="AC198" s="549"/>
      <c r="AD198" s="549"/>
      <c r="AE198" s="549"/>
      <c r="AF198" s="549"/>
      <c r="AG198" s="549"/>
      <c r="AH198" s="198" t="s">
        <v>3269</v>
      </c>
      <c r="AI198" s="198" t="s">
        <v>3269</v>
      </c>
      <c r="AJ198" s="198" t="s">
        <v>504</v>
      </c>
      <c r="AK198" s="198" t="s">
        <v>3270</v>
      </c>
      <c r="AL198" s="580">
        <f t="shared" si="12"/>
        <v>659.12049999999999</v>
      </c>
      <c r="AM198" s="504">
        <v>659.12049999999999</v>
      </c>
      <c r="AN198" s="516">
        <v>493.995</v>
      </c>
      <c r="AO198" s="137">
        <v>0.74950000000000006</v>
      </c>
      <c r="AP198" s="137">
        <v>5.0000000000000001E-4</v>
      </c>
      <c r="AQ198" s="504">
        <v>154.14147</v>
      </c>
      <c r="AR198" s="137">
        <v>0.23380000000000001</v>
      </c>
      <c r="AS198" s="137"/>
      <c r="AT198" s="520">
        <v>10.984030000000001</v>
      </c>
      <c r="AU198" s="137">
        <v>1.66E-2</v>
      </c>
      <c r="AV198" s="520" t="s">
        <v>470</v>
      </c>
      <c r="AW198" s="137">
        <v>0</v>
      </c>
      <c r="AX198" s="520"/>
      <c r="AY198" s="137">
        <v>0</v>
      </c>
      <c r="AZ198" s="520" t="s">
        <v>470</v>
      </c>
      <c r="BA198" s="137">
        <v>0</v>
      </c>
      <c r="BB198" s="198" t="s">
        <v>873</v>
      </c>
      <c r="BC198" s="198"/>
      <c r="BD198" s="198"/>
      <c r="BE198" s="198" t="s">
        <v>470</v>
      </c>
      <c r="BF198" s="198"/>
      <c r="BG198" s="198"/>
      <c r="BH198" s="198"/>
      <c r="BI198" s="520">
        <v>500</v>
      </c>
      <c r="BJ198" s="137">
        <v>5.0000000000000001E-4</v>
      </c>
      <c r="BK198" s="83">
        <v>801</v>
      </c>
      <c r="BL198" s="83">
        <v>720</v>
      </c>
      <c r="BM198" s="83">
        <v>465</v>
      </c>
      <c r="BN198" s="83">
        <v>2</v>
      </c>
      <c r="BO198" s="83">
        <v>15</v>
      </c>
      <c r="BP198" s="83">
        <v>5</v>
      </c>
      <c r="BQ198" s="83">
        <v>8</v>
      </c>
      <c r="BR198" s="83">
        <v>1</v>
      </c>
      <c r="BS198" s="83">
        <v>11</v>
      </c>
      <c r="BT198" s="83">
        <v>310</v>
      </c>
      <c r="BU198" s="83">
        <v>159</v>
      </c>
      <c r="BV198" s="83">
        <v>109</v>
      </c>
      <c r="BW198" s="83">
        <v>134</v>
      </c>
      <c r="BX198" s="83">
        <v>9</v>
      </c>
      <c r="BY198" s="83">
        <v>13</v>
      </c>
      <c r="BZ198" s="83">
        <v>2</v>
      </c>
      <c r="CA198" s="83">
        <v>0</v>
      </c>
      <c r="CB198" s="83">
        <v>14</v>
      </c>
      <c r="CC198" s="83">
        <v>0</v>
      </c>
      <c r="CD198" s="83">
        <v>3</v>
      </c>
      <c r="CE198" s="83">
        <v>3</v>
      </c>
      <c r="CF198" s="83">
        <v>3</v>
      </c>
      <c r="CG198" s="83">
        <v>0</v>
      </c>
      <c r="CH198" s="83">
        <v>0</v>
      </c>
      <c r="CI198" s="83">
        <v>0</v>
      </c>
      <c r="CJ198" s="83">
        <v>0</v>
      </c>
      <c r="CK198" s="83">
        <v>0</v>
      </c>
      <c r="CL198" s="824">
        <f t="shared" ref="CL198:CL210" si="18">SUM(BN198:CK198)</f>
        <v>801</v>
      </c>
      <c r="CM198" s="824">
        <f t="shared" si="13"/>
        <v>0</v>
      </c>
      <c r="CN198" s="580"/>
      <c r="CO198" s="198"/>
      <c r="CP198" s="198"/>
      <c r="CQ198" s="137"/>
      <c r="CR198" s="580"/>
      <c r="CS198" s="137"/>
      <c r="CT198" s="198" t="s">
        <v>470</v>
      </c>
      <c r="CU198" s="198"/>
      <c r="CV198" s="198"/>
      <c r="CW198" s="198"/>
      <c r="CX198" s="83"/>
      <c r="CY198" s="83"/>
      <c r="CZ198" s="83">
        <v>8</v>
      </c>
      <c r="DA198" s="198" t="s">
        <v>470</v>
      </c>
      <c r="DB198" s="198"/>
      <c r="DC198" s="83"/>
      <c r="DD198" s="198" t="s">
        <v>470</v>
      </c>
      <c r="DE198" s="198"/>
      <c r="DF198" s="83"/>
      <c r="DG198" s="83" t="s">
        <v>470</v>
      </c>
      <c r="DH198" s="83"/>
      <c r="DI198" s="83"/>
      <c r="DJ198" s="83" t="s">
        <v>470</v>
      </c>
      <c r="DK198" s="83"/>
      <c r="DL198" s="83"/>
      <c r="DM198" s="198" t="s">
        <v>470</v>
      </c>
      <c r="DN198" s="198"/>
      <c r="DO198" s="83"/>
      <c r="DP198" s="198" t="s">
        <v>479</v>
      </c>
      <c r="DQ198" s="198" t="s">
        <v>3271</v>
      </c>
      <c r="DR198" s="83">
        <v>801</v>
      </c>
      <c r="DS198" s="198" t="s">
        <v>470</v>
      </c>
      <c r="DT198" s="198"/>
      <c r="DU198" s="83"/>
      <c r="DV198" s="198" t="s">
        <v>470</v>
      </c>
      <c r="DW198" s="198"/>
      <c r="DX198" s="83"/>
      <c r="DY198" s="198" t="s">
        <v>479</v>
      </c>
      <c r="DZ198" s="549" t="s">
        <v>3272</v>
      </c>
      <c r="EA198" s="83">
        <v>426839</v>
      </c>
      <c r="EB198" s="198" t="s">
        <v>470</v>
      </c>
      <c r="EC198" s="198"/>
      <c r="ED198" s="83"/>
      <c r="EE198" s="83" t="s">
        <v>470</v>
      </c>
      <c r="EF198" s="83"/>
      <c r="EG198" s="83"/>
      <c r="EH198" s="198" t="s">
        <v>470</v>
      </c>
      <c r="EI198" s="198"/>
      <c r="EJ198" s="83"/>
      <c r="EK198" s="198" t="s">
        <v>470</v>
      </c>
      <c r="EL198" s="198"/>
      <c r="EM198" s="83"/>
      <c r="EN198" s="198" t="s">
        <v>479</v>
      </c>
      <c r="EO198" s="198" t="s">
        <v>3273</v>
      </c>
      <c r="EP198" s="83">
        <v>13</v>
      </c>
      <c r="EQ198" s="83" t="s">
        <v>470</v>
      </c>
      <c r="ER198" s="83"/>
      <c r="ES198" s="83"/>
      <c r="ET198" s="198"/>
      <c r="EU198" s="198"/>
      <c r="EV198" s="83"/>
      <c r="EW198" s="837">
        <v>1</v>
      </c>
      <c r="EX198" s="198"/>
      <c r="EY198" s="505">
        <v>57</v>
      </c>
      <c r="EZ198" s="198" t="s">
        <v>3274</v>
      </c>
      <c r="FA198" s="198" t="s">
        <v>3275</v>
      </c>
      <c r="FB198" s="549" t="s">
        <v>3272</v>
      </c>
      <c r="FC198" s="198" t="s">
        <v>470</v>
      </c>
      <c r="FD198" s="198" t="s">
        <v>470</v>
      </c>
      <c r="FE198" s="198" t="s">
        <v>470</v>
      </c>
      <c r="FF198" s="198" t="s">
        <v>470</v>
      </c>
      <c r="FG198" s="198" t="s">
        <v>3276</v>
      </c>
      <c r="FH198" s="198">
        <v>2</v>
      </c>
      <c r="FI198" s="198">
        <v>102</v>
      </c>
      <c r="FJ198" s="198" t="s">
        <v>3277</v>
      </c>
      <c r="FK198" s="198" t="s">
        <v>3278</v>
      </c>
      <c r="FL198" s="549" t="s">
        <v>3279</v>
      </c>
      <c r="FM198" s="198" t="s">
        <v>3280</v>
      </c>
      <c r="FN198" s="198" t="s">
        <v>3281</v>
      </c>
      <c r="FO198" s="844" t="s">
        <v>3282</v>
      </c>
    </row>
    <row r="199" spans="5:171" ht="104" customHeight="1" x14ac:dyDescent="0.2">
      <c r="E199" s="94" t="s">
        <v>9302</v>
      </c>
      <c r="F199" s="94" t="s">
        <v>9120</v>
      </c>
      <c r="G199" s="198" t="s">
        <v>468</v>
      </c>
      <c r="H199" s="198" t="s">
        <v>419</v>
      </c>
      <c r="I199" s="198"/>
      <c r="J199" s="97" t="s">
        <v>1117</v>
      </c>
      <c r="K199" s="97" t="s">
        <v>1118</v>
      </c>
      <c r="L199" s="502">
        <v>2017</v>
      </c>
      <c r="M199" s="841">
        <v>44562</v>
      </c>
      <c r="N199" s="841">
        <v>44926</v>
      </c>
      <c r="O199" s="97" t="s">
        <v>1119</v>
      </c>
      <c r="P199" s="97" t="s">
        <v>1120</v>
      </c>
      <c r="Q199" s="97" t="s">
        <v>1121</v>
      </c>
      <c r="R199" s="97" t="s">
        <v>470</v>
      </c>
      <c r="S199" s="97"/>
      <c r="T199" s="97" t="s">
        <v>470</v>
      </c>
      <c r="U199" s="97"/>
      <c r="V199" s="97" t="s">
        <v>470</v>
      </c>
      <c r="W199" s="97"/>
      <c r="X199" s="97" t="s">
        <v>470</v>
      </c>
      <c r="Y199" s="97"/>
      <c r="Z199" s="97"/>
      <c r="AA199" s="97"/>
      <c r="AB199" s="97"/>
      <c r="AC199" s="97"/>
      <c r="AD199" s="97"/>
      <c r="AE199" s="97"/>
      <c r="AF199" s="97"/>
      <c r="AG199" s="97"/>
      <c r="AH199" s="97" t="s">
        <v>1122</v>
      </c>
      <c r="AI199" s="97" t="s">
        <v>1123</v>
      </c>
      <c r="AJ199" s="97" t="s">
        <v>477</v>
      </c>
      <c r="AK199" s="97" t="s">
        <v>1124</v>
      </c>
      <c r="AL199" s="580">
        <f t="shared" si="12"/>
        <v>92.498999999999995</v>
      </c>
      <c r="AM199" s="504">
        <v>92.498999999999995</v>
      </c>
      <c r="AN199" s="516">
        <v>41.701000000000001</v>
      </c>
      <c r="AO199" s="507">
        <v>0.45079999999999998</v>
      </c>
      <c r="AP199" s="507">
        <v>2.9999999999999997E-4</v>
      </c>
      <c r="AQ199" s="504">
        <v>31.45</v>
      </c>
      <c r="AR199" s="507">
        <v>0.34</v>
      </c>
      <c r="AS199" s="507"/>
      <c r="AT199" s="516"/>
      <c r="AU199" s="507"/>
      <c r="AV199" s="516"/>
      <c r="AW199" s="507"/>
      <c r="AX199" s="516">
        <v>19.347999999999999</v>
      </c>
      <c r="AY199" s="507">
        <v>0.2092</v>
      </c>
      <c r="AZ199" s="516">
        <v>0</v>
      </c>
      <c r="BA199" s="507"/>
      <c r="BB199" s="97"/>
      <c r="BC199" s="97"/>
      <c r="BD199" s="97"/>
      <c r="BE199" s="97"/>
      <c r="BF199" s="97"/>
      <c r="BG199" s="97"/>
      <c r="BH199" s="97"/>
      <c r="BI199" s="504">
        <v>100</v>
      </c>
      <c r="BJ199" s="507">
        <v>8.0000000000000004E-4</v>
      </c>
      <c r="BK199" s="96">
        <v>65</v>
      </c>
      <c r="BL199" s="96">
        <v>54</v>
      </c>
      <c r="BM199" s="96">
        <v>54</v>
      </c>
      <c r="BN199" s="96">
        <v>0</v>
      </c>
      <c r="BO199" s="96">
        <v>3</v>
      </c>
      <c r="BP199" s="96">
        <v>1</v>
      </c>
      <c r="BQ199" s="96">
        <v>0</v>
      </c>
      <c r="BR199" s="96">
        <v>0</v>
      </c>
      <c r="BS199" s="96">
        <v>2</v>
      </c>
      <c r="BT199" s="96">
        <v>5</v>
      </c>
      <c r="BU199" s="96">
        <v>4</v>
      </c>
      <c r="BV199" s="96">
        <v>7</v>
      </c>
      <c r="BW199" s="96">
        <v>0</v>
      </c>
      <c r="BX199" s="96">
        <v>4</v>
      </c>
      <c r="BY199" s="96">
        <v>10</v>
      </c>
      <c r="BZ199" s="96">
        <v>0</v>
      </c>
      <c r="CA199" s="96">
        <v>0</v>
      </c>
      <c r="CB199" s="96">
        <v>0</v>
      </c>
      <c r="CC199" s="96">
        <v>0</v>
      </c>
      <c r="CD199" s="96">
        <v>0</v>
      </c>
      <c r="CE199" s="96">
        <v>1</v>
      </c>
      <c r="CF199" s="96">
        <v>0</v>
      </c>
      <c r="CG199" s="96">
        <v>0</v>
      </c>
      <c r="CH199" s="96">
        <v>0</v>
      </c>
      <c r="CI199" s="96">
        <v>0</v>
      </c>
      <c r="CJ199" s="96">
        <v>0</v>
      </c>
      <c r="CK199" s="96">
        <v>17</v>
      </c>
      <c r="CL199" s="815">
        <f t="shared" si="18"/>
        <v>54</v>
      </c>
      <c r="CM199" s="824">
        <f t="shared" si="13"/>
        <v>0</v>
      </c>
      <c r="CN199" s="504">
        <v>182.94900000000001</v>
      </c>
      <c r="CO199" s="97" t="s">
        <v>1125</v>
      </c>
      <c r="CP199" s="97" t="s">
        <v>1126</v>
      </c>
      <c r="CQ199" s="507">
        <v>0.2525</v>
      </c>
      <c r="CR199" s="504">
        <v>724.452</v>
      </c>
      <c r="CS199" s="504" t="s">
        <v>1127</v>
      </c>
      <c r="CT199" s="97" t="s">
        <v>470</v>
      </c>
      <c r="CU199" s="97" t="s">
        <v>470</v>
      </c>
      <c r="CV199" s="97" t="s">
        <v>470</v>
      </c>
      <c r="CW199" s="97" t="s">
        <v>470</v>
      </c>
      <c r="CX199" s="96" t="s">
        <v>470</v>
      </c>
      <c r="CY199" s="96" t="s">
        <v>470</v>
      </c>
      <c r="CZ199" s="96" t="s">
        <v>1128</v>
      </c>
      <c r="DA199" s="97" t="s">
        <v>479</v>
      </c>
      <c r="DB199" s="97" t="s">
        <v>1129</v>
      </c>
      <c r="DC199" s="96">
        <v>46959</v>
      </c>
      <c r="DD199" s="97" t="s">
        <v>479</v>
      </c>
      <c r="DE199" s="97" t="s">
        <v>1130</v>
      </c>
      <c r="DF199" s="96">
        <v>8199</v>
      </c>
      <c r="DG199" s="96" t="s">
        <v>470</v>
      </c>
      <c r="DH199" s="96" t="s">
        <v>470</v>
      </c>
      <c r="DI199" s="96">
        <v>0</v>
      </c>
      <c r="DJ199" s="96" t="s">
        <v>470</v>
      </c>
      <c r="DK199" s="96" t="s">
        <v>470</v>
      </c>
      <c r="DL199" s="96">
        <v>0</v>
      </c>
      <c r="DM199" s="96" t="s">
        <v>470</v>
      </c>
      <c r="DN199" s="96" t="s">
        <v>470</v>
      </c>
      <c r="DO199" s="96">
        <v>0</v>
      </c>
      <c r="DP199" s="96" t="s">
        <v>470</v>
      </c>
      <c r="DQ199" s="96" t="s">
        <v>470</v>
      </c>
      <c r="DR199" s="96">
        <v>0</v>
      </c>
      <c r="DS199" s="96" t="s">
        <v>470</v>
      </c>
      <c r="DT199" s="96" t="s">
        <v>470</v>
      </c>
      <c r="DU199" s="96">
        <v>0</v>
      </c>
      <c r="DV199" s="96" t="s">
        <v>470</v>
      </c>
      <c r="DW199" s="96" t="s">
        <v>470</v>
      </c>
      <c r="DX199" s="96">
        <v>0</v>
      </c>
      <c r="DY199" s="97" t="s">
        <v>479</v>
      </c>
      <c r="DZ199" s="97" t="s">
        <v>1131</v>
      </c>
      <c r="EA199" s="96">
        <v>7844</v>
      </c>
      <c r="EB199" s="97" t="s">
        <v>479</v>
      </c>
      <c r="EC199" s="97" t="s">
        <v>1132</v>
      </c>
      <c r="ED199" s="96">
        <v>635</v>
      </c>
      <c r="EE199" s="96" t="s">
        <v>470</v>
      </c>
      <c r="EF199" s="96" t="s">
        <v>470</v>
      </c>
      <c r="EG199" s="96">
        <v>0</v>
      </c>
      <c r="EH199" s="97" t="s">
        <v>470</v>
      </c>
      <c r="EI199" s="97" t="s">
        <v>470</v>
      </c>
      <c r="EJ199" s="96">
        <v>0</v>
      </c>
      <c r="EK199" s="97" t="s">
        <v>470</v>
      </c>
      <c r="EL199" s="97" t="s">
        <v>470</v>
      </c>
      <c r="EM199" s="96">
        <v>0</v>
      </c>
      <c r="EN199" s="97" t="s">
        <v>479</v>
      </c>
      <c r="EO199" s="96" t="s">
        <v>1133</v>
      </c>
      <c r="EP199" s="96">
        <v>14</v>
      </c>
      <c r="EQ199" s="96" t="s">
        <v>479</v>
      </c>
      <c r="ER199" s="96" t="s">
        <v>1134</v>
      </c>
      <c r="ES199" s="96">
        <v>35</v>
      </c>
      <c r="ET199" s="97" t="s">
        <v>470</v>
      </c>
      <c r="EU199" s="97" t="s">
        <v>470</v>
      </c>
      <c r="EV199" s="96">
        <v>0</v>
      </c>
      <c r="EW199" s="876">
        <v>1</v>
      </c>
      <c r="EX199" s="97" t="s">
        <v>470</v>
      </c>
      <c r="EY199" s="97">
        <v>29</v>
      </c>
      <c r="EZ199" s="611" t="s">
        <v>479</v>
      </c>
      <c r="FA199" s="611" t="s">
        <v>1135</v>
      </c>
      <c r="FB199" s="97" t="s">
        <v>470</v>
      </c>
      <c r="FC199" s="97" t="s">
        <v>470</v>
      </c>
      <c r="FD199" s="97" t="s">
        <v>470</v>
      </c>
      <c r="FE199" s="97" t="s">
        <v>1136</v>
      </c>
      <c r="FF199" s="97" t="s">
        <v>470</v>
      </c>
      <c r="FG199" s="97" t="s">
        <v>1137</v>
      </c>
      <c r="FH199" s="97">
        <v>29</v>
      </c>
      <c r="FI199" s="97">
        <v>29</v>
      </c>
      <c r="FJ199" s="97" t="s">
        <v>1138</v>
      </c>
      <c r="FK199" s="97" t="s">
        <v>1139</v>
      </c>
      <c r="FL199" s="843" t="s">
        <v>1140</v>
      </c>
      <c r="FM199" s="97"/>
      <c r="FN199" s="97"/>
      <c r="FO199" s="97"/>
    </row>
    <row r="200" spans="5:171" ht="104" customHeight="1" x14ac:dyDescent="0.2">
      <c r="E200" s="94" t="s">
        <v>9302</v>
      </c>
      <c r="F200" s="94" t="s">
        <v>9120</v>
      </c>
      <c r="G200" s="198" t="s">
        <v>335</v>
      </c>
      <c r="H200" s="198" t="s">
        <v>420</v>
      </c>
      <c r="I200" s="198"/>
      <c r="J200" s="97" t="s">
        <v>1141</v>
      </c>
      <c r="K200" s="97" t="s">
        <v>1142</v>
      </c>
      <c r="L200" s="578">
        <v>2017</v>
      </c>
      <c r="M200" s="822">
        <v>44570</v>
      </c>
      <c r="N200" s="822">
        <v>44920</v>
      </c>
      <c r="O200" s="198" t="s">
        <v>1143</v>
      </c>
      <c r="P200" s="198" t="s">
        <v>1144</v>
      </c>
      <c r="Q200" s="549" t="s">
        <v>1145</v>
      </c>
      <c r="R200" s="198" t="s">
        <v>1146</v>
      </c>
      <c r="S200" s="198" t="s">
        <v>470</v>
      </c>
      <c r="T200" s="198" t="s">
        <v>1147</v>
      </c>
      <c r="U200" s="198" t="s">
        <v>470</v>
      </c>
      <c r="V200" s="198" t="s">
        <v>1148</v>
      </c>
      <c r="W200" s="549" t="s">
        <v>1149</v>
      </c>
      <c r="X200" s="198" t="s">
        <v>1150</v>
      </c>
      <c r="Y200" s="198" t="s">
        <v>470</v>
      </c>
      <c r="Z200" s="198"/>
      <c r="AA200" s="198"/>
      <c r="AB200" s="198"/>
      <c r="AC200" s="198"/>
      <c r="AD200" s="198"/>
      <c r="AE200" s="198"/>
      <c r="AF200" s="198"/>
      <c r="AG200" s="198"/>
      <c r="AH200" s="198" t="s">
        <v>1151</v>
      </c>
      <c r="AI200" s="198" t="s">
        <v>1151</v>
      </c>
      <c r="AJ200" s="198" t="s">
        <v>477</v>
      </c>
      <c r="AK200" s="198" t="s">
        <v>1152</v>
      </c>
      <c r="AL200" s="580">
        <f t="shared" ref="AL200:AL263" si="19">SUM(AN200,AQ200,AT200,AV200,AX200,AZ200)</f>
        <v>31.447000000000003</v>
      </c>
      <c r="AM200" s="504">
        <v>31.447000000000003</v>
      </c>
      <c r="AN200" s="516">
        <v>22</v>
      </c>
      <c r="AO200" s="137">
        <v>0.68669999999999998</v>
      </c>
      <c r="AP200" s="137">
        <v>6.9999999999999999E-4</v>
      </c>
      <c r="AQ200" s="504">
        <v>7.9779999999999998</v>
      </c>
      <c r="AR200" s="137">
        <v>0.249</v>
      </c>
      <c r="AS200" s="137"/>
      <c r="AT200" s="520">
        <v>0.59899999999999998</v>
      </c>
      <c r="AU200" s="137">
        <v>1.8700000000000001E-2</v>
      </c>
      <c r="AV200" s="520">
        <v>0.87</v>
      </c>
      <c r="AW200" s="137">
        <v>2.7199999999999998E-2</v>
      </c>
      <c r="AX200" s="520"/>
      <c r="AY200" s="137" t="s">
        <v>470</v>
      </c>
      <c r="AZ200" s="520" t="s">
        <v>470</v>
      </c>
      <c r="BA200" s="137" t="s">
        <v>470</v>
      </c>
      <c r="BB200" s="198" t="s">
        <v>470</v>
      </c>
      <c r="BC200" s="198" t="s">
        <v>470</v>
      </c>
      <c r="BD200" s="198" t="s">
        <v>470</v>
      </c>
      <c r="BE200" s="198" t="s">
        <v>479</v>
      </c>
      <c r="BF200" s="198" t="s">
        <v>1153</v>
      </c>
      <c r="BG200" s="198" t="s">
        <v>470</v>
      </c>
      <c r="BH200" s="198">
        <v>0.59099999999999997</v>
      </c>
      <c r="BI200" s="198">
        <v>20.5</v>
      </c>
      <c r="BJ200" s="137">
        <v>6.9999999999999999E-4</v>
      </c>
      <c r="BK200" s="83"/>
      <c r="BL200" s="83">
        <v>30</v>
      </c>
      <c r="BM200" s="83">
        <v>17</v>
      </c>
      <c r="BN200" s="83">
        <v>0</v>
      </c>
      <c r="BO200" s="83">
        <v>4</v>
      </c>
      <c r="BP200" s="83">
        <v>0</v>
      </c>
      <c r="BQ200" s="83">
        <v>0</v>
      </c>
      <c r="BR200" s="83">
        <v>0</v>
      </c>
      <c r="BS200" s="83">
        <v>1</v>
      </c>
      <c r="BT200" s="83">
        <v>0</v>
      </c>
      <c r="BU200" s="83">
        <v>0</v>
      </c>
      <c r="BV200" s="83">
        <v>0</v>
      </c>
      <c r="BW200" s="83">
        <v>2</v>
      </c>
      <c r="BX200" s="83">
        <v>2</v>
      </c>
      <c r="BY200" s="83">
        <v>5</v>
      </c>
      <c r="BZ200" s="83">
        <v>2</v>
      </c>
      <c r="CA200" s="83">
        <v>1</v>
      </c>
      <c r="CB200" s="83">
        <v>0</v>
      </c>
      <c r="CC200" s="83">
        <v>0</v>
      </c>
      <c r="CD200" s="83">
        <v>0</v>
      </c>
      <c r="CE200" s="83">
        <v>0</v>
      </c>
      <c r="CF200" s="83">
        <v>0</v>
      </c>
      <c r="CG200" s="83">
        <v>0</v>
      </c>
      <c r="CH200" s="83">
        <v>0</v>
      </c>
      <c r="CI200" s="83">
        <v>0</v>
      </c>
      <c r="CJ200" s="83">
        <v>0</v>
      </c>
      <c r="CK200" s="83">
        <v>0</v>
      </c>
      <c r="CL200" s="824">
        <f t="shared" si="18"/>
        <v>17</v>
      </c>
      <c r="CM200" s="824">
        <f t="shared" ref="CM200:CM265" si="20">SUM(BN200:CK200)-CL200</f>
        <v>0</v>
      </c>
      <c r="CN200" s="580">
        <v>12.776999999999999</v>
      </c>
      <c r="CO200" s="198" t="s">
        <v>1155</v>
      </c>
      <c r="CP200" s="198" t="s">
        <v>470</v>
      </c>
      <c r="CQ200" s="137">
        <v>0.28689999999999999</v>
      </c>
      <c r="CR200" s="580">
        <v>44.54</v>
      </c>
      <c r="CS200" s="834" t="s">
        <v>1156</v>
      </c>
      <c r="CT200" s="198" t="s">
        <v>470</v>
      </c>
      <c r="CU200" s="198" t="s">
        <v>470</v>
      </c>
      <c r="CV200" s="198" t="s">
        <v>470</v>
      </c>
      <c r="CW200" s="198" t="s">
        <v>470</v>
      </c>
      <c r="CX200" s="198" t="s">
        <v>470</v>
      </c>
      <c r="CY200" s="198" t="s">
        <v>470</v>
      </c>
      <c r="CZ200" s="198">
        <v>1</v>
      </c>
      <c r="DA200" s="198" t="s">
        <v>479</v>
      </c>
      <c r="DB200" s="198" t="s">
        <v>1157</v>
      </c>
      <c r="DC200" s="83">
        <v>694</v>
      </c>
      <c r="DD200" s="198" t="s">
        <v>479</v>
      </c>
      <c r="DE200" s="83" t="s">
        <v>1158</v>
      </c>
      <c r="DF200" s="83">
        <v>25</v>
      </c>
      <c r="DG200" s="83" t="s">
        <v>479</v>
      </c>
      <c r="DH200" s="83" t="s">
        <v>1158</v>
      </c>
      <c r="DI200" s="83">
        <v>39</v>
      </c>
      <c r="DJ200" s="83" t="s">
        <v>470</v>
      </c>
      <c r="DK200" s="83" t="s">
        <v>470</v>
      </c>
      <c r="DL200" s="83" t="s">
        <v>470</v>
      </c>
      <c r="DM200" s="198" t="s">
        <v>470</v>
      </c>
      <c r="DN200" s="198" t="s">
        <v>470</v>
      </c>
      <c r="DO200" s="83" t="s">
        <v>470</v>
      </c>
      <c r="DP200" s="198" t="s">
        <v>470</v>
      </c>
      <c r="DQ200" s="198" t="s">
        <v>470</v>
      </c>
      <c r="DR200" s="83" t="s">
        <v>470</v>
      </c>
      <c r="DS200" s="198" t="s">
        <v>470</v>
      </c>
      <c r="DT200" s="198" t="s">
        <v>470</v>
      </c>
      <c r="DU200" s="83" t="s">
        <v>470</v>
      </c>
      <c r="DV200" s="198" t="s">
        <v>470</v>
      </c>
      <c r="DW200" s="198" t="s">
        <v>470</v>
      </c>
      <c r="DX200" s="83" t="s">
        <v>470</v>
      </c>
      <c r="DY200" s="198" t="s">
        <v>470</v>
      </c>
      <c r="DZ200" s="198" t="s">
        <v>470</v>
      </c>
      <c r="EA200" s="83" t="s">
        <v>470</v>
      </c>
      <c r="EB200" s="198" t="s">
        <v>479</v>
      </c>
      <c r="EC200" s="198" t="s">
        <v>1158</v>
      </c>
      <c r="ED200" s="83">
        <v>907</v>
      </c>
      <c r="EE200" s="83" t="s">
        <v>470</v>
      </c>
      <c r="EF200" s="83" t="s">
        <v>470</v>
      </c>
      <c r="EG200" s="83" t="s">
        <v>470</v>
      </c>
      <c r="EH200" s="198" t="s">
        <v>470</v>
      </c>
      <c r="EI200" s="198" t="s">
        <v>470</v>
      </c>
      <c r="EJ200" s="83" t="s">
        <v>470</v>
      </c>
      <c r="EK200" s="198" t="s">
        <v>470</v>
      </c>
      <c r="EL200" s="198" t="s">
        <v>470</v>
      </c>
      <c r="EM200" s="83" t="s">
        <v>470</v>
      </c>
      <c r="EN200" s="198" t="s">
        <v>470</v>
      </c>
      <c r="EO200" s="198" t="s">
        <v>470</v>
      </c>
      <c r="EP200" s="83" t="s">
        <v>470</v>
      </c>
      <c r="EQ200" s="83" t="s">
        <v>470</v>
      </c>
      <c r="ER200" s="83" t="s">
        <v>470</v>
      </c>
      <c r="ES200" s="83" t="s">
        <v>470</v>
      </c>
      <c r="ET200" s="198" t="s">
        <v>470</v>
      </c>
      <c r="EU200" s="198" t="s">
        <v>470</v>
      </c>
      <c r="EV200" s="83" t="s">
        <v>470</v>
      </c>
      <c r="EW200" s="198" t="s">
        <v>1159</v>
      </c>
      <c r="EX200" s="198" t="s">
        <v>470</v>
      </c>
      <c r="EY200" s="505">
        <v>16</v>
      </c>
      <c r="EZ200" s="198" t="s">
        <v>470</v>
      </c>
      <c r="FA200" s="198" t="s">
        <v>470</v>
      </c>
      <c r="FB200" s="549" t="s">
        <v>1160</v>
      </c>
      <c r="FC200" s="198" t="s">
        <v>470</v>
      </c>
      <c r="FD200" s="198" t="s">
        <v>470</v>
      </c>
      <c r="FE200" s="198" t="s">
        <v>1161</v>
      </c>
      <c r="FF200" s="549" t="s">
        <v>1162</v>
      </c>
      <c r="FG200" s="198" t="s">
        <v>1163</v>
      </c>
      <c r="FH200" s="198">
        <v>2</v>
      </c>
      <c r="FI200" s="198">
        <v>80</v>
      </c>
      <c r="FJ200" s="198" t="s">
        <v>1164</v>
      </c>
      <c r="FK200" s="198" t="s">
        <v>1165</v>
      </c>
      <c r="FL200" s="549" t="s">
        <v>1166</v>
      </c>
      <c r="FM200" s="198"/>
      <c r="FN200" s="198"/>
      <c r="FO200" s="198"/>
    </row>
    <row r="201" spans="5:171" ht="104" customHeight="1" x14ac:dyDescent="0.2">
      <c r="E201" s="94" t="s">
        <v>9302</v>
      </c>
      <c r="F201" s="94" t="s">
        <v>9120</v>
      </c>
      <c r="G201" s="198" t="s">
        <v>336</v>
      </c>
      <c r="H201" s="198" t="s">
        <v>421</v>
      </c>
      <c r="I201" s="198"/>
      <c r="J201" s="97" t="s">
        <v>2176</v>
      </c>
      <c r="K201" s="97" t="s">
        <v>2177</v>
      </c>
      <c r="L201" s="578" t="s">
        <v>2178</v>
      </c>
      <c r="M201" s="822">
        <v>44480</v>
      </c>
      <c r="N201" s="822">
        <v>44920</v>
      </c>
      <c r="O201" s="198"/>
      <c r="P201" s="198"/>
      <c r="Q201" s="198"/>
      <c r="R201" s="198" t="s">
        <v>2179</v>
      </c>
      <c r="S201" s="549" t="s">
        <v>2180</v>
      </c>
      <c r="T201" s="198" t="s">
        <v>2181</v>
      </c>
      <c r="U201" s="549" t="s">
        <v>2182</v>
      </c>
      <c r="V201" s="198" t="s">
        <v>1482</v>
      </c>
      <c r="W201" s="198" t="s">
        <v>1482</v>
      </c>
      <c r="X201" s="198" t="s">
        <v>2183</v>
      </c>
      <c r="Y201" s="549" t="s">
        <v>2204</v>
      </c>
      <c r="Z201" s="549"/>
      <c r="AA201" s="549"/>
      <c r="AB201" s="549"/>
      <c r="AC201" s="549"/>
      <c r="AD201" s="549"/>
      <c r="AE201" s="549"/>
      <c r="AF201" s="549"/>
      <c r="AG201" s="549"/>
      <c r="AH201" s="198" t="s">
        <v>2185</v>
      </c>
      <c r="AI201" s="198" t="s">
        <v>2185</v>
      </c>
      <c r="AJ201" s="198" t="s">
        <v>504</v>
      </c>
      <c r="AK201" s="198" t="s">
        <v>2186</v>
      </c>
      <c r="AL201" s="580">
        <f t="shared" si="19"/>
        <v>1089.098</v>
      </c>
      <c r="AM201" s="504">
        <v>1089.098</v>
      </c>
      <c r="AN201" s="516">
        <v>729.96900000000005</v>
      </c>
      <c r="AO201" s="137">
        <v>0.67030000000000001</v>
      </c>
      <c r="AP201" s="137">
        <v>2.3999999999999998E-3</v>
      </c>
      <c r="AQ201" s="504">
        <v>337.59</v>
      </c>
      <c r="AR201" s="137">
        <v>0.31</v>
      </c>
      <c r="AS201" s="137"/>
      <c r="AT201" s="520"/>
      <c r="AU201" s="137"/>
      <c r="AV201" s="520"/>
      <c r="AW201" s="580"/>
      <c r="AX201" s="520">
        <v>21.539000000000001</v>
      </c>
      <c r="AY201" s="137">
        <v>1.9800000000000002E-2</v>
      </c>
      <c r="AZ201" s="520"/>
      <c r="BA201" s="137"/>
      <c r="BB201" s="198"/>
      <c r="BC201" s="198"/>
      <c r="BD201" s="198"/>
      <c r="BE201" s="198" t="s">
        <v>479</v>
      </c>
      <c r="BF201" s="198" t="s">
        <v>2187</v>
      </c>
      <c r="BG201" s="549" t="s">
        <v>2184</v>
      </c>
      <c r="BH201" s="198">
        <v>52.097999999999999</v>
      </c>
      <c r="BI201" s="580">
        <v>1.2</v>
      </c>
      <c r="BJ201" s="137">
        <v>3.8999999999999998E-3</v>
      </c>
      <c r="BK201" s="198"/>
      <c r="BL201" s="83">
        <v>914</v>
      </c>
      <c r="BM201" s="198">
        <v>431</v>
      </c>
      <c r="BN201" s="83">
        <v>38</v>
      </c>
      <c r="BO201" s="83">
        <v>262</v>
      </c>
      <c r="BP201" s="83">
        <v>10</v>
      </c>
      <c r="BQ201" s="83">
        <v>1</v>
      </c>
      <c r="BR201" s="83"/>
      <c r="BS201" s="83"/>
      <c r="BT201" s="83"/>
      <c r="BU201" s="83">
        <v>2</v>
      </c>
      <c r="BV201" s="83">
        <v>41</v>
      </c>
      <c r="BW201" s="83">
        <v>11</v>
      </c>
      <c r="BX201" s="83">
        <v>23</v>
      </c>
      <c r="BY201" s="83">
        <v>32</v>
      </c>
      <c r="BZ201" s="83"/>
      <c r="CA201" s="83">
        <v>3</v>
      </c>
      <c r="CB201" s="83"/>
      <c r="CC201" s="83">
        <v>4</v>
      </c>
      <c r="CD201" s="83"/>
      <c r="CE201" s="83"/>
      <c r="CF201" s="83"/>
      <c r="CG201" s="83"/>
      <c r="CH201" s="83"/>
      <c r="CI201" s="83"/>
      <c r="CJ201" s="83"/>
      <c r="CK201" s="83">
        <v>4</v>
      </c>
      <c r="CL201" s="824">
        <f t="shared" si="18"/>
        <v>431</v>
      </c>
      <c r="CM201" s="824">
        <f t="shared" si="20"/>
        <v>0</v>
      </c>
      <c r="CN201" s="581">
        <v>852.08</v>
      </c>
      <c r="CO201" s="198" t="s">
        <v>2187</v>
      </c>
      <c r="CP201" s="198"/>
      <c r="CQ201" s="137">
        <v>0.27089999999999997</v>
      </c>
      <c r="CR201" s="557">
        <v>3144.2539999999999</v>
      </c>
      <c r="CS201" s="834" t="s">
        <v>2188</v>
      </c>
      <c r="CT201" s="198" t="s">
        <v>470</v>
      </c>
      <c r="CU201" s="198"/>
      <c r="CV201" s="198"/>
      <c r="CW201" s="83"/>
      <c r="CX201" s="83"/>
      <c r="CY201" s="83"/>
      <c r="CZ201" s="83">
        <v>5</v>
      </c>
      <c r="DA201" s="198" t="s">
        <v>470</v>
      </c>
      <c r="DB201" s="198"/>
      <c r="DC201" s="83"/>
      <c r="DD201" s="198" t="s">
        <v>479</v>
      </c>
      <c r="DE201" s="198" t="s">
        <v>2189</v>
      </c>
      <c r="DF201" s="83">
        <v>99362</v>
      </c>
      <c r="DG201" s="83" t="s">
        <v>479</v>
      </c>
      <c r="DH201" s="83" t="s">
        <v>2189</v>
      </c>
      <c r="DI201" s="83">
        <v>47440</v>
      </c>
      <c r="DJ201" s="83" t="s">
        <v>479</v>
      </c>
      <c r="DK201" s="83" t="s">
        <v>2189</v>
      </c>
      <c r="DL201" s="83">
        <v>30329</v>
      </c>
      <c r="DM201" s="198" t="s">
        <v>470</v>
      </c>
      <c r="DN201" s="198"/>
      <c r="DO201" s="83"/>
      <c r="DP201" s="198" t="s">
        <v>470</v>
      </c>
      <c r="DQ201" s="198"/>
      <c r="DR201" s="83"/>
      <c r="DS201" s="198" t="s">
        <v>470</v>
      </c>
      <c r="DT201" s="198"/>
      <c r="DU201" s="83"/>
      <c r="DV201" s="198" t="s">
        <v>470</v>
      </c>
      <c r="DW201" s="198"/>
      <c r="DX201" s="83"/>
      <c r="DY201" s="198" t="s">
        <v>479</v>
      </c>
      <c r="DZ201" s="198" t="s">
        <v>2190</v>
      </c>
      <c r="EA201" s="83">
        <v>359046</v>
      </c>
      <c r="EB201" s="198" t="s">
        <v>479</v>
      </c>
      <c r="EC201" s="198" t="s">
        <v>2191</v>
      </c>
      <c r="ED201" s="83">
        <v>177131</v>
      </c>
      <c r="EE201" s="83" t="s">
        <v>873</v>
      </c>
      <c r="EF201" s="83"/>
      <c r="EG201" s="83"/>
      <c r="EH201" s="198" t="s">
        <v>470</v>
      </c>
      <c r="EI201" s="198"/>
      <c r="EJ201" s="83"/>
      <c r="EK201" s="198" t="s">
        <v>470</v>
      </c>
      <c r="EL201" s="198"/>
      <c r="EM201" s="83"/>
      <c r="EN201" s="198" t="s">
        <v>470</v>
      </c>
      <c r="EO201" s="198"/>
      <c r="EP201" s="83"/>
      <c r="EQ201" s="83" t="s">
        <v>479</v>
      </c>
      <c r="ER201" s="83" t="s">
        <v>2192</v>
      </c>
      <c r="ES201" s="83">
        <v>14</v>
      </c>
      <c r="ET201" s="198" t="s">
        <v>470</v>
      </c>
      <c r="EU201" s="198"/>
      <c r="EV201" s="83"/>
      <c r="EW201" s="198" t="s">
        <v>2193</v>
      </c>
      <c r="EX201" s="198" t="s">
        <v>2194</v>
      </c>
      <c r="EY201" s="83">
        <v>252</v>
      </c>
      <c r="EZ201" s="198" t="s">
        <v>470</v>
      </c>
      <c r="FA201" s="198" t="s">
        <v>2195</v>
      </c>
      <c r="FB201" s="198" t="s">
        <v>2196</v>
      </c>
      <c r="FC201" s="198"/>
      <c r="FD201" s="198"/>
      <c r="FE201" s="198" t="s">
        <v>2197</v>
      </c>
      <c r="FF201" s="198"/>
      <c r="FG201" s="198"/>
      <c r="FH201" s="198"/>
      <c r="FI201" s="198"/>
      <c r="FJ201" s="198" t="s">
        <v>2198</v>
      </c>
      <c r="FK201" s="198" t="s">
        <v>2199</v>
      </c>
      <c r="FL201" s="549" t="s">
        <v>2200</v>
      </c>
      <c r="FM201" s="198" t="s">
        <v>2201</v>
      </c>
      <c r="FN201" s="198" t="s">
        <v>2202</v>
      </c>
      <c r="FO201" s="549" t="s">
        <v>2203</v>
      </c>
    </row>
    <row r="202" spans="5:171" ht="40" customHeight="1" x14ac:dyDescent="0.2">
      <c r="E202" s="94" t="s">
        <v>9305</v>
      </c>
      <c r="F202" s="94" t="s">
        <v>9121</v>
      </c>
      <c r="G202" s="97" t="s">
        <v>336</v>
      </c>
      <c r="H202" s="97" t="s">
        <v>421</v>
      </c>
      <c r="I202" s="97" t="s">
        <v>8766</v>
      </c>
      <c r="J202" s="97" t="s">
        <v>1414</v>
      </c>
      <c r="K202" s="97"/>
      <c r="L202" s="502" t="s">
        <v>1887</v>
      </c>
      <c r="M202" s="841" t="s">
        <v>8305</v>
      </c>
      <c r="N202" s="841" t="s">
        <v>8235</v>
      </c>
      <c r="O202" s="841"/>
      <c r="P202" s="841"/>
      <c r="Q202" s="841"/>
      <c r="R202" s="841"/>
      <c r="S202" s="841"/>
      <c r="T202" s="841"/>
      <c r="U202" s="841"/>
      <c r="V202" s="841"/>
      <c r="W202" s="841"/>
      <c r="X202" s="841"/>
      <c r="Y202" s="841"/>
      <c r="Z202" s="97" t="s">
        <v>8114</v>
      </c>
      <c r="AA202" s="849" t="s">
        <v>7966</v>
      </c>
      <c r="AB202" s="97" t="s">
        <v>7816</v>
      </c>
      <c r="AC202" s="849" t="s">
        <v>7648</v>
      </c>
      <c r="AD202" s="97" t="s">
        <v>7487</v>
      </c>
      <c r="AE202" s="849" t="s">
        <v>7295</v>
      </c>
      <c r="AF202" s="97" t="s">
        <v>7157</v>
      </c>
      <c r="AG202" s="849" t="s">
        <v>7087</v>
      </c>
      <c r="AH202" s="97" t="s">
        <v>7002</v>
      </c>
      <c r="AI202" s="97" t="s">
        <v>6859</v>
      </c>
      <c r="AJ202" s="97" t="s">
        <v>6705</v>
      </c>
      <c r="AK202" s="97" t="s">
        <v>6516</v>
      </c>
      <c r="AL202" s="580">
        <f t="shared" si="19"/>
        <v>40</v>
      </c>
      <c r="AM202" s="504">
        <v>40</v>
      </c>
      <c r="AN202" s="516"/>
      <c r="AO202" s="97"/>
      <c r="AP202" s="97"/>
      <c r="AQ202" s="504">
        <v>40</v>
      </c>
      <c r="AR202" s="507">
        <v>1</v>
      </c>
      <c r="AS202" s="507">
        <v>4.7999999999999996E-3</v>
      </c>
      <c r="AT202" s="516"/>
      <c r="AU202" s="507"/>
      <c r="AV202" s="516" t="s">
        <v>470</v>
      </c>
      <c r="AW202" s="507"/>
      <c r="AX202" s="516"/>
      <c r="AY202" s="507"/>
      <c r="AZ202" s="516"/>
      <c r="BA202" s="507"/>
      <c r="BB202" s="507"/>
      <c r="BC202" s="507"/>
      <c r="BD202" s="507"/>
      <c r="BE202" s="507" t="s">
        <v>470</v>
      </c>
      <c r="BF202" s="507"/>
      <c r="BG202" s="507"/>
      <c r="BH202" s="852"/>
      <c r="BI202" s="504">
        <v>40</v>
      </c>
      <c r="BJ202" s="507">
        <v>4.7999999999999996E-3</v>
      </c>
      <c r="BK202" s="96">
        <v>1</v>
      </c>
      <c r="BL202" s="96">
        <v>1</v>
      </c>
      <c r="BM202" s="96">
        <v>1</v>
      </c>
      <c r="BN202" s="96"/>
      <c r="BO202" s="96"/>
      <c r="BP202" s="96"/>
      <c r="BQ202" s="96"/>
      <c r="BR202" s="96"/>
      <c r="BS202" s="96"/>
      <c r="BT202" s="96"/>
      <c r="BU202" s="96"/>
      <c r="BV202" s="96">
        <v>1</v>
      </c>
      <c r="BW202" s="96"/>
      <c r="BX202" s="96"/>
      <c r="BY202" s="96"/>
      <c r="BZ202" s="96"/>
      <c r="CA202" s="96"/>
      <c r="CB202" s="96"/>
      <c r="CC202" s="96"/>
      <c r="CD202" s="96"/>
      <c r="CE202" s="96"/>
      <c r="CF202" s="96"/>
      <c r="CG202" s="96"/>
      <c r="CH202" s="96"/>
      <c r="CI202" s="96"/>
      <c r="CJ202" s="96"/>
      <c r="CK202" s="96"/>
      <c r="CL202" s="815">
        <f t="shared" si="18"/>
        <v>1</v>
      </c>
      <c r="CM202" s="824">
        <f t="shared" si="20"/>
        <v>0</v>
      </c>
      <c r="CN202" s="504">
        <v>235.03899999999999</v>
      </c>
      <c r="CO202" s="97" t="s">
        <v>2187</v>
      </c>
      <c r="CP202" s="97"/>
      <c r="CQ202" s="97">
        <v>100</v>
      </c>
      <c r="CR202" s="504">
        <v>235.03899999999999</v>
      </c>
      <c r="CS202" s="850" t="s">
        <v>5887</v>
      </c>
      <c r="CT202" s="97" t="s">
        <v>470</v>
      </c>
      <c r="CU202" s="97"/>
      <c r="CV202" s="97"/>
      <c r="CW202" s="97"/>
      <c r="CX202" s="96"/>
      <c r="CY202" s="96"/>
      <c r="CZ202" s="96">
        <v>2</v>
      </c>
      <c r="DA202" s="97" t="s">
        <v>479</v>
      </c>
      <c r="DB202" s="97" t="s">
        <v>3521</v>
      </c>
      <c r="DC202" s="96">
        <v>2667</v>
      </c>
      <c r="DD202" s="97" t="s">
        <v>479</v>
      </c>
      <c r="DE202" s="97" t="s">
        <v>543</v>
      </c>
      <c r="DF202" s="96">
        <v>10</v>
      </c>
      <c r="DG202" s="96" t="s">
        <v>470</v>
      </c>
      <c r="DH202" s="96"/>
      <c r="DI202" s="96"/>
      <c r="DJ202" s="96" t="s">
        <v>470</v>
      </c>
      <c r="DK202" s="96"/>
      <c r="DL202" s="96"/>
      <c r="DM202" s="97" t="s">
        <v>470</v>
      </c>
      <c r="DN202" s="97"/>
      <c r="DO202" s="96"/>
      <c r="DP202" s="97" t="s">
        <v>470</v>
      </c>
      <c r="DQ202" s="97"/>
      <c r="DR202" s="96"/>
      <c r="DS202" s="97" t="s">
        <v>470</v>
      </c>
      <c r="DT202" s="97"/>
      <c r="DU202" s="96"/>
      <c r="DV202" s="97" t="s">
        <v>470</v>
      </c>
      <c r="DW202" s="97"/>
      <c r="DX202" s="96"/>
      <c r="DY202" s="97" t="s">
        <v>470</v>
      </c>
      <c r="DZ202" s="97"/>
      <c r="EA202" s="96"/>
      <c r="EB202" s="97" t="s">
        <v>470</v>
      </c>
      <c r="EC202" s="97"/>
      <c r="ED202" s="96"/>
      <c r="EE202" s="96" t="s">
        <v>470</v>
      </c>
      <c r="EF202" s="96"/>
      <c r="EG202" s="96"/>
      <c r="EH202" s="97" t="s">
        <v>470</v>
      </c>
      <c r="EI202" s="97"/>
      <c r="EJ202" s="96"/>
      <c r="EK202" s="97" t="s">
        <v>470</v>
      </c>
      <c r="EL202" s="97"/>
      <c r="EM202" s="96"/>
      <c r="EN202" s="97" t="s">
        <v>470</v>
      </c>
      <c r="EO202" s="97"/>
      <c r="EP202" s="96"/>
      <c r="EQ202" s="96" t="s">
        <v>470</v>
      </c>
      <c r="ER202" s="96"/>
      <c r="ES202" s="96"/>
      <c r="ET202" s="97" t="s">
        <v>470</v>
      </c>
      <c r="EU202" s="97"/>
      <c r="EV202" s="96"/>
      <c r="EW202" s="96"/>
      <c r="EX202" s="96"/>
      <c r="EY202" s="96"/>
      <c r="EZ202" s="97" t="s">
        <v>470</v>
      </c>
      <c r="FA202" s="97"/>
      <c r="FB202" s="97" t="s">
        <v>4715</v>
      </c>
      <c r="FC202" s="97"/>
      <c r="FD202" s="97"/>
      <c r="FE202" s="97"/>
      <c r="FF202" s="97" t="s">
        <v>4715</v>
      </c>
      <c r="FG202" s="97" t="s">
        <v>4643</v>
      </c>
      <c r="FH202" s="97">
        <v>4</v>
      </c>
      <c r="FI202" s="97">
        <v>30</v>
      </c>
      <c r="FJ202" s="97" t="s">
        <v>4468</v>
      </c>
      <c r="FK202" s="97" t="s">
        <v>4253</v>
      </c>
      <c r="FL202" s="849" t="s">
        <v>4063</v>
      </c>
      <c r="FM202" s="97" t="s">
        <v>2201</v>
      </c>
      <c r="FN202" s="97" t="s">
        <v>2202</v>
      </c>
      <c r="FO202" s="849" t="s">
        <v>2203</v>
      </c>
    </row>
    <row r="203" spans="5:171" ht="24" customHeight="1" x14ac:dyDescent="0.2">
      <c r="E203" s="94" t="s">
        <v>9305</v>
      </c>
      <c r="F203" s="94" t="s">
        <v>9121</v>
      </c>
      <c r="G203" s="97" t="s">
        <v>336</v>
      </c>
      <c r="H203" s="97" t="s">
        <v>421</v>
      </c>
      <c r="I203" s="97" t="s">
        <v>8765</v>
      </c>
      <c r="J203" s="97" t="s">
        <v>8365</v>
      </c>
      <c r="K203" s="97" t="s">
        <v>8403</v>
      </c>
      <c r="L203" s="502">
        <v>2022</v>
      </c>
      <c r="M203" s="841">
        <v>44761</v>
      </c>
      <c r="N203" s="841">
        <v>44907</v>
      </c>
      <c r="O203" s="841"/>
      <c r="P203" s="841"/>
      <c r="Q203" s="841"/>
      <c r="R203" s="841"/>
      <c r="S203" s="841"/>
      <c r="T203" s="841"/>
      <c r="U203" s="841"/>
      <c r="V203" s="841"/>
      <c r="W203" s="841"/>
      <c r="X203" s="841"/>
      <c r="Y203" s="841"/>
      <c r="Z203" s="97" t="s">
        <v>8113</v>
      </c>
      <c r="AA203" s="849" t="s">
        <v>7965</v>
      </c>
      <c r="AB203" s="97" t="s">
        <v>7815</v>
      </c>
      <c r="AC203" s="849" t="s">
        <v>7647</v>
      </c>
      <c r="AD203" s="97" t="s">
        <v>7486</v>
      </c>
      <c r="AE203" s="849" t="s">
        <v>7294</v>
      </c>
      <c r="AF203" s="97"/>
      <c r="AG203" s="97"/>
      <c r="AH203" s="97" t="s">
        <v>6515</v>
      </c>
      <c r="AI203" s="97" t="s">
        <v>6515</v>
      </c>
      <c r="AJ203" s="97" t="s">
        <v>6703</v>
      </c>
      <c r="AK203" s="97" t="s">
        <v>6515</v>
      </c>
      <c r="AL203" s="580">
        <f t="shared" si="19"/>
        <v>1.49606905</v>
      </c>
      <c r="AM203" s="504">
        <v>1.49606905</v>
      </c>
      <c r="AN203" s="516"/>
      <c r="AO203" s="97"/>
      <c r="AP203" s="97"/>
      <c r="AQ203" s="504">
        <v>1.12205179</v>
      </c>
      <c r="AR203" s="507">
        <f>AQ203/AL203</f>
        <v>0.75000000167104586</v>
      </c>
      <c r="AS203" s="507">
        <v>1E-3</v>
      </c>
      <c r="AT203" s="516"/>
      <c r="AU203" s="507"/>
      <c r="AV203" s="516"/>
      <c r="AW203" s="507"/>
      <c r="AX203" s="516">
        <v>0.37401726000000002</v>
      </c>
      <c r="AY203" s="507">
        <f>AX203/AL203</f>
        <v>0.24999999832895414</v>
      </c>
      <c r="AZ203" s="516"/>
      <c r="BA203" s="507"/>
      <c r="BB203" s="507"/>
      <c r="BC203" s="507"/>
      <c r="BD203" s="507"/>
      <c r="BE203" s="507" t="s">
        <v>470</v>
      </c>
      <c r="BF203" s="507"/>
      <c r="BG203" s="507"/>
      <c r="BH203" s="852"/>
      <c r="BI203" s="504">
        <v>3.5</v>
      </c>
      <c r="BJ203" s="507">
        <v>2.5999999999999999E-3</v>
      </c>
      <c r="BK203" s="96">
        <v>4</v>
      </c>
      <c r="BL203" s="96">
        <v>4</v>
      </c>
      <c r="BM203" s="96">
        <v>4</v>
      </c>
      <c r="BN203" s="96"/>
      <c r="BO203" s="96">
        <v>2</v>
      </c>
      <c r="BP203" s="96">
        <v>2</v>
      </c>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815">
        <f t="shared" si="18"/>
        <v>4</v>
      </c>
      <c r="CM203" s="824">
        <f t="shared" si="20"/>
        <v>0</v>
      </c>
      <c r="CN203" s="504">
        <v>0.38700000000000001</v>
      </c>
      <c r="CO203" s="97" t="s">
        <v>6114</v>
      </c>
      <c r="CP203" s="97"/>
      <c r="CQ203" s="97">
        <v>0.67</v>
      </c>
      <c r="CR203" s="504">
        <v>57.405000000000001</v>
      </c>
      <c r="CS203" s="850" t="s">
        <v>5886</v>
      </c>
      <c r="CT203" s="97" t="s">
        <v>470</v>
      </c>
      <c r="CU203" s="97"/>
      <c r="CV203" s="97"/>
      <c r="CW203" s="97"/>
      <c r="CX203" s="96"/>
      <c r="CY203" s="96"/>
      <c r="CZ203" s="96">
        <v>4</v>
      </c>
      <c r="DA203" s="97" t="s">
        <v>479</v>
      </c>
      <c r="DB203" s="97" t="s">
        <v>5707</v>
      </c>
      <c r="DC203" s="96">
        <v>387</v>
      </c>
      <c r="DD203" s="97" t="s">
        <v>479</v>
      </c>
      <c r="DE203" s="97" t="s">
        <v>2826</v>
      </c>
      <c r="DF203" s="96">
        <v>387</v>
      </c>
      <c r="DG203" s="96" t="s">
        <v>470</v>
      </c>
      <c r="DH203" s="96"/>
      <c r="DI203" s="96"/>
      <c r="DJ203" s="96" t="s">
        <v>470</v>
      </c>
      <c r="DK203" s="96"/>
      <c r="DL203" s="96"/>
      <c r="DM203" s="97" t="s">
        <v>470</v>
      </c>
      <c r="DN203" s="97"/>
      <c r="DO203" s="96"/>
      <c r="DP203" s="97" t="s">
        <v>470</v>
      </c>
      <c r="DQ203" s="97"/>
      <c r="DR203" s="96"/>
      <c r="DS203" s="97" t="s">
        <v>470</v>
      </c>
      <c r="DT203" s="97"/>
      <c r="DU203" s="96"/>
      <c r="DV203" s="97"/>
      <c r="DW203" s="97"/>
      <c r="DX203" s="96"/>
      <c r="DY203" s="97" t="s">
        <v>470</v>
      </c>
      <c r="DZ203" s="97"/>
      <c r="EA203" s="96"/>
      <c r="EB203" s="97" t="s">
        <v>470</v>
      </c>
      <c r="EC203" s="97"/>
      <c r="ED203" s="96"/>
      <c r="EE203" s="96" t="s">
        <v>470</v>
      </c>
      <c r="EF203" s="96"/>
      <c r="EG203" s="96"/>
      <c r="EH203" s="97" t="s">
        <v>470</v>
      </c>
      <c r="EI203" s="97"/>
      <c r="EJ203" s="96"/>
      <c r="EK203" s="97" t="s">
        <v>470</v>
      </c>
      <c r="EL203" s="97"/>
      <c r="EM203" s="96"/>
      <c r="EN203" s="97" t="s">
        <v>470</v>
      </c>
      <c r="EO203" s="97"/>
      <c r="EP203" s="96"/>
      <c r="EQ203" s="96" t="s">
        <v>479</v>
      </c>
      <c r="ER203" s="96" t="s">
        <v>5299</v>
      </c>
      <c r="ES203" s="96">
        <v>6</v>
      </c>
      <c r="ET203" s="97"/>
      <c r="EU203" s="97"/>
      <c r="EV203" s="96"/>
      <c r="EW203" s="96"/>
      <c r="EX203" s="96"/>
      <c r="EY203" s="96"/>
      <c r="EZ203" s="97" t="s">
        <v>470</v>
      </c>
      <c r="FA203" s="97"/>
      <c r="FB203" s="849" t="s">
        <v>5132</v>
      </c>
      <c r="FC203" s="97"/>
      <c r="FD203" s="97"/>
      <c r="FE203" s="97"/>
      <c r="FF203" s="97"/>
      <c r="FG203" s="97" t="s">
        <v>470</v>
      </c>
      <c r="FH203" s="97"/>
      <c r="FI203" s="97"/>
      <c r="FJ203" s="97" t="s">
        <v>4467</v>
      </c>
      <c r="FK203" s="96">
        <v>88317020176</v>
      </c>
      <c r="FL203" s="849" t="s">
        <v>4062</v>
      </c>
      <c r="FM203" s="97" t="s">
        <v>2201</v>
      </c>
      <c r="FN203" s="97" t="s">
        <v>2202</v>
      </c>
      <c r="FO203" s="849" t="s">
        <v>2203</v>
      </c>
    </row>
    <row r="204" spans="5:171" ht="21" customHeight="1" x14ac:dyDescent="0.2">
      <c r="E204" s="94" t="s">
        <v>9309</v>
      </c>
      <c r="F204" s="94" t="s">
        <v>9121</v>
      </c>
      <c r="G204" s="97" t="s">
        <v>336</v>
      </c>
      <c r="H204" s="97" t="s">
        <v>421</v>
      </c>
      <c r="I204" s="97" t="s">
        <v>8764</v>
      </c>
      <c r="J204" s="97" t="s">
        <v>8543</v>
      </c>
      <c r="K204" s="97" t="s">
        <v>5242</v>
      </c>
      <c r="L204" s="502">
        <v>2016</v>
      </c>
      <c r="M204" s="841">
        <v>44562</v>
      </c>
      <c r="N204" s="841">
        <v>44860</v>
      </c>
      <c r="O204" s="841"/>
      <c r="P204" s="841"/>
      <c r="Q204" s="841"/>
      <c r="R204" s="841"/>
      <c r="S204" s="841"/>
      <c r="T204" s="841"/>
      <c r="U204" s="841"/>
      <c r="V204" s="841"/>
      <c r="W204" s="841"/>
      <c r="X204" s="841"/>
      <c r="Y204" s="841"/>
      <c r="Z204" s="97" t="s">
        <v>8112</v>
      </c>
      <c r="AA204" s="872" t="s">
        <v>7964</v>
      </c>
      <c r="AB204" s="97"/>
      <c r="AC204" s="97"/>
      <c r="AD204" s="97" t="s">
        <v>7485</v>
      </c>
      <c r="AE204" s="872" t="s">
        <v>7293</v>
      </c>
      <c r="AF204" s="97"/>
      <c r="AG204" s="97"/>
      <c r="AH204" s="97" t="s">
        <v>6856</v>
      </c>
      <c r="AI204" s="97" t="s">
        <v>6858</v>
      </c>
      <c r="AJ204" s="97" t="s">
        <v>6704</v>
      </c>
      <c r="AK204" s="97" t="s">
        <v>6514</v>
      </c>
      <c r="AL204" s="580">
        <f t="shared" si="19"/>
        <v>14.122</v>
      </c>
      <c r="AM204" s="504">
        <v>14.122</v>
      </c>
      <c r="AN204" s="516"/>
      <c r="AO204" s="97"/>
      <c r="AP204" s="97"/>
      <c r="AQ204" s="504">
        <v>10.896000000000001</v>
      </c>
      <c r="AR204" s="507">
        <f>AQ204/AL204</f>
        <v>0.77156210168531381</v>
      </c>
      <c r="AS204" s="507">
        <f>AQ204/2272</f>
        <v>4.7957746478873246E-3</v>
      </c>
      <c r="AT204" s="516">
        <v>2.0920000000000001</v>
      </c>
      <c r="AU204" s="507">
        <f>AT204/AL204</f>
        <v>0.14813765755558703</v>
      </c>
      <c r="AV204" s="516">
        <v>0.76700000000000002</v>
      </c>
      <c r="AW204" s="507">
        <f>AV204/AL204</f>
        <v>5.4312420337062739E-2</v>
      </c>
      <c r="AX204" s="516">
        <v>0.36699999999999999</v>
      </c>
      <c r="AY204" s="507">
        <f>AX204/AL204</f>
        <v>2.5987820422036539E-2</v>
      </c>
      <c r="AZ204" s="516"/>
      <c r="BA204" s="507"/>
      <c r="BB204" s="507"/>
      <c r="BC204" s="507"/>
      <c r="BD204" s="507"/>
      <c r="BE204" s="507" t="s">
        <v>470</v>
      </c>
      <c r="BF204" s="507"/>
      <c r="BG204" s="507"/>
      <c r="BH204" s="852"/>
      <c r="BI204" s="504">
        <v>8.1229999999999993</v>
      </c>
      <c r="BJ204" s="507">
        <f>BI204/2433.6</f>
        <v>3.337853385930309E-3</v>
      </c>
      <c r="BK204" s="96">
        <v>9</v>
      </c>
      <c r="BL204" s="96">
        <v>9</v>
      </c>
      <c r="BM204" s="96">
        <v>9</v>
      </c>
      <c r="BN204" s="96"/>
      <c r="BO204" s="96">
        <v>9</v>
      </c>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815">
        <f t="shared" si="18"/>
        <v>9</v>
      </c>
      <c r="CM204" s="824">
        <f t="shared" si="20"/>
        <v>0</v>
      </c>
      <c r="CN204" s="504">
        <v>0.57399999999999995</v>
      </c>
      <c r="CO204" s="97" t="s">
        <v>6116</v>
      </c>
      <c r="CP204" s="97"/>
      <c r="CQ204" s="97">
        <v>0.49</v>
      </c>
      <c r="CR204" s="504">
        <v>116.1</v>
      </c>
      <c r="CS204" s="888" t="s">
        <v>5885</v>
      </c>
      <c r="CT204" s="97" t="s">
        <v>470</v>
      </c>
      <c r="CU204" s="97"/>
      <c r="CV204" s="97"/>
      <c r="CW204" s="97"/>
      <c r="CX204" s="97"/>
      <c r="CY204" s="97"/>
      <c r="CZ204" s="97">
        <v>3</v>
      </c>
      <c r="DA204" s="97" t="s">
        <v>470</v>
      </c>
      <c r="DB204" s="96"/>
      <c r="DC204" s="96"/>
      <c r="DD204" s="96" t="s">
        <v>479</v>
      </c>
      <c r="DE204" s="97" t="s">
        <v>5409</v>
      </c>
      <c r="DF204" s="97">
        <v>208</v>
      </c>
      <c r="DG204" s="96" t="s">
        <v>470</v>
      </c>
      <c r="DH204" s="97"/>
      <c r="DI204" s="97"/>
      <c r="DJ204" s="96" t="s">
        <v>470</v>
      </c>
      <c r="DK204" s="96"/>
      <c r="DL204" s="96"/>
      <c r="DM204" s="96" t="s">
        <v>470</v>
      </c>
      <c r="DN204" s="96"/>
      <c r="DO204" s="96"/>
      <c r="DP204" s="96" t="s">
        <v>470</v>
      </c>
      <c r="DQ204" s="97"/>
      <c r="DR204" s="97"/>
      <c r="DS204" s="96" t="s">
        <v>470</v>
      </c>
      <c r="DT204" s="97"/>
      <c r="DU204" s="97"/>
      <c r="DV204" s="96"/>
      <c r="DW204" s="97"/>
      <c r="DX204" s="97"/>
      <c r="DY204" s="96" t="s">
        <v>470</v>
      </c>
      <c r="DZ204" s="97"/>
      <c r="EA204" s="97"/>
      <c r="EB204" s="96" t="s">
        <v>479</v>
      </c>
      <c r="EC204" s="97" t="s">
        <v>5409</v>
      </c>
      <c r="ED204" s="97">
        <v>208</v>
      </c>
      <c r="EE204" s="96" t="s">
        <v>470</v>
      </c>
      <c r="EF204" s="97"/>
      <c r="EG204" s="97"/>
      <c r="EH204" s="96" t="s">
        <v>470</v>
      </c>
      <c r="EI204" s="96"/>
      <c r="EJ204" s="96"/>
      <c r="EK204" s="96" t="s">
        <v>470</v>
      </c>
      <c r="EL204" s="97"/>
      <c r="EM204" s="97"/>
      <c r="EN204" s="96" t="s">
        <v>470</v>
      </c>
      <c r="EO204" s="97"/>
      <c r="EP204" s="97"/>
      <c r="EQ204" s="96" t="s">
        <v>470</v>
      </c>
      <c r="ER204" s="97"/>
      <c r="ES204" s="97"/>
      <c r="ET204" s="96"/>
      <c r="EU204" s="96"/>
      <c r="EV204" s="96"/>
      <c r="EW204" s="96"/>
      <c r="EX204" s="96"/>
      <c r="EY204" s="96"/>
      <c r="EZ204" s="96" t="s">
        <v>470</v>
      </c>
      <c r="FA204" s="97"/>
      <c r="FB204" s="97"/>
      <c r="FC204" s="96"/>
      <c r="FD204" s="97"/>
      <c r="FE204" s="97"/>
      <c r="FF204" s="97"/>
      <c r="FG204" s="97"/>
      <c r="FH204" s="97"/>
      <c r="FI204" s="97"/>
      <c r="FJ204" s="97" t="s">
        <v>4466</v>
      </c>
      <c r="FK204" s="97" t="s">
        <v>4252</v>
      </c>
      <c r="FL204" s="97" t="s">
        <v>4061</v>
      </c>
      <c r="FM204" s="97" t="s">
        <v>2201</v>
      </c>
      <c r="FN204" s="97" t="s">
        <v>2202</v>
      </c>
      <c r="FO204" s="872" t="s">
        <v>2203</v>
      </c>
    </row>
    <row r="205" spans="5:171" ht="22" customHeight="1" x14ac:dyDescent="0.2">
      <c r="E205" s="94" t="s">
        <v>9309</v>
      </c>
      <c r="F205" s="94" t="s">
        <v>9121</v>
      </c>
      <c r="G205" s="97" t="s">
        <v>336</v>
      </c>
      <c r="H205" s="97" t="s">
        <v>421</v>
      </c>
      <c r="I205" s="97" t="s">
        <v>8764</v>
      </c>
      <c r="J205" s="97" t="s">
        <v>8542</v>
      </c>
      <c r="K205" s="97" t="s">
        <v>5242</v>
      </c>
      <c r="L205" s="502">
        <v>2015</v>
      </c>
      <c r="M205" s="841">
        <v>44652</v>
      </c>
      <c r="N205" s="841" t="s">
        <v>8234</v>
      </c>
      <c r="O205" s="841"/>
      <c r="P205" s="841"/>
      <c r="Q205" s="841"/>
      <c r="R205" s="841"/>
      <c r="S205" s="841"/>
      <c r="T205" s="841"/>
      <c r="U205" s="841"/>
      <c r="V205" s="841"/>
      <c r="W205" s="841"/>
      <c r="X205" s="841"/>
      <c r="Y205" s="841"/>
      <c r="Z205" s="97" t="s">
        <v>8111</v>
      </c>
      <c r="AA205" s="872" t="s">
        <v>7963</v>
      </c>
      <c r="AB205" s="97"/>
      <c r="AC205" s="97"/>
      <c r="AD205" s="97" t="s">
        <v>7484</v>
      </c>
      <c r="AE205" s="872" t="s">
        <v>7293</v>
      </c>
      <c r="AF205" s="97"/>
      <c r="AG205" s="97"/>
      <c r="AH205" s="97" t="s">
        <v>6856</v>
      </c>
      <c r="AI205" s="97" t="s">
        <v>6857</v>
      </c>
      <c r="AJ205" s="97" t="s">
        <v>6704</v>
      </c>
      <c r="AK205" s="97" t="s">
        <v>6513</v>
      </c>
      <c r="AL205" s="580">
        <f t="shared" si="19"/>
        <v>0.69900000000000007</v>
      </c>
      <c r="AM205" s="504">
        <v>0.69900000000000007</v>
      </c>
      <c r="AN205" s="516"/>
      <c r="AO205" s="97"/>
      <c r="AP205" s="97"/>
      <c r="AQ205" s="504">
        <v>0.53500000000000003</v>
      </c>
      <c r="AR205" s="507">
        <f>AQ205/AL205</f>
        <v>0.76537911301859796</v>
      </c>
      <c r="AS205" s="507">
        <f>AQ205/2272</f>
        <v>2.3547535211267606E-4</v>
      </c>
      <c r="AT205" s="516">
        <v>0.108</v>
      </c>
      <c r="AU205" s="507">
        <f>AT205/AL205</f>
        <v>0.15450643776824033</v>
      </c>
      <c r="AV205" s="516">
        <v>4.4999999999999998E-2</v>
      </c>
      <c r="AW205" s="507">
        <f>AV205/AL205</f>
        <v>6.4377682403433473E-2</v>
      </c>
      <c r="AX205" s="516">
        <v>1.0999999999999999E-2</v>
      </c>
      <c r="AY205" s="507">
        <f>AX205/AL205</f>
        <v>1.573676680972818E-2</v>
      </c>
      <c r="AZ205" s="516"/>
      <c r="BA205" s="507"/>
      <c r="BB205" s="507"/>
      <c r="BC205" s="507"/>
      <c r="BD205" s="507"/>
      <c r="BE205" s="507" t="s">
        <v>470</v>
      </c>
      <c r="BF205" s="507"/>
      <c r="BG205" s="507"/>
      <c r="BH205" s="507"/>
      <c r="BI205" s="504">
        <v>0.33700000000000002</v>
      </c>
      <c r="BJ205" s="507">
        <f>BI205/2433.6</f>
        <v>1.3847797501643656E-4</v>
      </c>
      <c r="BK205" s="502">
        <v>5</v>
      </c>
      <c r="BL205" s="502">
        <v>5</v>
      </c>
      <c r="BM205" s="502">
        <v>5</v>
      </c>
      <c r="BN205" s="96"/>
      <c r="BO205" s="96"/>
      <c r="BP205" s="96"/>
      <c r="BQ205" s="96"/>
      <c r="BR205" s="96"/>
      <c r="BS205" s="96"/>
      <c r="BT205" s="96"/>
      <c r="BU205" s="96"/>
      <c r="BV205" s="96"/>
      <c r="BW205" s="96"/>
      <c r="BX205" s="96">
        <v>5</v>
      </c>
      <c r="BY205" s="96"/>
      <c r="BZ205" s="96"/>
      <c r="CA205" s="96"/>
      <c r="CB205" s="96"/>
      <c r="CC205" s="96"/>
      <c r="CD205" s="96"/>
      <c r="CE205" s="96"/>
      <c r="CF205" s="96"/>
      <c r="CG205" s="96"/>
      <c r="CH205" s="96"/>
      <c r="CI205" s="96"/>
      <c r="CJ205" s="96"/>
      <c r="CK205" s="96"/>
      <c r="CL205" s="502">
        <f t="shared" si="18"/>
        <v>5</v>
      </c>
      <c r="CM205" s="824">
        <f t="shared" si="20"/>
        <v>0</v>
      </c>
      <c r="CN205" s="504">
        <v>0.47799999999999998</v>
      </c>
      <c r="CO205" s="97" t="s">
        <v>6117</v>
      </c>
      <c r="CP205" s="97"/>
      <c r="CQ205" s="507">
        <f>CN205/CR205</f>
        <v>4.1171403962101637E-3</v>
      </c>
      <c r="CR205" s="504">
        <v>116.1</v>
      </c>
      <c r="CS205" s="888" t="s">
        <v>5885</v>
      </c>
      <c r="CT205" s="97" t="s">
        <v>470</v>
      </c>
      <c r="CU205" s="97"/>
      <c r="CV205" s="97"/>
      <c r="CW205" s="97"/>
      <c r="CX205" s="97"/>
      <c r="CY205" s="97"/>
      <c r="CZ205" s="97">
        <v>3</v>
      </c>
      <c r="DA205" s="97" t="s">
        <v>470</v>
      </c>
      <c r="DB205" s="96"/>
      <c r="DC205" s="96"/>
      <c r="DD205" s="96" t="s">
        <v>479</v>
      </c>
      <c r="DE205" s="97" t="s">
        <v>5409</v>
      </c>
      <c r="DF205" s="97">
        <v>167</v>
      </c>
      <c r="DG205" s="96" t="s">
        <v>470</v>
      </c>
      <c r="DH205" s="97"/>
      <c r="DI205" s="97"/>
      <c r="DJ205" s="96" t="s">
        <v>470</v>
      </c>
      <c r="DK205" s="96"/>
      <c r="DL205" s="96"/>
      <c r="DM205" s="96" t="s">
        <v>470</v>
      </c>
      <c r="DN205" s="96"/>
      <c r="DO205" s="96"/>
      <c r="DP205" s="96" t="s">
        <v>470</v>
      </c>
      <c r="DQ205" s="97"/>
      <c r="DR205" s="97"/>
      <c r="DS205" s="96" t="s">
        <v>470</v>
      </c>
      <c r="DT205" s="97"/>
      <c r="DU205" s="97"/>
      <c r="DV205" s="96" t="s">
        <v>470</v>
      </c>
      <c r="DW205" s="97"/>
      <c r="DX205" s="97"/>
      <c r="DY205" s="96" t="s">
        <v>470</v>
      </c>
      <c r="DZ205" s="97"/>
      <c r="EA205" s="97"/>
      <c r="EB205" s="96" t="s">
        <v>479</v>
      </c>
      <c r="EC205" s="97" t="s">
        <v>5409</v>
      </c>
      <c r="ED205" s="97">
        <v>167</v>
      </c>
      <c r="EE205" s="96" t="s">
        <v>470</v>
      </c>
      <c r="EF205" s="97"/>
      <c r="EG205" s="97"/>
      <c r="EH205" s="96" t="s">
        <v>470</v>
      </c>
      <c r="EI205" s="96"/>
      <c r="EJ205" s="96"/>
      <c r="EK205" s="96" t="s">
        <v>470</v>
      </c>
      <c r="EL205" s="97"/>
      <c r="EM205" s="97"/>
      <c r="EN205" s="96" t="s">
        <v>470</v>
      </c>
      <c r="EO205" s="97"/>
      <c r="EP205" s="97"/>
      <c r="EQ205" s="96" t="s">
        <v>470</v>
      </c>
      <c r="ER205" s="97"/>
      <c r="ES205" s="97"/>
      <c r="ET205" s="96" t="s">
        <v>470</v>
      </c>
      <c r="EU205" s="96"/>
      <c r="EV205" s="96"/>
      <c r="EW205" s="96"/>
      <c r="EX205" s="96"/>
      <c r="EY205" s="96"/>
      <c r="EZ205" s="96" t="s">
        <v>470</v>
      </c>
      <c r="FA205" s="97"/>
      <c r="FB205" s="97"/>
      <c r="FC205" s="96"/>
      <c r="FD205" s="97"/>
      <c r="FE205" s="97" t="s">
        <v>470</v>
      </c>
      <c r="FF205" s="97" t="s">
        <v>470</v>
      </c>
      <c r="FG205" s="97" t="s">
        <v>470</v>
      </c>
      <c r="FH205" s="97"/>
      <c r="FI205" s="97"/>
      <c r="FJ205" s="97" t="s">
        <v>4466</v>
      </c>
      <c r="FK205" s="97" t="s">
        <v>4252</v>
      </c>
      <c r="FL205" s="97" t="s">
        <v>4061</v>
      </c>
      <c r="FM205" s="97" t="s">
        <v>2201</v>
      </c>
      <c r="FN205" s="97" t="s">
        <v>2202</v>
      </c>
      <c r="FO205" s="872" t="s">
        <v>2203</v>
      </c>
    </row>
    <row r="206" spans="5:171" ht="22" customHeight="1" x14ac:dyDescent="0.2">
      <c r="E206" s="94" t="s">
        <v>9309</v>
      </c>
      <c r="F206" s="94" t="s">
        <v>9121</v>
      </c>
      <c r="G206" s="97" t="s">
        <v>336</v>
      </c>
      <c r="H206" s="97" t="s">
        <v>421</v>
      </c>
      <c r="I206" s="97" t="s">
        <v>8764</v>
      </c>
      <c r="J206" s="97" t="s">
        <v>8541</v>
      </c>
      <c r="K206" s="97" t="s">
        <v>5242</v>
      </c>
      <c r="L206" s="502">
        <v>2021</v>
      </c>
      <c r="M206" s="841">
        <v>44652</v>
      </c>
      <c r="N206" s="841" t="s">
        <v>8234</v>
      </c>
      <c r="O206" s="841"/>
      <c r="P206" s="841"/>
      <c r="Q206" s="841"/>
      <c r="R206" s="841"/>
      <c r="S206" s="841"/>
      <c r="T206" s="841"/>
      <c r="U206" s="841"/>
      <c r="V206" s="841"/>
      <c r="W206" s="841"/>
      <c r="X206" s="841"/>
      <c r="Y206" s="841"/>
      <c r="Z206" s="97" t="s">
        <v>8110</v>
      </c>
      <c r="AA206" s="872" t="s">
        <v>7962</v>
      </c>
      <c r="AB206" s="97"/>
      <c r="AC206" s="97"/>
      <c r="AD206" s="97" t="s">
        <v>7484</v>
      </c>
      <c r="AE206" s="872" t="s">
        <v>7293</v>
      </c>
      <c r="AF206" s="97"/>
      <c r="AG206" s="97"/>
      <c r="AH206" s="97" t="s">
        <v>6856</v>
      </c>
      <c r="AI206" s="97" t="s">
        <v>6856</v>
      </c>
      <c r="AJ206" s="97" t="s">
        <v>6676</v>
      </c>
      <c r="AK206" s="97" t="s">
        <v>6512</v>
      </c>
      <c r="AL206" s="580">
        <f t="shared" si="19"/>
        <v>0.53</v>
      </c>
      <c r="AM206" s="504">
        <v>0.53</v>
      </c>
      <c r="AN206" s="516"/>
      <c r="AO206" s="97"/>
      <c r="AP206" s="97"/>
      <c r="AQ206" s="504">
        <v>0.371</v>
      </c>
      <c r="AR206" s="507">
        <f>AQ206/AL206</f>
        <v>0.7</v>
      </c>
      <c r="AS206" s="507">
        <f>AQ206/2272</f>
        <v>1.6329225352112675E-4</v>
      </c>
      <c r="AT206" s="516">
        <v>0.159</v>
      </c>
      <c r="AU206" s="507">
        <f>AT206/AL206</f>
        <v>0.3</v>
      </c>
      <c r="AV206" s="516">
        <v>0</v>
      </c>
      <c r="AW206" s="507"/>
      <c r="AX206" s="516">
        <v>0</v>
      </c>
      <c r="AY206" s="507"/>
      <c r="AZ206" s="516"/>
      <c r="BA206" s="507"/>
      <c r="BB206" s="507"/>
      <c r="BC206" s="507"/>
      <c r="BD206" s="507"/>
      <c r="BE206" s="507" t="s">
        <v>470</v>
      </c>
      <c r="BF206" s="507"/>
      <c r="BG206" s="507"/>
      <c r="BH206" s="507"/>
      <c r="BI206" s="504">
        <v>0</v>
      </c>
      <c r="BJ206" s="507"/>
      <c r="BK206" s="502">
        <v>1</v>
      </c>
      <c r="BL206" s="502">
        <v>1</v>
      </c>
      <c r="BM206" s="502">
        <v>1</v>
      </c>
      <c r="BN206" s="96"/>
      <c r="BO206" s="96"/>
      <c r="BP206" s="96">
        <v>1</v>
      </c>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502">
        <f t="shared" si="18"/>
        <v>1</v>
      </c>
      <c r="CM206" s="824">
        <f t="shared" si="20"/>
        <v>0</v>
      </c>
      <c r="CN206" s="504">
        <v>9.2999999999999999E-2</v>
      </c>
      <c r="CO206" s="97" t="s">
        <v>6116</v>
      </c>
      <c r="CP206" s="97"/>
      <c r="CQ206" s="507">
        <f>CN206/CR206</f>
        <v>8.0103359173126613E-4</v>
      </c>
      <c r="CR206" s="504">
        <v>116.1</v>
      </c>
      <c r="CS206" s="888" t="s">
        <v>5885</v>
      </c>
      <c r="CT206" s="97" t="s">
        <v>470</v>
      </c>
      <c r="CU206" s="97"/>
      <c r="CV206" s="97"/>
      <c r="CW206" s="97"/>
      <c r="CX206" s="97"/>
      <c r="CY206" s="97"/>
      <c r="CZ206" s="97">
        <v>3</v>
      </c>
      <c r="DA206" s="97" t="s">
        <v>470</v>
      </c>
      <c r="DB206" s="96"/>
      <c r="DC206" s="96"/>
      <c r="DD206" s="96" t="s">
        <v>479</v>
      </c>
      <c r="DE206" s="97" t="s">
        <v>5409</v>
      </c>
      <c r="DF206" s="97">
        <v>26</v>
      </c>
      <c r="DG206" s="96" t="s">
        <v>470</v>
      </c>
      <c r="DH206" s="97"/>
      <c r="DI206" s="97"/>
      <c r="DJ206" s="96" t="s">
        <v>470</v>
      </c>
      <c r="DK206" s="96"/>
      <c r="DL206" s="96"/>
      <c r="DM206" s="96" t="s">
        <v>470</v>
      </c>
      <c r="DN206" s="96"/>
      <c r="DO206" s="96"/>
      <c r="DP206" s="96" t="s">
        <v>470</v>
      </c>
      <c r="DQ206" s="97"/>
      <c r="DR206" s="97"/>
      <c r="DS206" s="96" t="s">
        <v>470</v>
      </c>
      <c r="DT206" s="97"/>
      <c r="DU206" s="97"/>
      <c r="DV206" s="96" t="s">
        <v>470</v>
      </c>
      <c r="DW206" s="97"/>
      <c r="DX206" s="97"/>
      <c r="DY206" s="96" t="s">
        <v>470</v>
      </c>
      <c r="DZ206" s="97"/>
      <c r="EA206" s="97"/>
      <c r="EB206" s="96" t="s">
        <v>479</v>
      </c>
      <c r="EC206" s="97" t="s">
        <v>5409</v>
      </c>
      <c r="ED206" s="97">
        <v>26</v>
      </c>
      <c r="EE206" s="96" t="s">
        <v>470</v>
      </c>
      <c r="EF206" s="97"/>
      <c r="EG206" s="97"/>
      <c r="EH206" s="96" t="s">
        <v>470</v>
      </c>
      <c r="EI206" s="96"/>
      <c r="EJ206" s="96"/>
      <c r="EK206" s="96" t="s">
        <v>470</v>
      </c>
      <c r="EL206" s="97"/>
      <c r="EM206" s="97"/>
      <c r="EN206" s="96" t="s">
        <v>470</v>
      </c>
      <c r="EO206" s="97"/>
      <c r="EP206" s="97"/>
      <c r="EQ206" s="96" t="s">
        <v>470</v>
      </c>
      <c r="ER206" s="97"/>
      <c r="ES206" s="97"/>
      <c r="ET206" s="96" t="s">
        <v>470</v>
      </c>
      <c r="EU206" s="96"/>
      <c r="EV206" s="96"/>
      <c r="EW206" s="96"/>
      <c r="EX206" s="96"/>
      <c r="EY206" s="96"/>
      <c r="EZ206" s="96" t="s">
        <v>470</v>
      </c>
      <c r="FA206" s="97"/>
      <c r="FB206" s="97"/>
      <c r="FC206" s="96"/>
      <c r="FD206" s="97"/>
      <c r="FE206" s="97" t="s">
        <v>470</v>
      </c>
      <c r="FF206" s="97" t="s">
        <v>470</v>
      </c>
      <c r="FG206" s="97" t="s">
        <v>470</v>
      </c>
      <c r="FH206" s="97"/>
      <c r="FI206" s="97"/>
      <c r="FJ206" s="97" t="s">
        <v>4466</v>
      </c>
      <c r="FK206" s="97" t="s">
        <v>4252</v>
      </c>
      <c r="FL206" s="97" t="s">
        <v>4061</v>
      </c>
      <c r="FM206" s="97" t="s">
        <v>2201</v>
      </c>
      <c r="FN206" s="97" t="s">
        <v>2202</v>
      </c>
      <c r="FO206" s="872" t="s">
        <v>2203</v>
      </c>
    </row>
    <row r="207" spans="5:171" ht="22" customHeight="1" x14ac:dyDescent="0.2">
      <c r="E207" s="94" t="s">
        <v>3236</v>
      </c>
      <c r="F207" s="94" t="s">
        <v>9121</v>
      </c>
      <c r="G207" s="97" t="s">
        <v>336</v>
      </c>
      <c r="H207" s="97" t="s">
        <v>421</v>
      </c>
      <c r="I207" s="97" t="s">
        <v>8763</v>
      </c>
      <c r="J207" s="97" t="s">
        <v>8540</v>
      </c>
      <c r="K207" s="97"/>
      <c r="L207" s="502">
        <v>2022</v>
      </c>
      <c r="M207" s="841">
        <v>44562</v>
      </c>
      <c r="N207" s="841" t="s">
        <v>8233</v>
      </c>
      <c r="O207" s="841"/>
      <c r="P207" s="841"/>
      <c r="Q207" s="841"/>
      <c r="R207" s="841"/>
      <c r="S207" s="841"/>
      <c r="T207" s="841"/>
      <c r="U207" s="841"/>
      <c r="V207" s="841"/>
      <c r="W207" s="841"/>
      <c r="X207" s="841"/>
      <c r="Y207" s="841"/>
      <c r="Z207" s="97" t="s">
        <v>8109</v>
      </c>
      <c r="AA207" s="872" t="s">
        <v>7961</v>
      </c>
      <c r="AB207" s="97"/>
      <c r="AC207" s="97"/>
      <c r="AD207" s="97" t="s">
        <v>7483</v>
      </c>
      <c r="AE207" s="872" t="s">
        <v>7292</v>
      </c>
      <c r="AF207" s="97"/>
      <c r="AG207" s="97"/>
      <c r="AH207" s="97" t="s">
        <v>6855</v>
      </c>
      <c r="AI207" s="97" t="s">
        <v>6855</v>
      </c>
      <c r="AJ207" s="97" t="s">
        <v>6666</v>
      </c>
      <c r="AK207" s="97" t="s">
        <v>6511</v>
      </c>
      <c r="AL207" s="580">
        <f t="shared" si="19"/>
        <v>3</v>
      </c>
      <c r="AM207" s="504">
        <v>3</v>
      </c>
      <c r="AN207" s="516"/>
      <c r="AO207" s="97"/>
      <c r="AP207" s="97"/>
      <c r="AQ207" s="504">
        <v>3</v>
      </c>
      <c r="AR207" s="963">
        <v>1</v>
      </c>
      <c r="AS207" s="886">
        <v>6.9999999999999999E-4</v>
      </c>
      <c r="AT207" s="516">
        <v>0</v>
      </c>
      <c r="AU207" s="507"/>
      <c r="AV207" s="516">
        <v>0</v>
      </c>
      <c r="AW207" s="507"/>
      <c r="AX207" s="516">
        <v>0</v>
      </c>
      <c r="AY207" s="516"/>
      <c r="AZ207" s="516"/>
      <c r="BA207" s="516"/>
      <c r="BB207" s="516"/>
      <c r="BC207" s="516"/>
      <c r="BD207" s="516"/>
      <c r="BE207" s="507" t="s">
        <v>470</v>
      </c>
      <c r="BF207" s="507"/>
      <c r="BG207" s="507"/>
      <c r="BH207" s="852"/>
      <c r="BI207" s="504">
        <v>3</v>
      </c>
      <c r="BJ207" s="507">
        <v>1.2200000000000001E-2</v>
      </c>
      <c r="BK207" s="96">
        <v>11</v>
      </c>
      <c r="BL207" s="96">
        <v>11</v>
      </c>
      <c r="BM207" s="96">
        <v>4</v>
      </c>
      <c r="BN207" s="96"/>
      <c r="BO207" s="96"/>
      <c r="BP207" s="96"/>
      <c r="BQ207" s="96"/>
      <c r="BR207" s="96"/>
      <c r="BS207" s="96"/>
      <c r="BT207" s="96"/>
      <c r="BU207" s="96"/>
      <c r="BV207" s="96"/>
      <c r="BW207" s="96"/>
      <c r="BX207" s="96"/>
      <c r="BY207" s="96"/>
      <c r="BZ207" s="96"/>
      <c r="CA207" s="96"/>
      <c r="CB207" s="96"/>
      <c r="CC207" s="96"/>
      <c r="CD207" s="96"/>
      <c r="CE207" s="96"/>
      <c r="CF207" s="96"/>
      <c r="CG207" s="96">
        <v>4</v>
      </c>
      <c r="CH207" s="96"/>
      <c r="CI207" s="96"/>
      <c r="CJ207" s="96"/>
      <c r="CK207" s="96"/>
      <c r="CL207" s="815">
        <f t="shared" si="18"/>
        <v>4</v>
      </c>
      <c r="CM207" s="824">
        <f t="shared" si="20"/>
        <v>0</v>
      </c>
      <c r="CN207" s="504">
        <v>7.6639999999999997</v>
      </c>
      <c r="CO207" s="97" t="s">
        <v>6115</v>
      </c>
      <c r="CP207" s="97"/>
      <c r="CQ207" s="97">
        <v>6.09</v>
      </c>
      <c r="CR207" s="504">
        <v>125.545</v>
      </c>
      <c r="CS207" s="872" t="s">
        <v>5884</v>
      </c>
      <c r="CT207" s="97" t="s">
        <v>470</v>
      </c>
      <c r="CU207" s="97"/>
      <c r="CV207" s="97"/>
      <c r="CW207" s="97"/>
      <c r="CX207" s="96"/>
      <c r="CY207" s="96"/>
      <c r="CZ207" s="96">
        <v>8</v>
      </c>
      <c r="DA207" s="97" t="s">
        <v>470</v>
      </c>
      <c r="DB207" s="97"/>
      <c r="DC207" s="96"/>
      <c r="DD207" s="97" t="s">
        <v>470</v>
      </c>
      <c r="DE207" s="97"/>
      <c r="DF207" s="96"/>
      <c r="DG207" s="96" t="s">
        <v>470</v>
      </c>
      <c r="DH207" s="96"/>
      <c r="DI207" s="96"/>
      <c r="DJ207" s="96" t="s">
        <v>470</v>
      </c>
      <c r="DK207" s="96"/>
      <c r="DL207" s="96"/>
      <c r="DM207" s="97" t="s">
        <v>470</v>
      </c>
      <c r="DN207" s="97"/>
      <c r="DO207" s="96"/>
      <c r="DP207" s="97" t="s">
        <v>470</v>
      </c>
      <c r="DQ207" s="97"/>
      <c r="DR207" s="96"/>
      <c r="DS207" s="97" t="s">
        <v>470</v>
      </c>
      <c r="DT207" s="97"/>
      <c r="DU207" s="96"/>
      <c r="DV207" s="97" t="s">
        <v>5511</v>
      </c>
      <c r="DW207" s="97" t="s">
        <v>5485</v>
      </c>
      <c r="DX207" s="97">
        <v>4.2439999999999998</v>
      </c>
      <c r="DY207" s="97" t="s">
        <v>470</v>
      </c>
      <c r="DZ207" s="97"/>
      <c r="EA207" s="96"/>
      <c r="EB207" s="97" t="s">
        <v>470</v>
      </c>
      <c r="EC207" s="97"/>
      <c r="ED207" s="96"/>
      <c r="EE207" s="96" t="s">
        <v>470</v>
      </c>
      <c r="EF207" s="96"/>
      <c r="EG207" s="96"/>
      <c r="EH207" s="97" t="s">
        <v>470</v>
      </c>
      <c r="EI207" s="97"/>
      <c r="EJ207" s="96"/>
      <c r="EK207" s="97" t="s">
        <v>470</v>
      </c>
      <c r="EL207" s="97"/>
      <c r="EM207" s="96"/>
      <c r="EN207" s="97" t="s">
        <v>470</v>
      </c>
      <c r="EO207" s="97"/>
      <c r="EP207" s="96"/>
      <c r="EQ207" s="96" t="s">
        <v>470</v>
      </c>
      <c r="ER207" s="96"/>
      <c r="ES207" s="96"/>
      <c r="ET207" s="97" t="s">
        <v>5247</v>
      </c>
      <c r="EU207" s="97" t="s">
        <v>5230</v>
      </c>
      <c r="EV207" s="96">
        <v>11</v>
      </c>
      <c r="EW207" s="96"/>
      <c r="EX207" s="96"/>
      <c r="EY207" s="96"/>
      <c r="EZ207" s="97" t="s">
        <v>470</v>
      </c>
      <c r="FA207" s="97"/>
      <c r="FB207" s="97"/>
      <c r="FC207" s="97"/>
      <c r="FD207" s="97"/>
      <c r="FE207" s="97"/>
      <c r="FF207" s="97"/>
      <c r="FG207" s="97"/>
      <c r="FH207" s="97"/>
      <c r="FI207" s="97"/>
      <c r="FJ207" s="97" t="s">
        <v>4465</v>
      </c>
      <c r="FK207" s="97" t="s">
        <v>4251</v>
      </c>
      <c r="FL207" s="872" t="s">
        <v>4060</v>
      </c>
      <c r="FM207" s="97" t="s">
        <v>2201</v>
      </c>
      <c r="FN207" s="97" t="s">
        <v>2202</v>
      </c>
      <c r="FO207" s="872" t="s">
        <v>2203</v>
      </c>
    </row>
    <row r="208" spans="5:171" ht="22" customHeight="1" x14ac:dyDescent="0.2">
      <c r="E208" s="94" t="s">
        <v>9305</v>
      </c>
      <c r="F208" s="94" t="s">
        <v>9121</v>
      </c>
      <c r="G208" s="97" t="s">
        <v>336</v>
      </c>
      <c r="H208" s="97" t="s">
        <v>421</v>
      </c>
      <c r="I208" s="97" t="s">
        <v>8762</v>
      </c>
      <c r="J208" s="97" t="s">
        <v>8539</v>
      </c>
      <c r="K208" s="97"/>
      <c r="L208" s="502">
        <v>2022</v>
      </c>
      <c r="M208" s="841">
        <v>44676</v>
      </c>
      <c r="N208" s="841">
        <v>44896</v>
      </c>
      <c r="O208" s="841"/>
      <c r="P208" s="841"/>
      <c r="Q208" s="841"/>
      <c r="R208" s="841"/>
      <c r="S208" s="841"/>
      <c r="T208" s="841"/>
      <c r="U208" s="841"/>
      <c r="V208" s="841"/>
      <c r="W208" s="841"/>
      <c r="X208" s="841"/>
      <c r="Y208" s="841"/>
      <c r="Z208" s="97" t="s">
        <v>8108</v>
      </c>
      <c r="AA208" s="849" t="s">
        <v>7960</v>
      </c>
      <c r="AB208" s="97" t="s">
        <v>7814</v>
      </c>
      <c r="AC208" s="849" t="s">
        <v>7646</v>
      </c>
      <c r="AD208" s="97" t="s">
        <v>7482</v>
      </c>
      <c r="AE208" s="849" t="s">
        <v>7291</v>
      </c>
      <c r="AF208" s="97"/>
      <c r="AG208" s="97"/>
      <c r="AH208" s="97" t="s">
        <v>6854</v>
      </c>
      <c r="AI208" s="97" t="s">
        <v>6854</v>
      </c>
      <c r="AJ208" s="97" t="s">
        <v>6703</v>
      </c>
      <c r="AK208" s="97" t="s">
        <v>6510</v>
      </c>
      <c r="AL208" s="580">
        <f t="shared" si="19"/>
        <v>10.7</v>
      </c>
      <c r="AM208" s="504">
        <v>10.7</v>
      </c>
      <c r="AN208" s="516"/>
      <c r="AO208" s="97"/>
      <c r="AP208" s="97"/>
      <c r="AQ208" s="504">
        <v>8.6</v>
      </c>
      <c r="AR208" s="507">
        <v>0.80400000000000005</v>
      </c>
      <c r="AS208" s="507">
        <v>0.01</v>
      </c>
      <c r="AT208" s="516">
        <v>0</v>
      </c>
      <c r="AU208" s="507"/>
      <c r="AV208" s="516">
        <v>0</v>
      </c>
      <c r="AW208" s="507"/>
      <c r="AX208" s="516">
        <v>2.1</v>
      </c>
      <c r="AY208" s="507">
        <v>0.19600000000000001</v>
      </c>
      <c r="AZ208" s="516"/>
      <c r="BA208" s="507"/>
      <c r="BB208" s="507"/>
      <c r="BC208" s="507"/>
      <c r="BD208" s="507"/>
      <c r="BE208" s="507" t="s">
        <v>479</v>
      </c>
      <c r="BF208" s="507" t="s">
        <v>6308</v>
      </c>
      <c r="BG208" s="507"/>
      <c r="BH208" s="852"/>
      <c r="BI208" s="504">
        <v>20</v>
      </c>
      <c r="BJ208" s="507">
        <v>1.7999999999999999E-2</v>
      </c>
      <c r="BK208" s="96">
        <v>12</v>
      </c>
      <c r="BL208" s="96">
        <v>12</v>
      </c>
      <c r="BM208" s="96">
        <v>11</v>
      </c>
      <c r="BN208" s="96">
        <v>4</v>
      </c>
      <c r="BO208" s="96">
        <v>3</v>
      </c>
      <c r="BP208" s="96"/>
      <c r="BQ208" s="96"/>
      <c r="BR208" s="96"/>
      <c r="BS208" s="96"/>
      <c r="BT208" s="96"/>
      <c r="BU208" s="96"/>
      <c r="BV208" s="96">
        <v>1</v>
      </c>
      <c r="BW208" s="96"/>
      <c r="BX208" s="96"/>
      <c r="BY208" s="96"/>
      <c r="BZ208" s="96"/>
      <c r="CA208" s="96"/>
      <c r="CB208" s="96"/>
      <c r="CC208" s="96"/>
      <c r="CD208" s="96"/>
      <c r="CE208" s="96"/>
      <c r="CF208" s="96"/>
      <c r="CG208" s="96"/>
      <c r="CH208" s="96">
        <v>1</v>
      </c>
      <c r="CI208" s="96">
        <v>1</v>
      </c>
      <c r="CJ208" s="96">
        <v>1</v>
      </c>
      <c r="CK208" s="96"/>
      <c r="CL208" s="815">
        <f t="shared" si="18"/>
        <v>11</v>
      </c>
      <c r="CM208" s="824">
        <f t="shared" si="20"/>
        <v>0</v>
      </c>
      <c r="CN208" s="504">
        <v>24.175000000000001</v>
      </c>
      <c r="CO208" s="97" t="s">
        <v>6114</v>
      </c>
      <c r="CP208" s="97"/>
      <c r="CQ208" s="97">
        <v>52.81</v>
      </c>
      <c r="CR208" s="504">
        <v>45.779000000000003</v>
      </c>
      <c r="CS208" s="850" t="s">
        <v>5883</v>
      </c>
      <c r="CT208" s="97" t="s">
        <v>470</v>
      </c>
      <c r="CU208" s="97"/>
      <c r="CV208" s="97"/>
      <c r="CW208" s="97"/>
      <c r="CX208" s="96"/>
      <c r="CY208" s="96"/>
      <c r="CZ208" s="96">
        <v>2</v>
      </c>
      <c r="DA208" s="97" t="s">
        <v>479</v>
      </c>
      <c r="DB208" s="97" t="s">
        <v>3521</v>
      </c>
      <c r="DC208" s="96">
        <v>171</v>
      </c>
      <c r="DD208" s="97" t="s">
        <v>479</v>
      </c>
      <c r="DE208" s="97" t="s">
        <v>5635</v>
      </c>
      <c r="DF208" s="96">
        <v>171</v>
      </c>
      <c r="DG208" s="96" t="s">
        <v>470</v>
      </c>
      <c r="DH208" s="96"/>
      <c r="DI208" s="96"/>
      <c r="DJ208" s="96" t="s">
        <v>470</v>
      </c>
      <c r="DK208" s="96"/>
      <c r="DL208" s="96"/>
      <c r="DM208" s="97" t="s">
        <v>470</v>
      </c>
      <c r="DN208" s="97"/>
      <c r="DO208" s="96"/>
      <c r="DP208" s="97" t="s">
        <v>470</v>
      </c>
      <c r="DQ208" s="97"/>
      <c r="DR208" s="96"/>
      <c r="DS208" s="97" t="s">
        <v>470</v>
      </c>
      <c r="DT208" s="97"/>
      <c r="DU208" s="96"/>
      <c r="DV208" s="97"/>
      <c r="DW208" s="97"/>
      <c r="DX208" s="96"/>
      <c r="DY208" s="97" t="s">
        <v>470</v>
      </c>
      <c r="DZ208" s="97"/>
      <c r="EA208" s="96"/>
      <c r="EB208" s="97" t="s">
        <v>470</v>
      </c>
      <c r="EC208" s="97"/>
      <c r="ED208" s="96"/>
      <c r="EE208" s="96" t="s">
        <v>470</v>
      </c>
      <c r="EF208" s="96"/>
      <c r="EG208" s="96"/>
      <c r="EH208" s="97" t="s">
        <v>470</v>
      </c>
      <c r="EI208" s="97"/>
      <c r="EJ208" s="96"/>
      <c r="EK208" s="97" t="s">
        <v>470</v>
      </c>
      <c r="EL208" s="97"/>
      <c r="EM208" s="96"/>
      <c r="EN208" s="97" t="s">
        <v>479</v>
      </c>
      <c r="EO208" s="97" t="s">
        <v>5352</v>
      </c>
      <c r="EP208" s="96">
        <v>10</v>
      </c>
      <c r="EQ208" s="96" t="s">
        <v>470</v>
      </c>
      <c r="ER208" s="96"/>
      <c r="ES208" s="96"/>
      <c r="ET208" s="97"/>
      <c r="EU208" s="97"/>
      <c r="EV208" s="96"/>
      <c r="EW208" s="96"/>
      <c r="EX208" s="96"/>
      <c r="EY208" s="96"/>
      <c r="EZ208" s="97" t="s">
        <v>470</v>
      </c>
      <c r="FA208" s="97"/>
      <c r="FB208" s="849" t="s">
        <v>5131</v>
      </c>
      <c r="FC208" s="849" t="s">
        <v>4989</v>
      </c>
      <c r="FD208" s="849"/>
      <c r="FE208" s="97"/>
      <c r="FF208" s="97"/>
      <c r="FG208" s="97"/>
      <c r="FH208" s="97"/>
      <c r="FI208" s="97"/>
      <c r="FJ208" s="97" t="s">
        <v>4464</v>
      </c>
      <c r="FK208" s="97" t="s">
        <v>4250</v>
      </c>
      <c r="FL208" s="849" t="s">
        <v>4059</v>
      </c>
      <c r="FM208" s="97" t="s">
        <v>2201</v>
      </c>
      <c r="FN208" s="97" t="s">
        <v>2202</v>
      </c>
      <c r="FO208" s="849" t="s">
        <v>2203</v>
      </c>
    </row>
    <row r="209" spans="5:171" ht="70" customHeight="1" x14ac:dyDescent="0.2">
      <c r="E209" s="94" t="s">
        <v>9310</v>
      </c>
      <c r="F209" s="94" t="s">
        <v>9120</v>
      </c>
      <c r="G209" s="198" t="s">
        <v>337</v>
      </c>
      <c r="H209" s="198" t="s">
        <v>422</v>
      </c>
      <c r="I209" s="198"/>
      <c r="J209" s="198" t="s">
        <v>1193</v>
      </c>
      <c r="K209" s="198" t="s">
        <v>1194</v>
      </c>
      <c r="L209" s="578">
        <v>2019</v>
      </c>
      <c r="M209" s="822" t="s">
        <v>1195</v>
      </c>
      <c r="N209" s="822" t="s">
        <v>816</v>
      </c>
      <c r="O209" s="198" t="s">
        <v>1196</v>
      </c>
      <c r="P209" s="198" t="s">
        <v>1197</v>
      </c>
      <c r="Q209" s="549" t="s">
        <v>1198</v>
      </c>
      <c r="R209" s="198" t="s">
        <v>656</v>
      </c>
      <c r="S209" s="198" t="s">
        <v>656</v>
      </c>
      <c r="T209" s="198" t="s">
        <v>656</v>
      </c>
      <c r="U209" s="198" t="s">
        <v>656</v>
      </c>
      <c r="V209" s="198" t="s">
        <v>1199</v>
      </c>
      <c r="W209" s="549" t="s">
        <v>1200</v>
      </c>
      <c r="X209" s="198" t="s">
        <v>1201</v>
      </c>
      <c r="Y209" s="549" t="s">
        <v>1202</v>
      </c>
      <c r="Z209" s="549"/>
      <c r="AA209" s="549"/>
      <c r="AB209" s="549"/>
      <c r="AC209" s="549"/>
      <c r="AD209" s="549"/>
      <c r="AE209" s="549"/>
      <c r="AF209" s="549"/>
      <c r="AG209" s="549"/>
      <c r="AH209" s="198" t="s">
        <v>1203</v>
      </c>
      <c r="AI209" s="198" t="s">
        <v>1204</v>
      </c>
      <c r="AJ209" s="198" t="s">
        <v>1205</v>
      </c>
      <c r="AK209" s="198" t="s">
        <v>1206</v>
      </c>
      <c r="AL209" s="580">
        <f t="shared" si="19"/>
        <v>353.73689968999997</v>
      </c>
      <c r="AM209" s="504">
        <v>353.73689968999997</v>
      </c>
      <c r="AN209" s="516">
        <v>326.62029131999998</v>
      </c>
      <c r="AO209" s="137">
        <v>0.92334135247737004</v>
      </c>
      <c r="AP209" s="137">
        <v>5.6669275559999999E-3</v>
      </c>
      <c r="AQ209" s="504">
        <v>27.116608370000002</v>
      </c>
      <c r="AR209" s="137">
        <v>7.6658647526199997E-2</v>
      </c>
      <c r="AS209" s="137"/>
      <c r="AT209" s="520">
        <v>0</v>
      </c>
      <c r="AU209" s="137">
        <v>0</v>
      </c>
      <c r="AV209" s="520">
        <v>0</v>
      </c>
      <c r="AW209" s="137">
        <v>0</v>
      </c>
      <c r="AX209" s="520"/>
      <c r="AY209" s="137">
        <v>0</v>
      </c>
      <c r="AZ209" s="520">
        <v>0</v>
      </c>
      <c r="BA209" s="137">
        <v>0</v>
      </c>
      <c r="BB209" s="198" t="s">
        <v>656</v>
      </c>
      <c r="BC209" s="198" t="s">
        <v>656</v>
      </c>
      <c r="BD209" s="198" t="s">
        <v>656</v>
      </c>
      <c r="BE209" s="198" t="s">
        <v>470</v>
      </c>
      <c r="BF209" s="198" t="s">
        <v>656</v>
      </c>
      <c r="BG209" s="198" t="s">
        <v>656</v>
      </c>
      <c r="BH209" s="198">
        <v>0</v>
      </c>
      <c r="BI209" s="580">
        <v>253.995</v>
      </c>
      <c r="BJ209" s="137">
        <v>3.9148132204E-3</v>
      </c>
      <c r="BK209" s="83">
        <v>569</v>
      </c>
      <c r="BL209" s="83">
        <v>261</v>
      </c>
      <c r="BM209" s="83">
        <v>261</v>
      </c>
      <c r="BN209" s="83">
        <v>0</v>
      </c>
      <c r="BO209" s="83">
        <v>261</v>
      </c>
      <c r="BP209" s="83">
        <v>0</v>
      </c>
      <c r="BQ209" s="83">
        <v>0</v>
      </c>
      <c r="BR209" s="83">
        <v>0</v>
      </c>
      <c r="BS209" s="83">
        <v>0</v>
      </c>
      <c r="BT209" s="83">
        <v>0</v>
      </c>
      <c r="BU209" s="83">
        <v>0</v>
      </c>
      <c r="BV209" s="83">
        <v>0</v>
      </c>
      <c r="BW209" s="83">
        <v>0</v>
      </c>
      <c r="BX209" s="83">
        <v>0</v>
      </c>
      <c r="BY209" s="83">
        <v>0</v>
      </c>
      <c r="BZ209" s="83">
        <v>0</v>
      </c>
      <c r="CA209" s="83">
        <v>0</v>
      </c>
      <c r="CB209" s="83">
        <v>0</v>
      </c>
      <c r="CC209" s="83">
        <v>0</v>
      </c>
      <c r="CD209" s="83">
        <v>0</v>
      </c>
      <c r="CE209" s="83">
        <v>0</v>
      </c>
      <c r="CF209" s="83">
        <v>0</v>
      </c>
      <c r="CG209" s="83">
        <v>0</v>
      </c>
      <c r="CH209" s="83">
        <v>0</v>
      </c>
      <c r="CI209" s="83">
        <v>0</v>
      </c>
      <c r="CJ209" s="83">
        <v>0</v>
      </c>
      <c r="CK209" s="83">
        <v>0</v>
      </c>
      <c r="CL209" s="824">
        <f t="shared" si="18"/>
        <v>261</v>
      </c>
      <c r="CM209" s="824">
        <f t="shared" si="20"/>
        <v>0</v>
      </c>
      <c r="CN209" s="580">
        <v>164.55799999999999</v>
      </c>
      <c r="CO209" s="198" t="s">
        <v>1207</v>
      </c>
      <c r="CP209" s="549" t="s">
        <v>1208</v>
      </c>
      <c r="CQ209" s="137">
        <v>0.28075389547349999</v>
      </c>
      <c r="CR209" s="580">
        <v>586.12900000000002</v>
      </c>
      <c r="CS209" s="834" t="s">
        <v>1209</v>
      </c>
      <c r="CT209" s="198" t="s">
        <v>479</v>
      </c>
      <c r="CU209" s="198" t="s">
        <v>1210</v>
      </c>
      <c r="CV209" s="549" t="s">
        <v>1211</v>
      </c>
      <c r="CW209" s="198" t="s">
        <v>1212</v>
      </c>
      <c r="CX209" s="83">
        <v>5</v>
      </c>
      <c r="CY209" s="83">
        <v>101</v>
      </c>
      <c r="CZ209" s="83">
        <v>0</v>
      </c>
      <c r="DA209" s="198" t="s">
        <v>479</v>
      </c>
      <c r="DB209" s="198" t="s">
        <v>1213</v>
      </c>
      <c r="DC209" s="83">
        <v>16745</v>
      </c>
      <c r="DD209" s="198" t="s">
        <v>479</v>
      </c>
      <c r="DE209" s="198" t="s">
        <v>1214</v>
      </c>
      <c r="DF209" s="83">
        <v>6320</v>
      </c>
      <c r="DG209" s="83" t="s">
        <v>470</v>
      </c>
      <c r="DH209" s="83" t="s">
        <v>656</v>
      </c>
      <c r="DI209" s="83">
        <v>0</v>
      </c>
      <c r="DJ209" s="83" t="s">
        <v>470</v>
      </c>
      <c r="DK209" s="83" t="s">
        <v>656</v>
      </c>
      <c r="DL209" s="83">
        <v>0</v>
      </c>
      <c r="DM209" s="198" t="s">
        <v>470</v>
      </c>
      <c r="DN209" s="198" t="s">
        <v>656</v>
      </c>
      <c r="DO209" s="83">
        <v>0</v>
      </c>
      <c r="DP209" s="198" t="s">
        <v>479</v>
      </c>
      <c r="DQ209" s="198" t="s">
        <v>1215</v>
      </c>
      <c r="DR209" s="83">
        <v>49310</v>
      </c>
      <c r="DS209" s="198" t="s">
        <v>470</v>
      </c>
      <c r="DT209" s="198" t="s">
        <v>656</v>
      </c>
      <c r="DU209" s="83">
        <v>0</v>
      </c>
      <c r="DV209" s="198" t="s">
        <v>1216</v>
      </c>
      <c r="DW209" s="198" t="s">
        <v>1217</v>
      </c>
      <c r="DX209" s="83">
        <v>631</v>
      </c>
      <c r="DY209" s="198" t="s">
        <v>470</v>
      </c>
      <c r="DZ209" s="198" t="s">
        <v>656</v>
      </c>
      <c r="EA209" s="83">
        <v>0</v>
      </c>
      <c r="EB209" s="198" t="s">
        <v>479</v>
      </c>
      <c r="EC209" s="503" t="s">
        <v>1218</v>
      </c>
      <c r="ED209" s="83">
        <v>24949</v>
      </c>
      <c r="EE209" s="83" t="s">
        <v>470</v>
      </c>
      <c r="EF209" s="83" t="s">
        <v>656</v>
      </c>
      <c r="EG209" s="83">
        <v>0</v>
      </c>
      <c r="EH209" s="198" t="s">
        <v>470</v>
      </c>
      <c r="EI209" s="198" t="s">
        <v>656</v>
      </c>
      <c r="EJ209" s="83">
        <v>0</v>
      </c>
      <c r="EK209" s="198" t="s">
        <v>470</v>
      </c>
      <c r="EL209" s="198" t="s">
        <v>656</v>
      </c>
      <c r="EM209" s="83">
        <v>0</v>
      </c>
      <c r="EN209" s="198" t="s">
        <v>470</v>
      </c>
      <c r="EO209" s="198" t="s">
        <v>656</v>
      </c>
      <c r="EP209" s="83">
        <v>0</v>
      </c>
      <c r="EQ209" s="83" t="s">
        <v>470</v>
      </c>
      <c r="ER209" s="83" t="s">
        <v>656</v>
      </c>
      <c r="ES209" s="83">
        <v>0</v>
      </c>
      <c r="ET209" s="198" t="s">
        <v>470</v>
      </c>
      <c r="EU209" s="198" t="s">
        <v>656</v>
      </c>
      <c r="EV209" s="83">
        <v>0</v>
      </c>
      <c r="EW209" s="837">
        <v>1</v>
      </c>
      <c r="EX209" s="198" t="s">
        <v>656</v>
      </c>
      <c r="EY209" s="505">
        <v>119</v>
      </c>
      <c r="EZ209" s="198" t="s">
        <v>1219</v>
      </c>
      <c r="FA209" s="198" t="s">
        <v>1220</v>
      </c>
      <c r="FB209" s="549" t="s">
        <v>1221</v>
      </c>
      <c r="FC209" s="964" t="s">
        <v>1222</v>
      </c>
      <c r="FD209" s="549" t="s">
        <v>1221</v>
      </c>
      <c r="FE209" s="198" t="s">
        <v>1223</v>
      </c>
      <c r="FF209" s="549" t="s">
        <v>1224</v>
      </c>
      <c r="FG209" s="198" t="s">
        <v>1225</v>
      </c>
      <c r="FH209" s="198">
        <v>1</v>
      </c>
      <c r="FI209" s="198">
        <v>150</v>
      </c>
      <c r="FJ209" s="198" t="s">
        <v>1226</v>
      </c>
      <c r="FK209" s="198" t="s">
        <v>1227</v>
      </c>
      <c r="FL209" s="549" t="s">
        <v>1228</v>
      </c>
      <c r="FM209" s="198" t="s">
        <v>1229</v>
      </c>
      <c r="FN209" s="198" t="s">
        <v>1230</v>
      </c>
      <c r="FO209" s="549" t="s">
        <v>1231</v>
      </c>
    </row>
    <row r="210" spans="5:171" ht="48" customHeight="1" x14ac:dyDescent="0.2">
      <c r="E210" s="94" t="s">
        <v>9303</v>
      </c>
      <c r="F210" s="94" t="s">
        <v>9120</v>
      </c>
      <c r="G210" s="198" t="s">
        <v>337</v>
      </c>
      <c r="H210" s="198" t="s">
        <v>422</v>
      </c>
      <c r="I210" s="198"/>
      <c r="J210" s="198" t="s">
        <v>1232</v>
      </c>
      <c r="K210" s="198" t="s">
        <v>470</v>
      </c>
      <c r="L210" s="578">
        <v>2020</v>
      </c>
      <c r="M210" s="822">
        <v>44197</v>
      </c>
      <c r="N210" s="822" t="s">
        <v>865</v>
      </c>
      <c r="O210" s="198" t="s">
        <v>1233</v>
      </c>
      <c r="P210" s="198" t="s">
        <v>1234</v>
      </c>
      <c r="Q210" s="844" t="s">
        <v>1235</v>
      </c>
      <c r="R210" s="198" t="s">
        <v>656</v>
      </c>
      <c r="S210" s="198" t="s">
        <v>656</v>
      </c>
      <c r="T210" s="198" t="s">
        <v>656</v>
      </c>
      <c r="U210" s="198" t="s">
        <v>656</v>
      </c>
      <c r="V210" s="198" t="s">
        <v>656</v>
      </c>
      <c r="W210" s="198" t="s">
        <v>656</v>
      </c>
      <c r="X210" s="198" t="s">
        <v>656</v>
      </c>
      <c r="Y210" s="198" t="s">
        <v>656</v>
      </c>
      <c r="Z210" s="198"/>
      <c r="AA210" s="198"/>
      <c r="AB210" s="198"/>
      <c r="AC210" s="198"/>
      <c r="AD210" s="198"/>
      <c r="AE210" s="198"/>
      <c r="AF210" s="198"/>
      <c r="AG210" s="198"/>
      <c r="AH210" s="198" t="s">
        <v>1236</v>
      </c>
      <c r="AI210" s="198" t="s">
        <v>1236</v>
      </c>
      <c r="AJ210" s="198" t="s">
        <v>1237</v>
      </c>
      <c r="AK210" s="198" t="s">
        <v>1238</v>
      </c>
      <c r="AL210" s="580">
        <f t="shared" si="19"/>
        <v>41.073000000000008</v>
      </c>
      <c r="AM210" s="504">
        <v>41.073000000000008</v>
      </c>
      <c r="AN210" s="516">
        <v>27.018000000000001</v>
      </c>
      <c r="AO210" s="137">
        <v>0.65800000000000003</v>
      </c>
      <c r="AP210" s="137">
        <v>5.0000000000000001E-4</v>
      </c>
      <c r="AQ210" s="504">
        <v>8.6</v>
      </c>
      <c r="AR210" s="137">
        <v>0.20899999999999999</v>
      </c>
      <c r="AS210" s="137"/>
      <c r="AT210" s="520">
        <v>3.7</v>
      </c>
      <c r="AU210" s="137">
        <v>0.09</v>
      </c>
      <c r="AV210" s="520"/>
      <c r="AW210" s="137"/>
      <c r="AX210" s="520"/>
      <c r="AY210" s="137"/>
      <c r="AZ210" s="520">
        <v>1.7549999999999999</v>
      </c>
      <c r="BA210" s="137">
        <v>4.2999999999999997E-2</v>
      </c>
      <c r="BB210" s="198" t="s">
        <v>1239</v>
      </c>
      <c r="BC210" s="198" t="s">
        <v>875</v>
      </c>
      <c r="BD210" s="198" t="s">
        <v>1236</v>
      </c>
      <c r="BE210" s="198" t="s">
        <v>479</v>
      </c>
      <c r="BF210" s="198" t="s">
        <v>1111</v>
      </c>
      <c r="BG210" s="198"/>
      <c r="BH210" s="198"/>
      <c r="BI210" s="520">
        <v>0.2</v>
      </c>
      <c r="BJ210" s="137">
        <f>BI210/64880.49*100</f>
        <v>3.0825907757478407E-4</v>
      </c>
      <c r="BK210" s="83">
        <v>57</v>
      </c>
      <c r="BL210" s="83">
        <v>57</v>
      </c>
      <c r="BM210" s="83">
        <v>57</v>
      </c>
      <c r="BN210" s="83">
        <v>0</v>
      </c>
      <c r="BO210" s="83">
        <v>10</v>
      </c>
      <c r="BP210" s="83">
        <v>5</v>
      </c>
      <c r="BQ210" s="83">
        <v>0</v>
      </c>
      <c r="BR210" s="83">
        <v>0</v>
      </c>
      <c r="BS210" s="83">
        <v>0</v>
      </c>
      <c r="BT210" s="83">
        <v>0</v>
      </c>
      <c r="BU210" s="83">
        <v>0</v>
      </c>
      <c r="BV210" s="83">
        <v>16</v>
      </c>
      <c r="BW210" s="83">
        <v>0</v>
      </c>
      <c r="BX210" s="83">
        <v>4</v>
      </c>
      <c r="BY210" s="83">
        <v>8</v>
      </c>
      <c r="BZ210" s="83">
        <v>0</v>
      </c>
      <c r="CA210" s="83">
        <v>14</v>
      </c>
      <c r="CB210" s="83">
        <v>0</v>
      </c>
      <c r="CC210" s="83">
        <v>0</v>
      </c>
      <c r="CD210" s="83">
        <v>0</v>
      </c>
      <c r="CE210" s="83">
        <v>0</v>
      </c>
      <c r="CF210" s="83">
        <v>0</v>
      </c>
      <c r="CG210" s="83">
        <v>0</v>
      </c>
      <c r="CH210" s="83">
        <v>0</v>
      </c>
      <c r="CI210" s="83">
        <v>0</v>
      </c>
      <c r="CJ210" s="83">
        <v>0</v>
      </c>
      <c r="CK210" s="83">
        <v>0</v>
      </c>
      <c r="CL210" s="824">
        <f t="shared" si="18"/>
        <v>57</v>
      </c>
      <c r="CM210" s="824">
        <f t="shared" si="20"/>
        <v>0</v>
      </c>
      <c r="CN210" s="581">
        <v>63.066000000000003</v>
      </c>
      <c r="CO210" s="581"/>
      <c r="CP210" s="198" t="s">
        <v>1240</v>
      </c>
      <c r="CQ210" s="198" t="s">
        <v>1241</v>
      </c>
      <c r="CR210" s="580">
        <v>586.12900000000002</v>
      </c>
      <c r="CT210" s="873" t="s">
        <v>1242</v>
      </c>
      <c r="CU210" s="198" t="s">
        <v>470</v>
      </c>
      <c r="CV210" s="198" t="s">
        <v>470</v>
      </c>
      <c r="CW210" s="198" t="s">
        <v>470</v>
      </c>
      <c r="CX210" s="198" t="s">
        <v>470</v>
      </c>
      <c r="CY210" s="83" t="s">
        <v>470</v>
      </c>
      <c r="CZ210" s="83" t="s">
        <v>470</v>
      </c>
      <c r="DA210" s="83" t="s">
        <v>470</v>
      </c>
      <c r="DB210" s="198" t="s">
        <v>470</v>
      </c>
      <c r="DC210" s="198"/>
      <c r="DD210" s="83"/>
      <c r="DE210" s="198" t="s">
        <v>470</v>
      </c>
      <c r="DF210" s="198"/>
      <c r="DG210" s="83"/>
      <c r="DH210" s="83" t="s">
        <v>470</v>
      </c>
      <c r="DI210" s="83"/>
      <c r="DJ210" s="83"/>
      <c r="DK210" s="83" t="s">
        <v>470</v>
      </c>
      <c r="DL210" s="83"/>
      <c r="DM210" s="83"/>
      <c r="DN210" s="198" t="s">
        <v>470</v>
      </c>
      <c r="DO210" s="198"/>
      <c r="DP210" s="83"/>
      <c r="DQ210" s="198" t="s">
        <v>470</v>
      </c>
      <c r="DR210" s="198"/>
      <c r="DS210" s="83"/>
      <c r="DT210" s="198" t="s">
        <v>470</v>
      </c>
      <c r="DU210" s="198"/>
      <c r="DV210" s="83"/>
      <c r="DW210" s="198" t="s">
        <v>479</v>
      </c>
      <c r="DX210" s="198" t="s">
        <v>1243</v>
      </c>
      <c r="DY210" s="83" t="s">
        <v>1244</v>
      </c>
      <c r="DZ210" s="198" t="s">
        <v>470</v>
      </c>
      <c r="EA210" s="198"/>
      <c r="EB210" s="83"/>
      <c r="EC210" s="198" t="s">
        <v>470</v>
      </c>
      <c r="ED210" s="198"/>
      <c r="EE210" s="83"/>
      <c r="EF210" s="83" t="s">
        <v>479</v>
      </c>
      <c r="EG210" s="83" t="s">
        <v>640</v>
      </c>
      <c r="EH210" s="83" t="s">
        <v>1244</v>
      </c>
      <c r="EI210" s="198" t="s">
        <v>470</v>
      </c>
      <c r="EJ210" s="198"/>
      <c r="EK210" s="83"/>
      <c r="EL210" s="198" t="s">
        <v>470</v>
      </c>
      <c r="EM210" s="198"/>
      <c r="EN210" s="83"/>
      <c r="EO210" s="198" t="s">
        <v>470</v>
      </c>
      <c r="EP210" s="198"/>
      <c r="EQ210" s="83"/>
      <c r="ER210" s="83" t="s">
        <v>470</v>
      </c>
      <c r="ES210" s="83"/>
      <c r="ET210" s="83"/>
      <c r="EU210" s="198" t="s">
        <v>470</v>
      </c>
      <c r="EV210" s="198"/>
      <c r="EW210" s="83"/>
      <c r="EX210" s="198" t="s">
        <v>1245</v>
      </c>
      <c r="EY210" s="198" t="s">
        <v>1246</v>
      </c>
      <c r="EZ210" s="505">
        <v>57</v>
      </c>
      <c r="FA210" s="198" t="s">
        <v>470</v>
      </c>
      <c r="FB210" s="198"/>
      <c r="FC210" s="198" t="s">
        <v>479</v>
      </c>
      <c r="FD210" s="198" t="s">
        <v>1247</v>
      </c>
      <c r="FE210" s="198"/>
      <c r="FF210" s="198" t="s">
        <v>470</v>
      </c>
      <c r="FG210" s="198"/>
      <c r="FH210" s="198"/>
      <c r="FI210" s="198"/>
      <c r="FJ210" s="198" t="s">
        <v>1248</v>
      </c>
      <c r="FK210" s="198" t="s">
        <v>1249</v>
      </c>
      <c r="FL210" s="844" t="s">
        <v>1250</v>
      </c>
      <c r="FM210" s="198" t="s">
        <v>1251</v>
      </c>
      <c r="FN210" s="198" t="s">
        <v>1230</v>
      </c>
      <c r="FO210" s="844" t="s">
        <v>1231</v>
      </c>
    </row>
    <row r="211" spans="5:171" ht="53" customHeight="1" x14ac:dyDescent="0.2">
      <c r="E211" s="94" t="s">
        <v>9303</v>
      </c>
      <c r="F211" s="94" t="s">
        <v>9120</v>
      </c>
      <c r="G211" s="198" t="s">
        <v>337</v>
      </c>
      <c r="H211" s="198" t="s">
        <v>422</v>
      </c>
      <c r="I211" s="198"/>
      <c r="J211" s="826" t="s">
        <v>1252</v>
      </c>
      <c r="K211" s="826" t="s">
        <v>470</v>
      </c>
      <c r="L211" s="827">
        <v>2020</v>
      </c>
      <c r="M211" s="828" t="s">
        <v>1253</v>
      </c>
      <c r="N211" s="828" t="s">
        <v>865</v>
      </c>
      <c r="O211" s="826" t="s">
        <v>1233</v>
      </c>
      <c r="P211" s="826" t="s">
        <v>1234</v>
      </c>
      <c r="Q211" s="877" t="s">
        <v>1235</v>
      </c>
      <c r="R211" s="826" t="s">
        <v>656</v>
      </c>
      <c r="S211" s="826" t="s">
        <v>656</v>
      </c>
      <c r="T211" s="826" t="s">
        <v>656</v>
      </c>
      <c r="U211" s="826" t="s">
        <v>656</v>
      </c>
      <c r="V211" s="826" t="s">
        <v>656</v>
      </c>
      <c r="W211" s="826" t="s">
        <v>656</v>
      </c>
      <c r="X211" s="826" t="s">
        <v>656</v>
      </c>
      <c r="Y211" s="826" t="s">
        <v>656</v>
      </c>
      <c r="Z211" s="826"/>
      <c r="AA211" s="826"/>
      <c r="AB211" s="826"/>
      <c r="AC211" s="826"/>
      <c r="AD211" s="826"/>
      <c r="AE211" s="826"/>
      <c r="AF211" s="826"/>
      <c r="AG211" s="826"/>
      <c r="AH211" s="826" t="s">
        <v>1236</v>
      </c>
      <c r="AI211" s="826" t="s">
        <v>1236</v>
      </c>
      <c r="AJ211" s="826" t="s">
        <v>633</v>
      </c>
      <c r="AK211" s="826" t="s">
        <v>1238</v>
      </c>
      <c r="AL211" s="580">
        <f t="shared" si="19"/>
        <v>141.51500000000001</v>
      </c>
      <c r="AM211" s="504">
        <v>141.51500000000001</v>
      </c>
      <c r="AN211" s="829">
        <v>18.292999999999999</v>
      </c>
      <c r="AO211" s="830">
        <v>0.129</v>
      </c>
      <c r="AP211" s="830"/>
      <c r="AQ211" s="504">
        <v>7.3</v>
      </c>
      <c r="AR211" s="137">
        <v>5.1999999999999998E-2</v>
      </c>
      <c r="AS211" s="137"/>
      <c r="AT211" s="520">
        <v>0</v>
      </c>
      <c r="AU211" s="137"/>
      <c r="AV211" s="520">
        <v>7.4</v>
      </c>
      <c r="AW211" s="137">
        <v>5.1999999999999998E-2</v>
      </c>
      <c r="AX211" s="520"/>
      <c r="AY211" s="137"/>
      <c r="AZ211" s="520">
        <v>108.52200000000001</v>
      </c>
      <c r="BA211" s="830">
        <v>0.76700000000000002</v>
      </c>
      <c r="BB211" s="826" t="s">
        <v>1239</v>
      </c>
      <c r="BC211" s="826" t="s">
        <v>875</v>
      </c>
      <c r="BD211" s="826" t="s">
        <v>1236</v>
      </c>
      <c r="BE211" s="826" t="s">
        <v>470</v>
      </c>
      <c r="BF211" s="826"/>
      <c r="BG211" s="826"/>
      <c r="BH211" s="826"/>
      <c r="BI211" s="965">
        <v>493.8</v>
      </c>
      <c r="BJ211" s="830">
        <v>8.0000000000000002E-3</v>
      </c>
      <c r="BK211" s="832">
        <v>4</v>
      </c>
      <c r="BL211" s="832">
        <v>4</v>
      </c>
      <c r="BM211" s="832">
        <v>2</v>
      </c>
      <c r="BN211" s="832">
        <v>0</v>
      </c>
      <c r="BO211" s="832">
        <v>0</v>
      </c>
      <c r="BP211" s="832">
        <v>0</v>
      </c>
      <c r="BQ211" s="832">
        <v>0</v>
      </c>
      <c r="BR211" s="832">
        <v>0</v>
      </c>
      <c r="BS211" s="832">
        <v>0</v>
      </c>
      <c r="BT211" s="832">
        <v>0</v>
      </c>
      <c r="BU211" s="832">
        <v>0</v>
      </c>
      <c r="BV211" s="832">
        <v>0</v>
      </c>
      <c r="BW211" s="832">
        <v>0</v>
      </c>
      <c r="BX211" s="832">
        <v>0</v>
      </c>
      <c r="BY211" s="832">
        <v>0</v>
      </c>
      <c r="BZ211" s="832">
        <v>0</v>
      </c>
      <c r="CA211" s="832">
        <v>0</v>
      </c>
      <c r="CB211" s="832">
        <v>0</v>
      </c>
      <c r="CC211" s="832">
        <v>0</v>
      </c>
      <c r="CD211" s="832">
        <v>0</v>
      </c>
      <c r="CE211" s="832">
        <v>0</v>
      </c>
      <c r="CF211" s="832">
        <v>0</v>
      </c>
      <c r="CG211" s="832">
        <v>0</v>
      </c>
      <c r="CH211" s="832">
        <v>0</v>
      </c>
      <c r="CI211" s="832">
        <v>0</v>
      </c>
      <c r="CJ211" s="832">
        <v>0</v>
      </c>
      <c r="CK211" s="832">
        <v>2</v>
      </c>
      <c r="CL211" s="833">
        <v>2</v>
      </c>
      <c r="CM211" s="824">
        <f t="shared" si="20"/>
        <v>0</v>
      </c>
      <c r="CN211" s="590">
        <v>27.47</v>
      </c>
      <c r="CO211" s="590"/>
      <c r="CP211" s="826" t="s">
        <v>1254</v>
      </c>
      <c r="CQ211" s="826" t="s">
        <v>1241</v>
      </c>
      <c r="CR211" s="582">
        <v>586.12900000000002</v>
      </c>
      <c r="CT211" s="966" t="s">
        <v>1242</v>
      </c>
      <c r="CU211" s="826" t="s">
        <v>470</v>
      </c>
      <c r="CV211" s="826" t="s">
        <v>470</v>
      </c>
      <c r="CW211" s="826" t="s">
        <v>470</v>
      </c>
      <c r="CX211" s="826" t="s">
        <v>470</v>
      </c>
      <c r="CY211" s="832" t="s">
        <v>470</v>
      </c>
      <c r="CZ211" s="832" t="s">
        <v>470</v>
      </c>
      <c r="DA211" s="832" t="s">
        <v>470</v>
      </c>
      <c r="DB211" s="826" t="s">
        <v>470</v>
      </c>
      <c r="DC211" s="826"/>
      <c r="DD211" s="832"/>
      <c r="DE211" s="826" t="s">
        <v>470</v>
      </c>
      <c r="DF211" s="826"/>
      <c r="DG211" s="832"/>
      <c r="DH211" s="832" t="s">
        <v>470</v>
      </c>
      <c r="DI211" s="832"/>
      <c r="DJ211" s="832"/>
      <c r="DK211" s="832" t="s">
        <v>470</v>
      </c>
      <c r="DL211" s="832"/>
      <c r="DM211" s="832"/>
      <c r="DN211" s="826" t="s">
        <v>470</v>
      </c>
      <c r="DO211" s="826"/>
      <c r="DP211" s="832"/>
      <c r="DQ211" s="826" t="s">
        <v>470</v>
      </c>
      <c r="DR211" s="826"/>
      <c r="DS211" s="832"/>
      <c r="DT211" s="826" t="s">
        <v>470</v>
      </c>
      <c r="DU211" s="826"/>
      <c r="DV211" s="832"/>
      <c r="DW211" s="826" t="s">
        <v>479</v>
      </c>
      <c r="DX211" s="826" t="s">
        <v>1243</v>
      </c>
      <c r="DY211" s="832">
        <v>5498</v>
      </c>
      <c r="DZ211" s="826" t="s">
        <v>470</v>
      </c>
      <c r="EA211" s="826"/>
      <c r="EB211" s="832"/>
      <c r="EC211" s="826" t="s">
        <v>470</v>
      </c>
      <c r="ED211" s="826"/>
      <c r="EE211" s="832"/>
      <c r="EF211" s="832" t="s">
        <v>479</v>
      </c>
      <c r="EG211" s="832" t="s">
        <v>640</v>
      </c>
      <c r="EH211" s="832">
        <v>5498</v>
      </c>
      <c r="EI211" s="826" t="s">
        <v>470</v>
      </c>
      <c r="EJ211" s="826"/>
      <c r="EK211" s="832"/>
      <c r="EL211" s="826" t="s">
        <v>470</v>
      </c>
      <c r="EM211" s="826"/>
      <c r="EN211" s="832"/>
      <c r="EO211" s="826" t="s">
        <v>470</v>
      </c>
      <c r="EP211" s="826"/>
      <c r="EQ211" s="832"/>
      <c r="ER211" s="832" t="s">
        <v>470</v>
      </c>
      <c r="ES211" s="832"/>
      <c r="ET211" s="832"/>
      <c r="EU211" s="826" t="s">
        <v>470</v>
      </c>
      <c r="EV211" s="826"/>
      <c r="EW211" s="832"/>
      <c r="EX211" s="826" t="s">
        <v>1245</v>
      </c>
      <c r="EY211" s="826" t="s">
        <v>1246</v>
      </c>
      <c r="EZ211" s="880">
        <v>2</v>
      </c>
      <c r="FA211" s="826" t="s">
        <v>470</v>
      </c>
      <c r="FB211" s="826"/>
      <c r="FC211" s="826" t="s">
        <v>479</v>
      </c>
      <c r="FD211" s="826" t="s">
        <v>1247</v>
      </c>
      <c r="FE211" s="826"/>
      <c r="FF211" s="826" t="s">
        <v>470</v>
      </c>
      <c r="FG211" s="826"/>
      <c r="FH211" s="826"/>
      <c r="FI211" s="826"/>
      <c r="FJ211" s="826" t="s">
        <v>1248</v>
      </c>
      <c r="FK211" s="826" t="s">
        <v>1249</v>
      </c>
      <c r="FL211" s="877" t="s">
        <v>1250</v>
      </c>
      <c r="FM211" s="826" t="s">
        <v>1251</v>
      </c>
      <c r="FN211" s="826" t="s">
        <v>1230</v>
      </c>
      <c r="FO211" s="877" t="s">
        <v>1231</v>
      </c>
    </row>
    <row r="212" spans="5:171" ht="104" customHeight="1" x14ac:dyDescent="0.2">
      <c r="E212" s="94" t="s">
        <v>9302</v>
      </c>
      <c r="F212" s="94" t="s">
        <v>9120</v>
      </c>
      <c r="G212" s="198" t="s">
        <v>337</v>
      </c>
      <c r="H212" s="198" t="s">
        <v>422</v>
      </c>
      <c r="I212" s="198"/>
      <c r="J212" s="198" t="s">
        <v>1255</v>
      </c>
      <c r="K212" s="198" t="s">
        <v>1256</v>
      </c>
      <c r="L212" s="578">
        <v>2019</v>
      </c>
      <c r="M212" s="822">
        <v>44381</v>
      </c>
      <c r="N212" s="822">
        <v>44920</v>
      </c>
      <c r="O212" s="198" t="s">
        <v>1257</v>
      </c>
      <c r="P212" s="198" t="s">
        <v>1258</v>
      </c>
      <c r="Q212" s="549" t="s">
        <v>1259</v>
      </c>
      <c r="R212" s="198" t="s">
        <v>656</v>
      </c>
      <c r="S212" s="198" t="s">
        <v>656</v>
      </c>
      <c r="T212" s="198" t="s">
        <v>656</v>
      </c>
      <c r="U212" s="198" t="s">
        <v>656</v>
      </c>
      <c r="V212" s="198" t="s">
        <v>1260</v>
      </c>
      <c r="W212" s="549" t="s">
        <v>1261</v>
      </c>
      <c r="X212" s="198" t="s">
        <v>656</v>
      </c>
      <c r="Y212" s="198" t="s">
        <v>656</v>
      </c>
      <c r="Z212" s="198"/>
      <c r="AA212" s="198"/>
      <c r="AB212" s="198"/>
      <c r="AC212" s="198"/>
      <c r="AD212" s="198"/>
      <c r="AE212" s="198"/>
      <c r="AF212" s="198"/>
      <c r="AG212" s="198"/>
      <c r="AH212" s="198" t="s">
        <v>1262</v>
      </c>
      <c r="AI212" s="198" t="s">
        <v>1262</v>
      </c>
      <c r="AJ212" s="198" t="s">
        <v>1263</v>
      </c>
      <c r="AK212" s="198" t="s">
        <v>1264</v>
      </c>
      <c r="AL212" s="580">
        <f t="shared" si="19"/>
        <v>32.441964999999996</v>
      </c>
      <c r="AM212" s="504">
        <v>32.441964999999996</v>
      </c>
      <c r="AN212" s="516">
        <v>14.965899</v>
      </c>
      <c r="AO212" s="137">
        <v>0.46129999999999999</v>
      </c>
      <c r="AP212" s="137">
        <v>2.5900000000000001E-4</v>
      </c>
      <c r="AQ212" s="504">
        <v>17.476065999999999</v>
      </c>
      <c r="AR212" s="137">
        <v>0.53869999999999996</v>
      </c>
      <c r="AS212" s="137"/>
      <c r="AT212" s="520"/>
      <c r="AU212" s="137" t="s">
        <v>656</v>
      </c>
      <c r="AV212" s="520"/>
      <c r="AW212" s="137" t="s">
        <v>656</v>
      </c>
      <c r="AX212" s="520"/>
      <c r="AY212" s="137" t="s">
        <v>656</v>
      </c>
      <c r="AZ212" s="520" t="s">
        <v>656</v>
      </c>
      <c r="BA212" s="137" t="s">
        <v>656</v>
      </c>
      <c r="BB212" s="198" t="s">
        <v>656</v>
      </c>
      <c r="BC212" s="198" t="s">
        <v>656</v>
      </c>
      <c r="BD212" s="198" t="s">
        <v>656</v>
      </c>
      <c r="BE212" s="198" t="s">
        <v>656</v>
      </c>
      <c r="BF212" s="198" t="s">
        <v>656</v>
      </c>
      <c r="BG212" s="198" t="s">
        <v>656</v>
      </c>
      <c r="BH212" s="198" t="s">
        <v>656</v>
      </c>
      <c r="BI212" s="580">
        <v>18</v>
      </c>
      <c r="BJ212" s="137">
        <v>2.7700000000000001E-4</v>
      </c>
      <c r="BK212" s="83">
        <v>562</v>
      </c>
      <c r="BL212" s="83">
        <v>82</v>
      </c>
      <c r="BM212" s="83">
        <v>22</v>
      </c>
      <c r="BN212" s="83">
        <v>0</v>
      </c>
      <c r="BO212" s="83">
        <v>0</v>
      </c>
      <c r="BP212" s="83">
        <v>0</v>
      </c>
      <c r="BQ212" s="83">
        <v>0</v>
      </c>
      <c r="BR212" s="83">
        <v>1</v>
      </c>
      <c r="BS212" s="83">
        <v>0</v>
      </c>
      <c r="BT212" s="83">
        <v>0</v>
      </c>
      <c r="BU212" s="83">
        <v>0</v>
      </c>
      <c r="BV212" s="83">
        <v>4</v>
      </c>
      <c r="BW212" s="83">
        <v>0</v>
      </c>
      <c r="BX212" s="83">
        <v>6</v>
      </c>
      <c r="BY212" s="83">
        <v>11</v>
      </c>
      <c r="BZ212" s="83">
        <v>0</v>
      </c>
      <c r="CA212" s="83">
        <v>0</v>
      </c>
      <c r="CB212" s="83">
        <v>0</v>
      </c>
      <c r="CC212" s="83">
        <v>0</v>
      </c>
      <c r="CD212" s="83">
        <v>0</v>
      </c>
      <c r="CE212" s="83">
        <v>0</v>
      </c>
      <c r="CF212" s="83">
        <v>0</v>
      </c>
      <c r="CG212" s="83">
        <v>0</v>
      </c>
      <c r="CH212" s="83">
        <v>0</v>
      </c>
      <c r="CI212" s="83">
        <v>0</v>
      </c>
      <c r="CJ212" s="83">
        <v>0</v>
      </c>
      <c r="CK212" s="83">
        <v>0</v>
      </c>
      <c r="CL212" s="824">
        <f t="shared" ref="CL212:CL225" si="21">SUM(BN212:CK212)</f>
        <v>22</v>
      </c>
      <c r="CM212" s="824">
        <f t="shared" si="20"/>
        <v>0</v>
      </c>
      <c r="CN212" s="580">
        <v>62.435000000000002</v>
      </c>
      <c r="CO212" s="198" t="s">
        <v>1265</v>
      </c>
      <c r="CP212" s="549" t="s">
        <v>1259</v>
      </c>
      <c r="CQ212" s="137">
        <v>0.1065</v>
      </c>
      <c r="CR212" s="580">
        <v>586.12900000000002</v>
      </c>
      <c r="CS212" s="834" t="s">
        <v>1209</v>
      </c>
      <c r="CT212" s="198" t="s">
        <v>479</v>
      </c>
      <c r="CU212" s="198" t="s">
        <v>1210</v>
      </c>
      <c r="CV212" s="549" t="s">
        <v>1211</v>
      </c>
      <c r="CW212" s="198" t="s">
        <v>1212</v>
      </c>
      <c r="CX212" s="83">
        <v>3</v>
      </c>
      <c r="CY212" s="83">
        <v>15</v>
      </c>
      <c r="CZ212" s="83">
        <v>0</v>
      </c>
      <c r="DA212" s="198" t="s">
        <v>470</v>
      </c>
      <c r="DB212" s="198" t="s">
        <v>656</v>
      </c>
      <c r="DC212" s="83" t="s">
        <v>656</v>
      </c>
      <c r="DD212" s="198" t="s">
        <v>479</v>
      </c>
      <c r="DE212" s="549" t="s">
        <v>1266</v>
      </c>
      <c r="DF212" s="83">
        <v>52</v>
      </c>
      <c r="DG212" s="83" t="s">
        <v>470</v>
      </c>
      <c r="DH212" s="83" t="s">
        <v>656</v>
      </c>
      <c r="DI212" s="83" t="s">
        <v>656</v>
      </c>
      <c r="DJ212" s="83" t="s">
        <v>470</v>
      </c>
      <c r="DK212" s="83" t="s">
        <v>656</v>
      </c>
      <c r="DL212" s="83" t="s">
        <v>656</v>
      </c>
      <c r="DM212" s="198" t="s">
        <v>479</v>
      </c>
      <c r="DN212" s="198" t="s">
        <v>1267</v>
      </c>
      <c r="DO212" s="83">
        <v>379</v>
      </c>
      <c r="DP212" s="198" t="s">
        <v>479</v>
      </c>
      <c r="DQ212" s="198" t="s">
        <v>1268</v>
      </c>
      <c r="DR212" s="83">
        <v>131</v>
      </c>
      <c r="DS212" s="198" t="s">
        <v>470</v>
      </c>
      <c r="DT212" s="198" t="s">
        <v>656</v>
      </c>
      <c r="DU212" s="83" t="s">
        <v>656</v>
      </c>
      <c r="DV212" s="198" t="s">
        <v>470</v>
      </c>
      <c r="DW212" s="198" t="s">
        <v>656</v>
      </c>
      <c r="DX212" s="83" t="s">
        <v>656</v>
      </c>
      <c r="DY212" s="198" t="s">
        <v>470</v>
      </c>
      <c r="DZ212" s="198" t="s">
        <v>656</v>
      </c>
      <c r="EA212" s="83" t="s">
        <v>656</v>
      </c>
      <c r="EB212" s="198" t="s">
        <v>470</v>
      </c>
      <c r="EC212" s="198" t="s">
        <v>656</v>
      </c>
      <c r="ED212" s="83" t="s">
        <v>656</v>
      </c>
      <c r="EE212" s="83" t="s">
        <v>470</v>
      </c>
      <c r="EF212" s="83" t="s">
        <v>656</v>
      </c>
      <c r="EG212" s="83" t="s">
        <v>656</v>
      </c>
      <c r="EH212" s="198" t="s">
        <v>470</v>
      </c>
      <c r="EI212" s="198" t="s">
        <v>656</v>
      </c>
      <c r="EJ212" s="83" t="s">
        <v>656</v>
      </c>
      <c r="EK212" s="198" t="s">
        <v>479</v>
      </c>
      <c r="EL212" s="549" t="s">
        <v>9623</v>
      </c>
      <c r="EM212" s="83">
        <v>258</v>
      </c>
      <c r="EN212" s="198" t="s">
        <v>470</v>
      </c>
      <c r="EO212" s="198" t="s">
        <v>656</v>
      </c>
      <c r="EP212" s="83" t="s">
        <v>656</v>
      </c>
      <c r="EQ212" s="83" t="s">
        <v>470</v>
      </c>
      <c r="ER212" s="83" t="s">
        <v>656</v>
      </c>
      <c r="ES212" s="83" t="s">
        <v>656</v>
      </c>
      <c r="ET212" s="198" t="s">
        <v>470</v>
      </c>
      <c r="EU212" s="198" t="s">
        <v>656</v>
      </c>
      <c r="EV212" s="83" t="s">
        <v>656</v>
      </c>
      <c r="EW212" s="198" t="s">
        <v>1269</v>
      </c>
      <c r="EX212" s="198" t="s">
        <v>1270</v>
      </c>
      <c r="EY212" s="505">
        <v>18</v>
      </c>
      <c r="EZ212" s="198" t="s">
        <v>1271</v>
      </c>
      <c r="FA212" s="198" t="s">
        <v>1272</v>
      </c>
      <c r="FB212" s="549" t="s">
        <v>1221</v>
      </c>
      <c r="FC212" s="549" t="s">
        <v>1273</v>
      </c>
      <c r="FD212" s="549" t="s">
        <v>1221</v>
      </c>
      <c r="FE212" s="198" t="s">
        <v>1274</v>
      </c>
      <c r="FF212" s="549"/>
      <c r="FG212" s="198" t="s">
        <v>1275</v>
      </c>
      <c r="FH212" s="198">
        <v>3</v>
      </c>
      <c r="FI212" s="198">
        <f>150+31+18</f>
        <v>199</v>
      </c>
      <c r="FJ212" s="198" t="s">
        <v>1226</v>
      </c>
      <c r="FK212" s="198" t="s">
        <v>1276</v>
      </c>
      <c r="FL212" s="549" t="s">
        <v>1277</v>
      </c>
      <c r="FM212" s="198" t="s">
        <v>1251</v>
      </c>
      <c r="FN212" s="198" t="s">
        <v>1230</v>
      </c>
      <c r="FO212" s="549" t="s">
        <v>1231</v>
      </c>
    </row>
    <row r="213" spans="5:171" ht="104" customHeight="1" x14ac:dyDescent="0.2">
      <c r="E213" s="94" t="s">
        <v>9302</v>
      </c>
      <c r="F213" s="94" t="s">
        <v>9120</v>
      </c>
      <c r="G213" s="198" t="s">
        <v>337</v>
      </c>
      <c r="H213" s="198" t="s">
        <v>422</v>
      </c>
      <c r="I213" s="198"/>
      <c r="J213" s="198" t="s">
        <v>1278</v>
      </c>
      <c r="K213" s="198" t="s">
        <v>1279</v>
      </c>
      <c r="L213" s="578">
        <v>2022</v>
      </c>
      <c r="M213" s="822">
        <v>44420</v>
      </c>
      <c r="N213" s="822">
        <v>44895</v>
      </c>
      <c r="O213" s="198" t="s">
        <v>1280</v>
      </c>
      <c r="P213" s="198" t="s">
        <v>1281</v>
      </c>
      <c r="Q213" s="549" t="s">
        <v>1282</v>
      </c>
      <c r="R213" s="198" t="s">
        <v>656</v>
      </c>
      <c r="S213" s="198" t="s">
        <v>656</v>
      </c>
      <c r="T213" s="198" t="s">
        <v>656</v>
      </c>
      <c r="U213" s="198" t="s">
        <v>656</v>
      </c>
      <c r="V213" s="198" t="s">
        <v>1283</v>
      </c>
      <c r="W213" s="549" t="s">
        <v>1261</v>
      </c>
      <c r="X213" s="198" t="s">
        <v>1201</v>
      </c>
      <c r="Y213" s="549" t="s">
        <v>1202</v>
      </c>
      <c r="Z213" s="549"/>
      <c r="AA213" s="549"/>
      <c r="AB213" s="549"/>
      <c r="AC213" s="549"/>
      <c r="AD213" s="549"/>
      <c r="AE213" s="549"/>
      <c r="AF213" s="549"/>
      <c r="AG213" s="549"/>
      <c r="AH213" s="198" t="s">
        <v>1284</v>
      </c>
      <c r="AI213" s="198" t="s">
        <v>1284</v>
      </c>
      <c r="AJ213" s="198" t="s">
        <v>1263</v>
      </c>
      <c r="AK213" s="198" t="s">
        <v>1285</v>
      </c>
      <c r="AL213" s="580">
        <f t="shared" si="19"/>
        <v>42.657902000000007</v>
      </c>
      <c r="AM213" s="504">
        <v>42.657902000000007</v>
      </c>
      <c r="AN213" s="516">
        <v>26.561</v>
      </c>
      <c r="AO213" s="137">
        <v>0.62260000000000004</v>
      </c>
      <c r="AP213" s="137">
        <v>4.6000000000000001E-4</v>
      </c>
      <c r="AQ213" s="504">
        <v>10.52224</v>
      </c>
      <c r="AR213" s="137">
        <v>0.2467</v>
      </c>
      <c r="AS213" s="137"/>
      <c r="AT213" s="520">
        <v>2.8298459999999999</v>
      </c>
      <c r="AU213" s="137">
        <v>6.6400000000000001E-2</v>
      </c>
      <c r="AV213" s="520">
        <v>2.7448160000000001</v>
      </c>
      <c r="AW213" s="137">
        <v>6.4339999999999994E-2</v>
      </c>
      <c r="AX213" s="520"/>
      <c r="AY213" s="137">
        <v>0</v>
      </c>
      <c r="AZ213" s="520">
        <v>0</v>
      </c>
      <c r="BA213" s="137">
        <v>0</v>
      </c>
      <c r="BB213" s="198" t="s">
        <v>656</v>
      </c>
      <c r="BC213" s="198" t="s">
        <v>656</v>
      </c>
      <c r="BD213" s="198" t="s">
        <v>656</v>
      </c>
      <c r="BE213" s="198" t="s">
        <v>479</v>
      </c>
      <c r="BF213" s="198" t="s">
        <v>9624</v>
      </c>
      <c r="BG213" s="549" t="s">
        <v>1286</v>
      </c>
      <c r="BH213" s="198">
        <v>5.146185</v>
      </c>
      <c r="BI213" s="520">
        <v>27</v>
      </c>
      <c r="BJ213" s="137">
        <v>4.1599999999999997E-4</v>
      </c>
      <c r="BK213" s="83">
        <v>79</v>
      </c>
      <c r="BL213" s="83">
        <v>23</v>
      </c>
      <c r="BM213" s="83">
        <v>18</v>
      </c>
      <c r="BN213" s="83">
        <v>0</v>
      </c>
      <c r="BO213" s="83">
        <v>0</v>
      </c>
      <c r="BP213" s="83">
        <v>0</v>
      </c>
      <c r="BQ213" s="83">
        <v>0</v>
      </c>
      <c r="BR213" s="83">
        <v>0</v>
      </c>
      <c r="BS213" s="83">
        <v>0</v>
      </c>
      <c r="BT213" s="83">
        <v>11</v>
      </c>
      <c r="BU213" s="83">
        <v>2</v>
      </c>
      <c r="BV213" s="83">
        <v>0</v>
      </c>
      <c r="BW213" s="83">
        <v>0</v>
      </c>
      <c r="BX213" s="83">
        <v>0</v>
      </c>
      <c r="BY213" s="83">
        <v>5</v>
      </c>
      <c r="BZ213" s="83">
        <v>0</v>
      </c>
      <c r="CA213" s="83">
        <v>0</v>
      </c>
      <c r="CB213" s="83">
        <v>0</v>
      </c>
      <c r="CC213" s="83">
        <v>0</v>
      </c>
      <c r="CD213" s="83">
        <v>0</v>
      </c>
      <c r="CE213" s="83">
        <v>0</v>
      </c>
      <c r="CF213" s="83">
        <v>0</v>
      </c>
      <c r="CG213" s="83">
        <v>0</v>
      </c>
      <c r="CH213" s="83">
        <v>0</v>
      </c>
      <c r="CI213" s="83">
        <v>0</v>
      </c>
      <c r="CJ213" s="83">
        <v>0</v>
      </c>
      <c r="CK213" s="83">
        <v>0</v>
      </c>
      <c r="CL213" s="824">
        <f t="shared" si="21"/>
        <v>18</v>
      </c>
      <c r="CM213" s="824">
        <f t="shared" si="20"/>
        <v>0</v>
      </c>
      <c r="CN213" s="580">
        <v>37.027999999999999</v>
      </c>
      <c r="CO213" s="198" t="s">
        <v>1287</v>
      </c>
      <c r="CP213" s="549" t="s">
        <v>1282</v>
      </c>
      <c r="CQ213" s="137">
        <v>6.5199999999999994E-2</v>
      </c>
      <c r="CR213" s="580">
        <v>586.12900000000002</v>
      </c>
      <c r="CS213" s="884" t="s">
        <v>1288</v>
      </c>
      <c r="CT213" s="198" t="s">
        <v>479</v>
      </c>
      <c r="CU213" s="198" t="s">
        <v>1210</v>
      </c>
      <c r="CV213" s="549" t="s">
        <v>1211</v>
      </c>
      <c r="CW213" s="198" t="s">
        <v>1212</v>
      </c>
      <c r="CX213" s="83">
        <v>5</v>
      </c>
      <c r="CY213" s="83">
        <f>99+120</f>
        <v>219</v>
      </c>
      <c r="CZ213" s="83">
        <v>0</v>
      </c>
      <c r="DA213" s="198" t="s">
        <v>479</v>
      </c>
      <c r="DB213" s="198" t="s">
        <v>1289</v>
      </c>
      <c r="DC213" s="83">
        <v>46651</v>
      </c>
      <c r="DD213" s="198" t="s">
        <v>479</v>
      </c>
      <c r="DE213" s="198" t="s">
        <v>1290</v>
      </c>
      <c r="DF213" s="83">
        <v>35205</v>
      </c>
      <c r="DG213" s="83" t="s">
        <v>470</v>
      </c>
      <c r="DH213" s="967" t="s">
        <v>656</v>
      </c>
      <c r="DI213" s="83"/>
      <c r="DJ213" s="83" t="s">
        <v>470</v>
      </c>
      <c r="DK213" s="83" t="s">
        <v>656</v>
      </c>
      <c r="DL213" s="83" t="s">
        <v>656</v>
      </c>
      <c r="DM213" s="198" t="s">
        <v>479</v>
      </c>
      <c r="DN213" s="549" t="s">
        <v>9625</v>
      </c>
      <c r="DO213" s="83">
        <v>11301</v>
      </c>
      <c r="DP213" s="198" t="s">
        <v>479</v>
      </c>
      <c r="DQ213" s="549" t="s">
        <v>1291</v>
      </c>
      <c r="DR213" s="83">
        <v>115904</v>
      </c>
      <c r="DS213" s="198" t="s">
        <v>470</v>
      </c>
      <c r="DT213" s="198" t="s">
        <v>656</v>
      </c>
      <c r="DU213" s="83" t="s">
        <v>656</v>
      </c>
      <c r="DV213" s="198" t="s">
        <v>470</v>
      </c>
      <c r="DW213" s="198" t="s">
        <v>656</v>
      </c>
      <c r="DX213" s="83" t="s">
        <v>656</v>
      </c>
      <c r="DY213" s="198" t="s">
        <v>470</v>
      </c>
      <c r="DZ213" s="198" t="s">
        <v>656</v>
      </c>
      <c r="EA213" s="83" t="s">
        <v>656</v>
      </c>
      <c r="EB213" s="198" t="s">
        <v>470</v>
      </c>
      <c r="EC213" s="198" t="s">
        <v>656</v>
      </c>
      <c r="ED213" s="83" t="s">
        <v>656</v>
      </c>
      <c r="EE213" s="83" t="s">
        <v>470</v>
      </c>
      <c r="EF213" s="83" t="s">
        <v>656</v>
      </c>
      <c r="EG213" s="83" t="s">
        <v>656</v>
      </c>
      <c r="EH213" s="198" t="s">
        <v>470</v>
      </c>
      <c r="EI213" s="198" t="s">
        <v>656</v>
      </c>
      <c r="EJ213" s="83" t="s">
        <v>656</v>
      </c>
      <c r="EK213" s="198" t="s">
        <v>470</v>
      </c>
      <c r="EL213" s="198" t="s">
        <v>656</v>
      </c>
      <c r="EM213" s="83" t="s">
        <v>656</v>
      </c>
      <c r="EN213" s="198" t="s">
        <v>479</v>
      </c>
      <c r="EO213" s="198" t="s">
        <v>1292</v>
      </c>
      <c r="EP213" s="83">
        <v>12</v>
      </c>
      <c r="EQ213" s="83" t="s">
        <v>470</v>
      </c>
      <c r="ER213" s="83" t="s">
        <v>656</v>
      </c>
      <c r="ES213" s="83" t="s">
        <v>656</v>
      </c>
      <c r="ET213" s="198" t="s">
        <v>470</v>
      </c>
      <c r="EU213" s="198" t="s">
        <v>656</v>
      </c>
      <c r="EV213" s="83" t="s">
        <v>656</v>
      </c>
      <c r="EW213" s="198" t="s">
        <v>1293</v>
      </c>
      <c r="EX213" s="198" t="s">
        <v>9626</v>
      </c>
      <c r="EY213" s="505">
        <v>19</v>
      </c>
      <c r="EZ213" s="198" t="s">
        <v>479</v>
      </c>
      <c r="FA213" s="198" t="s">
        <v>1294</v>
      </c>
      <c r="FB213" s="549" t="s">
        <v>1221</v>
      </c>
      <c r="FC213" s="549" t="s">
        <v>1222</v>
      </c>
      <c r="FD213" s="549" t="s">
        <v>1221</v>
      </c>
      <c r="FE213" s="549" t="s">
        <v>9627</v>
      </c>
      <c r="FF213" s="549" t="s">
        <v>1224</v>
      </c>
      <c r="FG213" s="198" t="s">
        <v>1295</v>
      </c>
      <c r="FH213" s="198">
        <v>1</v>
      </c>
      <c r="FI213" s="198">
        <v>150</v>
      </c>
      <c r="FJ213" s="198" t="s">
        <v>1296</v>
      </c>
      <c r="FK213" s="198" t="s">
        <v>1227</v>
      </c>
      <c r="FL213" s="549" t="s">
        <v>1228</v>
      </c>
      <c r="FM213" s="198" t="s">
        <v>1297</v>
      </c>
      <c r="FN213" s="198" t="s">
        <v>1230</v>
      </c>
      <c r="FO213" s="549" t="s">
        <v>1231</v>
      </c>
    </row>
    <row r="214" spans="5:171" ht="104" customHeight="1" x14ac:dyDescent="0.2">
      <c r="E214" s="94" t="s">
        <v>9302</v>
      </c>
      <c r="F214" s="94" t="s">
        <v>9120</v>
      </c>
      <c r="G214" s="198" t="s">
        <v>337</v>
      </c>
      <c r="H214" s="198" t="s">
        <v>422</v>
      </c>
      <c r="I214" s="198"/>
      <c r="J214" s="198" t="s">
        <v>1298</v>
      </c>
      <c r="K214" s="198" t="s">
        <v>1299</v>
      </c>
      <c r="L214" s="578">
        <v>2018</v>
      </c>
      <c r="M214" s="822">
        <v>44415</v>
      </c>
      <c r="N214" s="822">
        <v>44920</v>
      </c>
      <c r="O214" s="198" t="s">
        <v>1300</v>
      </c>
      <c r="P214" s="198" t="s">
        <v>1281</v>
      </c>
      <c r="Q214" s="549" t="s">
        <v>1282</v>
      </c>
      <c r="R214" s="198" t="s">
        <v>656</v>
      </c>
      <c r="S214" s="198" t="s">
        <v>656</v>
      </c>
      <c r="T214" s="198" t="s">
        <v>656</v>
      </c>
      <c r="U214" s="198" t="s">
        <v>656</v>
      </c>
      <c r="V214" s="198" t="s">
        <v>1283</v>
      </c>
      <c r="W214" s="549" t="s">
        <v>1261</v>
      </c>
      <c r="X214" s="198" t="s">
        <v>1201</v>
      </c>
      <c r="Y214" s="549" t="s">
        <v>1202</v>
      </c>
      <c r="Z214" s="549"/>
      <c r="AA214" s="549"/>
      <c r="AB214" s="549"/>
      <c r="AC214" s="549"/>
      <c r="AD214" s="549"/>
      <c r="AE214" s="549"/>
      <c r="AF214" s="549"/>
      <c r="AG214" s="549"/>
      <c r="AH214" s="198" t="s">
        <v>1284</v>
      </c>
      <c r="AI214" s="198" t="s">
        <v>1284</v>
      </c>
      <c r="AJ214" s="198" t="s">
        <v>1301</v>
      </c>
      <c r="AK214" s="198" t="s">
        <v>1302</v>
      </c>
      <c r="AL214" s="580">
        <f t="shared" si="19"/>
        <v>56.619303059999993</v>
      </c>
      <c r="AM214" s="504">
        <v>56.619303059999993</v>
      </c>
      <c r="AN214" s="516">
        <v>35.588700000000003</v>
      </c>
      <c r="AO214" s="137">
        <v>0.62849999999999995</v>
      </c>
      <c r="AP214" s="137">
        <v>6.0999999999999997E-4</v>
      </c>
      <c r="AQ214" s="504">
        <v>12.42105389</v>
      </c>
      <c r="AR214" s="137">
        <v>0.21937000000000001</v>
      </c>
      <c r="AS214" s="137"/>
      <c r="AT214" s="520">
        <v>3.8826981699999998</v>
      </c>
      <c r="AU214" s="137">
        <v>6.8580000000000002E-2</v>
      </c>
      <c r="AV214" s="520">
        <v>4.7268509999999999</v>
      </c>
      <c r="AW214" s="137">
        <v>8.3479999999999999E-2</v>
      </c>
      <c r="AX214" s="520"/>
      <c r="AY214" s="137">
        <v>0</v>
      </c>
      <c r="AZ214" s="520">
        <v>0</v>
      </c>
      <c r="BA214" s="137">
        <v>0</v>
      </c>
      <c r="BB214" s="198" t="s">
        <v>656</v>
      </c>
      <c r="BC214" s="198" t="s">
        <v>656</v>
      </c>
      <c r="BD214" s="198" t="s">
        <v>656</v>
      </c>
      <c r="BE214" s="198" t="s">
        <v>479</v>
      </c>
      <c r="BF214" s="198" t="s">
        <v>1303</v>
      </c>
      <c r="BG214" s="549" t="s">
        <v>1282</v>
      </c>
      <c r="BH214" s="520">
        <v>7.6205953199999996</v>
      </c>
      <c r="BI214" s="198">
        <v>35.200000000000003</v>
      </c>
      <c r="BJ214" s="137">
        <v>5.4000000000000001E-4</v>
      </c>
      <c r="BK214" s="83">
        <v>171</v>
      </c>
      <c r="BL214" s="83">
        <v>59</v>
      </c>
      <c r="BM214" s="83">
        <v>49</v>
      </c>
      <c r="BN214" s="83">
        <v>1</v>
      </c>
      <c r="BO214" s="83">
        <v>0</v>
      </c>
      <c r="BP214" s="83">
        <v>1</v>
      </c>
      <c r="BQ214" s="83">
        <v>1</v>
      </c>
      <c r="BR214" s="83">
        <v>2</v>
      </c>
      <c r="BS214" s="83">
        <v>0</v>
      </c>
      <c r="BT214" s="83">
        <v>0</v>
      </c>
      <c r="BU214" s="83">
        <v>9</v>
      </c>
      <c r="BV214" s="83">
        <v>15</v>
      </c>
      <c r="BW214" s="83">
        <v>0</v>
      </c>
      <c r="BX214" s="83">
        <v>2</v>
      </c>
      <c r="BY214" s="83">
        <v>11</v>
      </c>
      <c r="BZ214" s="83">
        <v>6</v>
      </c>
      <c r="CA214" s="83">
        <v>1</v>
      </c>
      <c r="CB214" s="83">
        <v>0</v>
      </c>
      <c r="CC214" s="83">
        <v>0</v>
      </c>
      <c r="CD214" s="83">
        <v>0</v>
      </c>
      <c r="CE214" s="83">
        <v>0</v>
      </c>
      <c r="CF214" s="83">
        <v>0</v>
      </c>
      <c r="CG214" s="83">
        <v>0</v>
      </c>
      <c r="CH214" s="83">
        <v>0</v>
      </c>
      <c r="CI214" s="83">
        <v>0</v>
      </c>
      <c r="CJ214" s="83">
        <v>0</v>
      </c>
      <c r="CK214" s="83">
        <v>0</v>
      </c>
      <c r="CL214" s="824">
        <f t="shared" si="21"/>
        <v>49</v>
      </c>
      <c r="CM214" s="824">
        <f t="shared" si="20"/>
        <v>0</v>
      </c>
      <c r="CN214" s="580">
        <v>57.978000000000002</v>
      </c>
      <c r="CO214" s="198" t="s">
        <v>1304</v>
      </c>
      <c r="CP214" s="549" t="s">
        <v>1282</v>
      </c>
      <c r="CQ214" s="137">
        <v>9.8900000000000002E-2</v>
      </c>
      <c r="CR214" s="580">
        <v>586.12900000000002</v>
      </c>
      <c r="CS214" s="834" t="s">
        <v>1209</v>
      </c>
      <c r="CT214" s="198" t="s">
        <v>479</v>
      </c>
      <c r="CU214" s="198" t="s">
        <v>1210</v>
      </c>
      <c r="CV214" s="549" t="s">
        <v>1211</v>
      </c>
      <c r="CW214" s="198" t="s">
        <v>1212</v>
      </c>
      <c r="CX214" s="83">
        <v>5</v>
      </c>
      <c r="CY214" s="83">
        <v>815</v>
      </c>
      <c r="CZ214" s="83">
        <v>0</v>
      </c>
      <c r="DA214" s="198" t="s">
        <v>479</v>
      </c>
      <c r="DB214" s="198" t="s">
        <v>9628</v>
      </c>
      <c r="DC214" s="83">
        <v>29930</v>
      </c>
      <c r="DD214" s="198" t="s">
        <v>479</v>
      </c>
      <c r="DE214" s="198" t="s">
        <v>1305</v>
      </c>
      <c r="DF214" s="83">
        <v>20963</v>
      </c>
      <c r="DG214" s="83" t="s">
        <v>470</v>
      </c>
      <c r="DH214" s="967" t="s">
        <v>656</v>
      </c>
      <c r="DI214" s="83"/>
      <c r="DJ214" s="83" t="s">
        <v>470</v>
      </c>
      <c r="DK214" s="83" t="s">
        <v>656</v>
      </c>
      <c r="DL214" s="83" t="s">
        <v>656</v>
      </c>
      <c r="DM214" s="198" t="s">
        <v>470</v>
      </c>
      <c r="DN214" s="198" t="s">
        <v>656</v>
      </c>
      <c r="DO214" s="83" t="s">
        <v>656</v>
      </c>
      <c r="DP214" s="198" t="s">
        <v>479</v>
      </c>
      <c r="DQ214" s="549" t="s">
        <v>1306</v>
      </c>
      <c r="DR214" s="83">
        <v>15643</v>
      </c>
      <c r="DS214" s="198" t="s">
        <v>470</v>
      </c>
      <c r="DT214" s="198" t="s">
        <v>656</v>
      </c>
      <c r="DU214" s="83" t="s">
        <v>656</v>
      </c>
      <c r="DV214" s="198" t="s">
        <v>470</v>
      </c>
      <c r="DW214" s="198" t="s">
        <v>656</v>
      </c>
      <c r="DX214" s="83" t="s">
        <v>656</v>
      </c>
      <c r="DY214" s="198" t="s">
        <v>470</v>
      </c>
      <c r="DZ214" s="198" t="s">
        <v>656</v>
      </c>
      <c r="EA214" s="83" t="s">
        <v>656</v>
      </c>
      <c r="EB214" s="198" t="s">
        <v>470</v>
      </c>
      <c r="EC214" s="198" t="s">
        <v>656</v>
      </c>
      <c r="ED214" s="83" t="s">
        <v>656</v>
      </c>
      <c r="EE214" s="83" t="s">
        <v>470</v>
      </c>
      <c r="EF214" s="83" t="s">
        <v>656</v>
      </c>
      <c r="EG214" s="83" t="s">
        <v>656</v>
      </c>
      <c r="EH214" s="198" t="s">
        <v>470</v>
      </c>
      <c r="EI214" s="198" t="s">
        <v>656</v>
      </c>
      <c r="EJ214" s="83" t="s">
        <v>656</v>
      </c>
      <c r="EK214" s="198" t="s">
        <v>470</v>
      </c>
      <c r="EL214" s="198" t="s">
        <v>656</v>
      </c>
      <c r="EM214" s="83" t="s">
        <v>656</v>
      </c>
      <c r="EN214" s="198" t="s">
        <v>479</v>
      </c>
      <c r="EO214" s="198" t="s">
        <v>1307</v>
      </c>
      <c r="EP214" s="83">
        <v>11</v>
      </c>
      <c r="EQ214" s="83" t="s">
        <v>470</v>
      </c>
      <c r="ER214" s="83" t="s">
        <v>656</v>
      </c>
      <c r="ES214" s="83" t="s">
        <v>656</v>
      </c>
      <c r="ET214" s="198" t="s">
        <v>470</v>
      </c>
      <c r="EU214" s="198" t="s">
        <v>656</v>
      </c>
      <c r="EV214" s="83" t="s">
        <v>656</v>
      </c>
      <c r="EW214" s="198" t="s">
        <v>1308</v>
      </c>
      <c r="EX214" s="198" t="s">
        <v>1309</v>
      </c>
      <c r="EY214" s="505">
        <v>49</v>
      </c>
      <c r="EZ214" s="198" t="s">
        <v>479</v>
      </c>
      <c r="FA214" s="198" t="s">
        <v>1310</v>
      </c>
      <c r="FB214" s="549" t="s">
        <v>1221</v>
      </c>
      <c r="FC214" s="549" t="s">
        <v>1222</v>
      </c>
      <c r="FD214" s="549" t="s">
        <v>1221</v>
      </c>
      <c r="FE214" s="549" t="s">
        <v>9629</v>
      </c>
      <c r="FF214" s="549" t="s">
        <v>1224</v>
      </c>
      <c r="FG214" s="198" t="s">
        <v>1295</v>
      </c>
      <c r="FH214" s="198">
        <v>1</v>
      </c>
      <c r="FI214" s="198">
        <v>150</v>
      </c>
      <c r="FJ214" s="198" t="s">
        <v>1296</v>
      </c>
      <c r="FK214" s="198" t="s">
        <v>1227</v>
      </c>
      <c r="FL214" s="549" t="s">
        <v>1228</v>
      </c>
      <c r="FM214" s="198" t="s">
        <v>1297</v>
      </c>
      <c r="FN214" s="198" t="s">
        <v>1230</v>
      </c>
      <c r="FO214" s="549" t="s">
        <v>1231</v>
      </c>
    </row>
    <row r="215" spans="5:171" ht="104" customHeight="1" x14ac:dyDescent="0.2">
      <c r="E215" s="94" t="s">
        <v>9307</v>
      </c>
      <c r="F215" s="94" t="s">
        <v>9120</v>
      </c>
      <c r="G215" s="198" t="s">
        <v>337</v>
      </c>
      <c r="H215" s="198" t="s">
        <v>422</v>
      </c>
      <c r="I215" s="198"/>
      <c r="J215" s="198" t="s">
        <v>1311</v>
      </c>
      <c r="K215" s="198" t="s">
        <v>1312</v>
      </c>
      <c r="L215" s="578" t="s">
        <v>1313</v>
      </c>
      <c r="M215" s="822" t="s">
        <v>1195</v>
      </c>
      <c r="N215" s="822" t="s">
        <v>1314</v>
      </c>
      <c r="O215" s="198" t="s">
        <v>1315</v>
      </c>
      <c r="P215" s="198" t="s">
        <v>1281</v>
      </c>
      <c r="Q215" s="549" t="s">
        <v>1282</v>
      </c>
      <c r="R215" s="198" t="s">
        <v>656</v>
      </c>
      <c r="S215" s="198" t="s">
        <v>656</v>
      </c>
      <c r="T215" s="198" t="s">
        <v>656</v>
      </c>
      <c r="U215" s="198" t="s">
        <v>656</v>
      </c>
      <c r="V215" s="198" t="s">
        <v>1199</v>
      </c>
      <c r="W215" s="549" t="s">
        <v>1261</v>
      </c>
      <c r="X215" s="198" t="s">
        <v>1201</v>
      </c>
      <c r="Y215" s="549" t="s">
        <v>1202</v>
      </c>
      <c r="Z215" s="549"/>
      <c r="AA215" s="549"/>
      <c r="AB215" s="549"/>
      <c r="AC215" s="549"/>
      <c r="AD215" s="549"/>
      <c r="AE215" s="549"/>
      <c r="AF215" s="549"/>
      <c r="AG215" s="549"/>
      <c r="AH215" s="198" t="s">
        <v>1284</v>
      </c>
      <c r="AI215" s="198" t="s">
        <v>1284</v>
      </c>
      <c r="AJ215" s="198" t="s">
        <v>1316</v>
      </c>
      <c r="AK215" s="198" t="s">
        <v>1317</v>
      </c>
      <c r="AL215" s="580">
        <f t="shared" si="19"/>
        <v>29.944157000000001</v>
      </c>
      <c r="AM215" s="504">
        <v>29.944157000000001</v>
      </c>
      <c r="AN215" s="516">
        <v>22.776059</v>
      </c>
      <c r="AO215" s="137">
        <v>0.76061982367080005</v>
      </c>
      <c r="AP215" s="137">
        <v>3.9516851999999998E-4</v>
      </c>
      <c r="AQ215" s="504">
        <v>7.1680979999999996</v>
      </c>
      <c r="AR215" s="137">
        <v>0.2393801763291</v>
      </c>
      <c r="AS215" s="137"/>
      <c r="AT215" s="520">
        <v>0</v>
      </c>
      <c r="AU215" s="137">
        <v>0</v>
      </c>
      <c r="AV215" s="520">
        <v>0</v>
      </c>
      <c r="AW215" s="137">
        <v>0</v>
      </c>
      <c r="AX215" s="520"/>
      <c r="AY215" s="137">
        <v>0</v>
      </c>
      <c r="AZ215" s="520">
        <v>0</v>
      </c>
      <c r="BA215" s="137">
        <v>0</v>
      </c>
      <c r="BB215" s="198" t="s">
        <v>656</v>
      </c>
      <c r="BC215" s="198" t="s">
        <v>656</v>
      </c>
      <c r="BD215" s="198" t="s">
        <v>656</v>
      </c>
      <c r="BE215" s="198" t="s">
        <v>470</v>
      </c>
      <c r="BF215" s="198" t="s">
        <v>656</v>
      </c>
      <c r="BG215" s="198" t="s">
        <v>656</v>
      </c>
      <c r="BH215" s="198">
        <v>0</v>
      </c>
      <c r="BI215" s="580">
        <v>22.8</v>
      </c>
      <c r="BJ215" s="137">
        <v>3.5141534839999998E-4</v>
      </c>
      <c r="BK215" s="83">
        <v>353</v>
      </c>
      <c r="BL215" s="83">
        <v>168</v>
      </c>
      <c r="BM215" s="83">
        <v>162</v>
      </c>
      <c r="BN215" s="83">
        <v>0</v>
      </c>
      <c r="BO215" s="83">
        <v>0</v>
      </c>
      <c r="BP215" s="83">
        <v>8</v>
      </c>
      <c r="BQ215" s="83">
        <v>6</v>
      </c>
      <c r="BR215" s="83">
        <v>0</v>
      </c>
      <c r="BS215" s="83">
        <v>0</v>
      </c>
      <c r="BT215" s="83">
        <v>0</v>
      </c>
      <c r="BU215" s="83">
        <v>5</v>
      </c>
      <c r="BV215" s="83">
        <v>3</v>
      </c>
      <c r="BW215" s="83">
        <v>0</v>
      </c>
      <c r="BX215" s="83">
        <v>38</v>
      </c>
      <c r="BY215" s="83">
        <v>55</v>
      </c>
      <c r="BZ215" s="83">
        <v>14</v>
      </c>
      <c r="CA215" s="83">
        <v>16</v>
      </c>
      <c r="CB215" s="83">
        <v>0</v>
      </c>
      <c r="CC215" s="83">
        <v>0</v>
      </c>
      <c r="CD215" s="83">
        <v>0</v>
      </c>
      <c r="CE215" s="83">
        <v>0</v>
      </c>
      <c r="CF215" s="83">
        <v>0</v>
      </c>
      <c r="CG215" s="83">
        <v>0</v>
      </c>
      <c r="CH215" s="83">
        <v>0</v>
      </c>
      <c r="CI215" s="83">
        <v>0</v>
      </c>
      <c r="CJ215" s="83">
        <v>0</v>
      </c>
      <c r="CK215" s="83">
        <v>17</v>
      </c>
      <c r="CL215" s="824">
        <f t="shared" si="21"/>
        <v>162</v>
      </c>
      <c r="CM215" s="824">
        <f t="shared" si="20"/>
        <v>0</v>
      </c>
      <c r="CN215" s="580">
        <v>32.816000000000003</v>
      </c>
      <c r="CO215" s="198" t="s">
        <v>1318</v>
      </c>
      <c r="CP215" s="549" t="s">
        <v>1319</v>
      </c>
      <c r="CQ215" s="137">
        <v>5.5987675068099998E-2</v>
      </c>
      <c r="CR215" s="580">
        <v>586.12900000000002</v>
      </c>
      <c r="CS215" s="834" t="s">
        <v>1209</v>
      </c>
      <c r="CT215" s="198" t="s">
        <v>479</v>
      </c>
      <c r="CU215" s="198" t="s">
        <v>1210</v>
      </c>
      <c r="CV215" s="549" t="s">
        <v>1211</v>
      </c>
      <c r="CW215" s="198" t="s">
        <v>1212</v>
      </c>
      <c r="CX215" s="83">
        <v>5</v>
      </c>
      <c r="CY215" s="83">
        <v>37</v>
      </c>
      <c r="CZ215" s="83">
        <v>0</v>
      </c>
      <c r="DA215" s="198" t="s">
        <v>470</v>
      </c>
      <c r="DB215" s="198" t="s">
        <v>656</v>
      </c>
      <c r="DC215" s="83">
        <v>0</v>
      </c>
      <c r="DD215" s="198" t="s">
        <v>470</v>
      </c>
      <c r="DE215" s="198" t="s">
        <v>656</v>
      </c>
      <c r="DF215" s="83">
        <v>0</v>
      </c>
      <c r="DG215" s="83" t="s">
        <v>479</v>
      </c>
      <c r="DH215" s="83" t="s">
        <v>1320</v>
      </c>
      <c r="DI215" s="83">
        <v>9801</v>
      </c>
      <c r="DJ215" s="83" t="s">
        <v>470</v>
      </c>
      <c r="DK215" s="83" t="s">
        <v>656</v>
      </c>
      <c r="DL215" s="83">
        <v>0</v>
      </c>
      <c r="DM215" s="198" t="s">
        <v>470</v>
      </c>
      <c r="DN215" s="198" t="s">
        <v>656</v>
      </c>
      <c r="DO215" s="83">
        <v>0</v>
      </c>
      <c r="DP215" s="198" t="s">
        <v>470</v>
      </c>
      <c r="DQ215" s="198" t="s">
        <v>656</v>
      </c>
      <c r="DR215" s="83">
        <v>0</v>
      </c>
      <c r="DS215" s="198" t="s">
        <v>470</v>
      </c>
      <c r="DT215" s="198" t="s">
        <v>656</v>
      </c>
      <c r="DU215" s="83">
        <v>0</v>
      </c>
      <c r="DV215" s="198" t="s">
        <v>470</v>
      </c>
      <c r="DW215" s="198" t="s">
        <v>656</v>
      </c>
      <c r="DX215" s="83">
        <v>0</v>
      </c>
      <c r="DY215" s="198" t="s">
        <v>470</v>
      </c>
      <c r="DZ215" s="198" t="s">
        <v>656</v>
      </c>
      <c r="EA215" s="83">
        <v>0</v>
      </c>
      <c r="EB215" s="198" t="s">
        <v>470</v>
      </c>
      <c r="EC215" s="198" t="s">
        <v>656</v>
      </c>
      <c r="ED215" s="83">
        <v>0</v>
      </c>
      <c r="EE215" s="83" t="s">
        <v>470</v>
      </c>
      <c r="EF215" s="83" t="s">
        <v>656</v>
      </c>
      <c r="EG215" s="83">
        <v>0</v>
      </c>
      <c r="EH215" s="198" t="s">
        <v>470</v>
      </c>
      <c r="EI215" s="198" t="s">
        <v>656</v>
      </c>
      <c r="EJ215" s="83">
        <v>0</v>
      </c>
      <c r="EK215" s="198" t="s">
        <v>470</v>
      </c>
      <c r="EL215" s="198" t="s">
        <v>656</v>
      </c>
      <c r="EM215" s="83">
        <v>0</v>
      </c>
      <c r="EN215" s="198" t="s">
        <v>479</v>
      </c>
      <c r="EO215" s="503" t="s">
        <v>1321</v>
      </c>
      <c r="EP215" s="83">
        <v>9</v>
      </c>
      <c r="EQ215" s="83" t="s">
        <v>470</v>
      </c>
      <c r="ER215" s="83" t="s">
        <v>656</v>
      </c>
      <c r="ES215" s="83">
        <v>0</v>
      </c>
      <c r="ET215" s="198" t="s">
        <v>470</v>
      </c>
      <c r="EU215" s="198" t="s">
        <v>656</v>
      </c>
      <c r="EV215" s="83">
        <v>0</v>
      </c>
      <c r="EW215" s="198" t="s">
        <v>1322</v>
      </c>
      <c r="EX215" s="198" t="s">
        <v>9630</v>
      </c>
      <c r="EY215" s="505">
        <v>84</v>
      </c>
      <c r="EZ215" s="198" t="s">
        <v>1323</v>
      </c>
      <c r="FA215" s="198" t="s">
        <v>1324</v>
      </c>
      <c r="FB215" s="549" t="s">
        <v>1221</v>
      </c>
      <c r="FC215" s="549" t="s">
        <v>1222</v>
      </c>
      <c r="FD215" s="549" t="s">
        <v>1221</v>
      </c>
      <c r="FE215" s="198" t="s">
        <v>1325</v>
      </c>
      <c r="FF215" s="549" t="s">
        <v>1224</v>
      </c>
      <c r="FG215" s="198" t="s">
        <v>1326</v>
      </c>
      <c r="FH215" s="198">
        <v>2</v>
      </c>
      <c r="FI215" s="198">
        <v>250</v>
      </c>
      <c r="FJ215" s="198" t="s">
        <v>1226</v>
      </c>
      <c r="FK215" s="198" t="s">
        <v>1227</v>
      </c>
      <c r="FL215" s="549" t="s">
        <v>1228</v>
      </c>
      <c r="FM215" s="198" t="s">
        <v>1229</v>
      </c>
      <c r="FN215" s="198" t="s">
        <v>1230</v>
      </c>
      <c r="FO215" s="549" t="s">
        <v>1231</v>
      </c>
    </row>
    <row r="216" spans="5:171" ht="104" customHeight="1" x14ac:dyDescent="0.2">
      <c r="E216" s="94" t="s">
        <v>9304</v>
      </c>
      <c r="F216" s="94" t="s">
        <v>9120</v>
      </c>
      <c r="G216" s="198" t="s">
        <v>337</v>
      </c>
      <c r="H216" s="198" t="s">
        <v>422</v>
      </c>
      <c r="I216" s="198"/>
      <c r="J216" s="198" t="s">
        <v>840</v>
      </c>
      <c r="K216" s="198" t="s">
        <v>840</v>
      </c>
      <c r="L216" s="578" t="s">
        <v>1327</v>
      </c>
      <c r="M216" s="822" t="s">
        <v>1328</v>
      </c>
      <c r="N216" s="822" t="s">
        <v>865</v>
      </c>
      <c r="O216" s="198" t="s">
        <v>1329</v>
      </c>
      <c r="P216" s="198" t="s">
        <v>1330</v>
      </c>
      <c r="Q216" s="549" t="s">
        <v>1331</v>
      </c>
      <c r="R216" s="198" t="s">
        <v>656</v>
      </c>
      <c r="S216" s="198" t="s">
        <v>656</v>
      </c>
      <c r="T216" s="198" t="s">
        <v>656</v>
      </c>
      <c r="U216" s="198" t="s">
        <v>656</v>
      </c>
      <c r="V216" s="198" t="s">
        <v>1199</v>
      </c>
      <c r="W216" s="549" t="s">
        <v>1261</v>
      </c>
      <c r="X216" s="198" t="s">
        <v>1201</v>
      </c>
      <c r="Y216" s="549" t="s">
        <v>1202</v>
      </c>
      <c r="Z216" s="549"/>
      <c r="AA216" s="549"/>
      <c r="AB216" s="549"/>
      <c r="AC216" s="549"/>
      <c r="AD216" s="549"/>
      <c r="AE216" s="549"/>
      <c r="AF216" s="549"/>
      <c r="AG216" s="549"/>
      <c r="AH216" s="198" t="s">
        <v>1332</v>
      </c>
      <c r="AI216" s="198" t="s">
        <v>1332</v>
      </c>
      <c r="AJ216" s="198" t="s">
        <v>1316</v>
      </c>
      <c r="AK216" s="198" t="s">
        <v>1333</v>
      </c>
      <c r="AL216" s="580">
        <f t="shared" si="19"/>
        <v>200.2</v>
      </c>
      <c r="AM216" s="504">
        <v>200.2</v>
      </c>
      <c r="AN216" s="516">
        <v>4.8</v>
      </c>
      <c r="AO216" s="137">
        <v>2.4E-2</v>
      </c>
      <c r="AP216" s="137">
        <v>1E-4</v>
      </c>
      <c r="AQ216" s="504">
        <v>40</v>
      </c>
      <c r="AR216" s="137">
        <v>0.2</v>
      </c>
      <c r="AS216" s="137"/>
      <c r="AT216" s="520">
        <v>0</v>
      </c>
      <c r="AU216" s="137">
        <v>0</v>
      </c>
      <c r="AV216" s="520">
        <v>0</v>
      </c>
      <c r="AW216" s="137">
        <v>0</v>
      </c>
      <c r="AX216" s="520"/>
      <c r="AY216" s="137">
        <v>0</v>
      </c>
      <c r="AZ216" s="520">
        <v>155.4</v>
      </c>
      <c r="BA216" s="137">
        <v>0.77600000000000002</v>
      </c>
      <c r="BB216" s="198" t="s">
        <v>1334</v>
      </c>
      <c r="BC216" s="198" t="s">
        <v>847</v>
      </c>
      <c r="BD216" s="198" t="s">
        <v>1332</v>
      </c>
      <c r="BE216" s="198" t="s">
        <v>470</v>
      </c>
      <c r="BF216" s="198" t="s">
        <v>656</v>
      </c>
      <c r="BG216" s="198" t="s">
        <v>656</v>
      </c>
      <c r="BH216" s="198">
        <v>0</v>
      </c>
      <c r="BI216" s="580">
        <v>157.69999999999999</v>
      </c>
      <c r="BJ216" s="137">
        <v>2.7000000000000001E-3</v>
      </c>
      <c r="BK216" s="83">
        <v>0</v>
      </c>
      <c r="BL216" s="83">
        <v>0</v>
      </c>
      <c r="BM216" s="83">
        <v>0</v>
      </c>
      <c r="BN216" s="83">
        <v>0</v>
      </c>
      <c r="BO216" s="83">
        <v>0</v>
      </c>
      <c r="BP216" s="83">
        <v>0</v>
      </c>
      <c r="BQ216" s="83">
        <v>0</v>
      </c>
      <c r="BR216" s="83">
        <v>0</v>
      </c>
      <c r="BS216" s="83">
        <v>0</v>
      </c>
      <c r="BT216" s="83">
        <v>0</v>
      </c>
      <c r="BU216" s="83">
        <v>0</v>
      </c>
      <c r="BV216" s="83">
        <v>0</v>
      </c>
      <c r="BW216" s="83">
        <v>50</v>
      </c>
      <c r="BX216" s="83">
        <v>0</v>
      </c>
      <c r="BY216" s="83">
        <v>29</v>
      </c>
      <c r="BZ216" s="83">
        <v>0</v>
      </c>
      <c r="CA216" s="83">
        <v>0</v>
      </c>
      <c r="CB216" s="83">
        <v>0</v>
      </c>
      <c r="CC216" s="83">
        <v>0</v>
      </c>
      <c r="CD216" s="83">
        <v>0</v>
      </c>
      <c r="CE216" s="83">
        <v>0</v>
      </c>
      <c r="CF216" s="83">
        <v>0</v>
      </c>
      <c r="CG216" s="83">
        <v>0</v>
      </c>
      <c r="CH216" s="83">
        <v>0</v>
      </c>
      <c r="CI216" s="83">
        <v>0</v>
      </c>
      <c r="CJ216" s="83">
        <v>0</v>
      </c>
      <c r="CK216" s="83">
        <v>0</v>
      </c>
      <c r="CL216" s="824">
        <f t="shared" si="21"/>
        <v>79</v>
      </c>
      <c r="CM216" s="824">
        <f t="shared" si="20"/>
        <v>0</v>
      </c>
      <c r="CN216" s="580">
        <v>117.226</v>
      </c>
      <c r="CO216" s="198" t="s">
        <v>1335</v>
      </c>
      <c r="CP216" s="549" t="s">
        <v>1331</v>
      </c>
      <c r="CQ216" s="137">
        <v>0.2</v>
      </c>
      <c r="CR216" s="580">
        <v>586.12900000000002</v>
      </c>
      <c r="CS216" s="834" t="s">
        <v>1209</v>
      </c>
      <c r="CT216" s="198" t="s">
        <v>470</v>
      </c>
      <c r="CU216" s="198" t="s">
        <v>470</v>
      </c>
      <c r="CV216" s="198" t="s">
        <v>656</v>
      </c>
      <c r="CW216" s="198" t="s">
        <v>656</v>
      </c>
      <c r="CX216" s="83">
        <v>0</v>
      </c>
      <c r="CY216" s="83">
        <v>730</v>
      </c>
      <c r="CZ216" s="83">
        <v>4</v>
      </c>
      <c r="DA216" s="198" t="s">
        <v>479</v>
      </c>
      <c r="DB216" s="198" t="s">
        <v>1336</v>
      </c>
      <c r="DC216" s="83">
        <v>36228</v>
      </c>
      <c r="DD216" s="198" t="s">
        <v>470</v>
      </c>
      <c r="DE216" s="198" t="s">
        <v>656</v>
      </c>
      <c r="DF216" s="83">
        <v>0</v>
      </c>
      <c r="DG216" s="83" t="s">
        <v>470</v>
      </c>
      <c r="DH216" s="198" t="s">
        <v>656</v>
      </c>
      <c r="DI216" s="83">
        <v>0</v>
      </c>
      <c r="DJ216" s="83" t="s">
        <v>470</v>
      </c>
      <c r="DK216" s="83" t="s">
        <v>656</v>
      </c>
      <c r="DL216" s="83">
        <v>0</v>
      </c>
      <c r="DM216" s="198" t="s">
        <v>470</v>
      </c>
      <c r="DN216" s="198" t="s">
        <v>656</v>
      </c>
      <c r="DO216" s="83">
        <v>0</v>
      </c>
      <c r="DP216" s="198" t="s">
        <v>470</v>
      </c>
      <c r="DQ216" s="198" t="s">
        <v>656</v>
      </c>
      <c r="DR216" s="83">
        <v>0</v>
      </c>
      <c r="DS216" s="198" t="s">
        <v>470</v>
      </c>
      <c r="DT216" s="198" t="s">
        <v>656</v>
      </c>
      <c r="DU216" s="83">
        <v>0</v>
      </c>
      <c r="DV216" s="198" t="s">
        <v>470</v>
      </c>
      <c r="DW216" s="198" t="s">
        <v>656</v>
      </c>
      <c r="DX216" s="83">
        <v>0</v>
      </c>
      <c r="DY216" s="198" t="s">
        <v>479</v>
      </c>
      <c r="DZ216" s="549" t="s">
        <v>1337</v>
      </c>
      <c r="EA216" s="83">
        <v>72475</v>
      </c>
      <c r="EB216" s="198" t="s">
        <v>470</v>
      </c>
      <c r="EC216" s="198" t="s">
        <v>656</v>
      </c>
      <c r="ED216" s="83">
        <v>0</v>
      </c>
      <c r="EE216" s="83" t="s">
        <v>470</v>
      </c>
      <c r="EF216" s="83" t="s">
        <v>656</v>
      </c>
      <c r="EG216" s="83">
        <v>0</v>
      </c>
      <c r="EH216" s="198" t="s">
        <v>470</v>
      </c>
      <c r="EI216" s="198" t="s">
        <v>656</v>
      </c>
      <c r="EJ216" s="83">
        <v>0</v>
      </c>
      <c r="EK216" s="198" t="s">
        <v>470</v>
      </c>
      <c r="EL216" s="198" t="s">
        <v>656</v>
      </c>
      <c r="EM216" s="83">
        <v>0</v>
      </c>
      <c r="EN216" s="198" t="s">
        <v>470</v>
      </c>
      <c r="EO216" s="198" t="s">
        <v>656</v>
      </c>
      <c r="EP216" s="83">
        <v>0</v>
      </c>
      <c r="EQ216" s="83" t="s">
        <v>470</v>
      </c>
      <c r="ER216" s="83" t="s">
        <v>656</v>
      </c>
      <c r="ES216" s="83">
        <v>0</v>
      </c>
      <c r="ET216" s="198" t="s">
        <v>470</v>
      </c>
      <c r="EU216" s="198" t="s">
        <v>656</v>
      </c>
      <c r="EV216" s="83">
        <v>0</v>
      </c>
      <c r="EW216" s="837" t="s">
        <v>1338</v>
      </c>
      <c r="EX216" s="198" t="s">
        <v>1339</v>
      </c>
      <c r="EY216" s="505">
        <v>25</v>
      </c>
      <c r="EZ216" s="549" t="s">
        <v>1340</v>
      </c>
      <c r="FA216" s="83" t="s">
        <v>656</v>
      </c>
      <c r="FB216" s="549" t="s">
        <v>1337</v>
      </c>
      <c r="FC216" s="549" t="s">
        <v>1341</v>
      </c>
      <c r="FD216" s="549" t="s">
        <v>1342</v>
      </c>
      <c r="FE216" s="198" t="s">
        <v>1343</v>
      </c>
      <c r="FF216" s="83" t="s">
        <v>656</v>
      </c>
      <c r="FG216" s="198" t="s">
        <v>1344</v>
      </c>
      <c r="FH216" s="198">
        <v>1</v>
      </c>
      <c r="FI216" s="198">
        <v>730</v>
      </c>
      <c r="FJ216" s="198" t="s">
        <v>1345</v>
      </c>
      <c r="FK216" s="560" t="s">
        <v>1346</v>
      </c>
      <c r="FL216" s="890" t="s">
        <v>1347</v>
      </c>
      <c r="FM216" s="198" t="s">
        <v>1229</v>
      </c>
      <c r="FN216" s="198" t="s">
        <v>1230</v>
      </c>
      <c r="FO216" s="549" t="s">
        <v>1231</v>
      </c>
    </row>
    <row r="217" spans="5:171" ht="104" customHeight="1" x14ac:dyDescent="0.2">
      <c r="E217" s="94" t="s">
        <v>3236</v>
      </c>
      <c r="F217" s="94" t="s">
        <v>9121</v>
      </c>
      <c r="G217" s="97" t="s">
        <v>337</v>
      </c>
      <c r="H217" s="97" t="s">
        <v>422</v>
      </c>
      <c r="I217" s="97" t="s">
        <v>8761</v>
      </c>
      <c r="J217" s="97" t="s">
        <v>8402</v>
      </c>
      <c r="K217" s="97" t="s">
        <v>8402</v>
      </c>
      <c r="L217" s="502">
        <v>2019</v>
      </c>
      <c r="M217" s="841">
        <v>44652</v>
      </c>
      <c r="N217" s="841">
        <v>44926</v>
      </c>
      <c r="O217" s="841"/>
      <c r="P217" s="841"/>
      <c r="Q217" s="841"/>
      <c r="R217" s="841"/>
      <c r="S217" s="841"/>
      <c r="T217" s="841"/>
      <c r="U217" s="841"/>
      <c r="V217" s="841"/>
      <c r="W217" s="841"/>
      <c r="X217" s="841"/>
      <c r="Y217" s="841"/>
      <c r="Z217" s="97" t="s">
        <v>8107</v>
      </c>
      <c r="AA217" s="842" t="s">
        <v>7959</v>
      </c>
      <c r="AB217" s="97" t="s">
        <v>1482</v>
      </c>
      <c r="AC217" s="97"/>
      <c r="AD217" s="97"/>
      <c r="AE217" s="97"/>
      <c r="AF217" s="97"/>
      <c r="AG217" s="97"/>
      <c r="AH217" s="97"/>
      <c r="AI217" s="97" t="s">
        <v>6853</v>
      </c>
      <c r="AJ217" s="97" t="s">
        <v>6702</v>
      </c>
      <c r="AK217" s="97" t="s">
        <v>6509</v>
      </c>
      <c r="AL217" s="580">
        <f t="shared" si="19"/>
        <v>0.1</v>
      </c>
      <c r="AM217" s="504">
        <v>0.1</v>
      </c>
      <c r="AN217" s="516"/>
      <c r="AO217" s="97"/>
      <c r="AP217" s="97"/>
      <c r="AQ217" s="504">
        <v>0.1</v>
      </c>
      <c r="AR217" s="507">
        <v>1</v>
      </c>
      <c r="AS217" s="507">
        <f>AQ217/1625.15</f>
        <v>6.1532781589391752E-5</v>
      </c>
      <c r="AT217" s="516">
        <v>0</v>
      </c>
      <c r="AU217" s="507"/>
      <c r="AV217" s="516">
        <v>0</v>
      </c>
      <c r="AW217" s="507"/>
      <c r="AX217" s="516"/>
      <c r="AY217" s="507"/>
      <c r="AZ217" s="516"/>
      <c r="BA217" s="507"/>
      <c r="BB217" s="507"/>
      <c r="BC217" s="507"/>
      <c r="BD217" s="507"/>
      <c r="BE217" s="507" t="s">
        <v>479</v>
      </c>
      <c r="BF217" s="507" t="s">
        <v>6307</v>
      </c>
      <c r="BG217" s="507" t="s">
        <v>873</v>
      </c>
      <c r="BH217" s="852" t="s">
        <v>1482</v>
      </c>
      <c r="BI217" s="504">
        <v>0.1</v>
      </c>
      <c r="BJ217" s="507">
        <f>BI217/1460</f>
        <v>6.8493150684931516E-5</v>
      </c>
      <c r="BK217" s="96">
        <v>11</v>
      </c>
      <c r="BL217" s="96">
        <v>1</v>
      </c>
      <c r="BM217" s="96">
        <v>1</v>
      </c>
      <c r="BN217" s="96"/>
      <c r="BO217" s="96"/>
      <c r="BP217" s="96"/>
      <c r="BQ217" s="96"/>
      <c r="BR217" s="96"/>
      <c r="BS217" s="96"/>
      <c r="BT217" s="96"/>
      <c r="BU217" s="96"/>
      <c r="BV217" s="96"/>
      <c r="BW217" s="96"/>
      <c r="BX217" s="96"/>
      <c r="BY217" s="96"/>
      <c r="BZ217" s="96"/>
      <c r="CA217" s="96"/>
      <c r="CB217" s="96"/>
      <c r="CC217" s="96"/>
      <c r="CD217" s="96"/>
      <c r="CE217" s="96"/>
      <c r="CF217" s="96"/>
      <c r="CG217" s="96">
        <v>1</v>
      </c>
      <c r="CH217" s="96"/>
      <c r="CI217" s="96"/>
      <c r="CJ217" s="96"/>
      <c r="CK217" s="96"/>
      <c r="CL217" s="815">
        <f t="shared" si="21"/>
        <v>1</v>
      </c>
      <c r="CM217" s="824">
        <f t="shared" si="20"/>
        <v>0</v>
      </c>
      <c r="CN217" s="504">
        <v>9.8000000000000004E-2</v>
      </c>
      <c r="CO217" s="97" t="s">
        <v>6113</v>
      </c>
      <c r="CP217" s="97"/>
      <c r="CQ217" s="507">
        <v>9.64E-2</v>
      </c>
      <c r="CR217" s="504">
        <v>1.0169999999999999</v>
      </c>
      <c r="CS217" s="842" t="s">
        <v>5882</v>
      </c>
      <c r="CT217" s="97" t="s">
        <v>470</v>
      </c>
      <c r="CU217" s="97"/>
      <c r="CV217" s="97"/>
      <c r="CW217" s="97"/>
      <c r="CX217" s="96"/>
      <c r="CY217" s="96"/>
      <c r="CZ217" s="96"/>
      <c r="DA217" s="97" t="s">
        <v>479</v>
      </c>
      <c r="DB217" s="97" t="s">
        <v>5706</v>
      </c>
      <c r="DC217" s="96">
        <v>77</v>
      </c>
      <c r="DD217" s="97" t="s">
        <v>470</v>
      </c>
      <c r="DE217" s="97"/>
      <c r="DF217" s="96"/>
      <c r="DG217" s="96" t="s">
        <v>470</v>
      </c>
      <c r="DH217" s="96"/>
      <c r="DI217" s="96"/>
      <c r="DJ217" s="96" t="s">
        <v>470</v>
      </c>
      <c r="DK217" s="96"/>
      <c r="DL217" s="96"/>
      <c r="DM217" s="97" t="s">
        <v>470</v>
      </c>
      <c r="DN217" s="97"/>
      <c r="DO217" s="96"/>
      <c r="DP217" s="97" t="s">
        <v>470</v>
      </c>
      <c r="DQ217" s="97"/>
      <c r="DR217" s="96"/>
      <c r="DS217" s="97" t="s">
        <v>470</v>
      </c>
      <c r="DT217" s="97"/>
      <c r="DU217" s="96"/>
      <c r="DV217" s="97" t="s">
        <v>470</v>
      </c>
      <c r="DW217" s="97"/>
      <c r="DX217" s="96"/>
      <c r="DY217" s="97" t="s">
        <v>470</v>
      </c>
      <c r="DZ217" s="97"/>
      <c r="EA217" s="96"/>
      <c r="EB217" s="97" t="s">
        <v>479</v>
      </c>
      <c r="EC217" s="97" t="s">
        <v>5408</v>
      </c>
      <c r="ED217" s="96">
        <v>18</v>
      </c>
      <c r="EE217" s="96" t="s">
        <v>470</v>
      </c>
      <c r="EF217" s="96"/>
      <c r="EG217" s="96"/>
      <c r="EH217" s="97" t="s">
        <v>470</v>
      </c>
      <c r="EI217" s="97"/>
      <c r="EJ217" s="96"/>
      <c r="EK217" s="97" t="s">
        <v>470</v>
      </c>
      <c r="EL217" s="97"/>
      <c r="EM217" s="96"/>
      <c r="EN217" s="97" t="s">
        <v>470</v>
      </c>
      <c r="EO217" s="97"/>
      <c r="EP217" s="96"/>
      <c r="EQ217" s="96" t="s">
        <v>470</v>
      </c>
      <c r="ER217" s="96"/>
      <c r="ES217" s="96"/>
      <c r="ET217" s="97"/>
      <c r="EU217" s="97"/>
      <c r="EV217" s="96"/>
      <c r="EW217" s="96"/>
      <c r="EX217" s="96"/>
      <c r="EY217" s="96"/>
      <c r="EZ217" s="97" t="s">
        <v>470</v>
      </c>
      <c r="FA217" s="97"/>
      <c r="FB217" s="97"/>
      <c r="FC217" s="842" t="s">
        <v>4988</v>
      </c>
      <c r="FD217" s="97"/>
      <c r="FE217" s="97"/>
      <c r="FF217" s="97"/>
      <c r="FG217" s="97" t="s">
        <v>4642</v>
      </c>
      <c r="FH217" s="97">
        <v>450</v>
      </c>
      <c r="FI217" s="97">
        <v>7109</v>
      </c>
      <c r="FJ217" s="97" t="s">
        <v>4463</v>
      </c>
      <c r="FK217" s="97" t="s">
        <v>4249</v>
      </c>
      <c r="FL217" s="842" t="s">
        <v>4058</v>
      </c>
      <c r="FM217" s="97" t="s">
        <v>1251</v>
      </c>
      <c r="FN217" s="97" t="s">
        <v>1230</v>
      </c>
      <c r="FO217" s="872" t="s">
        <v>1231</v>
      </c>
    </row>
    <row r="218" spans="5:171" ht="104" customHeight="1" x14ac:dyDescent="0.2">
      <c r="E218" s="94" t="s">
        <v>3236</v>
      </c>
      <c r="F218" s="94" t="s">
        <v>9121</v>
      </c>
      <c r="G218" s="97" t="s">
        <v>337</v>
      </c>
      <c r="H218" s="97" t="s">
        <v>422</v>
      </c>
      <c r="I218" s="535" t="s">
        <v>8760</v>
      </c>
      <c r="J218" s="535" t="s">
        <v>8538</v>
      </c>
      <c r="K218" s="535" t="s">
        <v>8401</v>
      </c>
      <c r="L218" s="536">
        <v>2021</v>
      </c>
      <c r="M218" s="537">
        <v>44606</v>
      </c>
      <c r="N218" s="537">
        <v>44680</v>
      </c>
      <c r="O218" s="537"/>
      <c r="P218" s="537"/>
      <c r="Q218" s="537"/>
      <c r="R218" s="537"/>
      <c r="S218" s="537"/>
      <c r="T218" s="537"/>
      <c r="U218" s="537"/>
      <c r="V218" s="537"/>
      <c r="W218" s="537"/>
      <c r="X218" s="537"/>
      <c r="Y218" s="537"/>
      <c r="Z218" s="535" t="s">
        <v>9631</v>
      </c>
      <c r="AA218" s="535"/>
      <c r="AB218" s="535" t="s">
        <v>7813</v>
      </c>
      <c r="AC218" s="535"/>
      <c r="AD218" s="535" t="s">
        <v>7481</v>
      </c>
      <c r="AE218" s="535"/>
      <c r="AF218" s="535" t="s">
        <v>7156</v>
      </c>
      <c r="AG218" s="842" t="s">
        <v>7086</v>
      </c>
      <c r="AH218" s="535" t="s">
        <v>6852</v>
      </c>
      <c r="AI218" s="535" t="s">
        <v>6852</v>
      </c>
      <c r="AJ218" s="535" t="s">
        <v>1237</v>
      </c>
      <c r="AK218" s="535" t="s">
        <v>6508</v>
      </c>
      <c r="AL218" s="580">
        <f t="shared" si="19"/>
        <v>1</v>
      </c>
      <c r="AM218" s="504">
        <v>1</v>
      </c>
      <c r="AN218" s="516"/>
      <c r="AO218" s="97"/>
      <c r="AP218" s="97"/>
      <c r="AQ218" s="504">
        <v>1</v>
      </c>
      <c r="AR218" s="507">
        <v>1</v>
      </c>
      <c r="AS218" s="507">
        <v>1.2999999999999999E-4</v>
      </c>
      <c r="AT218" s="516">
        <v>0</v>
      </c>
      <c r="AU218" s="507"/>
      <c r="AV218" s="516">
        <v>0</v>
      </c>
      <c r="AW218" s="507"/>
      <c r="AX218" s="516"/>
      <c r="AY218" s="507"/>
      <c r="AZ218" s="516"/>
      <c r="BA218" s="539"/>
      <c r="BB218" s="539"/>
      <c r="BC218" s="539"/>
      <c r="BD218" s="539"/>
      <c r="BE218" s="539" t="s">
        <v>470</v>
      </c>
      <c r="BF218" s="539"/>
      <c r="BG218" s="539"/>
      <c r="BH218" s="540"/>
      <c r="BI218" s="541">
        <v>1</v>
      </c>
      <c r="BJ218" s="539">
        <v>1.2999999999999999E-4</v>
      </c>
      <c r="BK218" s="542">
        <v>24</v>
      </c>
      <c r="BL218" s="542">
        <v>24</v>
      </c>
      <c r="BM218" s="542">
        <v>5</v>
      </c>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v>5</v>
      </c>
      <c r="CH218" s="542"/>
      <c r="CI218" s="542"/>
      <c r="CJ218" s="542"/>
      <c r="CK218" s="542"/>
      <c r="CL218" s="543">
        <f t="shared" si="21"/>
        <v>5</v>
      </c>
      <c r="CM218" s="824">
        <f t="shared" si="20"/>
        <v>0</v>
      </c>
      <c r="CN218" s="541">
        <v>5.2</v>
      </c>
      <c r="CO218" s="535" t="s">
        <v>6112</v>
      </c>
      <c r="CP218" s="535"/>
      <c r="CQ218" s="535">
        <v>2.2999999999999998</v>
      </c>
      <c r="CR218" s="541">
        <v>224.86099999999999</v>
      </c>
      <c r="CS218" s="842" t="s">
        <v>1288</v>
      </c>
      <c r="CT218" s="535" t="s">
        <v>470</v>
      </c>
      <c r="CU218" s="535"/>
      <c r="CV218" s="535"/>
      <c r="CW218" s="535"/>
      <c r="CX218" s="542">
        <v>11</v>
      </c>
      <c r="CY218" s="542"/>
      <c r="CZ218" s="542">
        <v>1</v>
      </c>
      <c r="DA218" s="535" t="s">
        <v>479</v>
      </c>
      <c r="DB218" s="535"/>
      <c r="DC218" s="542"/>
      <c r="DD218" s="535" t="s">
        <v>479</v>
      </c>
      <c r="DE218" s="535"/>
      <c r="DF218" s="542"/>
      <c r="DG218" s="542" t="s">
        <v>470</v>
      </c>
      <c r="DH218" s="542"/>
      <c r="DI218" s="542"/>
      <c r="DJ218" s="542" t="s">
        <v>470</v>
      </c>
      <c r="DK218" s="542"/>
      <c r="DL218" s="542"/>
      <c r="DM218" s="535" t="s">
        <v>479</v>
      </c>
      <c r="DN218" s="535"/>
      <c r="DO218" s="542"/>
      <c r="DP218" s="535" t="s">
        <v>470</v>
      </c>
      <c r="DQ218" s="535"/>
      <c r="DR218" s="542"/>
      <c r="DS218" s="535" t="s">
        <v>470</v>
      </c>
      <c r="DT218" s="535"/>
      <c r="DU218" s="542"/>
      <c r="DV218" s="535" t="s">
        <v>470</v>
      </c>
      <c r="DW218" s="535"/>
      <c r="DX218" s="542"/>
      <c r="DY218" s="535"/>
      <c r="DZ218" s="535"/>
      <c r="EA218" s="542"/>
      <c r="EB218" s="535" t="s">
        <v>479</v>
      </c>
      <c r="EC218" s="535"/>
      <c r="ED218" s="542"/>
      <c r="EE218" s="535" t="s">
        <v>470</v>
      </c>
      <c r="EF218" s="535"/>
      <c r="EG218" s="542"/>
      <c r="EH218" s="542" t="s">
        <v>470</v>
      </c>
      <c r="EI218" s="542"/>
      <c r="EJ218" s="542"/>
      <c r="EK218" s="542" t="s">
        <v>470</v>
      </c>
      <c r="EL218" s="535"/>
      <c r="EM218" s="542"/>
      <c r="EN218" s="535" t="s">
        <v>479</v>
      </c>
      <c r="EO218" s="535"/>
      <c r="EP218" s="542">
        <v>8</v>
      </c>
      <c r="EQ218" s="542" t="s">
        <v>479</v>
      </c>
      <c r="ER218" s="542" t="s">
        <v>5298</v>
      </c>
      <c r="ES218" s="542">
        <v>9</v>
      </c>
      <c r="ET218" s="535"/>
      <c r="EU218" s="535"/>
      <c r="EV218" s="542"/>
      <c r="EW218" s="542"/>
      <c r="EX218" s="542"/>
      <c r="EY218" s="542"/>
      <c r="EZ218" s="535" t="s">
        <v>470</v>
      </c>
      <c r="FA218" s="535"/>
      <c r="FB218" s="535" t="s">
        <v>4914</v>
      </c>
      <c r="FC218" s="535" t="s">
        <v>4987</v>
      </c>
      <c r="FD218" s="535" t="s">
        <v>4914</v>
      </c>
      <c r="FE218" s="535" t="s">
        <v>4818</v>
      </c>
      <c r="FF218" s="535"/>
      <c r="FG218" s="535" t="s">
        <v>4641</v>
      </c>
      <c r="FH218" s="535">
        <v>1</v>
      </c>
      <c r="FI218" s="535">
        <v>23</v>
      </c>
      <c r="FJ218" s="535" t="s">
        <v>4462</v>
      </c>
      <c r="FK218" s="535" t="s">
        <v>4248</v>
      </c>
      <c r="FL218" s="538" t="s">
        <v>4057</v>
      </c>
      <c r="FM218" s="97" t="s">
        <v>1251</v>
      </c>
      <c r="FN218" s="97" t="s">
        <v>1230</v>
      </c>
      <c r="FO218" s="872" t="s">
        <v>1231</v>
      </c>
    </row>
    <row r="219" spans="5:171" ht="104" customHeight="1" x14ac:dyDescent="0.2">
      <c r="E219" s="94" t="s">
        <v>3236</v>
      </c>
      <c r="F219" s="94" t="s">
        <v>9121</v>
      </c>
      <c r="G219" s="97" t="s">
        <v>337</v>
      </c>
      <c r="H219" s="97" t="s">
        <v>422</v>
      </c>
      <c r="I219" s="97" t="s">
        <v>8759</v>
      </c>
      <c r="J219" s="97" t="s">
        <v>8537</v>
      </c>
      <c r="K219" s="97" t="s">
        <v>5242</v>
      </c>
      <c r="L219" s="502">
        <v>2022</v>
      </c>
      <c r="M219" s="841">
        <v>44235</v>
      </c>
      <c r="N219" s="841" t="s">
        <v>8232</v>
      </c>
      <c r="O219" s="841"/>
      <c r="P219" s="841"/>
      <c r="Q219" s="841"/>
      <c r="R219" s="841"/>
      <c r="S219" s="841"/>
      <c r="T219" s="841"/>
      <c r="U219" s="841"/>
      <c r="V219" s="841"/>
      <c r="W219" s="841"/>
      <c r="X219" s="841"/>
      <c r="Y219" s="841"/>
      <c r="Z219" s="97" t="s">
        <v>8106</v>
      </c>
      <c r="AA219" s="872" t="s">
        <v>7958</v>
      </c>
      <c r="AB219" s="97"/>
      <c r="AC219" s="97"/>
      <c r="AD219" s="97" t="s">
        <v>7480</v>
      </c>
      <c r="AE219" s="872" t="s">
        <v>7290</v>
      </c>
      <c r="AF219" s="97" t="s">
        <v>7155</v>
      </c>
      <c r="AG219" s="872" t="s">
        <v>7085</v>
      </c>
      <c r="AH219" s="97" t="s">
        <v>7001</v>
      </c>
      <c r="AI219" s="97" t="s">
        <v>6851</v>
      </c>
      <c r="AJ219" s="97" t="s">
        <v>6629</v>
      </c>
      <c r="AK219" s="97" t="s">
        <v>6507</v>
      </c>
      <c r="AL219" s="580">
        <f t="shared" si="19"/>
        <v>0.1</v>
      </c>
      <c r="AM219" s="504">
        <v>0.1</v>
      </c>
      <c r="AN219" s="516"/>
      <c r="AO219" s="97"/>
      <c r="AP219" s="97"/>
      <c r="AQ219" s="504">
        <v>0.1</v>
      </c>
      <c r="AR219" s="507">
        <v>1</v>
      </c>
      <c r="AS219" s="507">
        <v>2.0000000000000001E-4</v>
      </c>
      <c r="AT219" s="516">
        <v>0</v>
      </c>
      <c r="AU219" s="507">
        <v>0</v>
      </c>
      <c r="AV219" s="516">
        <v>0</v>
      </c>
      <c r="AW219" s="507">
        <v>0</v>
      </c>
      <c r="AX219" s="516"/>
      <c r="AY219" s="507">
        <v>0</v>
      </c>
      <c r="AZ219" s="516"/>
      <c r="BA219" s="507"/>
      <c r="BB219" s="507"/>
      <c r="BC219" s="507"/>
      <c r="BD219" s="507"/>
      <c r="BE219" s="507" t="s">
        <v>470</v>
      </c>
      <c r="BF219" s="507"/>
      <c r="BG219" s="507"/>
      <c r="BH219" s="852">
        <v>0</v>
      </c>
      <c r="BI219" s="504">
        <v>0</v>
      </c>
      <c r="BJ219" s="507">
        <v>0</v>
      </c>
      <c r="BK219" s="96">
        <v>0</v>
      </c>
      <c r="BL219" s="96">
        <v>0</v>
      </c>
      <c r="BM219" s="96">
        <v>0</v>
      </c>
      <c r="BN219" s="96">
        <v>0</v>
      </c>
      <c r="BO219" s="96">
        <v>0</v>
      </c>
      <c r="BP219" s="96">
        <v>0</v>
      </c>
      <c r="BQ219" s="96">
        <v>0</v>
      </c>
      <c r="BR219" s="96">
        <v>0</v>
      </c>
      <c r="BS219" s="96">
        <v>0</v>
      </c>
      <c r="BT219" s="96">
        <v>0</v>
      </c>
      <c r="BU219" s="96">
        <v>0</v>
      </c>
      <c r="BV219" s="96">
        <v>0</v>
      </c>
      <c r="BW219" s="96">
        <v>0</v>
      </c>
      <c r="BX219" s="96">
        <v>0</v>
      </c>
      <c r="BY219" s="96">
        <v>0</v>
      </c>
      <c r="BZ219" s="96">
        <v>0</v>
      </c>
      <c r="CA219" s="96">
        <v>0</v>
      </c>
      <c r="CB219" s="96">
        <v>0</v>
      </c>
      <c r="CC219" s="96">
        <v>0</v>
      </c>
      <c r="CD219" s="96">
        <v>0</v>
      </c>
      <c r="CE219" s="96">
        <v>0</v>
      </c>
      <c r="CF219" s="96">
        <v>0</v>
      </c>
      <c r="CG219" s="96">
        <v>1</v>
      </c>
      <c r="CH219" s="96">
        <v>0</v>
      </c>
      <c r="CI219" s="96">
        <v>0</v>
      </c>
      <c r="CJ219" s="96">
        <v>0</v>
      </c>
      <c r="CK219" s="96">
        <v>0</v>
      </c>
      <c r="CL219" s="815">
        <f t="shared" si="21"/>
        <v>1</v>
      </c>
      <c r="CM219" s="824">
        <f t="shared" si="20"/>
        <v>0</v>
      </c>
      <c r="CN219" s="504">
        <v>0.66600000000000004</v>
      </c>
      <c r="CO219" s="97" t="s">
        <v>6111</v>
      </c>
      <c r="CP219" s="97"/>
      <c r="CQ219" s="507">
        <v>6.3E-2</v>
      </c>
      <c r="CR219" s="504">
        <v>10.542999999999999</v>
      </c>
      <c r="CS219" s="872" t="s">
        <v>1288</v>
      </c>
      <c r="CT219" s="97" t="s">
        <v>470</v>
      </c>
      <c r="CU219" s="97"/>
      <c r="CV219" s="97"/>
      <c r="CW219" s="97"/>
      <c r="CX219" s="96"/>
      <c r="CY219" s="96">
        <v>0</v>
      </c>
      <c r="CZ219" s="96">
        <v>2</v>
      </c>
      <c r="DA219" s="97" t="s">
        <v>470</v>
      </c>
      <c r="DB219" s="97"/>
      <c r="DC219" s="96"/>
      <c r="DD219" s="97" t="s">
        <v>470</v>
      </c>
      <c r="DE219" s="97"/>
      <c r="DF219" s="96"/>
      <c r="DG219" s="96" t="s">
        <v>470</v>
      </c>
      <c r="DH219" s="96" t="s">
        <v>5559</v>
      </c>
      <c r="DI219" s="96">
        <v>5</v>
      </c>
      <c r="DJ219" s="96" t="s">
        <v>470</v>
      </c>
      <c r="DK219" s="96"/>
      <c r="DL219" s="96"/>
      <c r="DM219" s="97" t="s">
        <v>470</v>
      </c>
      <c r="DN219" s="97"/>
      <c r="DO219" s="96"/>
      <c r="DP219" s="97" t="s">
        <v>470</v>
      </c>
      <c r="DQ219" s="97"/>
      <c r="DR219" s="96"/>
      <c r="DS219" s="97" t="s">
        <v>470</v>
      </c>
      <c r="DT219" s="97"/>
      <c r="DU219" s="96"/>
      <c r="DV219" s="97"/>
      <c r="DW219" s="97"/>
      <c r="DX219" s="96"/>
      <c r="DY219" s="97" t="s">
        <v>470</v>
      </c>
      <c r="DZ219" s="97"/>
      <c r="EA219" s="96"/>
      <c r="EB219" s="97" t="s">
        <v>470</v>
      </c>
      <c r="EC219" s="97"/>
      <c r="ED219" s="96"/>
      <c r="EE219" s="96" t="s">
        <v>470</v>
      </c>
      <c r="EF219" s="96"/>
      <c r="EG219" s="96"/>
      <c r="EH219" s="97" t="s">
        <v>470</v>
      </c>
      <c r="EI219" s="97"/>
      <c r="EJ219" s="96"/>
      <c r="EK219" s="97" t="s">
        <v>470</v>
      </c>
      <c r="EL219" s="97"/>
      <c r="EM219" s="96"/>
      <c r="EN219" s="97" t="s">
        <v>470</v>
      </c>
      <c r="EO219" s="97"/>
      <c r="EP219" s="96"/>
      <c r="EQ219" s="96" t="s">
        <v>479</v>
      </c>
      <c r="ER219" s="894" t="s">
        <v>4714</v>
      </c>
      <c r="ES219" s="96">
        <v>5</v>
      </c>
      <c r="ET219" s="97"/>
      <c r="EU219" s="97"/>
      <c r="EV219" s="96"/>
      <c r="EW219" s="96"/>
      <c r="EX219" s="96"/>
      <c r="EY219" s="96"/>
      <c r="EZ219" s="97" t="s">
        <v>873</v>
      </c>
      <c r="FA219" s="97"/>
      <c r="FB219" s="97"/>
      <c r="FC219" s="97"/>
      <c r="FD219" s="97"/>
      <c r="FE219" s="97" t="s">
        <v>4817</v>
      </c>
      <c r="FF219" s="872" t="s">
        <v>4714</v>
      </c>
      <c r="FG219" s="97" t="s">
        <v>4640</v>
      </c>
      <c r="FH219" s="97">
        <v>4</v>
      </c>
      <c r="FI219" s="97" t="s">
        <v>4573</v>
      </c>
      <c r="FJ219" s="97" t="s">
        <v>4461</v>
      </c>
      <c r="FK219" s="97" t="s">
        <v>4247</v>
      </c>
      <c r="FL219" s="872" t="s">
        <v>4056</v>
      </c>
      <c r="FM219" s="97" t="s">
        <v>1251</v>
      </c>
      <c r="FN219" s="97" t="s">
        <v>1230</v>
      </c>
      <c r="FO219" s="872" t="s">
        <v>1231</v>
      </c>
    </row>
    <row r="220" spans="5:171" ht="104" customHeight="1" x14ac:dyDescent="0.2">
      <c r="E220" s="94" t="s">
        <v>3236</v>
      </c>
      <c r="F220" s="94" t="s">
        <v>9121</v>
      </c>
      <c r="G220" s="97" t="s">
        <v>337</v>
      </c>
      <c r="H220" s="97" t="s">
        <v>422</v>
      </c>
      <c r="I220" s="97" t="s">
        <v>8758</v>
      </c>
      <c r="J220" s="97" t="s">
        <v>8536</v>
      </c>
      <c r="K220" s="97" t="s">
        <v>5242</v>
      </c>
      <c r="L220" s="502">
        <v>2020</v>
      </c>
      <c r="M220" s="841">
        <v>44562</v>
      </c>
      <c r="N220" s="841">
        <v>44925</v>
      </c>
      <c r="O220" s="841"/>
      <c r="P220" s="841"/>
      <c r="Q220" s="841"/>
      <c r="R220" s="841"/>
      <c r="S220" s="841"/>
      <c r="T220" s="841"/>
      <c r="U220" s="841"/>
      <c r="V220" s="841"/>
      <c r="W220" s="841"/>
      <c r="X220" s="841"/>
      <c r="Y220" s="841"/>
      <c r="Z220" s="97" t="s">
        <v>8105</v>
      </c>
      <c r="AA220" s="842" t="s">
        <v>5371</v>
      </c>
      <c r="AB220" s="97"/>
      <c r="AC220" s="97"/>
      <c r="AD220" s="97" t="s">
        <v>7479</v>
      </c>
      <c r="AE220" s="842" t="s">
        <v>7289</v>
      </c>
      <c r="AF220" s="97"/>
      <c r="AG220" s="97"/>
      <c r="AH220" s="97" t="s">
        <v>6850</v>
      </c>
      <c r="AI220" s="97" t="s">
        <v>6850</v>
      </c>
      <c r="AJ220" s="97" t="s">
        <v>6629</v>
      </c>
      <c r="AK220" s="97" t="s">
        <v>6506</v>
      </c>
      <c r="AL220" s="580">
        <f t="shared" si="19"/>
        <v>0.1</v>
      </c>
      <c r="AM220" s="504">
        <v>0.1</v>
      </c>
      <c r="AN220" s="516"/>
      <c r="AO220" s="97"/>
      <c r="AP220" s="97"/>
      <c r="AQ220" s="504">
        <v>0.1</v>
      </c>
      <c r="AR220" s="507">
        <v>1</v>
      </c>
      <c r="AS220" s="507">
        <v>4.0000000000000002E-4</v>
      </c>
      <c r="AT220" s="516">
        <v>0</v>
      </c>
      <c r="AU220" s="507">
        <v>0</v>
      </c>
      <c r="AV220" s="516">
        <v>0</v>
      </c>
      <c r="AW220" s="507">
        <v>0</v>
      </c>
      <c r="AX220" s="516"/>
      <c r="AY220" s="507">
        <v>0</v>
      </c>
      <c r="AZ220" s="516"/>
      <c r="BA220" s="507"/>
      <c r="BB220" s="507"/>
      <c r="BC220" s="507"/>
      <c r="BD220" s="507"/>
      <c r="BE220" s="507" t="s">
        <v>470</v>
      </c>
      <c r="BF220" s="507"/>
      <c r="BG220" s="507"/>
      <c r="BH220" s="852"/>
      <c r="BI220" s="504">
        <v>0</v>
      </c>
      <c r="BJ220" s="507">
        <v>0</v>
      </c>
      <c r="BK220" s="96">
        <v>7</v>
      </c>
      <c r="BL220" s="96"/>
      <c r="BM220" s="96">
        <v>4</v>
      </c>
      <c r="BN220" s="96"/>
      <c r="BO220" s="96"/>
      <c r="BP220" s="96"/>
      <c r="BQ220" s="96"/>
      <c r="BR220" s="96"/>
      <c r="BS220" s="96"/>
      <c r="BT220" s="96"/>
      <c r="BU220" s="96"/>
      <c r="BV220" s="96"/>
      <c r="BW220" s="96"/>
      <c r="BX220" s="96"/>
      <c r="BY220" s="96"/>
      <c r="BZ220" s="96"/>
      <c r="CA220" s="96"/>
      <c r="CB220" s="96"/>
      <c r="CC220" s="96"/>
      <c r="CD220" s="96"/>
      <c r="CE220" s="96"/>
      <c r="CF220" s="96"/>
      <c r="CG220" s="96">
        <v>4</v>
      </c>
      <c r="CH220" s="96"/>
      <c r="CI220" s="96"/>
      <c r="CJ220" s="96"/>
      <c r="CK220" s="96"/>
      <c r="CL220" s="815">
        <f t="shared" si="21"/>
        <v>4</v>
      </c>
      <c r="CM220" s="824">
        <f t="shared" si="20"/>
        <v>0</v>
      </c>
      <c r="CN220" s="504">
        <v>0.71699999999999997</v>
      </c>
      <c r="CO220" s="97" t="s">
        <v>6110</v>
      </c>
      <c r="CP220" s="842" t="s">
        <v>5371</v>
      </c>
      <c r="CQ220" s="97">
        <v>9.1999999999999993</v>
      </c>
      <c r="CR220" s="504">
        <v>7.8339999999999996</v>
      </c>
      <c r="CS220" s="887" t="s">
        <v>1242</v>
      </c>
      <c r="CT220" s="97" t="s">
        <v>470</v>
      </c>
      <c r="CU220" s="97"/>
      <c r="CV220" s="97"/>
      <c r="CW220" s="97"/>
      <c r="CX220" s="96"/>
      <c r="CY220" s="96"/>
      <c r="CZ220" s="96"/>
      <c r="DA220" s="97" t="s">
        <v>470</v>
      </c>
      <c r="DB220" s="97"/>
      <c r="DC220" s="96"/>
      <c r="DD220" s="97" t="s">
        <v>479</v>
      </c>
      <c r="DE220" s="97" t="s">
        <v>5634</v>
      </c>
      <c r="DF220" s="96">
        <v>6</v>
      </c>
      <c r="DG220" s="96" t="s">
        <v>470</v>
      </c>
      <c r="DH220" s="96"/>
      <c r="DI220" s="96"/>
      <c r="DJ220" s="96" t="s">
        <v>470</v>
      </c>
      <c r="DK220" s="96"/>
      <c r="DL220" s="96"/>
      <c r="DM220" s="97" t="s">
        <v>470</v>
      </c>
      <c r="DN220" s="97"/>
      <c r="DO220" s="96"/>
      <c r="DP220" s="97" t="s">
        <v>470</v>
      </c>
      <c r="DQ220" s="97"/>
      <c r="DR220" s="96"/>
      <c r="DS220" s="97" t="s">
        <v>470</v>
      </c>
      <c r="DT220" s="97"/>
      <c r="DU220" s="96"/>
      <c r="DV220" s="97" t="s">
        <v>470</v>
      </c>
      <c r="DW220" s="97"/>
      <c r="DX220" s="96"/>
      <c r="DY220" s="97" t="s">
        <v>470</v>
      </c>
      <c r="DZ220" s="97"/>
      <c r="EA220" s="96"/>
      <c r="EB220" s="97" t="s">
        <v>470</v>
      </c>
      <c r="EC220" s="97"/>
      <c r="ED220" s="96"/>
      <c r="EE220" s="96" t="s">
        <v>470</v>
      </c>
      <c r="EF220" s="96"/>
      <c r="EG220" s="96"/>
      <c r="EH220" s="97" t="s">
        <v>470</v>
      </c>
      <c r="EI220" s="97"/>
      <c r="EJ220" s="96"/>
      <c r="EK220" s="97" t="s">
        <v>479</v>
      </c>
      <c r="EL220" s="842" t="s">
        <v>5371</v>
      </c>
      <c r="EM220" s="96">
        <v>6</v>
      </c>
      <c r="EN220" s="97" t="s">
        <v>470</v>
      </c>
      <c r="EO220" s="97"/>
      <c r="EP220" s="96"/>
      <c r="EQ220" s="96" t="s">
        <v>470</v>
      </c>
      <c r="ER220" s="96"/>
      <c r="ES220" s="96"/>
      <c r="ET220" s="97" t="s">
        <v>470</v>
      </c>
      <c r="EU220" s="97"/>
      <c r="EV220" s="96"/>
      <c r="EW220" s="96"/>
      <c r="EX220" s="96"/>
      <c r="EY220" s="96"/>
      <c r="EZ220" s="97" t="s">
        <v>470</v>
      </c>
      <c r="FA220" s="97"/>
      <c r="FB220" s="97" t="s">
        <v>5130</v>
      </c>
      <c r="FC220" s="842" t="s">
        <v>4986</v>
      </c>
      <c r="FD220" s="842" t="s">
        <v>4913</v>
      </c>
      <c r="FE220" s="97" t="s">
        <v>4816</v>
      </c>
      <c r="FF220" s="97"/>
      <c r="FG220" s="97"/>
      <c r="FH220" s="97">
        <v>157</v>
      </c>
      <c r="FI220" s="97">
        <v>2133</v>
      </c>
      <c r="FJ220" s="97" t="s">
        <v>4460</v>
      </c>
      <c r="FK220" s="97" t="s">
        <v>4246</v>
      </c>
      <c r="FL220" s="842" t="s">
        <v>4055</v>
      </c>
      <c r="FM220" s="97" t="s">
        <v>3877</v>
      </c>
      <c r="FN220" s="97" t="s">
        <v>1230</v>
      </c>
      <c r="FO220" s="97" t="s">
        <v>1231</v>
      </c>
    </row>
    <row r="221" spans="5:171" ht="54" customHeight="1" x14ac:dyDescent="0.2">
      <c r="E221" s="94" t="s">
        <v>3236</v>
      </c>
      <c r="F221" s="94" t="s">
        <v>9121</v>
      </c>
      <c r="G221" s="97" t="s">
        <v>337</v>
      </c>
      <c r="H221" s="97" t="s">
        <v>422</v>
      </c>
      <c r="I221" s="97" t="s">
        <v>8757</v>
      </c>
      <c r="J221" s="97" t="s">
        <v>8535</v>
      </c>
      <c r="K221" s="97" t="s">
        <v>8400</v>
      </c>
      <c r="L221" s="502" t="s">
        <v>2968</v>
      </c>
      <c r="M221" s="841" t="s">
        <v>8304</v>
      </c>
      <c r="N221" s="841" t="s">
        <v>8231</v>
      </c>
      <c r="O221" s="841"/>
      <c r="P221" s="841"/>
      <c r="Q221" s="841"/>
      <c r="R221" s="841"/>
      <c r="S221" s="841"/>
      <c r="T221" s="841"/>
      <c r="U221" s="841"/>
      <c r="V221" s="841"/>
      <c r="W221" s="841"/>
      <c r="X221" s="841"/>
      <c r="Y221" s="841"/>
      <c r="Z221" s="97"/>
      <c r="AA221" s="97"/>
      <c r="AB221" s="97" t="s">
        <v>7812</v>
      </c>
      <c r="AC221" s="872" t="s">
        <v>7645</v>
      </c>
      <c r="AD221" s="97" t="s">
        <v>7478</v>
      </c>
      <c r="AE221" s="872" t="s">
        <v>7288</v>
      </c>
      <c r="AF221" s="97" t="s">
        <v>7154</v>
      </c>
      <c r="AG221" s="872" t="s">
        <v>7084</v>
      </c>
      <c r="AH221" s="97" t="s">
        <v>7000</v>
      </c>
      <c r="AI221" s="97" t="s">
        <v>6849</v>
      </c>
      <c r="AJ221" s="97" t="s">
        <v>6653</v>
      </c>
      <c r="AK221" s="97" t="s">
        <v>6505</v>
      </c>
      <c r="AL221" s="580">
        <f t="shared" si="19"/>
        <v>0.1</v>
      </c>
      <c r="AM221" s="504">
        <v>0.1</v>
      </c>
      <c r="AN221" s="516"/>
      <c r="AO221" s="97"/>
      <c r="AP221" s="97"/>
      <c r="AQ221" s="504">
        <v>0.1</v>
      </c>
      <c r="AR221" s="507">
        <v>1</v>
      </c>
      <c r="AS221" s="507">
        <v>1E-4</v>
      </c>
      <c r="AT221" s="516">
        <v>0</v>
      </c>
      <c r="AU221" s="507"/>
      <c r="AV221" s="516">
        <v>0</v>
      </c>
      <c r="AW221" s="507"/>
      <c r="AX221" s="516"/>
      <c r="AY221" s="507"/>
      <c r="AZ221" s="516"/>
      <c r="BA221" s="507"/>
      <c r="BB221" s="507"/>
      <c r="BC221" s="507"/>
      <c r="BD221" s="507"/>
      <c r="BE221" s="507" t="s">
        <v>470</v>
      </c>
      <c r="BF221" s="507"/>
      <c r="BG221" s="507"/>
      <c r="BH221" s="852"/>
      <c r="BI221" s="504">
        <v>0.1</v>
      </c>
      <c r="BJ221" s="507">
        <v>1E-4</v>
      </c>
      <c r="BK221" s="96">
        <v>5</v>
      </c>
      <c r="BL221" s="96">
        <v>3</v>
      </c>
      <c r="BM221" s="96">
        <v>1</v>
      </c>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v>1</v>
      </c>
      <c r="CL221" s="815">
        <f t="shared" si="21"/>
        <v>1</v>
      </c>
      <c r="CM221" s="824">
        <f t="shared" si="20"/>
        <v>0</v>
      </c>
      <c r="CN221" s="504">
        <v>0.13500000000000001</v>
      </c>
      <c r="CO221" s="97" t="s">
        <v>6109</v>
      </c>
      <c r="CP221" s="97"/>
      <c r="CQ221" s="507">
        <v>7.0000000000000001E-3</v>
      </c>
      <c r="CR221" s="504">
        <v>2.544</v>
      </c>
      <c r="CS221" s="872" t="s">
        <v>5881</v>
      </c>
      <c r="CT221" s="97" t="s">
        <v>470</v>
      </c>
      <c r="CU221" s="97" t="s">
        <v>470</v>
      </c>
      <c r="CV221" s="97" t="s">
        <v>470</v>
      </c>
      <c r="CW221" s="97" t="s">
        <v>470</v>
      </c>
      <c r="CX221" s="96" t="s">
        <v>470</v>
      </c>
      <c r="CY221" s="96" t="s">
        <v>470</v>
      </c>
      <c r="CZ221" s="96">
        <v>2</v>
      </c>
      <c r="DA221" s="97"/>
      <c r="DB221" s="97"/>
      <c r="DC221" s="96"/>
      <c r="DD221" s="97" t="s">
        <v>479</v>
      </c>
      <c r="DE221" s="97" t="s">
        <v>640</v>
      </c>
      <c r="DF221" s="96">
        <v>50</v>
      </c>
      <c r="DG221" s="96"/>
      <c r="DH221" s="96"/>
      <c r="DI221" s="96"/>
      <c r="DJ221" s="96"/>
      <c r="DK221" s="96"/>
      <c r="DL221" s="96"/>
      <c r="DM221" s="97"/>
      <c r="DN221" s="97"/>
      <c r="DO221" s="96"/>
      <c r="DP221" s="97"/>
      <c r="DQ221" s="97"/>
      <c r="DR221" s="96"/>
      <c r="DS221" s="97"/>
      <c r="DT221" s="97"/>
      <c r="DU221" s="96"/>
      <c r="DV221" s="97"/>
      <c r="DW221" s="97"/>
      <c r="DX221" s="96"/>
      <c r="DY221" s="97" t="s">
        <v>470</v>
      </c>
      <c r="DZ221" s="97" t="s">
        <v>470</v>
      </c>
      <c r="EA221" s="96" t="s">
        <v>470</v>
      </c>
      <c r="EB221" s="97" t="s">
        <v>479</v>
      </c>
      <c r="EC221" s="97" t="s">
        <v>640</v>
      </c>
      <c r="ED221" s="96">
        <v>14</v>
      </c>
      <c r="EE221" s="96" t="s">
        <v>470</v>
      </c>
      <c r="EF221" s="96" t="s">
        <v>470</v>
      </c>
      <c r="EG221" s="96"/>
      <c r="EH221" s="97" t="s">
        <v>470</v>
      </c>
      <c r="EI221" s="97" t="s">
        <v>470</v>
      </c>
      <c r="EJ221" s="96"/>
      <c r="EK221" s="97" t="s">
        <v>479</v>
      </c>
      <c r="EL221" s="97" t="s">
        <v>640</v>
      </c>
      <c r="EM221" s="96">
        <v>11</v>
      </c>
      <c r="EN221" s="97"/>
      <c r="EO221" s="97"/>
      <c r="EP221" s="96"/>
      <c r="EQ221" s="96" t="s">
        <v>470</v>
      </c>
      <c r="ER221" s="96" t="s">
        <v>470</v>
      </c>
      <c r="ES221" s="96"/>
      <c r="ET221" s="97" t="s">
        <v>470</v>
      </c>
      <c r="EU221" s="97" t="s">
        <v>470</v>
      </c>
      <c r="EV221" s="96"/>
      <c r="EW221" s="96"/>
      <c r="EX221" s="96"/>
      <c r="EY221" s="96"/>
      <c r="EZ221" s="97" t="s">
        <v>470</v>
      </c>
      <c r="FA221" s="97" t="s">
        <v>470</v>
      </c>
      <c r="FB221" s="97"/>
      <c r="FC221" s="872" t="s">
        <v>4985</v>
      </c>
      <c r="FD221" s="97"/>
      <c r="FE221" s="97"/>
      <c r="FF221" s="97"/>
      <c r="FG221" s="97" t="s">
        <v>4639</v>
      </c>
      <c r="FH221" s="97">
        <v>1</v>
      </c>
      <c r="FI221" s="97">
        <v>8</v>
      </c>
      <c r="FJ221" s="97" t="s">
        <v>4459</v>
      </c>
      <c r="FK221" s="97" t="s">
        <v>4245</v>
      </c>
      <c r="FL221" s="872" t="s">
        <v>4054</v>
      </c>
      <c r="FM221" s="97" t="s">
        <v>1251</v>
      </c>
      <c r="FN221" s="97" t="s">
        <v>1230</v>
      </c>
      <c r="FO221" s="872" t="s">
        <v>1231</v>
      </c>
    </row>
    <row r="222" spans="5:171" ht="63" customHeight="1" x14ac:dyDescent="0.2">
      <c r="E222" s="94" t="s">
        <v>9302</v>
      </c>
      <c r="F222" s="94" t="s">
        <v>9120</v>
      </c>
      <c r="G222" s="198" t="s">
        <v>338</v>
      </c>
      <c r="H222" s="198" t="s">
        <v>423</v>
      </c>
      <c r="I222" s="198"/>
      <c r="J222" s="968" t="s">
        <v>1167</v>
      </c>
      <c r="K222" s="969" t="s">
        <v>1168</v>
      </c>
      <c r="L222" s="970">
        <v>2017</v>
      </c>
      <c r="M222" s="971" t="s">
        <v>1169</v>
      </c>
      <c r="N222" s="971" t="s">
        <v>554</v>
      </c>
      <c r="O222" s="972" t="s">
        <v>1170</v>
      </c>
      <c r="P222" s="969" t="s">
        <v>1171</v>
      </c>
      <c r="Q222" s="881" t="s">
        <v>1172</v>
      </c>
      <c r="R222" s="969" t="s">
        <v>539</v>
      </c>
      <c r="S222" s="969" t="s">
        <v>539</v>
      </c>
      <c r="T222" s="969" t="s">
        <v>539</v>
      </c>
      <c r="U222" s="969" t="s">
        <v>539</v>
      </c>
      <c r="V222" s="969" t="s">
        <v>539</v>
      </c>
      <c r="W222" s="969" t="s">
        <v>539</v>
      </c>
      <c r="X222" s="969" t="s">
        <v>539</v>
      </c>
      <c r="Y222" s="969" t="s">
        <v>539</v>
      </c>
      <c r="Z222" s="969"/>
      <c r="AA222" s="969"/>
      <c r="AB222" s="969"/>
      <c r="AC222" s="969"/>
      <c r="AD222" s="969"/>
      <c r="AE222" s="969"/>
      <c r="AF222" s="969"/>
      <c r="AG222" s="969"/>
      <c r="AH222" s="969" t="s">
        <v>1173</v>
      </c>
      <c r="AI222" s="969" t="s">
        <v>1173</v>
      </c>
      <c r="AJ222" s="969" t="s">
        <v>615</v>
      </c>
      <c r="AK222" s="969" t="s">
        <v>1174</v>
      </c>
      <c r="AL222" s="580">
        <f t="shared" si="19"/>
        <v>260.58999999999997</v>
      </c>
      <c r="AM222" s="504">
        <v>260.58999999999997</v>
      </c>
      <c r="AN222" s="973">
        <v>177.82</v>
      </c>
      <c r="AO222" s="974">
        <v>0.66210000000000002</v>
      </c>
      <c r="AP222" s="974">
        <v>5.9999999999999995E-4</v>
      </c>
      <c r="AQ222" s="504">
        <v>62.9</v>
      </c>
      <c r="AR222" s="137">
        <v>0.23419999999999999</v>
      </c>
      <c r="AS222" s="137"/>
      <c r="AT222" s="520"/>
      <c r="AU222" s="137"/>
      <c r="AV222" s="520"/>
      <c r="AW222" s="137"/>
      <c r="AX222" s="520">
        <v>19.87</v>
      </c>
      <c r="AY222" s="137">
        <v>7.6399999999999996E-2</v>
      </c>
      <c r="AZ222" s="520" t="s">
        <v>539</v>
      </c>
      <c r="BA222" s="974" t="s">
        <v>539</v>
      </c>
      <c r="BB222" s="969" t="s">
        <v>539</v>
      </c>
      <c r="BC222" s="969" t="s">
        <v>539</v>
      </c>
      <c r="BD222" s="969" t="s">
        <v>539</v>
      </c>
      <c r="BE222" s="969" t="s">
        <v>540</v>
      </c>
      <c r="BF222" s="969" t="s">
        <v>1175</v>
      </c>
      <c r="BG222" s="969" t="s">
        <v>539</v>
      </c>
      <c r="BH222" s="969">
        <v>6.4729999999999999</v>
      </c>
      <c r="BI222" s="975">
        <v>199.9</v>
      </c>
      <c r="BJ222" s="974">
        <v>6.9999999999999999E-4</v>
      </c>
      <c r="BK222" s="976">
        <v>842</v>
      </c>
      <c r="BL222" s="976">
        <v>255</v>
      </c>
      <c r="BM222" s="976">
        <v>229</v>
      </c>
      <c r="BN222" s="976">
        <v>2</v>
      </c>
      <c r="BO222" s="976">
        <v>24</v>
      </c>
      <c r="BP222" s="976">
        <v>12</v>
      </c>
      <c r="BQ222" s="976">
        <v>3</v>
      </c>
      <c r="BR222" s="976">
        <v>1</v>
      </c>
      <c r="BS222" s="976">
        <v>26</v>
      </c>
      <c r="BT222" s="976" t="s">
        <v>539</v>
      </c>
      <c r="BU222" s="976">
        <v>27</v>
      </c>
      <c r="BV222" s="976">
        <v>17</v>
      </c>
      <c r="BW222" s="976">
        <v>1</v>
      </c>
      <c r="BX222" s="976">
        <v>15</v>
      </c>
      <c r="BY222" s="976">
        <v>25</v>
      </c>
      <c r="BZ222" s="976">
        <v>68</v>
      </c>
      <c r="CA222" s="976">
        <v>2</v>
      </c>
      <c r="CB222" s="976" t="s">
        <v>539</v>
      </c>
      <c r="CC222" s="976" t="s">
        <v>539</v>
      </c>
      <c r="CD222" s="976" t="s">
        <v>539</v>
      </c>
      <c r="CE222" s="976">
        <v>15</v>
      </c>
      <c r="CF222" s="976" t="s">
        <v>539</v>
      </c>
      <c r="CG222" s="976" t="s">
        <v>539</v>
      </c>
      <c r="CH222" s="976" t="s">
        <v>539</v>
      </c>
      <c r="CI222" s="976" t="s">
        <v>539</v>
      </c>
      <c r="CJ222" s="976" t="s">
        <v>539</v>
      </c>
      <c r="CK222" s="976">
        <v>2</v>
      </c>
      <c r="CL222" s="977">
        <f t="shared" si="21"/>
        <v>240</v>
      </c>
      <c r="CM222" s="824">
        <f t="shared" si="20"/>
        <v>0</v>
      </c>
      <c r="CN222" s="584">
        <v>450.1</v>
      </c>
      <c r="CO222" s="969" t="s">
        <v>1176</v>
      </c>
      <c r="CP222" s="969" t="s">
        <v>539</v>
      </c>
      <c r="CQ222" s="974">
        <f>CN222/CR222</f>
        <v>0.4724467303453343</v>
      </c>
      <c r="CR222" s="584">
        <v>952.7</v>
      </c>
      <c r="CS222" s="978" t="s">
        <v>1177</v>
      </c>
      <c r="CT222" s="969" t="s">
        <v>540</v>
      </c>
      <c r="CU222" s="969" t="s">
        <v>1178</v>
      </c>
      <c r="CV222" s="979" t="s">
        <v>1179</v>
      </c>
      <c r="CW222" s="969" t="s">
        <v>1180</v>
      </c>
      <c r="CX222" s="976">
        <v>4</v>
      </c>
      <c r="CY222" s="976" t="s">
        <v>539</v>
      </c>
      <c r="CZ222" s="976" t="s">
        <v>539</v>
      </c>
      <c r="DA222" s="969" t="s">
        <v>540</v>
      </c>
      <c r="DB222" s="969" t="s">
        <v>1181</v>
      </c>
      <c r="DC222" s="976">
        <v>29985</v>
      </c>
      <c r="DD222" s="969" t="s">
        <v>540</v>
      </c>
      <c r="DE222" s="969" t="s">
        <v>1182</v>
      </c>
      <c r="DF222" s="976">
        <v>15281</v>
      </c>
      <c r="DG222" s="969" t="s">
        <v>540</v>
      </c>
      <c r="DH222" s="969" t="s">
        <v>1183</v>
      </c>
      <c r="DI222" s="976">
        <v>388</v>
      </c>
      <c r="DJ222" s="969" t="s">
        <v>540</v>
      </c>
      <c r="DK222" s="969" t="s">
        <v>1183</v>
      </c>
      <c r="DL222" s="976">
        <v>2478</v>
      </c>
      <c r="DM222" s="969" t="s">
        <v>539</v>
      </c>
      <c r="DN222" s="969" t="s">
        <v>539</v>
      </c>
      <c r="DO222" s="976" t="s">
        <v>539</v>
      </c>
      <c r="DP222" s="969" t="s">
        <v>539</v>
      </c>
      <c r="DQ222" s="969" t="s">
        <v>539</v>
      </c>
      <c r="DR222" s="976" t="s">
        <v>539</v>
      </c>
      <c r="DS222" s="969" t="s">
        <v>539</v>
      </c>
      <c r="DT222" s="969" t="s">
        <v>539</v>
      </c>
      <c r="DU222" s="976" t="s">
        <v>539</v>
      </c>
      <c r="DV222" s="969" t="s">
        <v>539</v>
      </c>
      <c r="DW222" s="969" t="s">
        <v>539</v>
      </c>
      <c r="DX222" s="976" t="s">
        <v>539</v>
      </c>
      <c r="DY222" s="969" t="s">
        <v>539</v>
      </c>
      <c r="DZ222" s="969" t="s">
        <v>539</v>
      </c>
      <c r="EA222" s="976" t="s">
        <v>539</v>
      </c>
      <c r="EB222" s="969" t="s">
        <v>540</v>
      </c>
      <c r="EC222" s="969" t="s">
        <v>1184</v>
      </c>
      <c r="ED222" s="976">
        <v>17649</v>
      </c>
      <c r="EE222" s="976" t="s">
        <v>539</v>
      </c>
      <c r="EF222" s="976" t="s">
        <v>539</v>
      </c>
      <c r="EG222" s="976" t="s">
        <v>539</v>
      </c>
      <c r="EH222" s="976" t="s">
        <v>539</v>
      </c>
      <c r="EI222" s="976" t="s">
        <v>539</v>
      </c>
      <c r="EJ222" s="976" t="s">
        <v>539</v>
      </c>
      <c r="EK222" s="976" t="s">
        <v>539</v>
      </c>
      <c r="EL222" s="976" t="s">
        <v>539</v>
      </c>
      <c r="EM222" s="976" t="s">
        <v>539</v>
      </c>
      <c r="EN222" s="976" t="s">
        <v>539</v>
      </c>
      <c r="EO222" s="976" t="s">
        <v>539</v>
      </c>
      <c r="EP222" s="976" t="s">
        <v>539</v>
      </c>
      <c r="EQ222" s="976" t="s">
        <v>539</v>
      </c>
      <c r="ER222" s="976" t="s">
        <v>539</v>
      </c>
      <c r="ES222" s="976" t="s">
        <v>539</v>
      </c>
      <c r="ET222" s="976" t="s">
        <v>539</v>
      </c>
      <c r="EU222" s="976" t="s">
        <v>539</v>
      </c>
      <c r="EV222" s="976" t="s">
        <v>539</v>
      </c>
      <c r="EW222" s="969" t="s">
        <v>1185</v>
      </c>
      <c r="EX222" s="969" t="s">
        <v>1186</v>
      </c>
      <c r="EY222" s="980">
        <v>255</v>
      </c>
      <c r="EZ222" s="969" t="s">
        <v>539</v>
      </c>
      <c r="FA222" s="969" t="s">
        <v>539</v>
      </c>
      <c r="FB222" s="881" t="s">
        <v>1187</v>
      </c>
      <c r="FC222" s="881" t="s">
        <v>1188</v>
      </c>
      <c r="FD222" s="881"/>
      <c r="FE222" s="969" t="s">
        <v>539</v>
      </c>
      <c r="FF222" s="969" t="s">
        <v>539</v>
      </c>
      <c r="FG222" s="969" t="s">
        <v>1189</v>
      </c>
      <c r="FH222" s="969">
        <v>30</v>
      </c>
      <c r="FI222" s="969">
        <v>755</v>
      </c>
      <c r="FJ222" s="969" t="s">
        <v>1190</v>
      </c>
      <c r="FK222" s="969" t="s">
        <v>1191</v>
      </c>
      <c r="FL222" s="881" t="s">
        <v>1192</v>
      </c>
      <c r="FM222" s="969" t="s">
        <v>539</v>
      </c>
      <c r="FN222" s="969" t="s">
        <v>539</v>
      </c>
      <c r="FO222" s="969" t="s">
        <v>539</v>
      </c>
    </row>
    <row r="223" spans="5:171" ht="37" customHeight="1" x14ac:dyDescent="0.2">
      <c r="E223" s="94" t="s">
        <v>9305</v>
      </c>
      <c r="F223" s="94" t="s">
        <v>9121</v>
      </c>
      <c r="G223" s="97" t="s">
        <v>338</v>
      </c>
      <c r="H223" s="97" t="s">
        <v>423</v>
      </c>
      <c r="I223" s="981" t="s">
        <v>8756</v>
      </c>
      <c r="J223" s="981" t="s">
        <v>1772</v>
      </c>
      <c r="K223" s="981" t="s">
        <v>1772</v>
      </c>
      <c r="L223" s="982">
        <v>2020</v>
      </c>
      <c r="M223" s="983" t="s">
        <v>8303</v>
      </c>
      <c r="N223" s="983" t="s">
        <v>8230</v>
      </c>
      <c r="O223" s="983"/>
      <c r="P223" s="983"/>
      <c r="Q223" s="983"/>
      <c r="R223" s="983"/>
      <c r="S223" s="983"/>
      <c r="T223" s="983"/>
      <c r="U223" s="983"/>
      <c r="V223" s="983"/>
      <c r="W223" s="983"/>
      <c r="X223" s="983"/>
      <c r="Y223" s="983"/>
      <c r="Z223" s="981"/>
      <c r="AA223" s="981"/>
      <c r="AB223" s="981" t="s">
        <v>7811</v>
      </c>
      <c r="AC223" s="981" t="s">
        <v>7644</v>
      </c>
      <c r="AD223" s="981" t="s">
        <v>7477</v>
      </c>
      <c r="AE223" s="981" t="s">
        <v>7287</v>
      </c>
      <c r="AF223" s="981" t="s">
        <v>1924</v>
      </c>
      <c r="AG223" s="981"/>
      <c r="AH223" s="981" t="s">
        <v>6999</v>
      </c>
      <c r="AI223" s="981" t="s">
        <v>6848</v>
      </c>
      <c r="AJ223" s="981" t="s">
        <v>6701</v>
      </c>
      <c r="AK223" s="981" t="s">
        <v>6504</v>
      </c>
      <c r="AL223" s="580">
        <f t="shared" si="19"/>
        <v>0.21099999999999999</v>
      </c>
      <c r="AM223" s="504">
        <v>0.21099999999999999</v>
      </c>
      <c r="AN223" s="516"/>
      <c r="AO223" s="97"/>
      <c r="AP223" s="97"/>
      <c r="AQ223" s="504">
        <v>0.191</v>
      </c>
      <c r="AR223" s="507" t="s">
        <v>6355</v>
      </c>
      <c r="AS223" s="507" t="s">
        <v>6343</v>
      </c>
      <c r="AT223" s="516">
        <v>0</v>
      </c>
      <c r="AU223" s="507"/>
      <c r="AV223" s="516">
        <v>0</v>
      </c>
      <c r="AW223" s="507"/>
      <c r="AX223" s="516">
        <v>0.02</v>
      </c>
      <c r="AY223" s="507" t="s">
        <v>6341</v>
      </c>
      <c r="AZ223" s="516"/>
      <c r="BA223" s="984"/>
      <c r="BB223" s="984"/>
      <c r="BC223" s="984"/>
      <c r="BD223" s="984"/>
      <c r="BE223" s="984" t="s">
        <v>539</v>
      </c>
      <c r="BF223" s="984"/>
      <c r="BG223" s="984"/>
      <c r="BH223" s="984"/>
      <c r="BI223" s="985">
        <v>0.2</v>
      </c>
      <c r="BJ223" s="984" t="s">
        <v>6201</v>
      </c>
      <c r="BK223" s="986">
        <v>1</v>
      </c>
      <c r="BL223" s="986">
        <v>1</v>
      </c>
      <c r="BM223" s="986">
        <v>1</v>
      </c>
      <c r="BN223" s="986"/>
      <c r="BO223" s="986"/>
      <c r="BP223" s="986"/>
      <c r="BQ223" s="986"/>
      <c r="BR223" s="986"/>
      <c r="BS223" s="986"/>
      <c r="BT223" s="986"/>
      <c r="BU223" s="986"/>
      <c r="BV223" s="986"/>
      <c r="BW223" s="986"/>
      <c r="BX223" s="986"/>
      <c r="BY223" s="986"/>
      <c r="BZ223" s="986">
        <v>1</v>
      </c>
      <c r="CA223" s="986"/>
      <c r="CB223" s="986"/>
      <c r="CC223" s="986"/>
      <c r="CD223" s="986"/>
      <c r="CE223" s="986"/>
      <c r="CF223" s="986"/>
      <c r="CG223" s="986"/>
      <c r="CH223" s="986"/>
      <c r="CI223" s="986"/>
      <c r="CJ223" s="986"/>
      <c r="CK223" s="986"/>
      <c r="CL223" s="987">
        <f t="shared" si="21"/>
        <v>1</v>
      </c>
      <c r="CM223" s="824">
        <f t="shared" si="20"/>
        <v>0</v>
      </c>
      <c r="CN223" s="985">
        <v>0.5</v>
      </c>
      <c r="CO223" s="981" t="s">
        <v>6108</v>
      </c>
      <c r="CP223" s="981"/>
      <c r="CQ223" s="981" t="s">
        <v>5959</v>
      </c>
      <c r="CR223" s="985">
        <v>48.103999999999999</v>
      </c>
      <c r="CS223" s="984" t="s">
        <v>5880</v>
      </c>
      <c r="CT223" s="981" t="s">
        <v>539</v>
      </c>
      <c r="CU223" s="981"/>
      <c r="CV223" s="981"/>
      <c r="CW223" s="981"/>
      <c r="CX223" s="986"/>
      <c r="CY223" s="986"/>
      <c r="CZ223" s="986"/>
      <c r="DA223" s="981" t="s">
        <v>539</v>
      </c>
      <c r="DB223" s="981"/>
      <c r="DC223" s="986"/>
      <c r="DD223" s="981" t="s">
        <v>539</v>
      </c>
      <c r="DE223" s="981"/>
      <c r="DF223" s="986"/>
      <c r="DG223" s="986" t="s">
        <v>539</v>
      </c>
      <c r="DH223" s="986"/>
      <c r="DI223" s="986"/>
      <c r="DJ223" s="986" t="s">
        <v>539</v>
      </c>
      <c r="DK223" s="986"/>
      <c r="DL223" s="986"/>
      <c r="DM223" s="981" t="s">
        <v>539</v>
      </c>
      <c r="DN223" s="981"/>
      <c r="DO223" s="986"/>
      <c r="DP223" s="981" t="s">
        <v>539</v>
      </c>
      <c r="DQ223" s="981"/>
      <c r="DR223" s="986"/>
      <c r="DS223" s="981" t="s">
        <v>539</v>
      </c>
      <c r="DT223" s="981"/>
      <c r="DU223" s="986"/>
      <c r="DV223" s="981" t="s">
        <v>5510</v>
      </c>
      <c r="DW223" s="981" t="s">
        <v>5484</v>
      </c>
      <c r="DX223" s="986">
        <v>1</v>
      </c>
      <c r="DY223" s="981" t="s">
        <v>539</v>
      </c>
      <c r="DZ223" s="981"/>
      <c r="EA223" s="986"/>
      <c r="EB223" s="981" t="s">
        <v>539</v>
      </c>
      <c r="EC223" s="981"/>
      <c r="ED223" s="986"/>
      <c r="EE223" s="986" t="s">
        <v>539</v>
      </c>
      <c r="EF223" s="986"/>
      <c r="EG223" s="986"/>
      <c r="EH223" s="981" t="s">
        <v>539</v>
      </c>
      <c r="EI223" s="981"/>
      <c r="EJ223" s="986"/>
      <c r="EK223" s="981" t="s">
        <v>539</v>
      </c>
      <c r="EL223" s="981"/>
      <c r="EM223" s="986"/>
      <c r="EN223" s="981" t="s">
        <v>539</v>
      </c>
      <c r="EO223" s="981"/>
      <c r="EP223" s="986"/>
      <c r="EQ223" s="986" t="s">
        <v>540</v>
      </c>
      <c r="ER223" s="986" t="s">
        <v>1597</v>
      </c>
      <c r="ES223" s="986">
        <v>9</v>
      </c>
      <c r="ET223" s="981"/>
      <c r="EU223" s="981"/>
      <c r="EV223" s="981"/>
      <c r="EW223" s="981"/>
      <c r="EX223" s="981"/>
      <c r="EY223" s="981"/>
      <c r="EZ223" s="981" t="s">
        <v>539</v>
      </c>
      <c r="FA223" s="981"/>
      <c r="FB223" s="981" t="s">
        <v>5129</v>
      </c>
      <c r="FC223" s="981"/>
      <c r="FD223" s="981"/>
      <c r="FE223" s="981" t="s">
        <v>4815</v>
      </c>
      <c r="FF223" s="981"/>
      <c r="FG223" s="981"/>
      <c r="FH223" s="981"/>
      <c r="FI223" s="981"/>
      <c r="FJ223" s="981" t="s">
        <v>4458</v>
      </c>
      <c r="FK223" s="981" t="s">
        <v>4244</v>
      </c>
      <c r="FL223" s="981" t="s">
        <v>4053</v>
      </c>
      <c r="FM223" s="522" t="s">
        <v>3876</v>
      </c>
      <c r="FN223" s="522" t="s">
        <v>3807</v>
      </c>
      <c r="FO223" s="935" t="s">
        <v>1412</v>
      </c>
    </row>
    <row r="224" spans="5:171" ht="104" customHeight="1" x14ac:dyDescent="0.2">
      <c r="E224" s="94" t="s">
        <v>9302</v>
      </c>
      <c r="F224" s="94" t="s">
        <v>9120</v>
      </c>
      <c r="G224" s="198" t="s">
        <v>339</v>
      </c>
      <c r="H224" s="198" t="s">
        <v>424</v>
      </c>
      <c r="I224" s="198"/>
      <c r="J224" s="198" t="s">
        <v>3142</v>
      </c>
      <c r="K224" s="198" t="s">
        <v>3143</v>
      </c>
      <c r="L224" s="578">
        <v>2021</v>
      </c>
      <c r="M224" s="822">
        <v>44467</v>
      </c>
      <c r="N224" s="822">
        <v>44926</v>
      </c>
      <c r="O224" s="198" t="s">
        <v>3144</v>
      </c>
      <c r="P224" s="198" t="s">
        <v>3145</v>
      </c>
      <c r="Q224" s="988" t="s">
        <v>3146</v>
      </c>
      <c r="R224" s="198" t="s">
        <v>470</v>
      </c>
      <c r="S224" s="198" t="s">
        <v>470</v>
      </c>
      <c r="T224" s="198" t="s">
        <v>470</v>
      </c>
      <c r="U224" s="198" t="s">
        <v>470</v>
      </c>
      <c r="V224" s="198" t="s">
        <v>470</v>
      </c>
      <c r="W224" s="198" t="s">
        <v>470</v>
      </c>
      <c r="X224" s="198" t="s">
        <v>3147</v>
      </c>
      <c r="Y224" s="844" t="s">
        <v>3148</v>
      </c>
      <c r="Z224" s="844"/>
      <c r="AA224" s="844"/>
      <c r="AB224" s="844"/>
      <c r="AC224" s="844"/>
      <c r="AD224" s="844"/>
      <c r="AE224" s="844"/>
      <c r="AF224" s="844"/>
      <c r="AG224" s="844"/>
      <c r="AH224" s="198" t="s">
        <v>3149</v>
      </c>
      <c r="AI224" s="198" t="s">
        <v>3150</v>
      </c>
      <c r="AJ224" s="198" t="s">
        <v>3151</v>
      </c>
      <c r="AK224" s="198" t="s">
        <v>3152</v>
      </c>
      <c r="AL224" s="580">
        <f t="shared" si="19"/>
        <v>99.989999999999981</v>
      </c>
      <c r="AM224" s="504">
        <v>99.989999999999981</v>
      </c>
      <c r="AN224" s="516">
        <v>62.210999999999999</v>
      </c>
      <c r="AO224" s="137">
        <f>AN224/AL224</f>
        <v>0.62217221722172222</v>
      </c>
      <c r="AP224" s="137">
        <v>4.4000000000000002E-4</v>
      </c>
      <c r="AQ224" s="504">
        <v>16.835000000000001</v>
      </c>
      <c r="AR224" s="137">
        <f t="shared" ref="AR224:AR231" si="22">AQ224/AL224</f>
        <v>0.16836683668366842</v>
      </c>
      <c r="AS224" s="137"/>
      <c r="AT224" s="520">
        <v>3.2669999999999999</v>
      </c>
      <c r="AU224" s="137">
        <f t="shared" ref="AU224:AU230" si="23">AT224/AL224</f>
        <v>3.2673267326732681E-2</v>
      </c>
      <c r="AV224" s="520">
        <v>7.2050000000000001</v>
      </c>
      <c r="AW224" s="137">
        <f t="shared" ref="AW224:AW230" si="24">AV224/AL224</f>
        <v>7.2057205720572073E-2</v>
      </c>
      <c r="AX224" s="520">
        <v>10.472</v>
      </c>
      <c r="AY224" s="137">
        <f>AX224/AL224</f>
        <v>0.10473047304730475</v>
      </c>
      <c r="AZ224" s="520" t="s">
        <v>470</v>
      </c>
      <c r="BA224" s="137" t="s">
        <v>470</v>
      </c>
      <c r="BB224" s="198" t="s">
        <v>470</v>
      </c>
      <c r="BC224" s="198" t="s">
        <v>470</v>
      </c>
      <c r="BD224" s="198" t="s">
        <v>470</v>
      </c>
      <c r="BE224" s="198" t="s">
        <v>479</v>
      </c>
      <c r="BF224" s="198" t="s">
        <v>3153</v>
      </c>
      <c r="BG224" s="83" t="s">
        <v>470</v>
      </c>
      <c r="BH224" s="198" t="s">
        <v>3154</v>
      </c>
      <c r="BI224" s="581">
        <v>98.7</v>
      </c>
      <c r="BJ224" s="137">
        <v>6.9999999999999999E-4</v>
      </c>
      <c r="BK224" s="83">
        <v>70</v>
      </c>
      <c r="BL224" s="83">
        <v>53</v>
      </c>
      <c r="BM224" s="83">
        <v>43</v>
      </c>
      <c r="BN224" s="83">
        <v>0</v>
      </c>
      <c r="BO224" s="83">
        <v>0</v>
      </c>
      <c r="BP224" s="83">
        <v>0</v>
      </c>
      <c r="BQ224" s="83">
        <v>0</v>
      </c>
      <c r="BR224" s="83">
        <v>0</v>
      </c>
      <c r="BS224" s="83">
        <v>0</v>
      </c>
      <c r="BT224" s="83">
        <v>0</v>
      </c>
      <c r="BU224" s="83">
        <v>12</v>
      </c>
      <c r="BV224" s="83">
        <v>18</v>
      </c>
      <c r="BW224" s="83">
        <v>0</v>
      </c>
      <c r="BX224" s="83">
        <v>6</v>
      </c>
      <c r="BY224" s="83">
        <v>5</v>
      </c>
      <c r="BZ224" s="83">
        <v>2</v>
      </c>
      <c r="CA224" s="83">
        <v>0</v>
      </c>
      <c r="CB224" s="83">
        <v>0</v>
      </c>
      <c r="CC224" s="83">
        <v>0</v>
      </c>
      <c r="CD224" s="83">
        <v>0</v>
      </c>
      <c r="CE224" s="83">
        <v>0</v>
      </c>
      <c r="CF224" s="83">
        <v>0</v>
      </c>
      <c r="CG224" s="83">
        <v>0</v>
      </c>
      <c r="CH224" s="83">
        <v>0</v>
      </c>
      <c r="CI224" s="83">
        <v>0</v>
      </c>
      <c r="CJ224" s="83">
        <v>0</v>
      </c>
      <c r="CK224" s="83">
        <v>0</v>
      </c>
      <c r="CL224" s="824">
        <f t="shared" si="21"/>
        <v>43</v>
      </c>
      <c r="CM224" s="824">
        <f t="shared" si="20"/>
        <v>0</v>
      </c>
      <c r="CN224" s="580">
        <v>52.825000000000003</v>
      </c>
      <c r="CO224" s="198" t="s">
        <v>470</v>
      </c>
      <c r="CP224" s="198" t="s">
        <v>470</v>
      </c>
      <c r="CQ224" s="137">
        <v>2.8500000000000001E-2</v>
      </c>
      <c r="CR224" s="580">
        <v>1851.5</v>
      </c>
      <c r="CS224" s="873" t="s">
        <v>3155</v>
      </c>
      <c r="CT224" s="198" t="s">
        <v>470</v>
      </c>
      <c r="CU224" s="198" t="s">
        <v>470</v>
      </c>
      <c r="CV224" s="844" t="s">
        <v>3156</v>
      </c>
      <c r="CW224" s="198" t="s">
        <v>470</v>
      </c>
      <c r="CX224" s="83" t="s">
        <v>470</v>
      </c>
      <c r="CY224" s="83" t="s">
        <v>470</v>
      </c>
      <c r="CZ224" s="83">
        <v>4</v>
      </c>
      <c r="DA224" s="198" t="s">
        <v>479</v>
      </c>
      <c r="DB224" s="198" t="s">
        <v>3157</v>
      </c>
      <c r="DC224" s="83">
        <v>5211</v>
      </c>
      <c r="DD224" s="198" t="s">
        <v>479</v>
      </c>
      <c r="DE224" s="198" t="s">
        <v>1007</v>
      </c>
      <c r="DF224" s="83">
        <v>22674</v>
      </c>
      <c r="DG224" s="198" t="s">
        <v>470</v>
      </c>
      <c r="DH224" s="198" t="s">
        <v>470</v>
      </c>
      <c r="DI224" s="198" t="s">
        <v>470</v>
      </c>
      <c r="DJ224" s="198" t="s">
        <v>470</v>
      </c>
      <c r="DK224" s="198" t="s">
        <v>470</v>
      </c>
      <c r="DL224" s="198" t="s">
        <v>470</v>
      </c>
      <c r="DM224" s="198" t="s">
        <v>470</v>
      </c>
      <c r="DN224" s="198" t="s">
        <v>470</v>
      </c>
      <c r="DO224" s="198" t="s">
        <v>470</v>
      </c>
      <c r="DP224" s="198" t="s">
        <v>470</v>
      </c>
      <c r="DQ224" s="198" t="s">
        <v>470</v>
      </c>
      <c r="DR224" s="198" t="s">
        <v>470</v>
      </c>
      <c r="DS224" s="198" t="s">
        <v>470</v>
      </c>
      <c r="DT224" s="198" t="s">
        <v>470</v>
      </c>
      <c r="DU224" s="198" t="s">
        <v>470</v>
      </c>
      <c r="DV224" s="198" t="s">
        <v>470</v>
      </c>
      <c r="DW224" s="198" t="s">
        <v>470</v>
      </c>
      <c r="DX224" s="198" t="s">
        <v>470</v>
      </c>
      <c r="DY224" s="198" t="s">
        <v>470</v>
      </c>
      <c r="DZ224" s="198" t="s">
        <v>470</v>
      </c>
      <c r="EA224" s="198" t="s">
        <v>470</v>
      </c>
      <c r="EB224" s="198" t="s">
        <v>470</v>
      </c>
      <c r="EC224" s="198" t="s">
        <v>470</v>
      </c>
      <c r="ED224" s="198" t="s">
        <v>470</v>
      </c>
      <c r="EE224" s="198" t="s">
        <v>470</v>
      </c>
      <c r="EF224" s="198" t="s">
        <v>470</v>
      </c>
      <c r="EG224" s="198" t="s">
        <v>470</v>
      </c>
      <c r="EH224" s="198" t="s">
        <v>470</v>
      </c>
      <c r="EI224" s="198" t="s">
        <v>470</v>
      </c>
      <c r="EJ224" s="198" t="s">
        <v>470</v>
      </c>
      <c r="EK224" s="198" t="s">
        <v>470</v>
      </c>
      <c r="EL224" s="198" t="s">
        <v>470</v>
      </c>
      <c r="EM224" s="198" t="s">
        <v>470</v>
      </c>
      <c r="EN224" s="198" t="s">
        <v>470</v>
      </c>
      <c r="EO224" s="198" t="s">
        <v>470</v>
      </c>
      <c r="EP224" s="198" t="s">
        <v>470</v>
      </c>
      <c r="EQ224" s="83" t="s">
        <v>479</v>
      </c>
      <c r="ER224" s="83" t="s">
        <v>3158</v>
      </c>
      <c r="ES224" s="83">
        <v>10</v>
      </c>
      <c r="ET224" s="198" t="s">
        <v>470</v>
      </c>
      <c r="EU224" s="198" t="s">
        <v>470</v>
      </c>
      <c r="EV224" s="198" t="s">
        <v>470</v>
      </c>
      <c r="EW224" s="198" t="s">
        <v>3159</v>
      </c>
      <c r="EX224" s="198" t="s">
        <v>3159</v>
      </c>
      <c r="EY224" s="505">
        <v>70</v>
      </c>
      <c r="EZ224" s="198" t="s">
        <v>470</v>
      </c>
      <c r="FA224" s="198" t="s">
        <v>470</v>
      </c>
      <c r="FB224" s="844" t="s">
        <v>3160</v>
      </c>
      <c r="FC224" s="989" t="s">
        <v>3161</v>
      </c>
      <c r="FD224" s="990" t="s">
        <v>3162</v>
      </c>
      <c r="FE224" s="198" t="s">
        <v>3163</v>
      </c>
      <c r="FF224" s="198" t="s">
        <v>3164</v>
      </c>
      <c r="FG224" s="198" t="s">
        <v>3165</v>
      </c>
      <c r="FH224" s="198">
        <v>24</v>
      </c>
      <c r="FI224" s="198">
        <v>415</v>
      </c>
      <c r="FJ224" s="198" t="s">
        <v>3166</v>
      </c>
      <c r="FK224" s="198" t="s">
        <v>3167</v>
      </c>
      <c r="FL224" s="844" t="s">
        <v>3168</v>
      </c>
      <c r="FM224" s="554" t="s">
        <v>656</v>
      </c>
      <c r="FN224" s="554" t="s">
        <v>656</v>
      </c>
      <c r="FO224" s="554" t="s">
        <v>656</v>
      </c>
    </row>
    <row r="225" spans="5:171" ht="104" customHeight="1" x14ac:dyDescent="0.2">
      <c r="E225" s="94" t="s">
        <v>9304</v>
      </c>
      <c r="F225" s="94" t="s">
        <v>9120</v>
      </c>
      <c r="G225" s="198" t="s">
        <v>339</v>
      </c>
      <c r="H225" s="198" t="s">
        <v>424</v>
      </c>
      <c r="I225" s="198"/>
      <c r="J225" s="198" t="s">
        <v>3389</v>
      </c>
      <c r="K225" s="198" t="s">
        <v>840</v>
      </c>
      <c r="L225" s="578">
        <v>2018</v>
      </c>
      <c r="M225" s="570" t="s">
        <v>3390</v>
      </c>
      <c r="N225" s="570" t="s">
        <v>3391</v>
      </c>
      <c r="O225" s="198" t="s">
        <v>9632</v>
      </c>
      <c r="P225" s="198" t="s">
        <v>3392</v>
      </c>
      <c r="Q225" s="991" t="s">
        <v>3393</v>
      </c>
      <c r="R225" s="198" t="s">
        <v>470</v>
      </c>
      <c r="S225" s="198" t="s">
        <v>470</v>
      </c>
      <c r="T225" s="198" t="s">
        <v>470</v>
      </c>
      <c r="U225" s="198" t="s">
        <v>470</v>
      </c>
      <c r="V225" s="198" t="s">
        <v>470</v>
      </c>
      <c r="W225" s="198" t="s">
        <v>470</v>
      </c>
      <c r="X225" s="198" t="s">
        <v>470</v>
      </c>
      <c r="Y225" s="198" t="s">
        <v>470</v>
      </c>
      <c r="Z225" s="198"/>
      <c r="AA225" s="198"/>
      <c r="AB225" s="198"/>
      <c r="AC225" s="198"/>
      <c r="AD225" s="198"/>
      <c r="AE225" s="198"/>
      <c r="AF225" s="198"/>
      <c r="AG225" s="198"/>
      <c r="AH225" s="198" t="s">
        <v>3394</v>
      </c>
      <c r="AI225" s="198" t="s">
        <v>3394</v>
      </c>
      <c r="AJ225" s="198" t="s">
        <v>477</v>
      </c>
      <c r="AK225" s="198" t="s">
        <v>3395</v>
      </c>
      <c r="AL225" s="580">
        <f t="shared" si="19"/>
        <v>587.72396477000007</v>
      </c>
      <c r="AM225" s="504">
        <v>587.72396477000007</v>
      </c>
      <c r="AN225" s="516">
        <f>274.934-250</f>
        <v>24.934000000000026</v>
      </c>
      <c r="AO225" s="137">
        <f>AN225/AL225</f>
        <v>4.2424678071035775E-2</v>
      </c>
      <c r="AP225" s="137">
        <f>AN225/142317.57</f>
        <v>1.7519973113650004E-4</v>
      </c>
      <c r="AQ225" s="504">
        <f>68.35146477</f>
        <v>68.351464770000007</v>
      </c>
      <c r="AR225" s="137">
        <f t="shared" si="22"/>
        <v>0.11629858380328029</v>
      </c>
      <c r="AS225" s="137"/>
      <c r="AT225" s="520">
        <v>0</v>
      </c>
      <c r="AU225" s="137">
        <f t="shared" si="23"/>
        <v>0</v>
      </c>
      <c r="AV225" s="520">
        <v>0</v>
      </c>
      <c r="AW225" s="137">
        <f t="shared" si="24"/>
        <v>0</v>
      </c>
      <c r="AX225" s="520">
        <v>0</v>
      </c>
      <c r="AY225" s="137">
        <v>0</v>
      </c>
      <c r="AZ225" s="520">
        <v>494.43849999999998</v>
      </c>
      <c r="BA225" s="137">
        <f>AZ225/AL225</f>
        <v>0.84127673812568382</v>
      </c>
      <c r="BB225" s="198" t="s">
        <v>3396</v>
      </c>
      <c r="BC225" s="198" t="s">
        <v>847</v>
      </c>
      <c r="BD225" s="198" t="s">
        <v>3394</v>
      </c>
      <c r="BE225" s="198" t="s">
        <v>470</v>
      </c>
      <c r="BF225" s="198" t="s">
        <v>470</v>
      </c>
      <c r="BG225" s="198" t="s">
        <v>470</v>
      </c>
      <c r="BH225" s="198" t="s">
        <v>470</v>
      </c>
      <c r="BI225" s="580">
        <v>720.27800000000002</v>
      </c>
      <c r="BJ225" s="137">
        <f>BI225/149605.6</f>
        <v>4.8145122909837596E-3</v>
      </c>
      <c r="BK225" s="83"/>
      <c r="BL225" s="83"/>
      <c r="BM225" s="83">
        <v>95</v>
      </c>
      <c r="BN225" s="83">
        <v>0</v>
      </c>
      <c r="BO225" s="83">
        <v>0</v>
      </c>
      <c r="BP225" s="83">
        <v>0</v>
      </c>
      <c r="BQ225" s="83">
        <v>0</v>
      </c>
      <c r="BR225" s="83">
        <v>0</v>
      </c>
      <c r="BS225" s="83">
        <v>0</v>
      </c>
      <c r="BT225" s="83">
        <v>0</v>
      </c>
      <c r="BU225" s="83">
        <v>0</v>
      </c>
      <c r="BV225" s="83">
        <v>0</v>
      </c>
      <c r="BW225" s="83">
        <v>0</v>
      </c>
      <c r="BX225" s="83">
        <v>0</v>
      </c>
      <c r="BY225" s="83">
        <v>95</v>
      </c>
      <c r="BZ225" s="83">
        <v>0</v>
      </c>
      <c r="CA225" s="83">
        <v>0</v>
      </c>
      <c r="CB225" s="83">
        <v>0</v>
      </c>
      <c r="CC225" s="83">
        <v>0</v>
      </c>
      <c r="CD225" s="83">
        <v>0</v>
      </c>
      <c r="CE225" s="83">
        <v>0</v>
      </c>
      <c r="CF225" s="83">
        <v>0</v>
      </c>
      <c r="CG225" s="83">
        <v>0</v>
      </c>
      <c r="CH225" s="83">
        <v>0</v>
      </c>
      <c r="CI225" s="83">
        <v>0</v>
      </c>
      <c r="CJ225" s="83">
        <v>0</v>
      </c>
      <c r="CK225" s="83">
        <v>0</v>
      </c>
      <c r="CL225" s="824">
        <f t="shared" si="21"/>
        <v>95</v>
      </c>
      <c r="CM225" s="824">
        <f t="shared" si="20"/>
        <v>0</v>
      </c>
      <c r="CN225" s="580" t="s">
        <v>3007</v>
      </c>
      <c r="CO225" s="198" t="s">
        <v>470</v>
      </c>
      <c r="CP225" s="198" t="s">
        <v>470</v>
      </c>
      <c r="CQ225" s="137" t="s">
        <v>470</v>
      </c>
      <c r="CR225" s="505">
        <v>1851.5</v>
      </c>
      <c r="CS225" s="992" t="s">
        <v>3180</v>
      </c>
      <c r="CT225" s="198" t="s">
        <v>470</v>
      </c>
      <c r="CU225" s="198" t="s">
        <v>470</v>
      </c>
      <c r="CV225" s="198" t="s">
        <v>470</v>
      </c>
      <c r="CW225" s="198" t="s">
        <v>470</v>
      </c>
      <c r="CX225" s="198" t="s">
        <v>470</v>
      </c>
      <c r="CY225" s="198" t="s">
        <v>470</v>
      </c>
      <c r="CZ225" s="198" t="s">
        <v>470</v>
      </c>
      <c r="DA225" s="198" t="s">
        <v>470</v>
      </c>
      <c r="DB225" s="198" t="s">
        <v>470</v>
      </c>
      <c r="DC225" s="198" t="s">
        <v>470</v>
      </c>
      <c r="DD225" s="198" t="s">
        <v>470</v>
      </c>
      <c r="DE225" s="198" t="s">
        <v>470</v>
      </c>
      <c r="DF225" s="198" t="s">
        <v>470</v>
      </c>
      <c r="DG225" s="83" t="s">
        <v>470</v>
      </c>
      <c r="DH225" s="198" t="s">
        <v>470</v>
      </c>
      <c r="DI225" s="198" t="s">
        <v>470</v>
      </c>
      <c r="DJ225" s="83" t="s">
        <v>470</v>
      </c>
      <c r="DK225" s="198" t="s">
        <v>470</v>
      </c>
      <c r="DL225" s="198" t="s">
        <v>470</v>
      </c>
      <c r="DM225" s="198" t="s">
        <v>470</v>
      </c>
      <c r="DN225" s="198" t="s">
        <v>470</v>
      </c>
      <c r="DO225" s="198" t="s">
        <v>470</v>
      </c>
      <c r="DP225" s="198" t="s">
        <v>470</v>
      </c>
      <c r="DQ225" s="198" t="s">
        <v>470</v>
      </c>
      <c r="DR225" s="198" t="s">
        <v>470</v>
      </c>
      <c r="DS225" s="198" t="s">
        <v>470</v>
      </c>
      <c r="DT225" s="198" t="s">
        <v>470</v>
      </c>
      <c r="DU225" s="198" t="s">
        <v>470</v>
      </c>
      <c r="DV225" s="198" t="s">
        <v>479</v>
      </c>
      <c r="DW225" s="198" t="s">
        <v>3397</v>
      </c>
      <c r="DX225" s="83">
        <v>132594</v>
      </c>
      <c r="DY225" s="198" t="s">
        <v>479</v>
      </c>
      <c r="DZ225" s="198" t="s">
        <v>3398</v>
      </c>
      <c r="EA225" s="83">
        <v>132594</v>
      </c>
      <c r="EB225" s="198" t="s">
        <v>470</v>
      </c>
      <c r="EC225" s="198" t="s">
        <v>470</v>
      </c>
      <c r="ED225" s="198" t="s">
        <v>470</v>
      </c>
      <c r="EE225" s="83" t="s">
        <v>470</v>
      </c>
      <c r="EF225" s="198" t="s">
        <v>470</v>
      </c>
      <c r="EG225" s="198" t="s">
        <v>470</v>
      </c>
      <c r="EH225" s="198" t="s">
        <v>470</v>
      </c>
      <c r="EI225" s="198" t="s">
        <v>470</v>
      </c>
      <c r="EJ225" s="198" t="s">
        <v>470</v>
      </c>
      <c r="EK225" s="198" t="s">
        <v>470</v>
      </c>
      <c r="EL225" s="198" t="s">
        <v>470</v>
      </c>
      <c r="EM225" s="198" t="s">
        <v>470</v>
      </c>
      <c r="EN225" s="198" t="s">
        <v>470</v>
      </c>
      <c r="EO225" s="198" t="s">
        <v>470</v>
      </c>
      <c r="EP225" s="198" t="s">
        <v>470</v>
      </c>
      <c r="EQ225" s="83" t="s">
        <v>470</v>
      </c>
      <c r="ER225" s="198" t="s">
        <v>470</v>
      </c>
      <c r="ES225" s="198" t="s">
        <v>470</v>
      </c>
      <c r="ET225" s="198" t="s">
        <v>470</v>
      </c>
      <c r="EU225" s="198" t="s">
        <v>470</v>
      </c>
      <c r="EV225" s="198" t="s">
        <v>470</v>
      </c>
      <c r="EW225" s="198" t="s">
        <v>3399</v>
      </c>
      <c r="EX225" s="198" t="s">
        <v>3400</v>
      </c>
      <c r="EY225" s="83">
        <v>7</v>
      </c>
      <c r="EZ225" s="198" t="s">
        <v>470</v>
      </c>
      <c r="FA225" s="198" t="s">
        <v>470</v>
      </c>
      <c r="FB225" s="198" t="s">
        <v>470</v>
      </c>
      <c r="FC225" s="198" t="s">
        <v>470</v>
      </c>
      <c r="FD225" s="198" t="s">
        <v>470</v>
      </c>
      <c r="FE225" s="198" t="s">
        <v>470</v>
      </c>
      <c r="FF225" s="198" t="s">
        <v>470</v>
      </c>
      <c r="FG225" s="198" t="s">
        <v>470</v>
      </c>
      <c r="FH225" s="198" t="s">
        <v>470</v>
      </c>
      <c r="FI225" s="198" t="s">
        <v>470</v>
      </c>
      <c r="FJ225" s="198" t="s">
        <v>3401</v>
      </c>
      <c r="FK225" s="198" t="s">
        <v>3402</v>
      </c>
      <c r="FL225" s="844" t="s">
        <v>3403</v>
      </c>
      <c r="FM225" s="198" t="s">
        <v>3166</v>
      </c>
      <c r="FN225" s="198" t="s">
        <v>3167</v>
      </c>
      <c r="FO225" s="844" t="s">
        <v>3168</v>
      </c>
    </row>
    <row r="226" spans="5:171" ht="104" customHeight="1" x14ac:dyDescent="0.2">
      <c r="E226" s="94" t="s">
        <v>9304</v>
      </c>
      <c r="F226" s="94" t="s">
        <v>9120</v>
      </c>
      <c r="G226" s="198" t="s">
        <v>339</v>
      </c>
      <c r="H226" s="198" t="s">
        <v>424</v>
      </c>
      <c r="I226" s="198"/>
      <c r="J226" s="198" t="s">
        <v>3389</v>
      </c>
      <c r="K226" s="198" t="s">
        <v>840</v>
      </c>
      <c r="L226" s="578">
        <v>2018</v>
      </c>
      <c r="M226" s="570" t="s">
        <v>3390</v>
      </c>
      <c r="N226" s="570" t="s">
        <v>3391</v>
      </c>
      <c r="O226" s="198" t="s">
        <v>9633</v>
      </c>
      <c r="P226" s="198" t="s">
        <v>3392</v>
      </c>
      <c r="Q226" s="991" t="s">
        <v>3393</v>
      </c>
      <c r="R226" s="198" t="s">
        <v>470</v>
      </c>
      <c r="S226" s="198" t="s">
        <v>470</v>
      </c>
      <c r="T226" s="198" t="s">
        <v>470</v>
      </c>
      <c r="U226" s="198" t="s">
        <v>470</v>
      </c>
      <c r="V226" s="198" t="s">
        <v>470</v>
      </c>
      <c r="W226" s="198" t="s">
        <v>470</v>
      </c>
      <c r="X226" s="198" t="s">
        <v>470</v>
      </c>
      <c r="Y226" s="198" t="s">
        <v>470</v>
      </c>
      <c r="Z226" s="198"/>
      <c r="AA226" s="198"/>
      <c r="AB226" s="198"/>
      <c r="AC226" s="198"/>
      <c r="AD226" s="198"/>
      <c r="AE226" s="198"/>
      <c r="AF226" s="198"/>
      <c r="AG226" s="198"/>
      <c r="AH226" s="198" t="s">
        <v>3394</v>
      </c>
      <c r="AI226" s="198" t="s">
        <v>3394</v>
      </c>
      <c r="AJ226" s="198" t="s">
        <v>477</v>
      </c>
      <c r="AK226" s="198" t="s">
        <v>3395</v>
      </c>
      <c r="AL226" s="580">
        <f t="shared" si="19"/>
        <v>286.28875637000004</v>
      </c>
      <c r="AM226" s="504">
        <v>286.28875637000004</v>
      </c>
      <c r="AN226" s="516">
        <v>250</v>
      </c>
      <c r="AO226" s="137">
        <f>AN226/AL226</f>
        <v>0.87324421388348061</v>
      </c>
      <c r="AP226" s="137">
        <f>AN226/142317.57</f>
        <v>1.7566348273090947E-3</v>
      </c>
      <c r="AQ226" s="504">
        <v>33.445999999999998</v>
      </c>
      <c r="AR226" s="137">
        <f t="shared" si="22"/>
        <v>0.11682610391018756</v>
      </c>
      <c r="AS226" s="137"/>
      <c r="AT226" s="520">
        <v>2.84275637</v>
      </c>
      <c r="AU226" s="137">
        <f t="shared" si="23"/>
        <v>9.9296822063316276E-3</v>
      </c>
      <c r="AV226" s="520">
        <v>0</v>
      </c>
      <c r="AW226" s="137">
        <f t="shared" si="24"/>
        <v>0</v>
      </c>
      <c r="AX226" s="520">
        <v>0</v>
      </c>
      <c r="AY226" s="137">
        <v>0</v>
      </c>
      <c r="AZ226" s="520" t="s">
        <v>470</v>
      </c>
      <c r="BA226" s="137" t="s">
        <v>470</v>
      </c>
      <c r="BB226" s="198" t="s">
        <v>470</v>
      </c>
      <c r="BC226" s="198" t="s">
        <v>470</v>
      </c>
      <c r="BD226" s="198" t="s">
        <v>470</v>
      </c>
      <c r="BE226" s="198" t="s">
        <v>470</v>
      </c>
      <c r="BF226" s="198" t="s">
        <v>470</v>
      </c>
      <c r="BG226" s="198" t="s">
        <v>470</v>
      </c>
      <c r="BH226" s="198" t="s">
        <v>470</v>
      </c>
      <c r="BI226" s="580">
        <v>250</v>
      </c>
      <c r="BJ226" s="137">
        <f>BI226/149605.6</f>
        <v>1.671060441587748E-3</v>
      </c>
      <c r="BK226" s="83"/>
      <c r="BL226" s="83"/>
      <c r="BM226" s="83">
        <v>79</v>
      </c>
      <c r="BN226" s="83">
        <v>0</v>
      </c>
      <c r="BO226" s="83">
        <v>0</v>
      </c>
      <c r="BP226" s="83">
        <v>0</v>
      </c>
      <c r="BQ226" s="83">
        <v>0</v>
      </c>
      <c r="BR226" s="83">
        <v>0</v>
      </c>
      <c r="BS226" s="83">
        <v>0</v>
      </c>
      <c r="BT226" s="83">
        <v>0</v>
      </c>
      <c r="BU226" s="83">
        <v>0</v>
      </c>
      <c r="BV226" s="83">
        <v>0</v>
      </c>
      <c r="BW226" s="83">
        <v>79</v>
      </c>
      <c r="BX226" s="83">
        <v>0</v>
      </c>
      <c r="BY226" s="83">
        <v>0</v>
      </c>
      <c r="BZ226" s="83">
        <v>0</v>
      </c>
      <c r="CA226" s="83">
        <v>0</v>
      </c>
      <c r="CB226" s="83">
        <v>0</v>
      </c>
      <c r="CC226" s="83">
        <v>0</v>
      </c>
      <c r="CD226" s="83">
        <v>0</v>
      </c>
      <c r="CE226" s="83">
        <v>0</v>
      </c>
      <c r="CF226" s="83">
        <v>0</v>
      </c>
      <c r="CG226" s="83">
        <v>0</v>
      </c>
      <c r="CH226" s="83">
        <v>0</v>
      </c>
      <c r="CI226" s="83">
        <v>0</v>
      </c>
      <c r="CJ226" s="83">
        <v>0</v>
      </c>
      <c r="CK226" s="83"/>
      <c r="CL226" s="824">
        <v>79</v>
      </c>
      <c r="CM226" s="824">
        <f t="shared" si="20"/>
        <v>0</v>
      </c>
      <c r="CN226" s="580">
        <v>27.533000000000001</v>
      </c>
      <c r="CO226" s="198" t="s">
        <v>470</v>
      </c>
      <c r="CP226" s="198" t="s">
        <v>470</v>
      </c>
      <c r="CQ226" s="137">
        <f>CN226/CR226</f>
        <v>1.4870645422630301E-2</v>
      </c>
      <c r="CR226" s="505">
        <v>1851.5</v>
      </c>
      <c r="CS226" s="992" t="s">
        <v>3180</v>
      </c>
      <c r="CT226" s="198" t="s">
        <v>470</v>
      </c>
      <c r="CU226" s="198" t="s">
        <v>470</v>
      </c>
      <c r="CV226" s="198" t="s">
        <v>470</v>
      </c>
      <c r="CW226" s="198" t="s">
        <v>470</v>
      </c>
      <c r="CX226" s="198" t="s">
        <v>470</v>
      </c>
      <c r="CY226" s="198" t="s">
        <v>470</v>
      </c>
      <c r="CZ226" s="198" t="s">
        <v>470</v>
      </c>
      <c r="DA226" s="198" t="s">
        <v>470</v>
      </c>
      <c r="DB226" s="198" t="s">
        <v>470</v>
      </c>
      <c r="DC226" s="198" t="s">
        <v>470</v>
      </c>
      <c r="DD226" s="198" t="s">
        <v>479</v>
      </c>
      <c r="DE226" s="198" t="s">
        <v>3404</v>
      </c>
      <c r="DF226" s="198" t="s">
        <v>1154</v>
      </c>
      <c r="DG226" s="83" t="s">
        <v>470</v>
      </c>
      <c r="DH226" s="198" t="s">
        <v>470</v>
      </c>
      <c r="DI226" s="198" t="s">
        <v>470</v>
      </c>
      <c r="DJ226" s="83" t="s">
        <v>470</v>
      </c>
      <c r="DK226" s="198" t="s">
        <v>470</v>
      </c>
      <c r="DL226" s="198" t="s">
        <v>470</v>
      </c>
      <c r="DM226" s="198" t="s">
        <v>470</v>
      </c>
      <c r="DN226" s="198" t="s">
        <v>470</v>
      </c>
      <c r="DO226" s="198" t="s">
        <v>470</v>
      </c>
      <c r="DP226" s="198" t="s">
        <v>470</v>
      </c>
      <c r="DQ226" s="198" t="s">
        <v>470</v>
      </c>
      <c r="DR226" s="198" t="s">
        <v>470</v>
      </c>
      <c r="DS226" s="198" t="s">
        <v>470</v>
      </c>
      <c r="DT226" s="198" t="s">
        <v>470</v>
      </c>
      <c r="DU226" s="198" t="s">
        <v>470</v>
      </c>
      <c r="DV226" s="198" t="s">
        <v>470</v>
      </c>
      <c r="DW226" s="198" t="s">
        <v>470</v>
      </c>
      <c r="DX226" s="83" t="s">
        <v>470</v>
      </c>
      <c r="DY226" s="198" t="s">
        <v>470</v>
      </c>
      <c r="DZ226" s="198" t="s">
        <v>470</v>
      </c>
      <c r="EA226" s="83" t="s">
        <v>470</v>
      </c>
      <c r="EB226" s="198" t="s">
        <v>470</v>
      </c>
      <c r="EC226" s="198" t="s">
        <v>470</v>
      </c>
      <c r="ED226" s="198" t="s">
        <v>470</v>
      </c>
      <c r="EE226" s="83" t="s">
        <v>470</v>
      </c>
      <c r="EF226" s="198" t="s">
        <v>470</v>
      </c>
      <c r="EG226" s="198" t="s">
        <v>470</v>
      </c>
      <c r="EH226" s="198" t="s">
        <v>470</v>
      </c>
      <c r="EI226" s="198" t="s">
        <v>470</v>
      </c>
      <c r="EJ226" s="198" t="s">
        <v>470</v>
      </c>
      <c r="EK226" s="198" t="s">
        <v>470</v>
      </c>
      <c r="EL226" s="198" t="s">
        <v>470</v>
      </c>
      <c r="EM226" s="198" t="s">
        <v>470</v>
      </c>
      <c r="EN226" s="198" t="s">
        <v>479</v>
      </c>
      <c r="EO226" s="198" t="s">
        <v>3405</v>
      </c>
      <c r="EP226" s="198">
        <v>12</v>
      </c>
      <c r="EQ226" s="83" t="s">
        <v>470</v>
      </c>
      <c r="ER226" s="198" t="s">
        <v>470</v>
      </c>
      <c r="ES226" s="198" t="s">
        <v>470</v>
      </c>
      <c r="ET226" s="198" t="s">
        <v>470</v>
      </c>
      <c r="EU226" s="198" t="s">
        <v>470</v>
      </c>
      <c r="EV226" s="198" t="s">
        <v>470</v>
      </c>
      <c r="EW226" s="198" t="s">
        <v>3406</v>
      </c>
      <c r="EX226" s="198" t="s">
        <v>3406</v>
      </c>
      <c r="EY226" s="83">
        <v>1</v>
      </c>
      <c r="EZ226" s="198" t="s">
        <v>470</v>
      </c>
      <c r="FA226" s="198" t="s">
        <v>470</v>
      </c>
      <c r="FB226" s="198" t="s">
        <v>470</v>
      </c>
      <c r="FC226" s="198" t="s">
        <v>470</v>
      </c>
      <c r="FD226" s="198" t="s">
        <v>470</v>
      </c>
      <c r="FE226" s="198" t="s">
        <v>470</v>
      </c>
      <c r="FF226" s="198" t="s">
        <v>470</v>
      </c>
      <c r="FG226" s="198" t="s">
        <v>470</v>
      </c>
      <c r="FH226" s="198" t="s">
        <v>470</v>
      </c>
      <c r="FI226" s="198" t="s">
        <v>470</v>
      </c>
      <c r="FJ226" s="198" t="s">
        <v>3401</v>
      </c>
      <c r="FK226" s="198" t="s">
        <v>3402</v>
      </c>
      <c r="FL226" s="844" t="s">
        <v>3403</v>
      </c>
      <c r="FM226" s="198" t="s">
        <v>3166</v>
      </c>
      <c r="FN226" s="198" t="s">
        <v>3167</v>
      </c>
      <c r="FO226" s="844" t="s">
        <v>3168</v>
      </c>
    </row>
    <row r="227" spans="5:171" ht="104" customHeight="1" x14ac:dyDescent="0.2">
      <c r="E227" s="94" t="s">
        <v>9303</v>
      </c>
      <c r="F227" s="94" t="s">
        <v>9120</v>
      </c>
      <c r="G227" s="198" t="s">
        <v>339</v>
      </c>
      <c r="H227" s="198" t="s">
        <v>424</v>
      </c>
      <c r="I227" s="198"/>
      <c r="J227" s="198" t="s">
        <v>3169</v>
      </c>
      <c r="K227" s="198" t="s">
        <v>3170</v>
      </c>
      <c r="L227" s="578">
        <v>2020</v>
      </c>
      <c r="M227" s="822">
        <v>44692</v>
      </c>
      <c r="N227" s="822">
        <v>44767</v>
      </c>
      <c r="O227" s="198" t="s">
        <v>3171</v>
      </c>
      <c r="P227" s="198" t="s">
        <v>3172</v>
      </c>
      <c r="Q227" s="844" t="s">
        <v>3173</v>
      </c>
      <c r="R227" s="198" t="s">
        <v>470</v>
      </c>
      <c r="S227" s="198" t="s">
        <v>470</v>
      </c>
      <c r="T227" s="198" t="s">
        <v>470</v>
      </c>
      <c r="U227" s="198" t="s">
        <v>470</v>
      </c>
      <c r="V227" s="198" t="s">
        <v>470</v>
      </c>
      <c r="W227" s="198" t="s">
        <v>470</v>
      </c>
      <c r="X227" s="198" t="s">
        <v>470</v>
      </c>
      <c r="Y227" s="198" t="s">
        <v>470</v>
      </c>
      <c r="Z227" s="198"/>
      <c r="AA227" s="198"/>
      <c r="AB227" s="198"/>
      <c r="AC227" s="198"/>
      <c r="AD227" s="198"/>
      <c r="AE227" s="198"/>
      <c r="AF227" s="198"/>
      <c r="AG227" s="198"/>
      <c r="AH227" s="198" t="s">
        <v>3174</v>
      </c>
      <c r="AI227" s="198" t="s">
        <v>3174</v>
      </c>
      <c r="AJ227" s="198" t="s">
        <v>504</v>
      </c>
      <c r="AK227" s="198" t="s">
        <v>3175</v>
      </c>
      <c r="AL227" s="580">
        <f t="shared" si="19"/>
        <v>1.944</v>
      </c>
      <c r="AM227" s="504">
        <v>1.944</v>
      </c>
      <c r="AN227" s="516">
        <v>2.5000000000000001E-2</v>
      </c>
      <c r="AO227" s="137">
        <f>AN227/AL227</f>
        <v>1.2860082304526749E-2</v>
      </c>
      <c r="AP227" s="993">
        <v>1.7599999999999999E-7</v>
      </c>
      <c r="AQ227" s="504">
        <v>0.60599999999999998</v>
      </c>
      <c r="AR227" s="137">
        <f t="shared" si="22"/>
        <v>0.31172839506172839</v>
      </c>
      <c r="AS227" s="137"/>
      <c r="AT227" s="520">
        <v>4.0000000000000001E-3</v>
      </c>
      <c r="AU227" s="137">
        <f t="shared" si="23"/>
        <v>2.05761316872428E-3</v>
      </c>
      <c r="AV227" s="520">
        <v>0.1</v>
      </c>
      <c r="AW227" s="137">
        <f t="shared" si="24"/>
        <v>5.1440329218106998E-2</v>
      </c>
      <c r="AX227" s="520">
        <v>0</v>
      </c>
      <c r="AY227" s="137">
        <f>AX227/AL227</f>
        <v>0</v>
      </c>
      <c r="AZ227" s="520">
        <v>1.2090000000000001</v>
      </c>
      <c r="BA227" s="137">
        <f>AZ227/AL227</f>
        <v>0.62191358024691368</v>
      </c>
      <c r="BB227" s="198" t="s">
        <v>3176</v>
      </c>
      <c r="BC227" s="198" t="s">
        <v>3177</v>
      </c>
      <c r="BD227" s="198" t="s">
        <v>3174</v>
      </c>
      <c r="BE227" s="198" t="s">
        <v>479</v>
      </c>
      <c r="BF227" s="198" t="s">
        <v>3178</v>
      </c>
      <c r="BG227" s="198" t="s">
        <v>470</v>
      </c>
      <c r="BH227" s="198" t="s">
        <v>470</v>
      </c>
      <c r="BI227" s="198">
        <v>0.36699999999999999</v>
      </c>
      <c r="BJ227" s="994">
        <f>BI227/149605.6</f>
        <v>2.4531167282508141E-6</v>
      </c>
      <c r="BK227" s="83"/>
      <c r="BL227" s="83">
        <v>11</v>
      </c>
      <c r="BM227" s="83">
        <v>1</v>
      </c>
      <c r="BN227" s="83">
        <v>0</v>
      </c>
      <c r="BO227" s="83">
        <v>0</v>
      </c>
      <c r="BP227" s="83">
        <v>0</v>
      </c>
      <c r="BQ227" s="83">
        <v>0</v>
      </c>
      <c r="BR227" s="83">
        <v>0</v>
      </c>
      <c r="BS227" s="83">
        <v>0</v>
      </c>
      <c r="BT227" s="83">
        <v>0</v>
      </c>
      <c r="BU227" s="83">
        <v>0</v>
      </c>
      <c r="BV227" s="83">
        <v>1</v>
      </c>
      <c r="BW227" s="83">
        <v>0</v>
      </c>
      <c r="BX227" s="83">
        <v>0</v>
      </c>
      <c r="BY227" s="83">
        <v>0</v>
      </c>
      <c r="BZ227" s="83">
        <v>0</v>
      </c>
      <c r="CA227" s="83">
        <v>0</v>
      </c>
      <c r="CB227" s="83">
        <v>0</v>
      </c>
      <c r="CC227" s="83">
        <v>0</v>
      </c>
      <c r="CD227" s="83">
        <v>0</v>
      </c>
      <c r="CE227" s="83">
        <v>0</v>
      </c>
      <c r="CF227" s="83">
        <v>0</v>
      </c>
      <c r="CG227" s="83">
        <v>0</v>
      </c>
      <c r="CH227" s="83">
        <v>0</v>
      </c>
      <c r="CI227" s="83">
        <v>0</v>
      </c>
      <c r="CJ227" s="83">
        <v>0</v>
      </c>
      <c r="CK227" s="83">
        <v>0</v>
      </c>
      <c r="CL227" s="824">
        <f t="shared" ref="CL227:CL264" si="25">SUM(BN227:CK227)</f>
        <v>1</v>
      </c>
      <c r="CM227" s="824">
        <f t="shared" si="20"/>
        <v>0</v>
      </c>
      <c r="CN227" s="580">
        <v>1.42</v>
      </c>
      <c r="CO227" s="198" t="s">
        <v>470</v>
      </c>
      <c r="CP227" s="198" t="s">
        <v>3179</v>
      </c>
      <c r="CQ227" s="137">
        <f>CN227/CR227</f>
        <v>7.6694571968674043E-4</v>
      </c>
      <c r="CR227" s="580">
        <v>1851.5</v>
      </c>
      <c r="CS227" s="992" t="s">
        <v>3180</v>
      </c>
      <c r="CT227" s="198" t="s">
        <v>470</v>
      </c>
      <c r="CU227" s="198" t="s">
        <v>470</v>
      </c>
      <c r="CV227" s="198" t="s">
        <v>470</v>
      </c>
      <c r="CW227" s="198" t="s">
        <v>470</v>
      </c>
      <c r="CX227" s="83" t="s">
        <v>470</v>
      </c>
      <c r="CY227" s="83" t="s">
        <v>470</v>
      </c>
      <c r="CZ227" s="83">
        <v>4</v>
      </c>
      <c r="DA227" s="83" t="s">
        <v>470</v>
      </c>
      <c r="DB227" s="83" t="s">
        <v>470</v>
      </c>
      <c r="DC227" s="83" t="s">
        <v>470</v>
      </c>
      <c r="DD227" s="83" t="s">
        <v>470</v>
      </c>
      <c r="DE227" s="198" t="s">
        <v>3181</v>
      </c>
      <c r="DF227" s="83">
        <v>1572</v>
      </c>
      <c r="DG227" s="83" t="s">
        <v>470</v>
      </c>
      <c r="DH227" s="83" t="s">
        <v>470</v>
      </c>
      <c r="DI227" s="83" t="s">
        <v>470</v>
      </c>
      <c r="DJ227" s="83" t="s">
        <v>470</v>
      </c>
      <c r="DK227" s="83" t="s">
        <v>470</v>
      </c>
      <c r="DL227" s="83" t="s">
        <v>470</v>
      </c>
      <c r="DM227" s="83" t="s">
        <v>470</v>
      </c>
      <c r="DN227" s="83" t="s">
        <v>470</v>
      </c>
      <c r="DO227" s="83" t="s">
        <v>470</v>
      </c>
      <c r="DP227" s="83" t="s">
        <v>470</v>
      </c>
      <c r="DQ227" s="83" t="s">
        <v>470</v>
      </c>
      <c r="DR227" s="83" t="s">
        <v>470</v>
      </c>
      <c r="DS227" s="83" t="s">
        <v>470</v>
      </c>
      <c r="DT227" s="83" t="s">
        <v>470</v>
      </c>
      <c r="DU227" s="83" t="s">
        <v>470</v>
      </c>
      <c r="DV227" s="83" t="s">
        <v>470</v>
      </c>
      <c r="DW227" s="83" t="s">
        <v>470</v>
      </c>
      <c r="DX227" s="83" t="s">
        <v>470</v>
      </c>
      <c r="DY227" s="83" t="s">
        <v>470</v>
      </c>
      <c r="DZ227" s="83" t="s">
        <v>470</v>
      </c>
      <c r="EA227" s="83" t="s">
        <v>470</v>
      </c>
      <c r="EB227" s="83" t="s">
        <v>470</v>
      </c>
      <c r="EC227" s="83" t="s">
        <v>470</v>
      </c>
      <c r="ED227" s="83" t="s">
        <v>470</v>
      </c>
      <c r="EE227" s="83" t="s">
        <v>470</v>
      </c>
      <c r="EF227" s="83" t="s">
        <v>470</v>
      </c>
      <c r="EG227" s="83" t="s">
        <v>470</v>
      </c>
      <c r="EH227" s="83" t="s">
        <v>470</v>
      </c>
      <c r="EI227" s="83" t="s">
        <v>470</v>
      </c>
      <c r="EJ227" s="83" t="s">
        <v>470</v>
      </c>
      <c r="EK227" s="83" t="s">
        <v>470</v>
      </c>
      <c r="EL227" s="83" t="s">
        <v>470</v>
      </c>
      <c r="EM227" s="83" t="s">
        <v>470</v>
      </c>
      <c r="EN227" s="198" t="s">
        <v>479</v>
      </c>
      <c r="EO227" s="198" t="s">
        <v>3182</v>
      </c>
      <c r="EP227" s="83">
        <v>9</v>
      </c>
      <c r="EQ227" s="521" t="s">
        <v>470</v>
      </c>
      <c r="ER227" s="521" t="s">
        <v>470</v>
      </c>
      <c r="ES227" s="521" t="s">
        <v>470</v>
      </c>
      <c r="ET227" s="198" t="s">
        <v>470</v>
      </c>
      <c r="EU227" s="198" t="s">
        <v>470</v>
      </c>
      <c r="EV227" s="198" t="s">
        <v>470</v>
      </c>
      <c r="EW227" s="995" t="s">
        <v>3183</v>
      </c>
      <c r="EX227" s="198" t="s">
        <v>3183</v>
      </c>
      <c r="EY227" s="505">
        <v>11</v>
      </c>
      <c r="EZ227" s="198" t="s">
        <v>470</v>
      </c>
      <c r="FA227" s="198" t="s">
        <v>470</v>
      </c>
      <c r="FB227" s="198" t="s">
        <v>470</v>
      </c>
      <c r="FC227" s="198" t="s">
        <v>470</v>
      </c>
      <c r="FD227" s="198" t="s">
        <v>470</v>
      </c>
      <c r="FE227" s="198" t="s">
        <v>3184</v>
      </c>
      <c r="FF227" s="198" t="s">
        <v>3185</v>
      </c>
      <c r="FG227" s="198" t="s">
        <v>3186</v>
      </c>
      <c r="FH227" s="198">
        <v>1</v>
      </c>
      <c r="FI227" s="198" t="s">
        <v>3187</v>
      </c>
      <c r="FJ227" s="198" t="s">
        <v>3188</v>
      </c>
      <c r="FK227" s="198" t="s">
        <v>3189</v>
      </c>
      <c r="FL227" s="991" t="s">
        <v>3190</v>
      </c>
      <c r="FM227" s="198" t="s">
        <v>3166</v>
      </c>
      <c r="FN227" s="198" t="s">
        <v>3167</v>
      </c>
      <c r="FO227" s="844" t="s">
        <v>3168</v>
      </c>
    </row>
    <row r="228" spans="5:171" ht="104" customHeight="1" x14ac:dyDescent="0.2">
      <c r="E228" s="94" t="s">
        <v>9305</v>
      </c>
      <c r="F228" s="94" t="s">
        <v>9121</v>
      </c>
      <c r="G228" s="97" t="s">
        <v>339</v>
      </c>
      <c r="H228" s="97" t="s">
        <v>424</v>
      </c>
      <c r="I228" s="97" t="s">
        <v>8755</v>
      </c>
      <c r="J228" s="97" t="s">
        <v>8534</v>
      </c>
      <c r="K228" s="97" t="s">
        <v>8399</v>
      </c>
      <c r="L228" s="502">
        <v>2022</v>
      </c>
      <c r="M228" s="841">
        <v>44669</v>
      </c>
      <c r="N228" s="841" t="s">
        <v>554</v>
      </c>
      <c r="O228" s="841"/>
      <c r="P228" s="841"/>
      <c r="Q228" s="841"/>
      <c r="R228" s="841"/>
      <c r="S228" s="841"/>
      <c r="T228" s="841"/>
      <c r="U228" s="841"/>
      <c r="V228" s="841"/>
      <c r="W228" s="841"/>
      <c r="X228" s="841"/>
      <c r="Y228" s="841"/>
      <c r="Z228" s="98" t="s">
        <v>8104</v>
      </c>
      <c r="AA228" s="872" t="s">
        <v>7957</v>
      </c>
      <c r="AB228" s="97" t="s">
        <v>7810</v>
      </c>
      <c r="AC228" s="872" t="s">
        <v>7643</v>
      </c>
      <c r="AD228" s="97" t="s">
        <v>7476</v>
      </c>
      <c r="AE228" s="97" t="s">
        <v>470</v>
      </c>
      <c r="AF228" s="97" t="s">
        <v>470</v>
      </c>
      <c r="AG228" s="97" t="s">
        <v>470</v>
      </c>
      <c r="AH228" s="97" t="s">
        <v>6503</v>
      </c>
      <c r="AI228" s="97" t="s">
        <v>6847</v>
      </c>
      <c r="AJ228" s="97" t="s">
        <v>2328</v>
      </c>
      <c r="AK228" s="97" t="s">
        <v>6503</v>
      </c>
      <c r="AL228" s="580">
        <f t="shared" si="19"/>
        <v>0.23000000000000004</v>
      </c>
      <c r="AM228" s="504">
        <v>0.23000000000000004</v>
      </c>
      <c r="AN228" s="516"/>
      <c r="AO228" s="97"/>
      <c r="AP228" s="97"/>
      <c r="AQ228" s="504">
        <v>0.06</v>
      </c>
      <c r="AR228" s="507">
        <f t="shared" si="22"/>
        <v>0.26086956521739124</v>
      </c>
      <c r="AS228" s="507">
        <v>0.2054</v>
      </c>
      <c r="AT228" s="516">
        <v>7.4999999999999997E-2</v>
      </c>
      <c r="AU228" s="507">
        <f t="shared" si="23"/>
        <v>0.32608695652173908</v>
      </c>
      <c r="AV228" s="516">
        <v>0.01</v>
      </c>
      <c r="AW228" s="507">
        <f t="shared" si="24"/>
        <v>4.3478260869565209E-2</v>
      </c>
      <c r="AX228" s="516">
        <v>8.5000000000000006E-2</v>
      </c>
      <c r="AY228" s="507">
        <f>AX228/AL228</f>
        <v>0.36956521739130432</v>
      </c>
      <c r="AZ228" s="516"/>
      <c r="BA228" s="507"/>
      <c r="BB228" s="507"/>
      <c r="BC228" s="507"/>
      <c r="BD228" s="507"/>
      <c r="BE228" s="507" t="s">
        <v>470</v>
      </c>
      <c r="BF228" s="507" t="s">
        <v>470</v>
      </c>
      <c r="BG228" s="507" t="s">
        <v>470</v>
      </c>
      <c r="BH228" s="507" t="s">
        <v>470</v>
      </c>
      <c r="BI228" s="504">
        <v>0</v>
      </c>
      <c r="BJ228" s="507">
        <v>0</v>
      </c>
      <c r="BK228" s="96">
        <v>1</v>
      </c>
      <c r="BL228" s="96">
        <v>1</v>
      </c>
      <c r="BM228" s="96">
        <v>1</v>
      </c>
      <c r="BN228" s="96">
        <v>0</v>
      </c>
      <c r="BO228" s="96">
        <v>0</v>
      </c>
      <c r="BP228" s="96">
        <v>0</v>
      </c>
      <c r="BQ228" s="96">
        <v>0</v>
      </c>
      <c r="BR228" s="96">
        <v>0</v>
      </c>
      <c r="BS228" s="96">
        <v>0</v>
      </c>
      <c r="BT228" s="96">
        <v>0</v>
      </c>
      <c r="BU228" s="96">
        <v>0</v>
      </c>
      <c r="BV228" s="96">
        <v>0</v>
      </c>
      <c r="BW228" s="96">
        <v>0</v>
      </c>
      <c r="BX228" s="96">
        <v>0</v>
      </c>
      <c r="BY228" s="96">
        <v>1</v>
      </c>
      <c r="BZ228" s="96">
        <v>0</v>
      </c>
      <c r="CA228" s="96">
        <v>0</v>
      </c>
      <c r="CB228" s="96">
        <v>0</v>
      </c>
      <c r="CC228" s="96">
        <v>0</v>
      </c>
      <c r="CD228" s="96">
        <v>0</v>
      </c>
      <c r="CE228" s="96">
        <v>0</v>
      </c>
      <c r="CF228" s="96">
        <v>0</v>
      </c>
      <c r="CG228" s="96">
        <v>0</v>
      </c>
      <c r="CH228" s="96">
        <v>0</v>
      </c>
      <c r="CI228" s="96">
        <v>0</v>
      </c>
      <c r="CJ228" s="96">
        <v>0</v>
      </c>
      <c r="CK228" s="96">
        <v>0</v>
      </c>
      <c r="CL228" s="815">
        <f t="shared" si="25"/>
        <v>1</v>
      </c>
      <c r="CM228" s="824">
        <f t="shared" si="20"/>
        <v>0</v>
      </c>
      <c r="CN228" s="504">
        <v>0.505</v>
      </c>
      <c r="CO228" s="97" t="s">
        <v>470</v>
      </c>
      <c r="CP228" s="97" t="s">
        <v>470</v>
      </c>
      <c r="CQ228" s="97">
        <v>77.900000000000006</v>
      </c>
      <c r="CR228" s="504">
        <v>0.64800000000000002</v>
      </c>
      <c r="CS228" s="996" t="s">
        <v>5879</v>
      </c>
      <c r="CT228" s="97" t="s">
        <v>470</v>
      </c>
      <c r="CU228" s="97" t="s">
        <v>470</v>
      </c>
      <c r="CV228" s="97" t="s">
        <v>470</v>
      </c>
      <c r="CW228" s="97" t="s">
        <v>470</v>
      </c>
      <c r="CX228" s="97" t="s">
        <v>470</v>
      </c>
      <c r="CY228" s="97" t="s">
        <v>470</v>
      </c>
      <c r="CZ228" s="97">
        <v>2</v>
      </c>
      <c r="DA228" s="96" t="s">
        <v>470</v>
      </c>
      <c r="DB228" s="96" t="s">
        <v>470</v>
      </c>
      <c r="DC228" s="96" t="s">
        <v>470</v>
      </c>
      <c r="DD228" s="97" t="s">
        <v>479</v>
      </c>
      <c r="DE228" s="97" t="s">
        <v>15</v>
      </c>
      <c r="DF228" s="96">
        <v>200</v>
      </c>
      <c r="DG228" s="96" t="s">
        <v>470</v>
      </c>
      <c r="DH228" s="96" t="s">
        <v>470</v>
      </c>
      <c r="DI228" s="96" t="s">
        <v>470</v>
      </c>
      <c r="DJ228" s="96" t="s">
        <v>470</v>
      </c>
      <c r="DK228" s="96" t="s">
        <v>470</v>
      </c>
      <c r="DL228" s="96" t="s">
        <v>470</v>
      </c>
      <c r="DM228" s="97" t="s">
        <v>470</v>
      </c>
      <c r="DN228" s="96" t="s">
        <v>470</v>
      </c>
      <c r="DO228" s="96" t="s">
        <v>470</v>
      </c>
      <c r="DP228" s="97" t="s">
        <v>479</v>
      </c>
      <c r="DQ228" s="943" t="s">
        <v>5538</v>
      </c>
      <c r="DR228" s="97">
        <v>287</v>
      </c>
      <c r="DS228" s="97" t="s">
        <v>470</v>
      </c>
      <c r="DT228" s="97" t="s">
        <v>470</v>
      </c>
      <c r="DU228" s="97" t="s">
        <v>470</v>
      </c>
      <c r="DV228" s="97" t="s">
        <v>470</v>
      </c>
      <c r="DW228" s="97" t="s">
        <v>470</v>
      </c>
      <c r="DX228" s="97" t="s">
        <v>470</v>
      </c>
      <c r="DY228" s="97" t="s">
        <v>470</v>
      </c>
      <c r="DZ228" s="97" t="s">
        <v>470</v>
      </c>
      <c r="EA228" s="97" t="s">
        <v>470</v>
      </c>
      <c r="EB228" s="97" t="s">
        <v>470</v>
      </c>
      <c r="EC228" s="97" t="s">
        <v>470</v>
      </c>
      <c r="ED228" s="97" t="s">
        <v>470</v>
      </c>
      <c r="EE228" s="97" t="s">
        <v>470</v>
      </c>
      <c r="EF228" s="97" t="s">
        <v>470</v>
      </c>
      <c r="EG228" s="97" t="s">
        <v>470</v>
      </c>
      <c r="EH228" s="97" t="s">
        <v>470</v>
      </c>
      <c r="EI228" s="97" t="s">
        <v>470</v>
      </c>
      <c r="EJ228" s="97" t="s">
        <v>470</v>
      </c>
      <c r="EK228" s="97" t="s">
        <v>470</v>
      </c>
      <c r="EL228" s="97" t="s">
        <v>470</v>
      </c>
      <c r="EM228" s="97" t="s">
        <v>470</v>
      </c>
      <c r="EN228" s="97" t="s">
        <v>470</v>
      </c>
      <c r="EO228" s="97" t="s">
        <v>470</v>
      </c>
      <c r="EP228" s="97" t="s">
        <v>470</v>
      </c>
      <c r="EQ228" s="96" t="s">
        <v>479</v>
      </c>
      <c r="ER228" s="96" t="s">
        <v>5297</v>
      </c>
      <c r="ES228" s="96">
        <v>6</v>
      </c>
      <c r="ET228" s="97" t="s">
        <v>470</v>
      </c>
      <c r="EU228" s="97" t="s">
        <v>470</v>
      </c>
      <c r="EV228" s="97" t="s">
        <v>470</v>
      </c>
      <c r="EW228" s="97"/>
      <c r="EX228" s="97"/>
      <c r="EY228" s="97"/>
      <c r="EZ228" s="97" t="s">
        <v>470</v>
      </c>
      <c r="FA228" s="97" t="s">
        <v>470</v>
      </c>
      <c r="FB228" s="872" t="s">
        <v>4984</v>
      </c>
      <c r="FC228" s="943" t="s">
        <v>4984</v>
      </c>
      <c r="FD228" s="97" t="s">
        <v>470</v>
      </c>
      <c r="FE228" s="97" t="s">
        <v>4706</v>
      </c>
      <c r="FF228" s="97" t="s">
        <v>470</v>
      </c>
      <c r="FG228" s="97" t="s">
        <v>470</v>
      </c>
      <c r="FH228" s="97" t="s">
        <v>470</v>
      </c>
      <c r="FI228" s="97" t="s">
        <v>470</v>
      </c>
      <c r="FJ228" s="97" t="s">
        <v>4457</v>
      </c>
      <c r="FK228" s="97" t="s">
        <v>4243</v>
      </c>
      <c r="FL228" s="943" t="s">
        <v>4052</v>
      </c>
      <c r="FM228" s="97" t="s">
        <v>3166</v>
      </c>
      <c r="FN228" s="97" t="s">
        <v>3167</v>
      </c>
      <c r="FO228" s="872" t="s">
        <v>3168</v>
      </c>
    </row>
    <row r="229" spans="5:171" ht="104" customHeight="1" x14ac:dyDescent="0.2">
      <c r="E229" s="94" t="s">
        <v>9305</v>
      </c>
      <c r="F229" s="94" t="s">
        <v>9121</v>
      </c>
      <c r="G229" s="97" t="s">
        <v>339</v>
      </c>
      <c r="H229" s="97" t="s">
        <v>424</v>
      </c>
      <c r="I229" s="97" t="s">
        <v>8754</v>
      </c>
      <c r="J229" s="502" t="s">
        <v>8398</v>
      </c>
      <c r="K229" s="502" t="s">
        <v>8398</v>
      </c>
      <c r="L229" s="502">
        <v>2022</v>
      </c>
      <c r="M229" s="841">
        <v>44641</v>
      </c>
      <c r="N229" s="841" t="s">
        <v>554</v>
      </c>
      <c r="O229" s="841"/>
      <c r="P229" s="841"/>
      <c r="Q229" s="841"/>
      <c r="R229" s="841"/>
      <c r="S229" s="841"/>
      <c r="T229" s="841"/>
      <c r="U229" s="841"/>
      <c r="V229" s="841"/>
      <c r="W229" s="841"/>
      <c r="X229" s="841"/>
      <c r="Y229" s="841"/>
      <c r="Z229" s="97" t="s">
        <v>8103</v>
      </c>
      <c r="AA229" s="872" t="s">
        <v>7956</v>
      </c>
      <c r="AB229" s="97" t="s">
        <v>7809</v>
      </c>
      <c r="AC229" s="872" t="s">
        <v>7642</v>
      </c>
      <c r="AD229" s="97" t="s">
        <v>7475</v>
      </c>
      <c r="AE229" s="849" t="s">
        <v>7286</v>
      </c>
      <c r="AF229" s="97" t="s">
        <v>470</v>
      </c>
      <c r="AG229" s="849" t="s">
        <v>470</v>
      </c>
      <c r="AH229" s="97" t="s">
        <v>6998</v>
      </c>
      <c r="AI229" s="97" t="s">
        <v>6846</v>
      </c>
      <c r="AJ229" s="97" t="s">
        <v>6700</v>
      </c>
      <c r="AK229" s="97" t="s">
        <v>6502</v>
      </c>
      <c r="AL229" s="580">
        <f t="shared" si="19"/>
        <v>4.9820000000000002</v>
      </c>
      <c r="AM229" s="504">
        <v>4.9820000000000002</v>
      </c>
      <c r="AN229" s="516"/>
      <c r="AO229" s="97"/>
      <c r="AP229" s="97"/>
      <c r="AQ229" s="504">
        <f>1.229+2+1.369</f>
        <v>4.5979999999999999</v>
      </c>
      <c r="AR229" s="507">
        <f t="shared" si="22"/>
        <v>0.92292252107587303</v>
      </c>
      <c r="AS229" s="507">
        <v>5.8900000000000003E-3</v>
      </c>
      <c r="AT229" s="516">
        <f>0.067+0.02+0.02</f>
        <v>0.10700000000000001</v>
      </c>
      <c r="AU229" s="507">
        <f t="shared" si="23"/>
        <v>2.1477318346045767E-2</v>
      </c>
      <c r="AV229" s="516">
        <f>0.004+0.066+0.015</f>
        <v>8.5000000000000006E-2</v>
      </c>
      <c r="AW229" s="507">
        <f t="shared" si="24"/>
        <v>1.7061421116017664E-2</v>
      </c>
      <c r="AX229" s="516">
        <f>0.071+0.086+0.035</f>
        <v>0.19199999999999998</v>
      </c>
      <c r="AY229" s="507">
        <f>AX229/AL229</f>
        <v>3.8538739462063425E-2</v>
      </c>
      <c r="AZ229" s="516"/>
      <c r="BA229" s="507"/>
      <c r="BB229" s="507"/>
      <c r="BC229" s="507"/>
      <c r="BD229" s="507"/>
      <c r="BE229" s="507" t="s">
        <v>479</v>
      </c>
      <c r="BF229" s="507" t="s">
        <v>6306</v>
      </c>
      <c r="BG229" s="850" t="s">
        <v>470</v>
      </c>
      <c r="BH229" s="852" t="s">
        <v>470</v>
      </c>
      <c r="BI229" s="504">
        <v>8</v>
      </c>
      <c r="BJ229" s="507">
        <v>0.01</v>
      </c>
      <c r="BK229" s="96">
        <v>3</v>
      </c>
      <c r="BL229" s="96">
        <v>3</v>
      </c>
      <c r="BM229" s="96">
        <v>3</v>
      </c>
      <c r="BN229" s="96">
        <v>0</v>
      </c>
      <c r="BO229" s="96">
        <v>0</v>
      </c>
      <c r="BP229" s="96">
        <v>0</v>
      </c>
      <c r="BQ229" s="96">
        <v>0</v>
      </c>
      <c r="BR229" s="96">
        <v>0</v>
      </c>
      <c r="BS229" s="96">
        <v>0</v>
      </c>
      <c r="BT229" s="96">
        <v>2</v>
      </c>
      <c r="BU229" s="96">
        <v>1</v>
      </c>
      <c r="BV229" s="96">
        <v>0</v>
      </c>
      <c r="BW229" s="96">
        <v>0</v>
      </c>
      <c r="BX229" s="96">
        <v>0</v>
      </c>
      <c r="BY229" s="96">
        <v>0</v>
      </c>
      <c r="BZ229" s="96">
        <v>0</v>
      </c>
      <c r="CA229" s="96">
        <v>0</v>
      </c>
      <c r="CB229" s="96">
        <v>0</v>
      </c>
      <c r="CC229" s="96">
        <v>0</v>
      </c>
      <c r="CD229" s="96">
        <v>0</v>
      </c>
      <c r="CE229" s="96">
        <v>0</v>
      </c>
      <c r="CF229" s="96">
        <v>0</v>
      </c>
      <c r="CG229" s="96">
        <v>0</v>
      </c>
      <c r="CH229" s="96">
        <v>0</v>
      </c>
      <c r="CI229" s="96">
        <v>0</v>
      </c>
      <c r="CJ229" s="96">
        <v>0</v>
      </c>
      <c r="CK229" s="96">
        <v>0</v>
      </c>
      <c r="CL229" s="815">
        <f t="shared" si="25"/>
        <v>3</v>
      </c>
      <c r="CM229" s="824">
        <f t="shared" si="20"/>
        <v>0</v>
      </c>
      <c r="CN229" s="504">
        <f>5.42+0.35+0.249</f>
        <v>6.0189999999999992</v>
      </c>
      <c r="CO229" s="97" t="s">
        <v>470</v>
      </c>
      <c r="CP229" s="97" t="s">
        <v>470</v>
      </c>
      <c r="CQ229" s="507">
        <f>CN229/CR229</f>
        <v>0.24978213055567078</v>
      </c>
      <c r="CR229" s="504">
        <v>24.097000000000001</v>
      </c>
      <c r="CS229" s="888" t="s">
        <v>5878</v>
      </c>
      <c r="CT229" s="97" t="s">
        <v>470</v>
      </c>
      <c r="CU229" s="97" t="s">
        <v>470</v>
      </c>
      <c r="CV229" s="97" t="s">
        <v>470</v>
      </c>
      <c r="CW229" s="97" t="s">
        <v>470</v>
      </c>
      <c r="CX229" s="97" t="s">
        <v>470</v>
      </c>
      <c r="CY229" s="97" t="s">
        <v>470</v>
      </c>
      <c r="CZ229" s="97">
        <v>4</v>
      </c>
      <c r="DA229" s="97" t="s">
        <v>479</v>
      </c>
      <c r="DB229" s="97" t="s">
        <v>5705</v>
      </c>
      <c r="DC229" s="96">
        <f>1039+1467</f>
        <v>2506</v>
      </c>
      <c r="DD229" s="97" t="s">
        <v>479</v>
      </c>
      <c r="DE229" s="97" t="s">
        <v>5633</v>
      </c>
      <c r="DF229" s="96">
        <f>635+213+52</f>
        <v>900</v>
      </c>
      <c r="DG229" s="96" t="s">
        <v>470</v>
      </c>
      <c r="DH229" s="96" t="s">
        <v>470</v>
      </c>
      <c r="DI229" s="96" t="s">
        <v>470</v>
      </c>
      <c r="DJ229" s="96" t="s">
        <v>470</v>
      </c>
      <c r="DK229" s="96" t="s">
        <v>470</v>
      </c>
      <c r="DL229" s="96" t="s">
        <v>470</v>
      </c>
      <c r="DM229" s="96" t="s">
        <v>470</v>
      </c>
      <c r="DN229" s="96" t="s">
        <v>470</v>
      </c>
      <c r="DO229" s="96" t="s">
        <v>470</v>
      </c>
      <c r="DP229" s="96" t="s">
        <v>470</v>
      </c>
      <c r="DQ229" s="96" t="s">
        <v>470</v>
      </c>
      <c r="DR229" s="96" t="s">
        <v>470</v>
      </c>
      <c r="DS229" s="96" t="s">
        <v>470</v>
      </c>
      <c r="DT229" s="96" t="s">
        <v>470</v>
      </c>
      <c r="DU229" s="96" t="s">
        <v>470</v>
      </c>
      <c r="DV229" s="96" t="s">
        <v>470</v>
      </c>
      <c r="DW229" s="96" t="s">
        <v>470</v>
      </c>
      <c r="DX229" s="96" t="s">
        <v>470</v>
      </c>
      <c r="DY229" s="97" t="s">
        <v>470</v>
      </c>
      <c r="DZ229" s="97" t="s">
        <v>470</v>
      </c>
      <c r="EA229" s="97" t="s">
        <v>470</v>
      </c>
      <c r="EB229" s="97" t="s">
        <v>470</v>
      </c>
      <c r="EC229" s="97" t="s">
        <v>470</v>
      </c>
      <c r="ED229" s="97" t="s">
        <v>470</v>
      </c>
      <c r="EE229" s="97" t="s">
        <v>470</v>
      </c>
      <c r="EF229" s="97" t="s">
        <v>470</v>
      </c>
      <c r="EG229" s="97" t="s">
        <v>470</v>
      </c>
      <c r="EH229" s="97" t="s">
        <v>470</v>
      </c>
      <c r="EI229" s="97" t="s">
        <v>470</v>
      </c>
      <c r="EJ229" s="97" t="s">
        <v>470</v>
      </c>
      <c r="EK229" s="97" t="s">
        <v>470</v>
      </c>
      <c r="EL229" s="97" t="s">
        <v>470</v>
      </c>
      <c r="EM229" s="97" t="s">
        <v>470</v>
      </c>
      <c r="EN229" s="97" t="s">
        <v>470</v>
      </c>
      <c r="EO229" s="97" t="s">
        <v>470</v>
      </c>
      <c r="EP229" s="97" t="s">
        <v>470</v>
      </c>
      <c r="EQ229" s="96" t="s">
        <v>479</v>
      </c>
      <c r="ER229" s="96" t="s">
        <v>1597</v>
      </c>
      <c r="ES229" s="96">
        <v>6</v>
      </c>
      <c r="ET229" s="97" t="s">
        <v>470</v>
      </c>
      <c r="EU229" s="97" t="s">
        <v>470</v>
      </c>
      <c r="EV229" s="97" t="s">
        <v>470</v>
      </c>
      <c r="EW229" s="97"/>
      <c r="EX229" s="97"/>
      <c r="EY229" s="97"/>
      <c r="EZ229" s="97" t="s">
        <v>873</v>
      </c>
      <c r="FA229" s="97" t="s">
        <v>5209</v>
      </c>
      <c r="FB229" s="97" t="s">
        <v>873</v>
      </c>
      <c r="FC229" s="97" t="s">
        <v>873</v>
      </c>
      <c r="FD229" s="97" t="s">
        <v>873</v>
      </c>
      <c r="FE229" s="97" t="s">
        <v>4814</v>
      </c>
      <c r="FF229" s="97" t="s">
        <v>470</v>
      </c>
      <c r="FG229" s="97" t="s">
        <v>470</v>
      </c>
      <c r="FH229" s="97" t="s">
        <v>470</v>
      </c>
      <c r="FI229" s="97" t="s">
        <v>470</v>
      </c>
      <c r="FJ229" s="97" t="s">
        <v>4456</v>
      </c>
      <c r="FK229" s="97" t="s">
        <v>4242</v>
      </c>
      <c r="FL229" s="849" t="s">
        <v>4051</v>
      </c>
      <c r="FM229" s="97" t="s">
        <v>3166</v>
      </c>
      <c r="FN229" s="97" t="s">
        <v>3167</v>
      </c>
      <c r="FO229" s="97" t="s">
        <v>3168</v>
      </c>
    </row>
    <row r="230" spans="5:171" ht="104" customHeight="1" x14ac:dyDescent="0.2">
      <c r="E230" s="94" t="s">
        <v>9305</v>
      </c>
      <c r="F230" s="94" t="s">
        <v>9121</v>
      </c>
      <c r="G230" s="97" t="s">
        <v>339</v>
      </c>
      <c r="H230" s="97" t="s">
        <v>424</v>
      </c>
      <c r="I230" s="97" t="s">
        <v>8753</v>
      </c>
      <c r="J230" s="97" t="s">
        <v>8365</v>
      </c>
      <c r="K230" s="97" t="s">
        <v>656</v>
      </c>
      <c r="L230" s="502" t="s">
        <v>8337</v>
      </c>
      <c r="M230" s="841" t="s">
        <v>8302</v>
      </c>
      <c r="N230" s="841" t="s">
        <v>8229</v>
      </c>
      <c r="O230" s="841"/>
      <c r="P230" s="841"/>
      <c r="Q230" s="841"/>
      <c r="R230" s="841"/>
      <c r="S230" s="841"/>
      <c r="T230" s="841"/>
      <c r="U230" s="841"/>
      <c r="V230" s="841"/>
      <c r="W230" s="841"/>
      <c r="X230" s="841"/>
      <c r="Y230" s="841"/>
      <c r="Z230" s="97" t="s">
        <v>8102</v>
      </c>
      <c r="AA230" s="97" t="s">
        <v>7641</v>
      </c>
      <c r="AB230" s="97" t="s">
        <v>7808</v>
      </c>
      <c r="AC230" s="97" t="s">
        <v>7641</v>
      </c>
      <c r="AD230" s="97" t="s">
        <v>7474</v>
      </c>
      <c r="AE230" s="97" t="s">
        <v>7285</v>
      </c>
      <c r="AF230" s="97" t="s">
        <v>470</v>
      </c>
      <c r="AG230" s="97" t="s">
        <v>470</v>
      </c>
      <c r="AH230" s="97" t="s">
        <v>6997</v>
      </c>
      <c r="AI230" s="97" t="s">
        <v>6845</v>
      </c>
      <c r="AJ230" s="97" t="s">
        <v>477</v>
      </c>
      <c r="AK230" s="97" t="s">
        <v>6501</v>
      </c>
      <c r="AL230" s="580">
        <f t="shared" si="19"/>
        <v>11.060570999999999</v>
      </c>
      <c r="AM230" s="504">
        <v>11.060570999999999</v>
      </c>
      <c r="AN230" s="516"/>
      <c r="AO230" s="97"/>
      <c r="AP230" s="97"/>
      <c r="AQ230" s="504">
        <v>9.5324209999999994</v>
      </c>
      <c r="AR230" s="507">
        <f t="shared" si="22"/>
        <v>0.86183805519624623</v>
      </c>
      <c r="AS230" s="507">
        <v>2.9999999999999997E-4</v>
      </c>
      <c r="AT230" s="516">
        <v>0.48</v>
      </c>
      <c r="AU230" s="507">
        <f t="shared" si="23"/>
        <v>4.3397397837778899E-2</v>
      </c>
      <c r="AV230" s="516">
        <v>4.8149999999999998E-2</v>
      </c>
      <c r="AW230" s="507">
        <f t="shared" si="24"/>
        <v>4.3533014706021956E-3</v>
      </c>
      <c r="AX230" s="516">
        <v>1</v>
      </c>
      <c r="AY230" s="507">
        <f>AX230/AL230</f>
        <v>9.0411245495372716E-2</v>
      </c>
      <c r="AZ230" s="516"/>
      <c r="BA230" s="507"/>
      <c r="BB230" s="507"/>
      <c r="BC230" s="507"/>
      <c r="BD230" s="507"/>
      <c r="BE230" s="507" t="s">
        <v>470</v>
      </c>
      <c r="BF230" s="97" t="s">
        <v>470</v>
      </c>
      <c r="BG230" s="97" t="s">
        <v>470</v>
      </c>
      <c r="BH230" s="97" t="s">
        <v>470</v>
      </c>
      <c r="BI230" s="504">
        <v>95</v>
      </c>
      <c r="BJ230" s="507">
        <v>3.0000000000000001E-3</v>
      </c>
      <c r="BK230" s="96">
        <v>12</v>
      </c>
      <c r="BL230" s="96">
        <v>5</v>
      </c>
      <c r="BM230" s="96">
        <v>5</v>
      </c>
      <c r="BN230" s="96">
        <v>0</v>
      </c>
      <c r="BO230" s="96">
        <v>0</v>
      </c>
      <c r="BP230" s="96">
        <v>0</v>
      </c>
      <c r="BQ230" s="96">
        <v>0</v>
      </c>
      <c r="BR230" s="96">
        <v>0</v>
      </c>
      <c r="BS230" s="96">
        <v>0</v>
      </c>
      <c r="BT230" s="96">
        <v>0</v>
      </c>
      <c r="BU230" s="96">
        <v>0</v>
      </c>
      <c r="BV230" s="96">
        <v>2</v>
      </c>
      <c r="BW230" s="96">
        <v>0</v>
      </c>
      <c r="BX230" s="96">
        <v>1</v>
      </c>
      <c r="BY230" s="96">
        <v>1</v>
      </c>
      <c r="BZ230" s="96">
        <v>0</v>
      </c>
      <c r="CA230" s="96">
        <v>0</v>
      </c>
      <c r="CB230" s="96">
        <v>0</v>
      </c>
      <c r="CC230" s="96">
        <v>0</v>
      </c>
      <c r="CD230" s="96">
        <v>0</v>
      </c>
      <c r="CE230" s="96">
        <v>0</v>
      </c>
      <c r="CF230" s="96">
        <v>0</v>
      </c>
      <c r="CG230" s="96">
        <v>0</v>
      </c>
      <c r="CH230" s="96">
        <v>0</v>
      </c>
      <c r="CI230" s="96">
        <v>0</v>
      </c>
      <c r="CJ230" s="96">
        <v>0</v>
      </c>
      <c r="CK230" s="96">
        <v>0</v>
      </c>
      <c r="CL230" s="502">
        <f t="shared" si="25"/>
        <v>4</v>
      </c>
      <c r="CM230" s="824">
        <f t="shared" si="20"/>
        <v>0</v>
      </c>
      <c r="CN230" s="504">
        <v>10.403</v>
      </c>
      <c r="CO230" s="97" t="s">
        <v>470</v>
      </c>
      <c r="CP230" s="851" t="s">
        <v>470</v>
      </c>
      <c r="CQ230" s="516">
        <f>CN230*100/CR230</f>
        <v>0.92373154512592426</v>
      </c>
      <c r="CR230" s="504">
        <v>1126.193</v>
      </c>
      <c r="CS230" s="546" t="s">
        <v>5877</v>
      </c>
      <c r="CT230" s="97" t="s">
        <v>470</v>
      </c>
      <c r="CU230" s="97" t="s">
        <v>470</v>
      </c>
      <c r="CV230" s="97" t="s">
        <v>470</v>
      </c>
      <c r="CW230" s="97" t="s">
        <v>470</v>
      </c>
      <c r="CX230" s="97" t="s">
        <v>470</v>
      </c>
      <c r="CY230" s="97" t="s">
        <v>470</v>
      </c>
      <c r="CZ230" s="96">
        <v>22</v>
      </c>
      <c r="DA230" s="97" t="s">
        <v>479</v>
      </c>
      <c r="DB230" s="97" t="s">
        <v>5704</v>
      </c>
      <c r="DC230" s="96">
        <v>731</v>
      </c>
      <c r="DD230" s="97" t="s">
        <v>479</v>
      </c>
      <c r="DE230" s="97" t="s">
        <v>541</v>
      </c>
      <c r="DF230" s="96">
        <v>18</v>
      </c>
      <c r="DG230" s="96" t="s">
        <v>479</v>
      </c>
      <c r="DH230" s="97" t="s">
        <v>5558</v>
      </c>
      <c r="DI230" s="96">
        <v>39</v>
      </c>
      <c r="DJ230" s="96" t="s">
        <v>470</v>
      </c>
      <c r="DK230" s="96" t="s">
        <v>470</v>
      </c>
      <c r="DL230" s="96" t="s">
        <v>470</v>
      </c>
      <c r="DM230" s="96" t="s">
        <v>470</v>
      </c>
      <c r="DN230" s="96" t="s">
        <v>470</v>
      </c>
      <c r="DO230" s="96" t="s">
        <v>470</v>
      </c>
      <c r="DP230" s="96" t="s">
        <v>470</v>
      </c>
      <c r="DQ230" s="96" t="s">
        <v>470</v>
      </c>
      <c r="DR230" s="96" t="s">
        <v>470</v>
      </c>
      <c r="DS230" s="96" t="s">
        <v>470</v>
      </c>
      <c r="DT230" s="96" t="s">
        <v>470</v>
      </c>
      <c r="DU230" s="96" t="s">
        <v>470</v>
      </c>
      <c r="DV230" s="96" t="s">
        <v>470</v>
      </c>
      <c r="DW230" s="96" t="s">
        <v>470</v>
      </c>
      <c r="DX230" s="96" t="s">
        <v>470</v>
      </c>
      <c r="DY230" s="97" t="s">
        <v>479</v>
      </c>
      <c r="DZ230" s="872" t="s">
        <v>5461</v>
      </c>
      <c r="EA230" s="96">
        <v>2415</v>
      </c>
      <c r="EB230" s="97" t="s">
        <v>470</v>
      </c>
      <c r="EC230" s="97" t="s">
        <v>470</v>
      </c>
      <c r="ED230" s="97" t="s">
        <v>470</v>
      </c>
      <c r="EE230" s="97" t="s">
        <v>470</v>
      </c>
      <c r="EF230" s="97" t="s">
        <v>470</v>
      </c>
      <c r="EG230" s="97" t="s">
        <v>470</v>
      </c>
      <c r="EH230" s="97" t="s">
        <v>470</v>
      </c>
      <c r="EI230" s="97" t="s">
        <v>470</v>
      </c>
      <c r="EJ230" s="97" t="s">
        <v>470</v>
      </c>
      <c r="EK230" s="97" t="s">
        <v>470</v>
      </c>
      <c r="EL230" s="97" t="s">
        <v>470</v>
      </c>
      <c r="EM230" s="97" t="s">
        <v>470</v>
      </c>
      <c r="EN230" s="97" t="s">
        <v>470</v>
      </c>
      <c r="EO230" s="97" t="s">
        <v>470</v>
      </c>
      <c r="EP230" s="97" t="s">
        <v>470</v>
      </c>
      <c r="EQ230" s="96" t="s">
        <v>479</v>
      </c>
      <c r="ER230" s="96" t="s">
        <v>5296</v>
      </c>
      <c r="ES230" s="96">
        <v>14</v>
      </c>
      <c r="ET230" s="97" t="s">
        <v>470</v>
      </c>
      <c r="EU230" s="97" t="s">
        <v>470</v>
      </c>
      <c r="EV230" s="97" t="s">
        <v>470</v>
      </c>
      <c r="EW230" s="97"/>
      <c r="EX230" s="97"/>
      <c r="EY230" s="97"/>
      <c r="EZ230" s="97" t="s">
        <v>470</v>
      </c>
      <c r="FA230" s="97" t="s">
        <v>470</v>
      </c>
      <c r="FB230" s="97" t="s">
        <v>5128</v>
      </c>
      <c r="FC230" s="851" t="s">
        <v>4983</v>
      </c>
      <c r="FD230" s="851" t="s">
        <v>4912</v>
      </c>
      <c r="FE230" s="97" t="s">
        <v>4813</v>
      </c>
      <c r="FF230" s="97" t="s">
        <v>4713</v>
      </c>
      <c r="FG230" s="97" t="s">
        <v>656</v>
      </c>
      <c r="FH230" s="97" t="s">
        <v>656</v>
      </c>
      <c r="FI230" s="97" t="s">
        <v>656</v>
      </c>
      <c r="FJ230" s="97" t="s">
        <v>4455</v>
      </c>
      <c r="FK230" s="97" t="s">
        <v>4241</v>
      </c>
      <c r="FL230" s="97" t="s">
        <v>4050</v>
      </c>
      <c r="FM230" s="97" t="s">
        <v>3166</v>
      </c>
      <c r="FN230" s="97" t="s">
        <v>3167</v>
      </c>
      <c r="FO230" s="872" t="s">
        <v>3168</v>
      </c>
    </row>
    <row r="231" spans="5:171" ht="104" customHeight="1" x14ac:dyDescent="0.2">
      <c r="E231" s="94" t="s">
        <v>9302</v>
      </c>
      <c r="F231" s="94" t="s">
        <v>9120</v>
      </c>
      <c r="G231" s="198" t="s">
        <v>340</v>
      </c>
      <c r="H231" s="198" t="s">
        <v>425</v>
      </c>
      <c r="I231" s="198"/>
      <c r="J231" s="997" t="s">
        <v>1378</v>
      </c>
      <c r="K231" s="997" t="s">
        <v>1379</v>
      </c>
      <c r="L231" s="998">
        <v>2017</v>
      </c>
      <c r="M231" s="999" t="s">
        <v>1380</v>
      </c>
      <c r="N231" s="999" t="s">
        <v>554</v>
      </c>
      <c r="O231" s="997" t="s">
        <v>9634</v>
      </c>
      <c r="P231" s="997" t="s">
        <v>1381</v>
      </c>
      <c r="Q231" s="1000" t="s">
        <v>1382</v>
      </c>
      <c r="R231" s="997"/>
      <c r="S231" s="997"/>
      <c r="T231" s="997" t="s">
        <v>1383</v>
      </c>
      <c r="U231" s="1000" t="s">
        <v>1384</v>
      </c>
      <c r="V231" s="997" t="s">
        <v>1385</v>
      </c>
      <c r="W231" s="1000" t="s">
        <v>1386</v>
      </c>
      <c r="X231" s="997" t="s">
        <v>1387</v>
      </c>
      <c r="Y231" s="1000" t="s">
        <v>1388</v>
      </c>
      <c r="Z231" s="1000"/>
      <c r="AA231" s="1000"/>
      <c r="AB231" s="1000"/>
      <c r="AC231" s="1000"/>
      <c r="AD231" s="1000"/>
      <c r="AE231" s="1000"/>
      <c r="AF231" s="1000"/>
      <c r="AG231" s="1000"/>
      <c r="AH231" s="997" t="s">
        <v>1389</v>
      </c>
      <c r="AI231" s="997" t="s">
        <v>1390</v>
      </c>
      <c r="AJ231" s="997" t="s">
        <v>633</v>
      </c>
      <c r="AK231" s="997" t="s">
        <v>1391</v>
      </c>
      <c r="AL231" s="580">
        <f t="shared" si="19"/>
        <v>230.79090000000002</v>
      </c>
      <c r="AM231" s="504">
        <v>230.79090000000002</v>
      </c>
      <c r="AN231" s="1001">
        <v>131.2106</v>
      </c>
      <c r="AO231" s="1002">
        <f>AN231/AL231</f>
        <v>0.5685258820863387</v>
      </c>
      <c r="AP231" s="1002">
        <f>AN231/139092.642</f>
        <v>9.4333243019425865E-4</v>
      </c>
      <c r="AQ231" s="504">
        <v>60.366700000000002</v>
      </c>
      <c r="AR231" s="137">
        <f t="shared" si="22"/>
        <v>0.2615644724293722</v>
      </c>
      <c r="AS231" s="137"/>
      <c r="AT231" s="520"/>
      <c r="AU231" s="137"/>
      <c r="AV231" s="520"/>
      <c r="AW231" s="137"/>
      <c r="AX231" s="520">
        <v>39.2136</v>
      </c>
      <c r="AY231" s="137">
        <f>AX231/AL231</f>
        <v>0.169909645484289</v>
      </c>
      <c r="AZ231" s="520">
        <v>0</v>
      </c>
      <c r="BA231" s="1002"/>
      <c r="BB231" s="997"/>
      <c r="BC231" s="997"/>
      <c r="BD231" s="997"/>
      <c r="BE231" s="997" t="s">
        <v>540</v>
      </c>
      <c r="BF231" s="997" t="s">
        <v>1392</v>
      </c>
      <c r="BG231" s="997"/>
      <c r="BH231" s="997"/>
      <c r="BI231" s="585">
        <v>200</v>
      </c>
      <c r="BJ231" s="1002">
        <f>BI231/132860.542</f>
        <v>1.5053378300985706E-3</v>
      </c>
      <c r="BK231" s="587"/>
      <c r="BL231" s="587">
        <v>225</v>
      </c>
      <c r="BM231" s="587">
        <v>225</v>
      </c>
      <c r="BN231" s="587">
        <v>22</v>
      </c>
      <c r="BO231" s="587">
        <v>59</v>
      </c>
      <c r="BP231" s="587">
        <v>6</v>
      </c>
      <c r="BQ231" s="587"/>
      <c r="BR231" s="587"/>
      <c r="BS231" s="587">
        <v>5</v>
      </c>
      <c r="BT231" s="587"/>
      <c r="BU231" s="587">
        <v>8</v>
      </c>
      <c r="BV231" s="587">
        <v>17</v>
      </c>
      <c r="BW231" s="587"/>
      <c r="BX231" s="587">
        <v>27</v>
      </c>
      <c r="BY231" s="587">
        <v>12</v>
      </c>
      <c r="BZ231" s="587">
        <v>59</v>
      </c>
      <c r="CA231" s="587">
        <v>3</v>
      </c>
      <c r="CB231" s="587"/>
      <c r="CC231" s="587"/>
      <c r="CD231" s="587"/>
      <c r="CE231" s="587">
        <v>7</v>
      </c>
      <c r="CF231" s="587"/>
      <c r="CG231" s="587"/>
      <c r="CH231" s="587"/>
      <c r="CI231" s="587"/>
      <c r="CJ231" s="587"/>
      <c r="CK231" s="587"/>
      <c r="CL231" s="1003">
        <f t="shared" si="25"/>
        <v>225</v>
      </c>
      <c r="CM231" s="824">
        <f t="shared" si="20"/>
        <v>0</v>
      </c>
      <c r="CN231" s="585">
        <v>229.89699999999999</v>
      </c>
      <c r="CO231" s="997" t="s">
        <v>1394</v>
      </c>
      <c r="CP231" s="997"/>
      <c r="CQ231" s="1002">
        <f>CN231/CR231</f>
        <v>0.12485058735935117</v>
      </c>
      <c r="CR231" s="585">
        <v>1841.377</v>
      </c>
      <c r="CS231" s="1002" t="s">
        <v>1395</v>
      </c>
      <c r="CT231" s="997" t="s">
        <v>539</v>
      </c>
      <c r="CU231" s="997"/>
      <c r="CV231" s="997"/>
      <c r="CW231" s="997"/>
      <c r="CX231" s="587"/>
      <c r="CY231" s="587"/>
      <c r="CZ231" s="587">
        <v>9</v>
      </c>
      <c r="DA231" s="997" t="s">
        <v>540</v>
      </c>
      <c r="DB231" s="997" t="s">
        <v>1396</v>
      </c>
      <c r="DC231" s="587">
        <v>91636</v>
      </c>
      <c r="DD231" s="997" t="s">
        <v>540</v>
      </c>
      <c r="DE231" s="997" t="s">
        <v>1397</v>
      </c>
      <c r="DF231" s="587">
        <v>0</v>
      </c>
      <c r="DG231" s="587" t="s">
        <v>470</v>
      </c>
      <c r="DH231" s="587"/>
      <c r="DI231" s="587"/>
      <c r="DJ231" s="587" t="s">
        <v>470</v>
      </c>
      <c r="DK231" s="587"/>
      <c r="DL231" s="587"/>
      <c r="DM231" s="997" t="s">
        <v>470</v>
      </c>
      <c r="DN231" s="997"/>
      <c r="DO231" s="587"/>
      <c r="DP231" s="997" t="s">
        <v>470</v>
      </c>
      <c r="DQ231" s="997"/>
      <c r="DR231" s="587"/>
      <c r="DS231" s="997" t="s">
        <v>470</v>
      </c>
      <c r="DT231" s="997"/>
      <c r="DU231" s="587"/>
      <c r="DV231" s="997" t="s">
        <v>470</v>
      </c>
      <c r="DW231" s="997"/>
      <c r="DX231" s="587"/>
      <c r="DY231" s="997" t="s">
        <v>470</v>
      </c>
      <c r="DZ231" s="997"/>
      <c r="EA231" s="587"/>
      <c r="EB231" s="997" t="s">
        <v>470</v>
      </c>
      <c r="EC231" s="997"/>
      <c r="ED231" s="587"/>
      <c r="EE231" s="587" t="s">
        <v>470</v>
      </c>
      <c r="EF231" s="587"/>
      <c r="EG231" s="587"/>
      <c r="EH231" s="997" t="s">
        <v>470</v>
      </c>
      <c r="EI231" s="997"/>
      <c r="EJ231" s="587"/>
      <c r="EK231" s="997" t="s">
        <v>470</v>
      </c>
      <c r="EL231" s="997"/>
      <c r="EM231" s="587"/>
      <c r="EN231" s="587" t="s">
        <v>479</v>
      </c>
      <c r="EO231" s="997" t="s">
        <v>1398</v>
      </c>
      <c r="EP231" s="587">
        <v>13</v>
      </c>
      <c r="EQ231" s="587" t="s">
        <v>470</v>
      </c>
      <c r="ER231" s="997"/>
      <c r="ES231" s="587"/>
      <c r="ET231" s="997" t="s">
        <v>470</v>
      </c>
      <c r="EU231" s="997"/>
      <c r="EV231" s="587"/>
      <c r="EW231" s="1004">
        <v>0.94</v>
      </c>
      <c r="EX231" s="997" t="s">
        <v>1399</v>
      </c>
      <c r="EY231" s="1005">
        <v>174</v>
      </c>
      <c r="EZ231" s="997" t="s">
        <v>479</v>
      </c>
      <c r="FA231" s="997" t="s">
        <v>1400</v>
      </c>
      <c r="FB231" s="997" t="s">
        <v>1401</v>
      </c>
      <c r="FC231" s="997" t="s">
        <v>1402</v>
      </c>
      <c r="FD231" s="997" t="s">
        <v>1403</v>
      </c>
      <c r="FE231" s="997" t="s">
        <v>1404</v>
      </c>
      <c r="FF231" s="997" t="s">
        <v>1405</v>
      </c>
      <c r="FG231" s="997" t="s">
        <v>1406</v>
      </c>
      <c r="FH231" s="997">
        <v>9</v>
      </c>
      <c r="FI231" s="997">
        <v>932</v>
      </c>
      <c r="FJ231" s="997" t="s">
        <v>1407</v>
      </c>
      <c r="FK231" s="997" t="s">
        <v>1408</v>
      </c>
      <c r="FL231" s="1000" t="s">
        <v>1409</v>
      </c>
      <c r="FM231" s="997" t="s">
        <v>1410</v>
      </c>
      <c r="FN231" s="997" t="s">
        <v>1411</v>
      </c>
      <c r="FO231" s="1000" t="s">
        <v>1412</v>
      </c>
    </row>
    <row r="232" spans="5:171" ht="43" customHeight="1" x14ac:dyDescent="0.2">
      <c r="E232" s="94" t="s">
        <v>9302</v>
      </c>
      <c r="F232" s="94" t="s">
        <v>9121</v>
      </c>
      <c r="G232" s="97" t="s">
        <v>340</v>
      </c>
      <c r="H232" s="97" t="s">
        <v>425</v>
      </c>
      <c r="I232" s="522" t="s">
        <v>8752</v>
      </c>
      <c r="J232" s="522" t="s">
        <v>1256</v>
      </c>
      <c r="K232" s="522" t="s">
        <v>1256</v>
      </c>
      <c r="L232" s="933">
        <v>2017</v>
      </c>
      <c r="M232" s="934">
        <v>44396</v>
      </c>
      <c r="N232" s="934">
        <v>44779</v>
      </c>
      <c r="O232" s="934"/>
      <c r="P232" s="934"/>
      <c r="Q232" s="934"/>
      <c r="R232" s="934"/>
      <c r="S232" s="934"/>
      <c r="T232" s="934"/>
      <c r="U232" s="934"/>
      <c r="V232" s="934"/>
      <c r="W232" s="934"/>
      <c r="X232" s="934"/>
      <c r="Y232" s="934"/>
      <c r="Z232" s="522" t="s">
        <v>8101</v>
      </c>
      <c r="AA232" s="935" t="s">
        <v>7955</v>
      </c>
      <c r="AB232" s="522" t="s">
        <v>656</v>
      </c>
      <c r="AC232" s="522" t="s">
        <v>656</v>
      </c>
      <c r="AD232" s="522" t="s">
        <v>7473</v>
      </c>
      <c r="AE232" s="935" t="s">
        <v>7284</v>
      </c>
      <c r="AF232" s="522" t="s">
        <v>656</v>
      </c>
      <c r="AG232" s="522" t="s">
        <v>656</v>
      </c>
      <c r="AH232" s="522"/>
      <c r="AI232" s="522" t="s">
        <v>6844</v>
      </c>
      <c r="AJ232" s="522" t="s">
        <v>6699</v>
      </c>
      <c r="AK232" s="522" t="s">
        <v>6500</v>
      </c>
      <c r="AL232" s="580">
        <f t="shared" si="19"/>
        <v>3</v>
      </c>
      <c r="AM232" s="504">
        <v>3</v>
      </c>
      <c r="AN232" s="516"/>
      <c r="AO232" s="97"/>
      <c r="AP232" s="97"/>
      <c r="AQ232" s="504">
        <v>2.85</v>
      </c>
      <c r="AR232" s="507">
        <v>0.95</v>
      </c>
      <c r="AS232" s="507">
        <v>1E-3</v>
      </c>
      <c r="AT232" s="516">
        <v>0.05</v>
      </c>
      <c r="AU232" s="507">
        <v>1.7000000000000001E-2</v>
      </c>
      <c r="AV232" s="516">
        <v>0.1</v>
      </c>
      <c r="AW232" s="507">
        <v>3.3000000000000002E-2</v>
      </c>
      <c r="AX232" s="516"/>
      <c r="AY232" s="507" t="s">
        <v>656</v>
      </c>
      <c r="AZ232" s="516"/>
      <c r="BA232" s="936"/>
      <c r="BB232" s="936"/>
      <c r="BC232" s="936"/>
      <c r="BD232" s="936"/>
      <c r="BE232" s="936" t="s">
        <v>470</v>
      </c>
      <c r="BF232" s="936" t="s">
        <v>656</v>
      </c>
      <c r="BG232" s="936" t="s">
        <v>656</v>
      </c>
      <c r="BH232" s="937" t="s">
        <v>656</v>
      </c>
      <c r="BI232" s="938">
        <v>3</v>
      </c>
      <c r="BJ232" s="936">
        <v>1E-3</v>
      </c>
      <c r="BK232" s="939">
        <v>26</v>
      </c>
      <c r="BL232" s="939">
        <v>3</v>
      </c>
      <c r="BM232" s="939">
        <v>3</v>
      </c>
      <c r="BN232" s="939" t="s">
        <v>656</v>
      </c>
      <c r="BO232" s="939">
        <v>1</v>
      </c>
      <c r="BP232" s="939" t="s">
        <v>656</v>
      </c>
      <c r="BQ232" s="939" t="s">
        <v>656</v>
      </c>
      <c r="BR232" s="939" t="s">
        <v>656</v>
      </c>
      <c r="BS232" s="939" t="s">
        <v>656</v>
      </c>
      <c r="BT232" s="939" t="s">
        <v>656</v>
      </c>
      <c r="BU232" s="939" t="s">
        <v>656</v>
      </c>
      <c r="BV232" s="939" t="s">
        <v>656</v>
      </c>
      <c r="BW232" s="939" t="s">
        <v>656</v>
      </c>
      <c r="BX232" s="939">
        <v>2</v>
      </c>
      <c r="BY232" s="939" t="s">
        <v>656</v>
      </c>
      <c r="BZ232" s="939" t="s">
        <v>656</v>
      </c>
      <c r="CA232" s="939" t="s">
        <v>656</v>
      </c>
      <c r="CB232" s="939" t="s">
        <v>656</v>
      </c>
      <c r="CC232" s="939" t="s">
        <v>656</v>
      </c>
      <c r="CD232" s="939" t="s">
        <v>656</v>
      </c>
      <c r="CE232" s="939" t="s">
        <v>656</v>
      </c>
      <c r="CF232" s="939" t="s">
        <v>656</v>
      </c>
      <c r="CG232" s="939" t="s">
        <v>656</v>
      </c>
      <c r="CH232" s="939" t="s">
        <v>656</v>
      </c>
      <c r="CI232" s="939" t="s">
        <v>656</v>
      </c>
      <c r="CJ232" s="939" t="s">
        <v>656</v>
      </c>
      <c r="CK232" s="939" t="s">
        <v>656</v>
      </c>
      <c r="CL232" s="940">
        <f t="shared" si="25"/>
        <v>3</v>
      </c>
      <c r="CM232" s="824">
        <f t="shared" si="20"/>
        <v>0</v>
      </c>
      <c r="CN232" s="938">
        <v>3.2</v>
      </c>
      <c r="CO232" s="522" t="s">
        <v>6107</v>
      </c>
      <c r="CP232" s="522" t="s">
        <v>656</v>
      </c>
      <c r="CQ232" s="522">
        <v>3.7</v>
      </c>
      <c r="CR232" s="938"/>
      <c r="CS232" s="1006" t="s">
        <v>5876</v>
      </c>
      <c r="CT232" s="522" t="s">
        <v>470</v>
      </c>
      <c r="CU232" s="522" t="s">
        <v>656</v>
      </c>
      <c r="CV232" s="935" t="s">
        <v>5783</v>
      </c>
      <c r="CW232" s="522" t="s">
        <v>656</v>
      </c>
      <c r="CX232" s="939">
        <v>4</v>
      </c>
      <c r="CY232" s="939" t="s">
        <v>656</v>
      </c>
      <c r="CZ232" s="939" t="s">
        <v>656</v>
      </c>
      <c r="DA232" s="522" t="s">
        <v>689</v>
      </c>
      <c r="DB232" s="522" t="s">
        <v>2827</v>
      </c>
      <c r="DC232" s="939">
        <v>552</v>
      </c>
      <c r="DD232" s="522" t="s">
        <v>689</v>
      </c>
      <c r="DE232" s="522" t="s">
        <v>1007</v>
      </c>
      <c r="DF232" s="939">
        <v>552</v>
      </c>
      <c r="DG232" s="939" t="s">
        <v>470</v>
      </c>
      <c r="DH232" s="939" t="s">
        <v>656</v>
      </c>
      <c r="DI232" s="939" t="s">
        <v>656</v>
      </c>
      <c r="DJ232" s="939" t="s">
        <v>470</v>
      </c>
      <c r="DK232" s="939" t="s">
        <v>656</v>
      </c>
      <c r="DL232" s="939" t="s">
        <v>656</v>
      </c>
      <c r="DM232" s="939" t="s">
        <v>470</v>
      </c>
      <c r="DN232" s="939" t="s">
        <v>656</v>
      </c>
      <c r="DO232" s="939" t="s">
        <v>656</v>
      </c>
      <c r="DP232" s="939" t="s">
        <v>470</v>
      </c>
      <c r="DQ232" s="939" t="s">
        <v>656</v>
      </c>
      <c r="DR232" s="939" t="s">
        <v>656</v>
      </c>
      <c r="DS232" s="939" t="s">
        <v>470</v>
      </c>
      <c r="DT232" s="939" t="s">
        <v>656</v>
      </c>
      <c r="DU232" s="939" t="s">
        <v>656</v>
      </c>
      <c r="DV232" s="939" t="s">
        <v>470</v>
      </c>
      <c r="DW232" s="939" t="s">
        <v>656</v>
      </c>
      <c r="DX232" s="939" t="s">
        <v>656</v>
      </c>
      <c r="DY232" s="939" t="s">
        <v>479</v>
      </c>
      <c r="DZ232" s="1007" t="s">
        <v>5460</v>
      </c>
      <c r="EA232" s="939"/>
      <c r="EB232" s="939" t="s">
        <v>470</v>
      </c>
      <c r="EC232" s="939" t="s">
        <v>656</v>
      </c>
      <c r="ED232" s="939" t="s">
        <v>656</v>
      </c>
      <c r="EE232" s="939" t="s">
        <v>470</v>
      </c>
      <c r="EF232" s="939" t="s">
        <v>656</v>
      </c>
      <c r="EG232" s="939" t="s">
        <v>656</v>
      </c>
      <c r="EH232" s="939" t="s">
        <v>470</v>
      </c>
      <c r="EI232" s="939" t="s">
        <v>656</v>
      </c>
      <c r="EJ232" s="939" t="s">
        <v>656</v>
      </c>
      <c r="EK232" s="939" t="s">
        <v>470</v>
      </c>
      <c r="EL232" s="939" t="s">
        <v>656</v>
      </c>
      <c r="EM232" s="939" t="s">
        <v>656</v>
      </c>
      <c r="EN232" s="939" t="s">
        <v>479</v>
      </c>
      <c r="EO232" s="939" t="s">
        <v>5351</v>
      </c>
      <c r="EP232" s="939">
        <v>7</v>
      </c>
      <c r="EQ232" s="939" t="s">
        <v>470</v>
      </c>
      <c r="ER232" s="939"/>
      <c r="ES232" s="939"/>
      <c r="ET232" s="939" t="s">
        <v>470</v>
      </c>
      <c r="EU232" s="939" t="s">
        <v>656</v>
      </c>
      <c r="EV232" s="939" t="s">
        <v>656</v>
      </c>
      <c r="EW232" s="939"/>
      <c r="EX232" s="939"/>
      <c r="EY232" s="939"/>
      <c r="EZ232" s="939" t="s">
        <v>479</v>
      </c>
      <c r="FA232" s="522" t="s">
        <v>5208</v>
      </c>
      <c r="FB232" s="1007" t="s">
        <v>4911</v>
      </c>
      <c r="FC232" s="935" t="s">
        <v>4982</v>
      </c>
      <c r="FD232" s="935" t="s">
        <v>4911</v>
      </c>
      <c r="FE232" s="522" t="s">
        <v>4812</v>
      </c>
      <c r="FF232" s="522" t="s">
        <v>4712</v>
      </c>
      <c r="FG232" s="522" t="s">
        <v>4638</v>
      </c>
      <c r="FH232" s="522">
        <v>6</v>
      </c>
      <c r="FI232" s="522">
        <v>21</v>
      </c>
      <c r="FJ232" s="522" t="s">
        <v>4454</v>
      </c>
      <c r="FK232" s="522" t="s">
        <v>4240</v>
      </c>
      <c r="FL232" s="522" t="s">
        <v>4049</v>
      </c>
      <c r="FM232" s="522" t="s">
        <v>3876</v>
      </c>
      <c r="FN232" s="522" t="s">
        <v>3807</v>
      </c>
      <c r="FO232" s="935" t="s">
        <v>1412</v>
      </c>
    </row>
    <row r="233" spans="5:171" ht="28" customHeight="1" x14ac:dyDescent="0.2">
      <c r="E233" s="94" t="s">
        <v>3236</v>
      </c>
      <c r="F233" s="94" t="s">
        <v>9121</v>
      </c>
      <c r="G233" s="97" t="s">
        <v>340</v>
      </c>
      <c r="H233" s="97" t="s">
        <v>425</v>
      </c>
      <c r="I233" s="522" t="s">
        <v>8752</v>
      </c>
      <c r="J233" s="522" t="s">
        <v>8388</v>
      </c>
      <c r="K233" s="522" t="s">
        <v>8388</v>
      </c>
      <c r="L233" s="933">
        <v>2020</v>
      </c>
      <c r="M233" s="934">
        <v>44621</v>
      </c>
      <c r="N233" s="934">
        <v>44926</v>
      </c>
      <c r="O233" s="934"/>
      <c r="P233" s="934"/>
      <c r="Q233" s="934"/>
      <c r="R233" s="934"/>
      <c r="S233" s="934"/>
      <c r="T233" s="934"/>
      <c r="U233" s="934"/>
      <c r="V233" s="934"/>
      <c r="W233" s="934"/>
      <c r="X233" s="934"/>
      <c r="Y233" s="934"/>
      <c r="Z233" s="522" t="s">
        <v>8100</v>
      </c>
      <c r="AA233" s="935" t="s">
        <v>7954</v>
      </c>
      <c r="AB233" s="522" t="s">
        <v>656</v>
      </c>
      <c r="AC233" s="522" t="s">
        <v>656</v>
      </c>
      <c r="AD233" s="522" t="s">
        <v>7472</v>
      </c>
      <c r="AE233" s="935" t="s">
        <v>7283</v>
      </c>
      <c r="AF233" s="522" t="s">
        <v>656</v>
      </c>
      <c r="AG233" s="522" t="s">
        <v>656</v>
      </c>
      <c r="AH233" s="522" t="s">
        <v>6843</v>
      </c>
      <c r="AI233" s="522" t="s">
        <v>6843</v>
      </c>
      <c r="AJ233" s="522" t="s">
        <v>477</v>
      </c>
      <c r="AK233" s="522" t="s">
        <v>6499</v>
      </c>
      <c r="AL233" s="580">
        <f t="shared" si="19"/>
        <v>1.1000000000000001</v>
      </c>
      <c r="AM233" s="504">
        <v>1.1000000000000001</v>
      </c>
      <c r="AN233" s="516"/>
      <c r="AO233" s="97"/>
      <c r="AP233" s="97"/>
      <c r="AQ233" s="504">
        <v>1.1000000000000001</v>
      </c>
      <c r="AR233" s="507">
        <v>1</v>
      </c>
      <c r="AS233" s="507">
        <v>5.0000000000000001E-4</v>
      </c>
      <c r="AT233" s="516">
        <v>0</v>
      </c>
      <c r="AU233" s="507">
        <v>0</v>
      </c>
      <c r="AV233" s="516">
        <v>0</v>
      </c>
      <c r="AW233" s="507">
        <v>0</v>
      </c>
      <c r="AX233" s="516"/>
      <c r="AY233" s="507">
        <v>0</v>
      </c>
      <c r="AZ233" s="516"/>
      <c r="BA233" s="936"/>
      <c r="BB233" s="936"/>
      <c r="BC233" s="936"/>
      <c r="BD233" s="936"/>
      <c r="BE233" s="936" t="s">
        <v>470</v>
      </c>
      <c r="BF233" s="936" t="s">
        <v>656</v>
      </c>
      <c r="BG233" s="936" t="s">
        <v>656</v>
      </c>
      <c r="BH233" s="937" t="s">
        <v>656</v>
      </c>
      <c r="BI233" s="938">
        <v>1100</v>
      </c>
      <c r="BJ233" s="936">
        <v>4.0000000000000002E-4</v>
      </c>
      <c r="BK233" s="939">
        <v>48</v>
      </c>
      <c r="BL233" s="939" t="s">
        <v>656</v>
      </c>
      <c r="BM233" s="939">
        <v>11</v>
      </c>
      <c r="BN233" s="939" t="s">
        <v>656</v>
      </c>
      <c r="BO233" s="939" t="s">
        <v>656</v>
      </c>
      <c r="BP233" s="939" t="s">
        <v>656</v>
      </c>
      <c r="BQ233" s="939" t="s">
        <v>656</v>
      </c>
      <c r="BR233" s="939" t="s">
        <v>656</v>
      </c>
      <c r="BS233" s="939" t="s">
        <v>656</v>
      </c>
      <c r="BT233" s="939" t="s">
        <v>656</v>
      </c>
      <c r="BU233" s="939" t="s">
        <v>656</v>
      </c>
      <c r="BV233" s="939" t="s">
        <v>656</v>
      </c>
      <c r="BW233" s="939" t="s">
        <v>656</v>
      </c>
      <c r="BX233" s="939" t="s">
        <v>656</v>
      </c>
      <c r="BY233" s="939" t="s">
        <v>656</v>
      </c>
      <c r="BZ233" s="939" t="s">
        <v>656</v>
      </c>
      <c r="CA233" s="939" t="s">
        <v>656</v>
      </c>
      <c r="CB233" s="939" t="s">
        <v>656</v>
      </c>
      <c r="CC233" s="939" t="s">
        <v>656</v>
      </c>
      <c r="CD233" s="939" t="s">
        <v>656</v>
      </c>
      <c r="CE233" s="939" t="s">
        <v>656</v>
      </c>
      <c r="CF233" s="939" t="s">
        <v>656</v>
      </c>
      <c r="CG233" s="939">
        <v>11</v>
      </c>
      <c r="CH233" s="939" t="s">
        <v>656</v>
      </c>
      <c r="CI233" s="939" t="s">
        <v>656</v>
      </c>
      <c r="CJ233" s="939" t="s">
        <v>656</v>
      </c>
      <c r="CK233" s="939" t="s">
        <v>656</v>
      </c>
      <c r="CL233" s="940">
        <f t="shared" si="25"/>
        <v>11</v>
      </c>
      <c r="CM233" s="824">
        <f t="shared" si="20"/>
        <v>0</v>
      </c>
      <c r="CN233" s="938">
        <v>11.996</v>
      </c>
      <c r="CO233" s="522" t="s">
        <v>6106</v>
      </c>
      <c r="CP233" s="522" t="s">
        <v>656</v>
      </c>
      <c r="CQ233" s="522">
        <v>0.8</v>
      </c>
      <c r="CR233" s="938">
        <v>85.78</v>
      </c>
      <c r="CS233" s="1006" t="s">
        <v>5876</v>
      </c>
      <c r="CT233" s="522" t="s">
        <v>470</v>
      </c>
      <c r="CU233" s="522" t="s">
        <v>656</v>
      </c>
      <c r="CV233" s="935" t="s">
        <v>656</v>
      </c>
      <c r="CW233" s="522" t="s">
        <v>656</v>
      </c>
      <c r="CX233" s="939" t="s">
        <v>656</v>
      </c>
      <c r="CY233" s="939" t="s">
        <v>656</v>
      </c>
      <c r="CZ233" s="939">
        <v>12</v>
      </c>
      <c r="DA233" s="522" t="s">
        <v>470</v>
      </c>
      <c r="DB233" s="522" t="s">
        <v>656</v>
      </c>
      <c r="DC233" s="939" t="s">
        <v>656</v>
      </c>
      <c r="DD233" s="522" t="s">
        <v>689</v>
      </c>
      <c r="DE233" s="522" t="s">
        <v>5632</v>
      </c>
      <c r="DF233" s="939">
        <v>1760</v>
      </c>
      <c r="DG233" s="939" t="s">
        <v>470</v>
      </c>
      <c r="DH233" s="939" t="s">
        <v>656</v>
      </c>
      <c r="DI233" s="939" t="s">
        <v>656</v>
      </c>
      <c r="DJ233" s="939" t="s">
        <v>470</v>
      </c>
      <c r="DK233" s="939" t="s">
        <v>656</v>
      </c>
      <c r="DL233" s="939" t="s">
        <v>656</v>
      </c>
      <c r="DM233" s="939" t="s">
        <v>470</v>
      </c>
      <c r="DN233" s="939" t="s">
        <v>656</v>
      </c>
      <c r="DO233" s="939" t="s">
        <v>656</v>
      </c>
      <c r="DP233" s="939" t="s">
        <v>470</v>
      </c>
      <c r="DQ233" s="939" t="s">
        <v>656</v>
      </c>
      <c r="DR233" s="939" t="s">
        <v>656</v>
      </c>
      <c r="DS233" s="939" t="s">
        <v>470</v>
      </c>
      <c r="DT233" s="939" t="s">
        <v>656</v>
      </c>
      <c r="DU233" s="939" t="s">
        <v>656</v>
      </c>
      <c r="DV233" s="939" t="s">
        <v>470</v>
      </c>
      <c r="DW233" s="939" t="s">
        <v>656</v>
      </c>
      <c r="DX233" s="939" t="s">
        <v>656</v>
      </c>
      <c r="DY233" s="939" t="s">
        <v>470</v>
      </c>
      <c r="DZ233" s="939" t="s">
        <v>656</v>
      </c>
      <c r="EA233" s="939" t="s">
        <v>656</v>
      </c>
      <c r="EB233" s="939" t="s">
        <v>470</v>
      </c>
      <c r="EC233" s="939" t="s">
        <v>656</v>
      </c>
      <c r="ED233" s="939" t="s">
        <v>656</v>
      </c>
      <c r="EE233" s="939" t="s">
        <v>470</v>
      </c>
      <c r="EF233" s="939" t="s">
        <v>656</v>
      </c>
      <c r="EG233" s="939" t="s">
        <v>656</v>
      </c>
      <c r="EH233" s="939" t="s">
        <v>470</v>
      </c>
      <c r="EI233" s="939" t="s">
        <v>656</v>
      </c>
      <c r="EJ233" s="939" t="s">
        <v>656</v>
      </c>
      <c r="EK233" s="939" t="s">
        <v>470</v>
      </c>
      <c r="EL233" s="939" t="s">
        <v>656</v>
      </c>
      <c r="EM233" s="939" t="s">
        <v>656</v>
      </c>
      <c r="EN233" s="939" t="s">
        <v>689</v>
      </c>
      <c r="EO233" s="939" t="s">
        <v>5350</v>
      </c>
      <c r="EP233" s="939">
        <v>67</v>
      </c>
      <c r="EQ233" s="939" t="s">
        <v>470</v>
      </c>
      <c r="ER233" s="939" t="s">
        <v>656</v>
      </c>
      <c r="ES233" s="939" t="s">
        <v>656</v>
      </c>
      <c r="ET233" s="939" t="s">
        <v>470</v>
      </c>
      <c r="EU233" s="939" t="s">
        <v>656</v>
      </c>
      <c r="EV233" s="939" t="s">
        <v>656</v>
      </c>
      <c r="EW233" s="939"/>
      <c r="EX233" s="939"/>
      <c r="EY233" s="939"/>
      <c r="EZ233" s="939" t="s">
        <v>470</v>
      </c>
      <c r="FA233" s="939" t="s">
        <v>656</v>
      </c>
      <c r="FB233" s="1007"/>
      <c r="FC233" s="522" t="s">
        <v>656</v>
      </c>
      <c r="FD233" s="935"/>
      <c r="FE233" s="522" t="s">
        <v>4811</v>
      </c>
      <c r="FF233" s="522" t="s">
        <v>656</v>
      </c>
      <c r="FG233" s="522" t="s">
        <v>4637</v>
      </c>
      <c r="FH233" s="522">
        <v>4</v>
      </c>
      <c r="FI233" s="522">
        <v>50</v>
      </c>
      <c r="FJ233" s="522" t="s">
        <v>4454</v>
      </c>
      <c r="FK233" s="522" t="s">
        <v>4240</v>
      </c>
      <c r="FL233" s="522" t="s">
        <v>4049</v>
      </c>
      <c r="FM233" s="522" t="s">
        <v>3876</v>
      </c>
      <c r="FN233" s="522" t="s">
        <v>3807</v>
      </c>
      <c r="FO233" s="935" t="s">
        <v>1412</v>
      </c>
    </row>
    <row r="234" spans="5:171" ht="28" customHeight="1" x14ac:dyDescent="0.2">
      <c r="E234" s="94" t="s">
        <v>9305</v>
      </c>
      <c r="F234" s="94" t="s">
        <v>9121</v>
      </c>
      <c r="G234" s="97" t="s">
        <v>340</v>
      </c>
      <c r="H234" s="97" t="s">
        <v>425</v>
      </c>
      <c r="I234" s="522" t="s">
        <v>8752</v>
      </c>
      <c r="J234" s="522" t="s">
        <v>8397</v>
      </c>
      <c r="K234" s="522" t="s">
        <v>8397</v>
      </c>
      <c r="L234" s="933">
        <v>2022</v>
      </c>
      <c r="M234" s="934">
        <v>44774</v>
      </c>
      <c r="N234" s="934">
        <v>44839</v>
      </c>
      <c r="O234" s="934"/>
      <c r="P234" s="934"/>
      <c r="Q234" s="934"/>
      <c r="R234" s="934"/>
      <c r="S234" s="934"/>
      <c r="T234" s="934"/>
      <c r="U234" s="934"/>
      <c r="V234" s="934"/>
      <c r="W234" s="934"/>
      <c r="X234" s="934"/>
      <c r="Y234" s="934"/>
      <c r="Z234" s="522" t="s">
        <v>8099</v>
      </c>
      <c r="AA234" s="935" t="s">
        <v>7953</v>
      </c>
      <c r="AB234" s="522" t="s">
        <v>656</v>
      </c>
      <c r="AC234" s="522" t="s">
        <v>656</v>
      </c>
      <c r="AD234" s="522" t="s">
        <v>7471</v>
      </c>
      <c r="AE234" s="935" t="s">
        <v>7282</v>
      </c>
      <c r="AF234" s="522" t="s">
        <v>656</v>
      </c>
      <c r="AG234" s="522" t="s">
        <v>656</v>
      </c>
      <c r="AH234" s="522" t="s">
        <v>6996</v>
      </c>
      <c r="AI234" s="522" t="s">
        <v>6842</v>
      </c>
      <c r="AJ234" s="522" t="s">
        <v>6699</v>
      </c>
      <c r="AK234" s="522" t="s">
        <v>6498</v>
      </c>
      <c r="AL234" s="580">
        <f t="shared" si="19"/>
        <v>2.12</v>
      </c>
      <c r="AM234" s="504">
        <v>2.12</v>
      </c>
      <c r="AN234" s="516"/>
      <c r="AO234" s="97"/>
      <c r="AP234" s="97"/>
      <c r="AQ234" s="504">
        <v>1.6</v>
      </c>
      <c r="AR234" s="507">
        <v>0.75</v>
      </c>
      <c r="AS234" s="507">
        <v>1E-3</v>
      </c>
      <c r="AT234" s="516">
        <v>0.52</v>
      </c>
      <c r="AU234" s="507">
        <v>0.25</v>
      </c>
      <c r="AV234" s="516"/>
      <c r="AW234" s="507"/>
      <c r="AX234" s="516"/>
      <c r="AY234" s="507"/>
      <c r="AZ234" s="516"/>
      <c r="BA234" s="936"/>
      <c r="BB234" s="936"/>
      <c r="BC234" s="936"/>
      <c r="BD234" s="936"/>
      <c r="BE234" s="936" t="s">
        <v>470</v>
      </c>
      <c r="BF234" s="936" t="s">
        <v>656</v>
      </c>
      <c r="BG234" s="936" t="s">
        <v>656</v>
      </c>
      <c r="BH234" s="937" t="s">
        <v>656</v>
      </c>
      <c r="BI234" s="938">
        <v>4.4000000000000004</v>
      </c>
      <c r="BJ234" s="936">
        <v>2E-3</v>
      </c>
      <c r="BK234" s="939">
        <v>5</v>
      </c>
      <c r="BL234" s="939">
        <v>5</v>
      </c>
      <c r="BM234" s="939">
        <v>3</v>
      </c>
      <c r="BN234" s="939" t="s">
        <v>656</v>
      </c>
      <c r="BO234" s="939">
        <v>3</v>
      </c>
      <c r="BP234" s="939" t="s">
        <v>656</v>
      </c>
      <c r="BQ234" s="939" t="s">
        <v>656</v>
      </c>
      <c r="BR234" s="939" t="s">
        <v>656</v>
      </c>
      <c r="BS234" s="939" t="s">
        <v>656</v>
      </c>
      <c r="BT234" s="939" t="s">
        <v>656</v>
      </c>
      <c r="BU234" s="939" t="s">
        <v>656</v>
      </c>
      <c r="BV234" s="939" t="s">
        <v>656</v>
      </c>
      <c r="BW234" s="939" t="s">
        <v>656</v>
      </c>
      <c r="BX234" s="939" t="s">
        <v>656</v>
      </c>
      <c r="BY234" s="939" t="s">
        <v>656</v>
      </c>
      <c r="BZ234" s="939" t="s">
        <v>656</v>
      </c>
      <c r="CA234" s="939" t="s">
        <v>656</v>
      </c>
      <c r="CB234" s="939" t="s">
        <v>656</v>
      </c>
      <c r="CC234" s="939" t="s">
        <v>656</v>
      </c>
      <c r="CD234" s="939" t="s">
        <v>656</v>
      </c>
      <c r="CE234" s="939" t="s">
        <v>656</v>
      </c>
      <c r="CF234" s="939" t="s">
        <v>656</v>
      </c>
      <c r="CG234" s="939" t="s">
        <v>656</v>
      </c>
      <c r="CH234" s="939" t="s">
        <v>656</v>
      </c>
      <c r="CI234" s="939" t="s">
        <v>656</v>
      </c>
      <c r="CJ234" s="939" t="s">
        <v>656</v>
      </c>
      <c r="CK234" s="939" t="s">
        <v>656</v>
      </c>
      <c r="CL234" s="940">
        <f t="shared" si="25"/>
        <v>3</v>
      </c>
      <c r="CM234" s="824">
        <f t="shared" si="20"/>
        <v>0</v>
      </c>
      <c r="CN234" s="938">
        <v>0.7</v>
      </c>
      <c r="CO234" s="522" t="s">
        <v>656</v>
      </c>
      <c r="CP234" s="522" t="s">
        <v>656</v>
      </c>
      <c r="CQ234" s="522">
        <v>0.8</v>
      </c>
      <c r="CR234" s="938">
        <v>85.78</v>
      </c>
      <c r="CS234" s="1006" t="s">
        <v>5876</v>
      </c>
      <c r="CT234" s="522" t="s">
        <v>470</v>
      </c>
      <c r="CU234" s="522" t="s">
        <v>656</v>
      </c>
      <c r="CV234" s="935" t="s">
        <v>5782</v>
      </c>
      <c r="CW234" s="522" t="s">
        <v>656</v>
      </c>
      <c r="CX234" s="939" t="s">
        <v>656</v>
      </c>
      <c r="CY234" s="939" t="s">
        <v>656</v>
      </c>
      <c r="CZ234" s="939">
        <v>12</v>
      </c>
      <c r="DA234" s="522" t="s">
        <v>689</v>
      </c>
      <c r="DB234" s="522" t="s">
        <v>5631</v>
      </c>
      <c r="DC234" s="939">
        <v>151</v>
      </c>
      <c r="DD234" s="522" t="s">
        <v>689</v>
      </c>
      <c r="DE234" s="522" t="s">
        <v>5631</v>
      </c>
      <c r="DF234" s="939">
        <v>151</v>
      </c>
      <c r="DG234" s="939" t="s">
        <v>470</v>
      </c>
      <c r="DH234" s="939" t="s">
        <v>656</v>
      </c>
      <c r="DI234" s="939" t="s">
        <v>656</v>
      </c>
      <c r="DJ234" s="939" t="s">
        <v>470</v>
      </c>
      <c r="DK234" s="939" t="s">
        <v>656</v>
      </c>
      <c r="DL234" s="939" t="s">
        <v>656</v>
      </c>
      <c r="DM234" s="939" t="s">
        <v>470</v>
      </c>
      <c r="DN234" s="939" t="s">
        <v>656</v>
      </c>
      <c r="DO234" s="939" t="s">
        <v>656</v>
      </c>
      <c r="DP234" s="939" t="s">
        <v>470</v>
      </c>
      <c r="DQ234" s="939" t="s">
        <v>656</v>
      </c>
      <c r="DR234" s="939" t="s">
        <v>656</v>
      </c>
      <c r="DS234" s="939" t="s">
        <v>470</v>
      </c>
      <c r="DT234" s="939" t="s">
        <v>656</v>
      </c>
      <c r="DU234" s="939" t="s">
        <v>656</v>
      </c>
      <c r="DV234" s="939" t="s">
        <v>470</v>
      </c>
      <c r="DW234" s="939" t="s">
        <v>656</v>
      </c>
      <c r="DX234" s="939" t="s">
        <v>656</v>
      </c>
      <c r="DY234" s="939" t="s">
        <v>470</v>
      </c>
      <c r="DZ234" s="939" t="s">
        <v>656</v>
      </c>
      <c r="EA234" s="939" t="s">
        <v>656</v>
      </c>
      <c r="EB234" s="939" t="s">
        <v>470</v>
      </c>
      <c r="EC234" s="939" t="s">
        <v>656</v>
      </c>
      <c r="ED234" s="939" t="s">
        <v>656</v>
      </c>
      <c r="EE234" s="939" t="s">
        <v>470</v>
      </c>
      <c r="EF234" s="939" t="s">
        <v>656</v>
      </c>
      <c r="EG234" s="939" t="s">
        <v>656</v>
      </c>
      <c r="EH234" s="939" t="s">
        <v>470</v>
      </c>
      <c r="EI234" s="939" t="s">
        <v>656</v>
      </c>
      <c r="EJ234" s="939" t="s">
        <v>656</v>
      </c>
      <c r="EK234" s="939" t="s">
        <v>470</v>
      </c>
      <c r="EL234" s="939" t="s">
        <v>656</v>
      </c>
      <c r="EM234" s="939" t="s">
        <v>656</v>
      </c>
      <c r="EN234" s="939" t="s">
        <v>470</v>
      </c>
      <c r="EO234" s="939" t="s">
        <v>656</v>
      </c>
      <c r="EP234" s="939" t="s">
        <v>656</v>
      </c>
      <c r="EQ234" s="939" t="s">
        <v>479</v>
      </c>
      <c r="ER234" s="939" t="s">
        <v>5295</v>
      </c>
      <c r="ES234" s="939">
        <v>16</v>
      </c>
      <c r="ET234" s="939" t="s">
        <v>470</v>
      </c>
      <c r="EU234" s="939" t="s">
        <v>656</v>
      </c>
      <c r="EV234" s="939" t="s">
        <v>656</v>
      </c>
      <c r="EW234" s="939"/>
      <c r="EX234" s="939"/>
      <c r="EY234" s="939"/>
      <c r="EZ234" s="939" t="s">
        <v>470</v>
      </c>
      <c r="FA234" s="939" t="s">
        <v>656</v>
      </c>
      <c r="FB234" s="1007" t="s">
        <v>4910</v>
      </c>
      <c r="FC234" s="522" t="s">
        <v>656</v>
      </c>
      <c r="FD234" s="935" t="s">
        <v>4910</v>
      </c>
      <c r="FE234" s="522" t="s">
        <v>4810</v>
      </c>
      <c r="FF234" s="522" t="s">
        <v>656</v>
      </c>
      <c r="FG234" s="522" t="s">
        <v>4637</v>
      </c>
      <c r="FH234" s="522">
        <v>5</v>
      </c>
      <c r="FI234" s="522">
        <v>151</v>
      </c>
      <c r="FJ234" s="522" t="s">
        <v>4454</v>
      </c>
      <c r="FK234" s="522" t="s">
        <v>4240</v>
      </c>
      <c r="FL234" s="522" t="s">
        <v>4049</v>
      </c>
      <c r="FM234" s="522" t="s">
        <v>3876</v>
      </c>
      <c r="FN234" s="522" t="s">
        <v>3807</v>
      </c>
      <c r="FO234" s="935" t="s">
        <v>1412</v>
      </c>
    </row>
    <row r="235" spans="5:171" ht="43" customHeight="1" x14ac:dyDescent="0.2">
      <c r="E235" s="94" t="s">
        <v>3236</v>
      </c>
      <c r="F235" s="94" t="s">
        <v>9121</v>
      </c>
      <c r="G235" s="97" t="s">
        <v>340</v>
      </c>
      <c r="H235" s="97" t="s">
        <v>425</v>
      </c>
      <c r="I235" s="97" t="s">
        <v>8751</v>
      </c>
      <c r="J235" s="97" t="s">
        <v>8533</v>
      </c>
      <c r="K235" s="97" t="s">
        <v>8396</v>
      </c>
      <c r="L235" s="502" t="s">
        <v>8337</v>
      </c>
      <c r="M235" s="841" t="s">
        <v>2229</v>
      </c>
      <c r="N235" s="841" t="s">
        <v>2230</v>
      </c>
      <c r="O235" s="841"/>
      <c r="P235" s="841"/>
      <c r="Q235" s="841"/>
      <c r="R235" s="841"/>
      <c r="S235" s="841"/>
      <c r="T235" s="841"/>
      <c r="U235" s="841"/>
      <c r="V235" s="841"/>
      <c r="W235" s="841"/>
      <c r="X235" s="841"/>
      <c r="Y235" s="841"/>
      <c r="Z235" s="97" t="s">
        <v>8098</v>
      </c>
      <c r="AA235" s="925" t="s">
        <v>7952</v>
      </c>
      <c r="AB235" s="97"/>
      <c r="AC235" s="97"/>
      <c r="AD235" s="97" t="s">
        <v>7470</v>
      </c>
      <c r="AE235" s="925" t="s">
        <v>7281</v>
      </c>
      <c r="AF235" s="97" t="s">
        <v>7153</v>
      </c>
      <c r="AG235" s="925" t="s">
        <v>7083</v>
      </c>
      <c r="AH235" s="97" t="s">
        <v>6841</v>
      </c>
      <c r="AI235" s="97" t="s">
        <v>6841</v>
      </c>
      <c r="AJ235" s="97" t="s">
        <v>477</v>
      </c>
      <c r="AK235" s="97" t="s">
        <v>6497</v>
      </c>
      <c r="AL235" s="580">
        <f t="shared" si="19"/>
        <v>0.5</v>
      </c>
      <c r="AM235" s="504">
        <v>0.5</v>
      </c>
      <c r="AN235" s="516"/>
      <c r="AO235" s="97"/>
      <c r="AP235" s="97"/>
      <c r="AQ235" s="504">
        <v>0.5</v>
      </c>
      <c r="AR235" s="507">
        <v>1</v>
      </c>
      <c r="AS235" s="507">
        <v>1</v>
      </c>
      <c r="AT235" s="516">
        <v>0</v>
      </c>
      <c r="AU235" s="507">
        <v>0</v>
      </c>
      <c r="AV235" s="516">
        <v>0</v>
      </c>
      <c r="AW235" s="507">
        <v>0</v>
      </c>
      <c r="AX235" s="516"/>
      <c r="AY235" s="507">
        <v>0</v>
      </c>
      <c r="AZ235" s="516"/>
      <c r="BA235" s="507"/>
      <c r="BB235" s="507"/>
      <c r="BC235" s="507"/>
      <c r="BD235" s="507"/>
      <c r="BE235" s="507" t="s">
        <v>470</v>
      </c>
      <c r="BF235" s="507"/>
      <c r="BG235" s="507"/>
      <c r="BH235" s="852"/>
      <c r="BI235" s="504">
        <v>0</v>
      </c>
      <c r="BJ235" s="507">
        <v>0</v>
      </c>
      <c r="BK235" s="96">
        <v>2</v>
      </c>
      <c r="BL235" s="96">
        <v>1</v>
      </c>
      <c r="BM235" s="96">
        <v>1</v>
      </c>
      <c r="BN235" s="96"/>
      <c r="BO235" s="96"/>
      <c r="BP235" s="96"/>
      <c r="BQ235" s="96"/>
      <c r="BR235" s="96"/>
      <c r="BS235" s="96"/>
      <c r="BT235" s="96"/>
      <c r="BU235" s="96"/>
      <c r="BV235" s="96"/>
      <c r="BW235" s="96"/>
      <c r="BX235" s="96"/>
      <c r="BY235" s="96"/>
      <c r="BZ235" s="96"/>
      <c r="CA235" s="96"/>
      <c r="CB235" s="96"/>
      <c r="CC235" s="96"/>
      <c r="CD235" s="96"/>
      <c r="CE235" s="96"/>
      <c r="CF235" s="96"/>
      <c r="CG235" s="96">
        <v>2</v>
      </c>
      <c r="CH235" s="96"/>
      <c r="CI235" s="96"/>
      <c r="CJ235" s="96"/>
      <c r="CK235" s="96"/>
      <c r="CL235" s="815">
        <f t="shared" si="25"/>
        <v>2</v>
      </c>
      <c r="CM235" s="824">
        <f t="shared" si="20"/>
        <v>0</v>
      </c>
      <c r="CN235" s="504">
        <v>32.951999999999998</v>
      </c>
      <c r="CO235" s="97" t="s">
        <v>6105</v>
      </c>
      <c r="CP235" s="97" t="s">
        <v>470</v>
      </c>
      <c r="CQ235" s="97">
        <v>79.7</v>
      </c>
      <c r="CR235" s="504">
        <v>41.341000000000001</v>
      </c>
      <c r="CS235" s="1008" t="s">
        <v>5875</v>
      </c>
      <c r="CT235" s="97" t="s">
        <v>470</v>
      </c>
      <c r="CU235" s="97"/>
      <c r="CV235" s="97"/>
      <c r="CW235" s="97"/>
      <c r="CX235" s="96"/>
      <c r="CY235" s="96" t="s">
        <v>5745</v>
      </c>
      <c r="CZ235" s="96">
        <v>2</v>
      </c>
      <c r="DA235" s="97" t="s">
        <v>470</v>
      </c>
      <c r="DB235" s="97"/>
      <c r="DC235" s="96"/>
      <c r="DD235" s="97" t="s">
        <v>470</v>
      </c>
      <c r="DE235" s="97"/>
      <c r="DF235" s="96"/>
      <c r="DG235" s="96" t="s">
        <v>470</v>
      </c>
      <c r="DH235" s="96"/>
      <c r="DI235" s="96"/>
      <c r="DJ235" s="96" t="s">
        <v>470</v>
      </c>
      <c r="DK235" s="96"/>
      <c r="DL235" s="96"/>
      <c r="DM235" s="97" t="s">
        <v>470</v>
      </c>
      <c r="DN235" s="97"/>
      <c r="DO235" s="96"/>
      <c r="DP235" s="97" t="s">
        <v>470</v>
      </c>
      <c r="DQ235" s="97"/>
      <c r="DR235" s="96"/>
      <c r="DS235" s="97" t="s">
        <v>470</v>
      </c>
      <c r="DT235" s="97"/>
      <c r="DU235" s="96"/>
      <c r="DV235" s="97" t="s">
        <v>5509</v>
      </c>
      <c r="DW235" s="925" t="s">
        <v>5483</v>
      </c>
      <c r="DX235" s="96">
        <v>2</v>
      </c>
      <c r="DY235" s="97" t="s">
        <v>479</v>
      </c>
      <c r="DZ235" s="925" t="s">
        <v>5459</v>
      </c>
      <c r="EA235" s="96">
        <v>1043</v>
      </c>
      <c r="EB235" s="97" t="s">
        <v>470</v>
      </c>
      <c r="EC235" s="97"/>
      <c r="ED235" s="96"/>
      <c r="EE235" s="96" t="s">
        <v>470</v>
      </c>
      <c r="EF235" s="96"/>
      <c r="EG235" s="96" t="s">
        <v>470</v>
      </c>
      <c r="EH235" s="97" t="s">
        <v>470</v>
      </c>
      <c r="EI235" s="97"/>
      <c r="EJ235" s="96"/>
      <c r="EK235" s="97" t="s">
        <v>470</v>
      </c>
      <c r="EL235" s="97"/>
      <c r="EM235" s="96"/>
      <c r="EN235" s="97" t="s">
        <v>470</v>
      </c>
      <c r="EO235" s="97"/>
      <c r="EP235" s="96"/>
      <c r="EQ235" s="96" t="s">
        <v>470</v>
      </c>
      <c r="ER235" s="96"/>
      <c r="ES235" s="96"/>
      <c r="ET235" s="97" t="s">
        <v>470</v>
      </c>
      <c r="EU235" s="97"/>
      <c r="EV235" s="96"/>
      <c r="EW235" s="96"/>
      <c r="EX235" s="96"/>
      <c r="EY235" s="96"/>
      <c r="EZ235" s="97" t="s">
        <v>479</v>
      </c>
      <c r="FA235" s="925" t="s">
        <v>5207</v>
      </c>
      <c r="FB235" s="97" t="s">
        <v>5127</v>
      </c>
      <c r="FC235" s="925" t="s">
        <v>4981</v>
      </c>
      <c r="FD235" s="925" t="s">
        <v>4909</v>
      </c>
      <c r="FE235" s="925" t="s">
        <v>4809</v>
      </c>
      <c r="FF235" s="97"/>
      <c r="FG235" s="97" t="s">
        <v>4636</v>
      </c>
      <c r="FH235" s="97">
        <v>1</v>
      </c>
      <c r="FI235" s="97">
        <v>25</v>
      </c>
      <c r="FJ235" s="97" t="s">
        <v>4453</v>
      </c>
      <c r="FK235" s="97" t="s">
        <v>4239</v>
      </c>
      <c r="FL235" s="925" t="s">
        <v>4048</v>
      </c>
      <c r="FM235" s="522" t="s">
        <v>3876</v>
      </c>
      <c r="FN235" s="522" t="s">
        <v>3807</v>
      </c>
      <c r="FO235" s="1009" t="s">
        <v>1412</v>
      </c>
    </row>
    <row r="236" spans="5:171" ht="43" customHeight="1" x14ac:dyDescent="0.2">
      <c r="E236" s="94" t="s">
        <v>3236</v>
      </c>
      <c r="F236" s="94" t="s">
        <v>9121</v>
      </c>
      <c r="G236" s="97" t="s">
        <v>340</v>
      </c>
      <c r="H236" s="97" t="s">
        <v>425</v>
      </c>
      <c r="I236" s="522" t="s">
        <v>8750</v>
      </c>
      <c r="J236" s="522" t="s">
        <v>8532</v>
      </c>
      <c r="K236" s="522" t="s">
        <v>8388</v>
      </c>
      <c r="L236" s="933">
        <v>2020</v>
      </c>
      <c r="M236" s="934">
        <v>44622</v>
      </c>
      <c r="N236" s="934" t="s">
        <v>8228</v>
      </c>
      <c r="O236" s="934"/>
      <c r="P236" s="934"/>
      <c r="Q236" s="934"/>
      <c r="R236" s="934"/>
      <c r="S236" s="934"/>
      <c r="T236" s="934"/>
      <c r="U236" s="934"/>
      <c r="V236" s="934"/>
      <c r="W236" s="934"/>
      <c r="X236" s="934"/>
      <c r="Y236" s="934"/>
      <c r="Z236" s="522" t="s">
        <v>8097</v>
      </c>
      <c r="AA236" s="935" t="s">
        <v>7951</v>
      </c>
      <c r="AB236" s="522" t="s">
        <v>7807</v>
      </c>
      <c r="AC236" s="935" t="s">
        <v>7640</v>
      </c>
      <c r="AD236" s="522" t="s">
        <v>7469</v>
      </c>
      <c r="AE236" s="935" t="s">
        <v>7280</v>
      </c>
      <c r="AF236" s="522" t="s">
        <v>470</v>
      </c>
      <c r="AG236" s="522" t="s">
        <v>470</v>
      </c>
      <c r="AH236" s="522" t="s">
        <v>6995</v>
      </c>
      <c r="AI236" s="522" t="s">
        <v>6840</v>
      </c>
      <c r="AJ236" s="522" t="s">
        <v>615</v>
      </c>
      <c r="AK236" s="522" t="s">
        <v>6496</v>
      </c>
      <c r="AL236" s="580">
        <f t="shared" si="19"/>
        <v>0.5</v>
      </c>
      <c r="AM236" s="504">
        <v>0.5</v>
      </c>
      <c r="AN236" s="516"/>
      <c r="AO236" s="97"/>
      <c r="AP236" s="97"/>
      <c r="AQ236" s="504">
        <v>0.5</v>
      </c>
      <c r="AR236" s="507">
        <v>1</v>
      </c>
      <c r="AS236" s="507">
        <v>1</v>
      </c>
      <c r="AT236" s="516"/>
      <c r="AU236" s="507"/>
      <c r="AV236" s="516"/>
      <c r="AW236" s="507"/>
      <c r="AX236" s="516"/>
      <c r="AY236" s="507"/>
      <c r="AZ236" s="516"/>
      <c r="BA236" s="936"/>
      <c r="BB236" s="936"/>
      <c r="BC236" s="936"/>
      <c r="BD236" s="936"/>
      <c r="BE236" s="936" t="s">
        <v>470</v>
      </c>
      <c r="BF236" s="936" t="s">
        <v>470</v>
      </c>
      <c r="BG236" s="936"/>
      <c r="BH236" s="937">
        <v>0</v>
      </c>
      <c r="BI236" s="938">
        <v>0.5</v>
      </c>
      <c r="BJ236" s="936">
        <v>4.0000000000000002E-4</v>
      </c>
      <c r="BK236" s="939">
        <v>22</v>
      </c>
      <c r="BL236" s="939">
        <v>6</v>
      </c>
      <c r="BM236" s="939">
        <v>1</v>
      </c>
      <c r="BN236" s="939"/>
      <c r="BO236" s="939"/>
      <c r="BP236" s="939"/>
      <c r="BQ236" s="939"/>
      <c r="BR236" s="939"/>
      <c r="BS236" s="939"/>
      <c r="BT236" s="939"/>
      <c r="BU236" s="939"/>
      <c r="BV236" s="939"/>
      <c r="BW236" s="939"/>
      <c r="BX236" s="939"/>
      <c r="BY236" s="939"/>
      <c r="BZ236" s="939"/>
      <c r="CA236" s="939"/>
      <c r="CB236" s="939"/>
      <c r="CC236" s="939"/>
      <c r="CD236" s="939"/>
      <c r="CE236" s="939"/>
      <c r="CF236" s="939"/>
      <c r="CG236" s="939">
        <v>1</v>
      </c>
      <c r="CH236" s="939"/>
      <c r="CI236" s="939"/>
      <c r="CJ236" s="939"/>
      <c r="CK236" s="939"/>
      <c r="CL236" s="940">
        <f t="shared" si="25"/>
        <v>1</v>
      </c>
      <c r="CM236" s="824">
        <f t="shared" si="20"/>
        <v>0</v>
      </c>
      <c r="CN236" s="938">
        <v>2.8639999999999999</v>
      </c>
      <c r="CO236" s="522" t="s">
        <v>6104</v>
      </c>
      <c r="CP236" s="522"/>
      <c r="CQ236" s="522">
        <v>11.4</v>
      </c>
      <c r="CR236" s="938">
        <v>25.088000000000001</v>
      </c>
      <c r="CS236" s="1006" t="s">
        <v>5874</v>
      </c>
      <c r="CT236" s="522" t="s">
        <v>470</v>
      </c>
      <c r="CU236" s="522"/>
      <c r="CV236" s="522"/>
      <c r="CW236" s="522"/>
      <c r="CX236" s="939"/>
      <c r="CY236" s="939"/>
      <c r="CZ236" s="939">
        <v>6</v>
      </c>
      <c r="DA236" s="522" t="s">
        <v>470</v>
      </c>
      <c r="DB236" s="522"/>
      <c r="DC236" s="939"/>
      <c r="DD236" s="522" t="s">
        <v>5657</v>
      </c>
      <c r="DE236" s="935" t="s">
        <v>5630</v>
      </c>
      <c r="DF236" s="939">
        <v>509</v>
      </c>
      <c r="DG236" s="939" t="s">
        <v>470</v>
      </c>
      <c r="DH236" s="939"/>
      <c r="DI236" s="939"/>
      <c r="DJ236" s="939" t="s">
        <v>470</v>
      </c>
      <c r="DK236" s="939"/>
      <c r="DL236" s="939"/>
      <c r="DM236" s="522" t="s">
        <v>470</v>
      </c>
      <c r="DN236" s="522"/>
      <c r="DO236" s="939"/>
      <c r="DP236" s="522" t="s">
        <v>470</v>
      </c>
      <c r="DQ236" s="522"/>
      <c r="DR236" s="939"/>
      <c r="DS236" s="522" t="s">
        <v>470</v>
      </c>
      <c r="DT236" s="522"/>
      <c r="DU236" s="939"/>
      <c r="DV236" s="522" t="s">
        <v>470</v>
      </c>
      <c r="DW236" s="522"/>
      <c r="DX236" s="939"/>
      <c r="DY236" s="522" t="s">
        <v>470</v>
      </c>
      <c r="DZ236" s="522"/>
      <c r="EA236" s="939"/>
      <c r="EB236" s="522" t="s">
        <v>470</v>
      </c>
      <c r="EC236" s="522"/>
      <c r="ED236" s="939"/>
      <c r="EE236" s="939" t="s">
        <v>470</v>
      </c>
      <c r="EF236" s="939"/>
      <c r="EG236" s="939"/>
      <c r="EH236" s="522" t="s">
        <v>470</v>
      </c>
      <c r="EI236" s="522"/>
      <c r="EJ236" s="939"/>
      <c r="EK236" s="522" t="s">
        <v>470</v>
      </c>
      <c r="EL236" s="522"/>
      <c r="EM236" s="939"/>
      <c r="EN236" s="939" t="s">
        <v>479</v>
      </c>
      <c r="EO236" s="939" t="s">
        <v>5349</v>
      </c>
      <c r="EP236" s="939">
        <v>5</v>
      </c>
      <c r="EQ236" s="939" t="s">
        <v>470</v>
      </c>
      <c r="ER236" s="939"/>
      <c r="ES236" s="939"/>
      <c r="ET236" s="522"/>
      <c r="EU236" s="522"/>
      <c r="EV236" s="939"/>
      <c r="EW236" s="939"/>
      <c r="EX236" s="939"/>
      <c r="EY236" s="939"/>
      <c r="EZ236" s="522" t="s">
        <v>470</v>
      </c>
      <c r="FA236" s="522"/>
      <c r="FB236" s="935" t="s">
        <v>5126</v>
      </c>
      <c r="FC236" s="935" t="s">
        <v>4980</v>
      </c>
      <c r="FD236" s="522"/>
      <c r="FE236" s="522" t="s">
        <v>4808</v>
      </c>
      <c r="FF236" s="522"/>
      <c r="FG236" s="522"/>
      <c r="FH236" s="522"/>
      <c r="FI236" s="522"/>
      <c r="FJ236" s="522" t="s">
        <v>4452</v>
      </c>
      <c r="FK236" s="522" t="s">
        <v>4238</v>
      </c>
      <c r="FL236" s="935" t="s">
        <v>4047</v>
      </c>
      <c r="FM236" s="522" t="s">
        <v>3876</v>
      </c>
      <c r="FN236" s="522" t="s">
        <v>3807</v>
      </c>
      <c r="FO236" s="935" t="s">
        <v>1412</v>
      </c>
    </row>
    <row r="237" spans="5:171" ht="43" customHeight="1" x14ac:dyDescent="0.2">
      <c r="E237" s="94" t="s">
        <v>9305</v>
      </c>
      <c r="F237" s="94" t="s">
        <v>9121</v>
      </c>
      <c r="G237" s="97" t="s">
        <v>340</v>
      </c>
      <c r="H237" s="97" t="s">
        <v>425</v>
      </c>
      <c r="I237" s="522" t="s">
        <v>8749</v>
      </c>
      <c r="J237" s="522" t="s">
        <v>8395</v>
      </c>
      <c r="K237" s="522" t="s">
        <v>8395</v>
      </c>
      <c r="L237" s="933">
        <v>2021</v>
      </c>
      <c r="M237" s="934" t="s">
        <v>8301</v>
      </c>
      <c r="N237" s="934">
        <v>44924</v>
      </c>
      <c r="O237" s="934"/>
      <c r="P237" s="934"/>
      <c r="Q237" s="934"/>
      <c r="R237" s="934"/>
      <c r="S237" s="934"/>
      <c r="T237" s="934"/>
      <c r="U237" s="934"/>
      <c r="V237" s="934"/>
      <c r="W237" s="934"/>
      <c r="X237" s="934"/>
      <c r="Y237" s="934"/>
      <c r="Z237" s="522" t="s">
        <v>8096</v>
      </c>
      <c r="AA237" s="935" t="s">
        <v>7950</v>
      </c>
      <c r="AB237" s="522" t="s">
        <v>7806</v>
      </c>
      <c r="AC237" s="935" t="s">
        <v>6234</v>
      </c>
      <c r="AD237" s="522" t="s">
        <v>7468</v>
      </c>
      <c r="AE237" s="935" t="s">
        <v>7279</v>
      </c>
      <c r="AF237" s="522" t="s">
        <v>7152</v>
      </c>
      <c r="AG237" s="935" t="s">
        <v>7082</v>
      </c>
      <c r="AH237" s="522" t="s">
        <v>6994</v>
      </c>
      <c r="AI237" s="522" t="s">
        <v>6495</v>
      </c>
      <c r="AJ237" s="522" t="s">
        <v>6698</v>
      </c>
      <c r="AK237" s="522" t="s">
        <v>6495</v>
      </c>
      <c r="AL237" s="580">
        <f t="shared" si="19"/>
        <v>2.6534502</v>
      </c>
      <c r="AM237" s="504">
        <v>2.6534502</v>
      </c>
      <c r="AN237" s="516"/>
      <c r="AO237" s="97"/>
      <c r="AP237" s="97"/>
      <c r="AQ237" s="504">
        <f>(497244.21+198897.69+497473.64+198989.46+497000+199000)/1000000</f>
        <v>2.0886049999999998</v>
      </c>
      <c r="AR237" s="507">
        <f>AQ237/AL237</f>
        <v>0.78712801921061104</v>
      </c>
      <c r="AS237" s="507">
        <f>AQ237/(20493762381.98/1000000)</f>
        <v>1.0191418057215758E-4</v>
      </c>
      <c r="AT237" s="516"/>
      <c r="AU237" s="507"/>
      <c r="AV237" s="516"/>
      <c r="AW237" s="507"/>
      <c r="AX237" s="516">
        <f>(206654.69+179090.51+179100)/1000000</f>
        <v>0.56484519999999994</v>
      </c>
      <c r="AY237" s="507">
        <f>AX237/AL237</f>
        <v>0.21287198078938882</v>
      </c>
      <c r="AZ237" s="516"/>
      <c r="BA237" s="936"/>
      <c r="BB237" s="936"/>
      <c r="BC237" s="936"/>
      <c r="BD237" s="936"/>
      <c r="BE237" s="936" t="s">
        <v>479</v>
      </c>
      <c r="BF237" s="936" t="s">
        <v>6305</v>
      </c>
      <c r="BG237" s="935" t="s">
        <v>6234</v>
      </c>
      <c r="BH237" s="936" t="s">
        <v>1511</v>
      </c>
      <c r="BI237" s="938">
        <f>15581000/1000000</f>
        <v>15.581</v>
      </c>
      <c r="BJ237" s="936">
        <f>BI237/(23783135185.79/1000000)</f>
        <v>6.5512809300724019E-4</v>
      </c>
      <c r="BK237" s="939"/>
      <c r="BL237" s="939"/>
      <c r="BM237" s="939">
        <v>4</v>
      </c>
      <c r="BN237" s="939"/>
      <c r="BO237" s="939">
        <v>3</v>
      </c>
      <c r="BP237" s="939"/>
      <c r="BQ237" s="939"/>
      <c r="BR237" s="939"/>
      <c r="BS237" s="939"/>
      <c r="BT237" s="939"/>
      <c r="BU237" s="939"/>
      <c r="BV237" s="939"/>
      <c r="BW237" s="939"/>
      <c r="BX237" s="939"/>
      <c r="BY237" s="939">
        <v>1</v>
      </c>
      <c r="BZ237" s="939"/>
      <c r="CA237" s="939"/>
      <c r="CB237" s="939"/>
      <c r="CC237" s="939"/>
      <c r="CD237" s="939"/>
      <c r="CE237" s="939"/>
      <c r="CF237" s="939"/>
      <c r="CG237" s="939"/>
      <c r="CH237" s="939"/>
      <c r="CI237" s="939"/>
      <c r="CJ237" s="939"/>
      <c r="CK237" s="939"/>
      <c r="CL237" s="940">
        <f t="shared" si="25"/>
        <v>4</v>
      </c>
      <c r="CM237" s="824">
        <f t="shared" si="20"/>
        <v>0</v>
      </c>
      <c r="CN237" s="938" t="s">
        <v>3007</v>
      </c>
      <c r="CO237" s="522" t="s">
        <v>539</v>
      </c>
      <c r="CP237" s="522" t="s">
        <v>539</v>
      </c>
      <c r="CQ237" s="522"/>
      <c r="CR237" s="938">
        <v>572.30799999999999</v>
      </c>
      <c r="CS237" s="1006" t="s">
        <v>5805</v>
      </c>
      <c r="CT237" s="522" t="s">
        <v>470</v>
      </c>
      <c r="CU237" s="522" t="s">
        <v>470</v>
      </c>
      <c r="CV237" s="522" t="s">
        <v>470</v>
      </c>
      <c r="CW237" s="939" t="s">
        <v>470</v>
      </c>
      <c r="CX237" s="939" t="s">
        <v>470</v>
      </c>
      <c r="CY237" s="939" t="s">
        <v>470</v>
      </c>
      <c r="CZ237" s="939">
        <v>4</v>
      </c>
      <c r="DA237" s="939" t="s">
        <v>470</v>
      </c>
      <c r="DB237" s="939" t="s">
        <v>656</v>
      </c>
      <c r="DC237" s="939" t="s">
        <v>656</v>
      </c>
      <c r="DD237" s="939" t="s">
        <v>479</v>
      </c>
      <c r="DE237" s="939" t="s">
        <v>656</v>
      </c>
      <c r="DF237" s="939" t="s">
        <v>656</v>
      </c>
      <c r="DG237" s="939" t="s">
        <v>470</v>
      </c>
      <c r="DH237" s="939" t="s">
        <v>656</v>
      </c>
      <c r="DI237" s="939" t="s">
        <v>656</v>
      </c>
      <c r="DJ237" s="939" t="s">
        <v>470</v>
      </c>
      <c r="DK237" s="939" t="s">
        <v>656</v>
      </c>
      <c r="DL237" s="939" t="s">
        <v>656</v>
      </c>
      <c r="DM237" s="939" t="s">
        <v>470</v>
      </c>
      <c r="DN237" s="939" t="s">
        <v>656</v>
      </c>
      <c r="DO237" s="939" t="s">
        <v>656</v>
      </c>
      <c r="DP237" s="939" t="s">
        <v>470</v>
      </c>
      <c r="DQ237" s="939" t="s">
        <v>656</v>
      </c>
      <c r="DR237" s="939" t="s">
        <v>656</v>
      </c>
      <c r="DS237" s="939" t="s">
        <v>470</v>
      </c>
      <c r="DT237" s="939" t="s">
        <v>656</v>
      </c>
      <c r="DU237" s="939" t="s">
        <v>656</v>
      </c>
      <c r="DV237" s="939" t="s">
        <v>470</v>
      </c>
      <c r="DW237" s="939" t="s">
        <v>656</v>
      </c>
      <c r="DX237" s="939" t="s">
        <v>656</v>
      </c>
      <c r="DY237" s="939" t="s">
        <v>470</v>
      </c>
      <c r="DZ237" s="939" t="s">
        <v>656</v>
      </c>
      <c r="EA237" s="939" t="s">
        <v>656</v>
      </c>
      <c r="EB237" s="939" t="s">
        <v>470</v>
      </c>
      <c r="EC237" s="939" t="s">
        <v>656</v>
      </c>
      <c r="ED237" s="939" t="s">
        <v>656</v>
      </c>
      <c r="EE237" s="939" t="s">
        <v>470</v>
      </c>
      <c r="EF237" s="939" t="s">
        <v>656</v>
      </c>
      <c r="EG237" s="939" t="s">
        <v>656</v>
      </c>
      <c r="EH237" s="939" t="s">
        <v>470</v>
      </c>
      <c r="EI237" s="939" t="s">
        <v>656</v>
      </c>
      <c r="EJ237" s="939" t="s">
        <v>656</v>
      </c>
      <c r="EK237" s="939" t="s">
        <v>470</v>
      </c>
      <c r="EL237" s="939" t="s">
        <v>656</v>
      </c>
      <c r="EM237" s="939" t="s">
        <v>656</v>
      </c>
      <c r="EN237" s="939" t="s">
        <v>479</v>
      </c>
      <c r="EO237" s="939" t="s">
        <v>640</v>
      </c>
      <c r="EP237" s="939">
        <v>17</v>
      </c>
      <c r="EQ237" s="939" t="s">
        <v>470</v>
      </c>
      <c r="ER237" s="939" t="s">
        <v>656</v>
      </c>
      <c r="ES237" s="939" t="s">
        <v>656</v>
      </c>
      <c r="ET237" s="939" t="s">
        <v>470</v>
      </c>
      <c r="EU237" s="939" t="s">
        <v>656</v>
      </c>
      <c r="EV237" s="939" t="s">
        <v>656</v>
      </c>
      <c r="EW237" s="939"/>
      <c r="EX237" s="939"/>
      <c r="EY237" s="939"/>
      <c r="EZ237" s="522" t="s">
        <v>470</v>
      </c>
      <c r="FA237" s="522" t="s">
        <v>470</v>
      </c>
      <c r="FB237" s="522" t="s">
        <v>470</v>
      </c>
      <c r="FC237" s="522" t="s">
        <v>470</v>
      </c>
      <c r="FD237" s="522" t="s">
        <v>470</v>
      </c>
      <c r="FE237" s="522" t="s">
        <v>470</v>
      </c>
      <c r="FF237" s="522" t="s">
        <v>470</v>
      </c>
      <c r="FG237" s="522" t="s">
        <v>470</v>
      </c>
      <c r="FH237" s="522" t="s">
        <v>470</v>
      </c>
      <c r="FI237" s="522" t="s">
        <v>470</v>
      </c>
      <c r="FJ237" s="522" t="s">
        <v>4451</v>
      </c>
      <c r="FK237" s="522" t="s">
        <v>4237</v>
      </c>
      <c r="FL237" s="522" t="s">
        <v>4046</v>
      </c>
      <c r="FM237" s="522" t="s">
        <v>3876</v>
      </c>
      <c r="FN237" s="522" t="s">
        <v>3807</v>
      </c>
      <c r="FO237" s="522" t="s">
        <v>1412</v>
      </c>
    </row>
    <row r="238" spans="5:171" ht="28" customHeight="1" x14ac:dyDescent="0.2">
      <c r="E238" s="94" t="s">
        <v>3236</v>
      </c>
      <c r="F238" s="94" t="s">
        <v>9121</v>
      </c>
      <c r="G238" s="97" t="s">
        <v>340</v>
      </c>
      <c r="H238" s="97" t="s">
        <v>425</v>
      </c>
      <c r="I238" s="522" t="s">
        <v>8748</v>
      </c>
      <c r="J238" s="522" t="s">
        <v>8394</v>
      </c>
      <c r="K238" s="522" t="s">
        <v>8394</v>
      </c>
      <c r="L238" s="933">
        <v>2020</v>
      </c>
      <c r="M238" s="934">
        <v>44728</v>
      </c>
      <c r="N238" s="934">
        <v>44776</v>
      </c>
      <c r="O238" s="934"/>
      <c r="P238" s="934"/>
      <c r="Q238" s="934"/>
      <c r="R238" s="934"/>
      <c r="S238" s="934"/>
      <c r="T238" s="934"/>
      <c r="U238" s="934"/>
      <c r="V238" s="934"/>
      <c r="W238" s="934"/>
      <c r="X238" s="934"/>
      <c r="Y238" s="934"/>
      <c r="Z238" s="1010" t="s">
        <v>8095</v>
      </c>
      <c r="AA238" s="935" t="s">
        <v>7949</v>
      </c>
      <c r="AB238" s="522"/>
      <c r="AC238" s="522"/>
      <c r="AD238" s="522" t="s">
        <v>7467</v>
      </c>
      <c r="AE238" s="935" t="s">
        <v>7278</v>
      </c>
      <c r="AF238" s="522" t="s">
        <v>7151</v>
      </c>
      <c r="AG238" s="935" t="s">
        <v>7081</v>
      </c>
      <c r="AH238" s="522" t="s">
        <v>6993</v>
      </c>
      <c r="AI238" s="522" t="s">
        <v>6839</v>
      </c>
      <c r="AJ238" s="522" t="s">
        <v>6622</v>
      </c>
      <c r="AK238" s="522" t="s">
        <v>6494</v>
      </c>
      <c r="AL238" s="580">
        <f t="shared" si="19"/>
        <v>0.33499999999999996</v>
      </c>
      <c r="AM238" s="504">
        <v>0.33499999999999996</v>
      </c>
      <c r="AN238" s="516"/>
      <c r="AO238" s="97"/>
      <c r="AP238" s="97"/>
      <c r="AQ238" s="504">
        <v>0.30149999999999999</v>
      </c>
      <c r="AR238" s="507">
        <v>0.9</v>
      </c>
      <c r="AS238" s="507">
        <v>2.0000000000000001E-4</v>
      </c>
      <c r="AT238" s="516"/>
      <c r="AU238" s="507"/>
      <c r="AV238" s="516">
        <v>3.3500000000000002E-2</v>
      </c>
      <c r="AW238" s="507">
        <v>0.1</v>
      </c>
      <c r="AX238" s="516"/>
      <c r="AY238" s="507"/>
      <c r="AZ238" s="516"/>
      <c r="BA238" s="936"/>
      <c r="BB238" s="936"/>
      <c r="BC238" s="936"/>
      <c r="BD238" s="936"/>
      <c r="BE238" s="936" t="s">
        <v>479</v>
      </c>
      <c r="BF238" s="936" t="s">
        <v>6304</v>
      </c>
      <c r="BG238" s="935" t="s">
        <v>4908</v>
      </c>
      <c r="BH238" s="938">
        <v>0.02</v>
      </c>
      <c r="BI238" s="938">
        <v>0.5</v>
      </c>
      <c r="BJ238" s="936">
        <v>4.0000000000000002E-4</v>
      </c>
      <c r="BK238" s="939">
        <v>4</v>
      </c>
      <c r="BL238" s="939">
        <v>4</v>
      </c>
      <c r="BM238" s="939">
        <v>1</v>
      </c>
      <c r="BN238" s="939"/>
      <c r="BO238" s="939"/>
      <c r="BP238" s="939"/>
      <c r="BQ238" s="939"/>
      <c r="BR238" s="939"/>
      <c r="BS238" s="939"/>
      <c r="BT238" s="939"/>
      <c r="BU238" s="939"/>
      <c r="BV238" s="939"/>
      <c r="BW238" s="939"/>
      <c r="BX238" s="939"/>
      <c r="BY238" s="939"/>
      <c r="BZ238" s="939"/>
      <c r="CA238" s="939"/>
      <c r="CB238" s="939"/>
      <c r="CC238" s="939"/>
      <c r="CD238" s="939"/>
      <c r="CE238" s="939"/>
      <c r="CF238" s="939"/>
      <c r="CG238" s="939">
        <v>1</v>
      </c>
      <c r="CH238" s="939"/>
      <c r="CI238" s="939"/>
      <c r="CJ238" s="939"/>
      <c r="CK238" s="939"/>
      <c r="CL238" s="940">
        <f t="shared" si="25"/>
        <v>1</v>
      </c>
      <c r="CM238" s="824">
        <f t="shared" si="20"/>
        <v>0</v>
      </c>
      <c r="CN238" s="938">
        <v>0.14099999999999999</v>
      </c>
      <c r="CO238" s="522" t="s">
        <v>6103</v>
      </c>
      <c r="CP238" s="935" t="s">
        <v>4908</v>
      </c>
      <c r="CQ238" s="522"/>
      <c r="CR238" s="938"/>
      <c r="CS238" s="936"/>
      <c r="CT238" s="522" t="s">
        <v>479</v>
      </c>
      <c r="CU238" s="522" t="s">
        <v>5797</v>
      </c>
      <c r="CV238" s="935" t="s">
        <v>5781</v>
      </c>
      <c r="CW238" s="522" t="s">
        <v>5762</v>
      </c>
      <c r="CX238" s="939">
        <v>5</v>
      </c>
      <c r="CY238" s="939" t="s">
        <v>5744</v>
      </c>
      <c r="CZ238" s="939">
        <v>7</v>
      </c>
      <c r="DA238" s="522" t="s">
        <v>479</v>
      </c>
      <c r="DB238" s="522" t="s">
        <v>5703</v>
      </c>
      <c r="DC238" s="939">
        <v>456</v>
      </c>
      <c r="DD238" s="522"/>
      <c r="DE238" s="522"/>
      <c r="DF238" s="939"/>
      <c r="DG238" s="939"/>
      <c r="DH238" s="939"/>
      <c r="DI238" s="939"/>
      <c r="DJ238" s="939"/>
      <c r="DK238" s="939"/>
      <c r="DL238" s="939"/>
      <c r="DM238" s="522"/>
      <c r="DN238" s="522"/>
      <c r="DO238" s="939"/>
      <c r="DP238" s="522"/>
      <c r="DQ238" s="522"/>
      <c r="DR238" s="939"/>
      <c r="DS238" s="522"/>
      <c r="DT238" s="522"/>
      <c r="DU238" s="939"/>
      <c r="DV238" s="522"/>
      <c r="DW238" s="522"/>
      <c r="DX238" s="939"/>
      <c r="DY238" s="522"/>
      <c r="DZ238" s="522"/>
      <c r="EA238" s="939"/>
      <c r="EB238" s="522"/>
      <c r="EC238" s="522"/>
      <c r="ED238" s="939"/>
      <c r="EE238" s="939"/>
      <c r="EF238" s="939"/>
      <c r="EG238" s="939"/>
      <c r="EH238" s="522"/>
      <c r="EI238" s="522"/>
      <c r="EJ238" s="939"/>
      <c r="EK238" s="522" t="s">
        <v>479</v>
      </c>
      <c r="EL238" s="522" t="s">
        <v>5370</v>
      </c>
      <c r="EM238" s="939">
        <v>20</v>
      </c>
      <c r="EN238" s="522"/>
      <c r="EO238" s="522"/>
      <c r="EP238" s="939"/>
      <c r="EQ238" s="939"/>
      <c r="ER238" s="939"/>
      <c r="ES238" s="939"/>
      <c r="ET238" s="522"/>
      <c r="EU238" s="522"/>
      <c r="EV238" s="939"/>
      <c r="EW238" s="939"/>
      <c r="EX238" s="939"/>
      <c r="EY238" s="939"/>
      <c r="EZ238" s="522" t="s">
        <v>470</v>
      </c>
      <c r="FA238" s="522"/>
      <c r="FB238" s="935" t="s">
        <v>4908</v>
      </c>
      <c r="FC238" s="935"/>
      <c r="FD238" s="935" t="s">
        <v>4908</v>
      </c>
      <c r="FE238" s="522" t="s">
        <v>4807</v>
      </c>
      <c r="FF238" s="522"/>
      <c r="FG238" s="522" t="s">
        <v>4635</v>
      </c>
      <c r="FH238" s="522">
        <v>1</v>
      </c>
      <c r="FI238" s="522">
        <v>26</v>
      </c>
      <c r="FJ238" s="522" t="s">
        <v>4450</v>
      </c>
      <c r="FK238" s="522" t="s">
        <v>4236</v>
      </c>
      <c r="FL238" s="935" t="s">
        <v>4045</v>
      </c>
      <c r="FM238" s="522" t="s">
        <v>3876</v>
      </c>
      <c r="FN238" s="522" t="s">
        <v>3807</v>
      </c>
      <c r="FO238" s="935" t="s">
        <v>1412</v>
      </c>
    </row>
    <row r="239" spans="5:171" ht="28" customHeight="1" x14ac:dyDescent="0.2">
      <c r="E239" s="94" t="s">
        <v>3236</v>
      </c>
      <c r="F239" s="94" t="s">
        <v>9121</v>
      </c>
      <c r="G239" s="97" t="s">
        <v>340</v>
      </c>
      <c r="H239" s="97" t="s">
        <v>425</v>
      </c>
      <c r="I239" s="522" t="s">
        <v>8747</v>
      </c>
      <c r="J239" s="522" t="s">
        <v>3438</v>
      </c>
      <c r="K239" s="522" t="s">
        <v>3438</v>
      </c>
      <c r="L239" s="933">
        <v>2022</v>
      </c>
      <c r="M239" s="934" t="s">
        <v>8300</v>
      </c>
      <c r="N239" s="934">
        <v>44851</v>
      </c>
      <c r="O239" s="934"/>
      <c r="P239" s="934"/>
      <c r="Q239" s="934"/>
      <c r="R239" s="934"/>
      <c r="S239" s="934"/>
      <c r="T239" s="934"/>
      <c r="U239" s="934"/>
      <c r="V239" s="934"/>
      <c r="W239" s="934"/>
      <c r="X239" s="934"/>
      <c r="Y239" s="934"/>
      <c r="Z239" s="522" t="s">
        <v>8094</v>
      </c>
      <c r="AA239" s="935" t="s">
        <v>7948</v>
      </c>
      <c r="AB239" s="522"/>
      <c r="AC239" s="522"/>
      <c r="AD239" s="522" t="s">
        <v>7466</v>
      </c>
      <c r="AE239" s="522"/>
      <c r="AF239" s="522"/>
      <c r="AG239" s="522"/>
      <c r="AH239" s="522" t="s">
        <v>6838</v>
      </c>
      <c r="AI239" s="522" t="s">
        <v>6838</v>
      </c>
      <c r="AJ239" s="522" t="s">
        <v>633</v>
      </c>
      <c r="AK239" s="522" t="s">
        <v>6493</v>
      </c>
      <c r="AL239" s="580">
        <f t="shared" si="19"/>
        <v>0.15</v>
      </c>
      <c r="AM239" s="504">
        <v>0.15</v>
      </c>
      <c r="AN239" s="516"/>
      <c r="AO239" s="97"/>
      <c r="AP239" s="97"/>
      <c r="AQ239" s="504">
        <v>0.15</v>
      </c>
      <c r="AR239" s="507">
        <v>1</v>
      </c>
      <c r="AS239" s="507">
        <v>1.8000000000000001E-4</v>
      </c>
      <c r="AT239" s="516"/>
      <c r="AU239" s="507"/>
      <c r="AV239" s="516"/>
      <c r="AW239" s="507"/>
      <c r="AX239" s="516"/>
      <c r="AY239" s="507"/>
      <c r="AZ239" s="516"/>
      <c r="BA239" s="936"/>
      <c r="BB239" s="936"/>
      <c r="BC239" s="936"/>
      <c r="BD239" s="936"/>
      <c r="BE239" s="936" t="s">
        <v>470</v>
      </c>
      <c r="BF239" s="936"/>
      <c r="BG239" s="936"/>
      <c r="BH239" s="937"/>
      <c r="BI239" s="938">
        <v>0.15</v>
      </c>
      <c r="BJ239" s="936">
        <v>1.7000000000000001E-4</v>
      </c>
      <c r="BK239" s="939">
        <v>8</v>
      </c>
      <c r="BL239" s="939">
        <v>3</v>
      </c>
      <c r="BM239" s="939">
        <v>1</v>
      </c>
      <c r="BN239" s="939"/>
      <c r="BO239" s="939"/>
      <c r="BP239" s="939"/>
      <c r="BQ239" s="939"/>
      <c r="BR239" s="939"/>
      <c r="BS239" s="939"/>
      <c r="BT239" s="939"/>
      <c r="BU239" s="939"/>
      <c r="BV239" s="939"/>
      <c r="BW239" s="939"/>
      <c r="BX239" s="939"/>
      <c r="BY239" s="939"/>
      <c r="BZ239" s="939"/>
      <c r="CA239" s="939"/>
      <c r="CB239" s="939"/>
      <c r="CC239" s="939"/>
      <c r="CD239" s="939"/>
      <c r="CE239" s="939"/>
      <c r="CF239" s="939"/>
      <c r="CG239" s="939">
        <v>1</v>
      </c>
      <c r="CH239" s="939"/>
      <c r="CI239" s="939"/>
      <c r="CJ239" s="939"/>
      <c r="CK239" s="939"/>
      <c r="CL239" s="940">
        <f t="shared" si="25"/>
        <v>1</v>
      </c>
      <c r="CM239" s="824">
        <f t="shared" si="20"/>
        <v>0</v>
      </c>
      <c r="CN239" s="938">
        <v>0.85099999999999998</v>
      </c>
      <c r="CO239" s="522"/>
      <c r="CP239" s="522"/>
      <c r="CQ239" s="522">
        <v>100</v>
      </c>
      <c r="CR239" s="938">
        <v>0.85699999999999998</v>
      </c>
      <c r="CS239" s="936"/>
      <c r="CT239" s="522" t="s">
        <v>470</v>
      </c>
      <c r="CU239" s="522"/>
      <c r="CV239" s="522"/>
      <c r="CW239" s="522"/>
      <c r="CX239" s="939"/>
      <c r="CY239" s="939"/>
      <c r="CZ239" s="939"/>
      <c r="DA239" s="522"/>
      <c r="DB239" s="522"/>
      <c r="DC239" s="939"/>
      <c r="DD239" s="522"/>
      <c r="DE239" s="522"/>
      <c r="DF239" s="939"/>
      <c r="DG239" s="939"/>
      <c r="DH239" s="939"/>
      <c r="DI239" s="939"/>
      <c r="DJ239" s="939"/>
      <c r="DK239" s="939"/>
      <c r="DL239" s="939"/>
      <c r="DM239" s="522" t="s">
        <v>479</v>
      </c>
      <c r="DN239" s="522"/>
      <c r="DO239" s="939" t="s">
        <v>5543</v>
      </c>
      <c r="DP239" s="522"/>
      <c r="DQ239" s="522"/>
      <c r="DR239" s="939"/>
      <c r="DS239" s="522"/>
      <c r="DT239" s="522"/>
      <c r="DU239" s="939"/>
      <c r="DV239" s="522"/>
      <c r="DW239" s="522"/>
      <c r="DX239" s="939"/>
      <c r="DY239" s="522"/>
      <c r="DZ239" s="522"/>
      <c r="EA239" s="939"/>
      <c r="EB239" s="522"/>
      <c r="EC239" s="522"/>
      <c r="ED239" s="939"/>
      <c r="EE239" s="939"/>
      <c r="EF239" s="939"/>
      <c r="EG239" s="939"/>
      <c r="EH239" s="522"/>
      <c r="EI239" s="522"/>
      <c r="EJ239" s="939"/>
      <c r="EK239" s="522"/>
      <c r="EL239" s="522"/>
      <c r="EM239" s="939"/>
      <c r="EN239" s="522"/>
      <c r="EO239" s="522"/>
      <c r="EP239" s="939"/>
      <c r="EQ239" s="939"/>
      <c r="ER239" s="939"/>
      <c r="ES239" s="939"/>
      <c r="ET239" s="522" t="s">
        <v>5246</v>
      </c>
      <c r="EU239" s="935" t="s">
        <v>5229</v>
      </c>
      <c r="EV239" s="939">
        <v>15</v>
      </c>
      <c r="EW239" s="939"/>
      <c r="EX239" s="939"/>
      <c r="EY239" s="939"/>
      <c r="EZ239" s="522" t="s">
        <v>470</v>
      </c>
      <c r="FA239" s="522"/>
      <c r="FB239" s="522"/>
      <c r="FC239" s="522"/>
      <c r="FD239" s="522"/>
      <c r="FE239" s="522" t="s">
        <v>4706</v>
      </c>
      <c r="FF239" s="522"/>
      <c r="FG239" s="522"/>
      <c r="FH239" s="522"/>
      <c r="FI239" s="522"/>
      <c r="FJ239" s="522" t="s">
        <v>4449</v>
      </c>
      <c r="FK239" s="522" t="s">
        <v>4235</v>
      </c>
      <c r="FL239" s="935" t="s">
        <v>4044</v>
      </c>
      <c r="FM239" s="522" t="s">
        <v>3876</v>
      </c>
      <c r="FN239" s="522" t="s">
        <v>3807</v>
      </c>
      <c r="FO239" s="935" t="s">
        <v>1412</v>
      </c>
    </row>
    <row r="240" spans="5:171" ht="28" customHeight="1" x14ac:dyDescent="0.2">
      <c r="E240" s="94" t="s">
        <v>9302</v>
      </c>
      <c r="F240" s="94" t="s">
        <v>9121</v>
      </c>
      <c r="G240" s="97" t="s">
        <v>340</v>
      </c>
      <c r="H240" s="97" t="s">
        <v>425</v>
      </c>
      <c r="I240" s="522" t="s">
        <v>8747</v>
      </c>
      <c r="J240" s="522" t="s">
        <v>3260</v>
      </c>
      <c r="K240" s="522" t="s">
        <v>3260</v>
      </c>
      <c r="L240" s="933">
        <v>2019</v>
      </c>
      <c r="M240" s="934" t="s">
        <v>8299</v>
      </c>
      <c r="N240" s="934">
        <v>44844</v>
      </c>
      <c r="O240" s="934"/>
      <c r="P240" s="934"/>
      <c r="Q240" s="934"/>
      <c r="R240" s="934"/>
      <c r="S240" s="934"/>
      <c r="T240" s="934"/>
      <c r="U240" s="934"/>
      <c r="V240" s="934"/>
      <c r="W240" s="934"/>
      <c r="X240" s="934"/>
      <c r="Y240" s="934"/>
      <c r="Z240" s="522" t="s">
        <v>8093</v>
      </c>
      <c r="AA240" s="935" t="s">
        <v>7947</v>
      </c>
      <c r="AB240" s="522"/>
      <c r="AC240" s="522"/>
      <c r="AD240" s="522"/>
      <c r="AE240" s="522"/>
      <c r="AF240" s="522"/>
      <c r="AG240" s="522"/>
      <c r="AH240" s="522" t="s">
        <v>6992</v>
      </c>
      <c r="AI240" s="522" t="s">
        <v>6837</v>
      </c>
      <c r="AJ240" s="522"/>
      <c r="AK240" s="522" t="s">
        <v>6492</v>
      </c>
      <c r="AL240" s="580">
        <f t="shared" si="19"/>
        <v>0.19999999999999998</v>
      </c>
      <c r="AM240" s="504">
        <v>0.19999999999999998</v>
      </c>
      <c r="AN240" s="516"/>
      <c r="AO240" s="97"/>
      <c r="AP240" s="97"/>
      <c r="AQ240" s="504">
        <v>0</v>
      </c>
      <c r="AR240" s="507">
        <v>0</v>
      </c>
      <c r="AS240" s="507">
        <v>0</v>
      </c>
      <c r="AT240" s="516">
        <v>0.02</v>
      </c>
      <c r="AU240" s="507">
        <v>0.1</v>
      </c>
      <c r="AV240" s="516">
        <v>0.18</v>
      </c>
      <c r="AW240" s="507">
        <v>0.9</v>
      </c>
      <c r="AX240" s="516"/>
      <c r="AY240" s="507">
        <v>0</v>
      </c>
      <c r="AZ240" s="516"/>
      <c r="BA240" s="936"/>
      <c r="BB240" s="936"/>
      <c r="BC240" s="936"/>
      <c r="BD240" s="936"/>
      <c r="BE240" s="936" t="s">
        <v>470</v>
      </c>
      <c r="BF240" s="936"/>
      <c r="BG240" s="936"/>
      <c r="BH240" s="937"/>
      <c r="BI240" s="938"/>
      <c r="BJ240" s="936"/>
      <c r="BK240" s="939"/>
      <c r="BL240" s="939"/>
      <c r="BM240" s="939"/>
      <c r="BN240" s="939"/>
      <c r="BO240" s="939"/>
      <c r="BP240" s="939"/>
      <c r="BQ240" s="939"/>
      <c r="BR240" s="939"/>
      <c r="BS240" s="939"/>
      <c r="BT240" s="939"/>
      <c r="BU240" s="939"/>
      <c r="BV240" s="939"/>
      <c r="BW240" s="939"/>
      <c r="BX240" s="939"/>
      <c r="BY240" s="939"/>
      <c r="BZ240" s="939">
        <v>1</v>
      </c>
      <c r="CA240" s="939"/>
      <c r="CB240" s="939"/>
      <c r="CC240" s="939"/>
      <c r="CD240" s="939"/>
      <c r="CE240" s="939"/>
      <c r="CF240" s="939"/>
      <c r="CG240" s="939"/>
      <c r="CH240" s="939"/>
      <c r="CI240" s="939"/>
      <c r="CJ240" s="939"/>
      <c r="CK240" s="939"/>
      <c r="CL240" s="940">
        <f t="shared" si="25"/>
        <v>1</v>
      </c>
      <c r="CM240" s="824">
        <f t="shared" si="20"/>
        <v>0</v>
      </c>
      <c r="CN240" s="938">
        <v>0.61699999999999999</v>
      </c>
      <c r="CO240" s="522"/>
      <c r="CP240" s="522"/>
      <c r="CQ240" s="522">
        <v>100</v>
      </c>
      <c r="CR240" s="938">
        <v>0.61399999999999999</v>
      </c>
      <c r="CS240" s="936"/>
      <c r="CT240" s="522" t="s">
        <v>470</v>
      </c>
      <c r="CU240" s="522"/>
      <c r="CV240" s="522"/>
      <c r="CW240" s="522"/>
      <c r="CX240" s="939"/>
      <c r="CY240" s="939"/>
      <c r="CZ240" s="939"/>
      <c r="DA240" s="522" t="s">
        <v>479</v>
      </c>
      <c r="DB240" s="522" t="s">
        <v>640</v>
      </c>
      <c r="DC240" s="938">
        <v>0.35899999999999999</v>
      </c>
      <c r="DD240" s="522"/>
      <c r="DE240" s="522"/>
      <c r="DF240" s="939"/>
      <c r="DG240" s="939"/>
      <c r="DH240" s="939"/>
      <c r="DI240" s="939"/>
      <c r="DJ240" s="939"/>
      <c r="DK240" s="939"/>
      <c r="DL240" s="939"/>
      <c r="DM240" s="522"/>
      <c r="DN240" s="522"/>
      <c r="DO240" s="939"/>
      <c r="DP240" s="522"/>
      <c r="DQ240" s="522"/>
      <c r="DR240" s="939"/>
      <c r="DS240" s="522"/>
      <c r="DT240" s="522"/>
      <c r="DU240" s="939"/>
      <c r="DV240" s="522"/>
      <c r="DW240" s="522"/>
      <c r="DX240" s="939"/>
      <c r="DY240" s="522"/>
      <c r="DZ240" s="522"/>
      <c r="EA240" s="939"/>
      <c r="EB240" s="522"/>
      <c r="EC240" s="522"/>
      <c r="ED240" s="939"/>
      <c r="EE240" s="939"/>
      <c r="EF240" s="939"/>
      <c r="EG240" s="939"/>
      <c r="EH240" s="522"/>
      <c r="EI240" s="522"/>
      <c r="EJ240" s="939"/>
      <c r="EK240" s="522"/>
      <c r="EL240" s="522"/>
      <c r="EM240" s="939"/>
      <c r="EN240" s="522"/>
      <c r="EO240" s="522"/>
      <c r="EP240" s="939"/>
      <c r="EQ240" s="939"/>
      <c r="ER240" s="939"/>
      <c r="ES240" s="939"/>
      <c r="ET240" s="522" t="s">
        <v>5245</v>
      </c>
      <c r="EU240" s="522" t="s">
        <v>5228</v>
      </c>
      <c r="EV240" s="939">
        <v>359</v>
      </c>
      <c r="EW240" s="939"/>
      <c r="EX240" s="939"/>
      <c r="EY240" s="939"/>
      <c r="EZ240" s="522" t="s">
        <v>470</v>
      </c>
      <c r="FA240" s="522"/>
      <c r="FB240" s="935" t="s">
        <v>4979</v>
      </c>
      <c r="FC240" s="935" t="s">
        <v>4979</v>
      </c>
      <c r="FD240" s="522" t="s">
        <v>470</v>
      </c>
      <c r="FE240" s="522"/>
      <c r="FF240" s="522"/>
      <c r="FG240" s="522" t="s">
        <v>4599</v>
      </c>
      <c r="FH240" s="522">
        <v>2</v>
      </c>
      <c r="FI240" s="522">
        <v>10</v>
      </c>
      <c r="FJ240" s="522" t="s">
        <v>4449</v>
      </c>
      <c r="FK240" s="522" t="s">
        <v>4235</v>
      </c>
      <c r="FL240" s="935" t="s">
        <v>4044</v>
      </c>
      <c r="FM240" s="522" t="s">
        <v>3876</v>
      </c>
      <c r="FN240" s="522" t="s">
        <v>3807</v>
      </c>
      <c r="FO240" s="935" t="s">
        <v>1412</v>
      </c>
    </row>
    <row r="241" spans="5:171" ht="43" customHeight="1" x14ac:dyDescent="0.2">
      <c r="E241" s="94" t="s">
        <v>9302</v>
      </c>
      <c r="F241" s="94" t="s">
        <v>9121</v>
      </c>
      <c r="G241" s="97" t="s">
        <v>340</v>
      </c>
      <c r="H241" s="97" t="s">
        <v>425</v>
      </c>
      <c r="I241" s="522" t="s">
        <v>8746</v>
      </c>
      <c r="J241" s="522" t="s">
        <v>3260</v>
      </c>
      <c r="K241" s="522" t="s">
        <v>3260</v>
      </c>
      <c r="L241" s="933">
        <v>2021</v>
      </c>
      <c r="M241" s="934">
        <v>44652</v>
      </c>
      <c r="N241" s="934">
        <v>44805</v>
      </c>
      <c r="O241" s="934"/>
      <c r="P241" s="934"/>
      <c r="Q241" s="934"/>
      <c r="R241" s="934"/>
      <c r="S241" s="934"/>
      <c r="T241" s="934"/>
      <c r="U241" s="934"/>
      <c r="V241" s="934"/>
      <c r="W241" s="934"/>
      <c r="X241" s="934"/>
      <c r="Y241" s="934"/>
      <c r="Z241" s="522" t="s">
        <v>8092</v>
      </c>
      <c r="AA241" s="935" t="s">
        <v>5992</v>
      </c>
      <c r="AB241" s="522"/>
      <c r="AC241" s="522"/>
      <c r="AD241" s="522"/>
      <c r="AE241" s="522"/>
      <c r="AF241" s="522"/>
      <c r="AG241" s="522"/>
      <c r="AH241" s="522" t="s">
        <v>6836</v>
      </c>
      <c r="AI241" s="522" t="s">
        <v>6836</v>
      </c>
      <c r="AJ241" s="522" t="s">
        <v>6697</v>
      </c>
      <c r="AK241" s="522" t="s">
        <v>6491</v>
      </c>
      <c r="AL241" s="580">
        <f t="shared" si="19"/>
        <v>1.117</v>
      </c>
      <c r="AM241" s="504">
        <v>1.117</v>
      </c>
      <c r="AN241" s="516"/>
      <c r="AO241" s="97"/>
      <c r="AP241" s="97"/>
      <c r="AQ241" s="504">
        <v>0.9</v>
      </c>
      <c r="AR241" s="507">
        <f>AQ241/AL241</f>
        <v>0.80572963294538946</v>
      </c>
      <c r="AS241" s="507">
        <v>1.1999999999999999E-3</v>
      </c>
      <c r="AT241" s="516"/>
      <c r="AU241" s="507"/>
      <c r="AV241" s="516"/>
      <c r="AW241" s="507"/>
      <c r="AX241" s="516">
        <v>0.217</v>
      </c>
      <c r="AY241" s="507">
        <f>AX241/AL241</f>
        <v>0.19427036705461057</v>
      </c>
      <c r="AZ241" s="516"/>
      <c r="BA241" s="936"/>
      <c r="BB241" s="936"/>
      <c r="BC241" s="936"/>
      <c r="BD241" s="936"/>
      <c r="BE241" s="936" t="s">
        <v>479</v>
      </c>
      <c r="BF241" s="936" t="s">
        <v>6303</v>
      </c>
      <c r="BG241" s="1006" t="s">
        <v>5992</v>
      </c>
      <c r="BH241" s="937">
        <v>0</v>
      </c>
      <c r="BI241" s="938">
        <v>0.5</v>
      </c>
      <c r="BJ241" s="936">
        <v>6.7000000000000002E-4</v>
      </c>
      <c r="BK241" s="939">
        <v>8</v>
      </c>
      <c r="BL241" s="939">
        <v>5</v>
      </c>
      <c r="BM241" s="939">
        <v>4</v>
      </c>
      <c r="BN241" s="939">
        <v>3</v>
      </c>
      <c r="BO241" s="939"/>
      <c r="BP241" s="939"/>
      <c r="BQ241" s="939"/>
      <c r="BR241" s="939"/>
      <c r="BS241" s="939"/>
      <c r="BT241" s="939"/>
      <c r="BU241" s="939"/>
      <c r="BV241" s="939"/>
      <c r="BW241" s="939"/>
      <c r="BX241" s="939">
        <v>1</v>
      </c>
      <c r="BY241" s="939"/>
      <c r="BZ241" s="939"/>
      <c r="CA241" s="939"/>
      <c r="CB241" s="939"/>
      <c r="CC241" s="939"/>
      <c r="CD241" s="939"/>
      <c r="CE241" s="939"/>
      <c r="CF241" s="939"/>
      <c r="CG241" s="939"/>
      <c r="CH241" s="939"/>
      <c r="CI241" s="939"/>
      <c r="CJ241" s="939"/>
      <c r="CK241" s="939"/>
      <c r="CL241" s="940">
        <f t="shared" si="25"/>
        <v>4</v>
      </c>
      <c r="CM241" s="824">
        <f t="shared" si="20"/>
        <v>0</v>
      </c>
      <c r="CN241" s="938">
        <v>1.236</v>
      </c>
      <c r="CO241" s="522" t="s">
        <v>6102</v>
      </c>
      <c r="CP241" s="935" t="s">
        <v>5992</v>
      </c>
      <c r="CQ241" s="522">
        <v>24.297000000000001</v>
      </c>
      <c r="CR241" s="938">
        <v>5.0869999999999997</v>
      </c>
      <c r="CS241" s="1006" t="s">
        <v>5873</v>
      </c>
      <c r="CT241" s="522" t="s">
        <v>470</v>
      </c>
      <c r="CU241" s="522"/>
      <c r="CV241" s="522"/>
      <c r="CW241" s="522"/>
      <c r="CX241" s="939"/>
      <c r="CY241" s="939"/>
      <c r="CZ241" s="939"/>
      <c r="DA241" s="522" t="s">
        <v>479</v>
      </c>
      <c r="DB241" s="522" t="s">
        <v>1336</v>
      </c>
      <c r="DC241" s="939"/>
      <c r="DD241" s="522"/>
      <c r="DE241" s="522"/>
      <c r="DF241" s="939"/>
      <c r="DG241" s="939"/>
      <c r="DH241" s="939"/>
      <c r="DI241" s="939"/>
      <c r="DJ241" s="939"/>
      <c r="DK241" s="939"/>
      <c r="DL241" s="939"/>
      <c r="DM241" s="522"/>
      <c r="DN241" s="522"/>
      <c r="DO241" s="939"/>
      <c r="DP241" s="522"/>
      <c r="DQ241" s="522"/>
      <c r="DR241" s="939"/>
      <c r="DS241" s="522"/>
      <c r="DT241" s="522"/>
      <c r="DU241" s="939"/>
      <c r="DV241" s="522"/>
      <c r="DW241" s="522"/>
      <c r="DX241" s="939"/>
      <c r="DY241" s="522"/>
      <c r="DZ241" s="522"/>
      <c r="EA241" s="939"/>
      <c r="EB241" s="522"/>
      <c r="EC241" s="522"/>
      <c r="ED241" s="939"/>
      <c r="EE241" s="939"/>
      <c r="EF241" s="939"/>
      <c r="EG241" s="939"/>
      <c r="EH241" s="522"/>
      <c r="EI241" s="522"/>
      <c r="EJ241" s="939"/>
      <c r="EK241" s="522"/>
      <c r="EL241" s="522"/>
      <c r="EM241" s="939"/>
      <c r="EN241" s="522" t="s">
        <v>479</v>
      </c>
      <c r="EO241" s="935" t="s">
        <v>5348</v>
      </c>
      <c r="EP241" s="939">
        <v>7</v>
      </c>
      <c r="EQ241" s="939"/>
      <c r="ER241" s="939"/>
      <c r="ES241" s="939"/>
      <c r="ET241" s="522"/>
      <c r="EU241" s="522"/>
      <c r="EV241" s="939"/>
      <c r="EW241" s="939"/>
      <c r="EX241" s="939"/>
      <c r="EY241" s="939"/>
      <c r="EZ241" s="522" t="s">
        <v>470</v>
      </c>
      <c r="FA241" s="522"/>
      <c r="FB241" s="842" t="s">
        <v>5125</v>
      </c>
      <c r="FC241" s="842" t="s">
        <v>4978</v>
      </c>
      <c r="FD241" s="842" t="s">
        <v>4907</v>
      </c>
      <c r="FE241" s="843" t="s">
        <v>4806</v>
      </c>
      <c r="FF241" s="842" t="s">
        <v>4711</v>
      </c>
      <c r="FG241" s="97" t="s">
        <v>4610</v>
      </c>
      <c r="FH241" s="97">
        <v>0</v>
      </c>
      <c r="FI241" s="97">
        <v>0</v>
      </c>
      <c r="FJ241" s="522" t="s">
        <v>4448</v>
      </c>
      <c r="FK241" s="522" t="s">
        <v>4234</v>
      </c>
      <c r="FL241" s="935" t="s">
        <v>4043</v>
      </c>
      <c r="FM241" s="522" t="s">
        <v>3876</v>
      </c>
      <c r="FN241" s="522" t="s">
        <v>3807</v>
      </c>
      <c r="FO241" s="935" t="s">
        <v>1412</v>
      </c>
    </row>
    <row r="242" spans="5:171" ht="28" customHeight="1" x14ac:dyDescent="0.2">
      <c r="E242" s="94" t="s">
        <v>3236</v>
      </c>
      <c r="F242" s="94" t="s">
        <v>9121</v>
      </c>
      <c r="G242" s="97" t="s">
        <v>340</v>
      </c>
      <c r="H242" s="97" t="s">
        <v>425</v>
      </c>
      <c r="I242" s="522" t="s">
        <v>8745</v>
      </c>
      <c r="J242" s="522" t="s">
        <v>8531</v>
      </c>
      <c r="K242" s="522" t="s">
        <v>8393</v>
      </c>
      <c r="L242" s="933">
        <v>2022</v>
      </c>
      <c r="M242" s="934">
        <v>44866</v>
      </c>
      <c r="N242" s="934">
        <v>44880</v>
      </c>
      <c r="O242" s="934"/>
      <c r="P242" s="934"/>
      <c r="Q242" s="934"/>
      <c r="R242" s="934"/>
      <c r="S242" s="934"/>
      <c r="T242" s="934"/>
      <c r="U242" s="934"/>
      <c r="V242" s="934"/>
      <c r="W242" s="934"/>
      <c r="X242" s="934"/>
      <c r="Y242" s="934"/>
      <c r="Z242" s="522" t="s">
        <v>8091</v>
      </c>
      <c r="AA242" s="935" t="s">
        <v>7946</v>
      </c>
      <c r="AB242" s="522"/>
      <c r="AC242" s="522"/>
      <c r="AD242" s="522"/>
      <c r="AE242" s="522"/>
      <c r="AF242" s="522"/>
      <c r="AG242" s="522"/>
      <c r="AH242" s="522" t="s">
        <v>6991</v>
      </c>
      <c r="AI242" s="522" t="s">
        <v>6836</v>
      </c>
      <c r="AJ242" s="522" t="s">
        <v>633</v>
      </c>
      <c r="AK242" s="522" t="s">
        <v>6491</v>
      </c>
      <c r="AL242" s="580">
        <f t="shared" si="19"/>
        <v>0.5</v>
      </c>
      <c r="AM242" s="504">
        <v>0.5</v>
      </c>
      <c r="AN242" s="516"/>
      <c r="AO242" s="97"/>
      <c r="AP242" s="97"/>
      <c r="AQ242" s="504">
        <v>0.5</v>
      </c>
      <c r="AR242" s="507">
        <v>1</v>
      </c>
      <c r="AS242" s="507">
        <v>6.8000000000000005E-4</v>
      </c>
      <c r="AT242" s="516">
        <v>0</v>
      </c>
      <c r="AU242" s="507"/>
      <c r="AV242" s="516">
        <v>0</v>
      </c>
      <c r="AW242" s="507"/>
      <c r="AX242" s="516">
        <v>0</v>
      </c>
      <c r="AY242" s="507">
        <v>0</v>
      </c>
      <c r="AZ242" s="516"/>
      <c r="BA242" s="936"/>
      <c r="BB242" s="936"/>
      <c r="BC242" s="936"/>
      <c r="BD242" s="936"/>
      <c r="BE242" s="936" t="s">
        <v>470</v>
      </c>
      <c r="BF242" s="936"/>
      <c r="BG242" s="1006"/>
      <c r="BH242" s="937">
        <v>0</v>
      </c>
      <c r="BI242" s="938">
        <v>0.5</v>
      </c>
      <c r="BJ242" s="936">
        <v>6.7000000000000002E-4</v>
      </c>
      <c r="BK242" s="939">
        <v>4</v>
      </c>
      <c r="BL242" s="939"/>
      <c r="BM242" s="939">
        <v>1</v>
      </c>
      <c r="BN242" s="939"/>
      <c r="BO242" s="939"/>
      <c r="BP242" s="939"/>
      <c r="BQ242" s="939"/>
      <c r="BR242" s="939"/>
      <c r="BS242" s="939"/>
      <c r="BT242" s="939"/>
      <c r="BU242" s="939"/>
      <c r="BV242" s="939"/>
      <c r="BW242" s="939"/>
      <c r="BX242" s="939"/>
      <c r="BY242" s="939"/>
      <c r="BZ242" s="939"/>
      <c r="CA242" s="939"/>
      <c r="CB242" s="939"/>
      <c r="CC242" s="939"/>
      <c r="CD242" s="939"/>
      <c r="CE242" s="939"/>
      <c r="CF242" s="939"/>
      <c r="CG242" s="939">
        <v>1</v>
      </c>
      <c r="CH242" s="939"/>
      <c r="CI242" s="939"/>
      <c r="CJ242" s="939"/>
      <c r="CK242" s="939"/>
      <c r="CL242" s="940">
        <f t="shared" si="25"/>
        <v>1</v>
      </c>
      <c r="CM242" s="824">
        <f t="shared" si="20"/>
        <v>0</v>
      </c>
      <c r="CN242" s="504">
        <v>0.60499999999999998</v>
      </c>
      <c r="CO242" s="97" t="s">
        <v>6101</v>
      </c>
      <c r="CP242" s="842" t="s">
        <v>470</v>
      </c>
      <c r="CQ242" s="97">
        <v>100</v>
      </c>
      <c r="CR242" s="504">
        <v>8.8290000000000006</v>
      </c>
      <c r="CS242" s="887" t="s">
        <v>5866</v>
      </c>
      <c r="CT242" s="522" t="s">
        <v>470</v>
      </c>
      <c r="CU242" s="522"/>
      <c r="CV242" s="522"/>
      <c r="CW242" s="522"/>
      <c r="CX242" s="939"/>
      <c r="CY242" s="939"/>
      <c r="CZ242" s="939"/>
      <c r="DA242" s="522" t="s">
        <v>479</v>
      </c>
      <c r="DB242" s="522" t="s">
        <v>1336</v>
      </c>
      <c r="DC242" s="939"/>
      <c r="DD242" s="522"/>
      <c r="DE242" s="522"/>
      <c r="DF242" s="939"/>
      <c r="DG242" s="939"/>
      <c r="DH242" s="939"/>
      <c r="DI242" s="939"/>
      <c r="DJ242" s="939"/>
      <c r="DK242" s="939"/>
      <c r="DL242" s="939"/>
      <c r="DM242" s="522"/>
      <c r="DN242" s="522"/>
      <c r="DO242" s="939"/>
      <c r="DP242" s="522"/>
      <c r="DQ242" s="522"/>
      <c r="DR242" s="939"/>
      <c r="DS242" s="522"/>
      <c r="DT242" s="522"/>
      <c r="DU242" s="939"/>
      <c r="DV242" s="522"/>
      <c r="DW242" s="522"/>
      <c r="DX242" s="939"/>
      <c r="DY242" s="522"/>
      <c r="DZ242" s="522"/>
      <c r="EA242" s="939"/>
      <c r="EB242" s="522"/>
      <c r="EC242" s="522"/>
      <c r="ED242" s="939"/>
      <c r="EE242" s="939"/>
      <c r="EF242" s="939"/>
      <c r="EG242" s="939"/>
      <c r="EH242" s="522"/>
      <c r="EI242" s="522"/>
      <c r="EJ242" s="939"/>
      <c r="EK242" s="522"/>
      <c r="EL242" s="522"/>
      <c r="EM242" s="939"/>
      <c r="EN242" s="522" t="s">
        <v>479</v>
      </c>
      <c r="EO242" s="935" t="s">
        <v>5347</v>
      </c>
      <c r="EP242" s="939">
        <v>7</v>
      </c>
      <c r="EQ242" s="939"/>
      <c r="ER242" s="939"/>
      <c r="ES242" s="939"/>
      <c r="ET242" s="522"/>
      <c r="EU242" s="522"/>
      <c r="EV242" s="939"/>
      <c r="EW242" s="939"/>
      <c r="EX242" s="939"/>
      <c r="EY242" s="939"/>
      <c r="EZ242" s="522" t="s">
        <v>470</v>
      </c>
      <c r="FA242" s="522"/>
      <c r="FB242" s="842" t="s">
        <v>5124</v>
      </c>
      <c r="FC242" s="842" t="s">
        <v>4977</v>
      </c>
      <c r="FD242" s="97" t="s">
        <v>470</v>
      </c>
      <c r="FE242" s="97" t="s">
        <v>4805</v>
      </c>
      <c r="FF242" s="97" t="s">
        <v>470</v>
      </c>
      <c r="FG242" s="97" t="s">
        <v>4610</v>
      </c>
      <c r="FH242" s="97">
        <v>0</v>
      </c>
      <c r="FI242" s="97">
        <v>0</v>
      </c>
      <c r="FJ242" s="522" t="s">
        <v>4448</v>
      </c>
      <c r="FK242" s="522" t="s">
        <v>4234</v>
      </c>
      <c r="FL242" s="935" t="s">
        <v>4043</v>
      </c>
      <c r="FM242" s="522" t="s">
        <v>3876</v>
      </c>
      <c r="FN242" s="522" t="s">
        <v>3807</v>
      </c>
      <c r="FO242" s="935" t="s">
        <v>1412</v>
      </c>
    </row>
    <row r="243" spans="5:171" ht="28" customHeight="1" x14ac:dyDescent="0.2">
      <c r="E243" s="94" t="s">
        <v>9302</v>
      </c>
      <c r="F243" s="94" t="s">
        <v>9121</v>
      </c>
      <c r="G243" s="97" t="s">
        <v>340</v>
      </c>
      <c r="H243" s="97" t="s">
        <v>425</v>
      </c>
      <c r="I243" s="522" t="s">
        <v>8744</v>
      </c>
      <c r="J243" s="522" t="s">
        <v>8530</v>
      </c>
      <c r="K243" s="522" t="s">
        <v>1256</v>
      </c>
      <c r="L243" s="933">
        <v>2017</v>
      </c>
      <c r="M243" s="934">
        <v>44407</v>
      </c>
      <c r="N243" s="934" t="s">
        <v>554</v>
      </c>
      <c r="O243" s="934"/>
      <c r="P243" s="934"/>
      <c r="Q243" s="934"/>
      <c r="R243" s="934"/>
      <c r="S243" s="934"/>
      <c r="T243" s="934"/>
      <c r="U243" s="934"/>
      <c r="V243" s="934"/>
      <c r="W243" s="934"/>
      <c r="X243" s="934"/>
      <c r="Y243" s="934"/>
      <c r="Z243" s="522" t="s">
        <v>8090</v>
      </c>
      <c r="AA243" s="935"/>
      <c r="AB243" s="522"/>
      <c r="AC243" s="522"/>
      <c r="AD243" s="522" t="s">
        <v>7465</v>
      </c>
      <c r="AE243" s="935" t="s">
        <v>7277</v>
      </c>
      <c r="AF243" s="522" t="s">
        <v>470</v>
      </c>
      <c r="AG243" s="522"/>
      <c r="AH243" s="522" t="s">
        <v>6990</v>
      </c>
      <c r="AI243" s="522" t="s">
        <v>6835</v>
      </c>
      <c r="AJ243" s="522" t="s">
        <v>2328</v>
      </c>
      <c r="AK243" s="522" t="s">
        <v>6490</v>
      </c>
      <c r="AL243" s="580">
        <f t="shared" si="19"/>
        <v>0.5726</v>
      </c>
      <c r="AM243" s="504">
        <v>0.5726</v>
      </c>
      <c r="AN243" s="516"/>
      <c r="AO243" s="97"/>
      <c r="AP243" s="97"/>
      <c r="AQ243" s="504">
        <v>0.5151</v>
      </c>
      <c r="AR243" s="507">
        <v>0.82199999999999995</v>
      </c>
      <c r="AS243" s="507">
        <v>5.9999999999999995E-4</v>
      </c>
      <c r="AT243" s="516">
        <v>5.7500000000000002E-2</v>
      </c>
      <c r="AU243" s="507">
        <v>9.1999999999999998E-2</v>
      </c>
      <c r="AV243" s="516"/>
      <c r="AW243" s="507"/>
      <c r="AX243" s="516"/>
      <c r="AY243" s="507"/>
      <c r="AZ243" s="516"/>
      <c r="BA243" s="936"/>
      <c r="BB243" s="936"/>
      <c r="BC243" s="936"/>
      <c r="BD243" s="936"/>
      <c r="BE243" s="936" t="s">
        <v>470</v>
      </c>
      <c r="BF243" s="936"/>
      <c r="BG243" s="936"/>
      <c r="BH243" s="937"/>
      <c r="BI243" s="938">
        <v>1469.2</v>
      </c>
      <c r="BJ243" s="936">
        <v>2E-3</v>
      </c>
      <c r="BK243" s="939">
        <v>3</v>
      </c>
      <c r="BL243" s="939">
        <v>3</v>
      </c>
      <c r="BM243" s="939">
        <v>2</v>
      </c>
      <c r="BN243" s="939"/>
      <c r="BO243" s="939"/>
      <c r="BP243" s="939">
        <v>1</v>
      </c>
      <c r="BQ243" s="939"/>
      <c r="BR243" s="939"/>
      <c r="BS243" s="939"/>
      <c r="BT243" s="939"/>
      <c r="BU243" s="939"/>
      <c r="BV243" s="939"/>
      <c r="BW243" s="939"/>
      <c r="BX243" s="939">
        <v>1</v>
      </c>
      <c r="BY243" s="939"/>
      <c r="BZ243" s="939"/>
      <c r="CA243" s="939"/>
      <c r="CB243" s="939"/>
      <c r="CC243" s="939"/>
      <c r="CD243" s="939"/>
      <c r="CE243" s="939"/>
      <c r="CF243" s="939"/>
      <c r="CG243" s="939"/>
      <c r="CH243" s="939"/>
      <c r="CI243" s="939"/>
      <c r="CJ243" s="939"/>
      <c r="CK243" s="939"/>
      <c r="CL243" s="940">
        <f t="shared" si="25"/>
        <v>2</v>
      </c>
      <c r="CM243" s="824">
        <f t="shared" si="20"/>
        <v>0</v>
      </c>
      <c r="CN243" s="938">
        <v>1.2</v>
      </c>
      <c r="CO243" s="522"/>
      <c r="CP243" s="522"/>
      <c r="CQ243" s="522"/>
      <c r="CR243" s="1011">
        <v>19.600000000000001</v>
      </c>
      <c r="CS243" s="936"/>
      <c r="CT243" s="522" t="s">
        <v>470</v>
      </c>
      <c r="CU243" s="522"/>
      <c r="CV243" s="522"/>
      <c r="CW243" s="522"/>
      <c r="CX243" s="939"/>
      <c r="CY243" s="939"/>
      <c r="CZ243" s="939"/>
      <c r="DA243" s="522" t="s">
        <v>479</v>
      </c>
      <c r="DB243" s="522"/>
      <c r="DC243" s="939">
        <v>221</v>
      </c>
      <c r="DD243" s="522"/>
      <c r="DE243" s="522"/>
      <c r="DF243" s="939"/>
      <c r="DG243" s="939"/>
      <c r="DH243" s="939"/>
      <c r="DI243" s="939"/>
      <c r="DJ243" s="939"/>
      <c r="DK243" s="939"/>
      <c r="DL243" s="939"/>
      <c r="DM243" s="522"/>
      <c r="DN243" s="522"/>
      <c r="DO243" s="939"/>
      <c r="DP243" s="522"/>
      <c r="DQ243" s="522"/>
      <c r="DR243" s="939"/>
      <c r="DS243" s="522"/>
      <c r="DT243" s="522"/>
      <c r="DU243" s="939"/>
      <c r="DV243" s="522"/>
      <c r="DW243" s="522"/>
      <c r="DX243" s="939"/>
      <c r="DY243" s="522"/>
      <c r="DZ243" s="522"/>
      <c r="EA243" s="939"/>
      <c r="EB243" s="522"/>
      <c r="EC243" s="522"/>
      <c r="ED243" s="939"/>
      <c r="EE243" s="939"/>
      <c r="EF243" s="939"/>
      <c r="EG243" s="939"/>
      <c r="EH243" s="522"/>
      <c r="EI243" s="522"/>
      <c r="EJ243" s="939"/>
      <c r="EK243" s="522"/>
      <c r="EL243" s="522"/>
      <c r="EM243" s="939"/>
      <c r="EN243" s="522" t="s">
        <v>689</v>
      </c>
      <c r="EO243" s="522"/>
      <c r="EP243" s="939">
        <v>6</v>
      </c>
      <c r="EQ243" s="939"/>
      <c r="ER243" s="939"/>
      <c r="ES243" s="939"/>
      <c r="ET243" s="522"/>
      <c r="EU243" s="522"/>
      <c r="EV243" s="939"/>
      <c r="EW243" s="939"/>
      <c r="EX243" s="939"/>
      <c r="EY243" s="939"/>
      <c r="EZ243" s="522" t="s">
        <v>470</v>
      </c>
      <c r="FA243" s="522"/>
      <c r="FB243" s="935" t="s">
        <v>5123</v>
      </c>
      <c r="FC243" s="522"/>
      <c r="FD243" s="522"/>
      <c r="FE243" s="522"/>
      <c r="FF243" s="522"/>
      <c r="FG243" s="522" t="s">
        <v>4599</v>
      </c>
      <c r="FH243" s="522">
        <v>1</v>
      </c>
      <c r="FI243" s="522">
        <v>35</v>
      </c>
      <c r="FJ243" s="522" t="s">
        <v>4447</v>
      </c>
      <c r="FK243" s="522">
        <v>83533521666</v>
      </c>
      <c r="FL243" s="522" t="s">
        <v>4042</v>
      </c>
      <c r="FM243" s="522" t="s">
        <v>3876</v>
      </c>
      <c r="FN243" s="522" t="s">
        <v>3807</v>
      </c>
      <c r="FO243" s="935" t="s">
        <v>1412</v>
      </c>
    </row>
    <row r="244" spans="5:171" ht="43" customHeight="1" x14ac:dyDescent="0.2">
      <c r="E244" s="94" t="s">
        <v>9302</v>
      </c>
      <c r="F244" s="94" t="s">
        <v>9121</v>
      </c>
      <c r="G244" s="97" t="s">
        <v>340</v>
      </c>
      <c r="H244" s="97" t="s">
        <v>425</v>
      </c>
      <c r="I244" s="522" t="s">
        <v>8743</v>
      </c>
      <c r="J244" s="522" t="s">
        <v>3260</v>
      </c>
      <c r="K244" s="522" t="s">
        <v>3260</v>
      </c>
      <c r="L244" s="933">
        <v>2020</v>
      </c>
      <c r="M244" s="934">
        <v>44461</v>
      </c>
      <c r="N244" s="934">
        <v>44885</v>
      </c>
      <c r="O244" s="934"/>
      <c r="P244" s="934"/>
      <c r="Q244" s="934"/>
      <c r="R244" s="934"/>
      <c r="S244" s="934"/>
      <c r="T244" s="934"/>
      <c r="U244" s="934"/>
      <c r="V244" s="934"/>
      <c r="W244" s="934"/>
      <c r="X244" s="934"/>
      <c r="Y244" s="934"/>
      <c r="Z244" s="522" t="s">
        <v>8089</v>
      </c>
      <c r="AA244" s="522" t="s">
        <v>7945</v>
      </c>
      <c r="AB244" s="522"/>
      <c r="AC244" s="522"/>
      <c r="AD244" s="522" t="s">
        <v>7464</v>
      </c>
      <c r="AE244" s="522" t="s">
        <v>7276</v>
      </c>
      <c r="AF244" s="522"/>
      <c r="AG244" s="522" t="s">
        <v>7080</v>
      </c>
      <c r="AH244" s="522" t="s">
        <v>6834</v>
      </c>
      <c r="AI244" s="522" t="s">
        <v>6834</v>
      </c>
      <c r="AJ244" s="522" t="s">
        <v>1763</v>
      </c>
      <c r="AK244" s="522" t="s">
        <v>6489</v>
      </c>
      <c r="AL244" s="580">
        <f t="shared" si="19"/>
        <v>0.48199999999999998</v>
      </c>
      <c r="AM244" s="504">
        <v>0.48199999999999998</v>
      </c>
      <c r="AN244" s="516"/>
      <c r="AO244" s="97"/>
      <c r="AP244" s="97"/>
      <c r="AQ244" s="504">
        <v>0.45</v>
      </c>
      <c r="AR244" s="507">
        <f>AQ244/AL244</f>
        <v>0.93360995850622408</v>
      </c>
      <c r="AS244" s="507">
        <v>8.0000000000000004E-4</v>
      </c>
      <c r="AT244" s="516"/>
      <c r="AU244" s="507"/>
      <c r="AV244" s="516"/>
      <c r="AW244" s="507"/>
      <c r="AX244" s="516">
        <v>3.2000000000000001E-2</v>
      </c>
      <c r="AY244" s="507">
        <f>AX244/AL244</f>
        <v>6.6390041493775934E-2</v>
      </c>
      <c r="AZ244" s="516"/>
      <c r="BA244" s="936"/>
      <c r="BB244" s="936"/>
      <c r="BC244" s="936"/>
      <c r="BD244" s="936"/>
      <c r="BE244" s="936" t="s">
        <v>479</v>
      </c>
      <c r="BF244" s="936" t="s">
        <v>6302</v>
      </c>
      <c r="BG244" s="936"/>
      <c r="BH244" s="937"/>
      <c r="BI244" s="938">
        <v>0.4</v>
      </c>
      <c r="BJ244" s="936">
        <v>6.9999999999999999E-4</v>
      </c>
      <c r="BK244" s="939">
        <v>2</v>
      </c>
      <c r="BL244" s="939">
        <v>2</v>
      </c>
      <c r="BM244" s="939">
        <v>1</v>
      </c>
      <c r="BN244" s="939"/>
      <c r="BO244" s="939">
        <v>1</v>
      </c>
      <c r="BP244" s="939"/>
      <c r="BQ244" s="939"/>
      <c r="BR244" s="939"/>
      <c r="BS244" s="939"/>
      <c r="BT244" s="939"/>
      <c r="BU244" s="939"/>
      <c r="BV244" s="939"/>
      <c r="BW244" s="939"/>
      <c r="BX244" s="939"/>
      <c r="BY244" s="939"/>
      <c r="BZ244" s="939"/>
      <c r="CA244" s="939"/>
      <c r="CB244" s="939"/>
      <c r="CC244" s="939"/>
      <c r="CD244" s="939"/>
      <c r="CE244" s="939"/>
      <c r="CF244" s="939"/>
      <c r="CG244" s="939"/>
      <c r="CH244" s="939"/>
      <c r="CI244" s="939"/>
      <c r="CJ244" s="939"/>
      <c r="CK244" s="939"/>
      <c r="CL244" s="940">
        <f t="shared" si="25"/>
        <v>1</v>
      </c>
      <c r="CM244" s="824">
        <f t="shared" si="20"/>
        <v>0</v>
      </c>
      <c r="CN244" s="938">
        <v>4.1180000000000003</v>
      </c>
      <c r="CO244" s="522" t="s">
        <v>6100</v>
      </c>
      <c r="CP244" s="522"/>
      <c r="CQ244" s="522">
        <v>91.3</v>
      </c>
      <c r="CR244" s="938"/>
      <c r="CS244" s="936"/>
      <c r="CT244" s="522" t="s">
        <v>470</v>
      </c>
      <c r="CU244" s="522"/>
      <c r="CV244" s="522"/>
      <c r="CW244" s="522"/>
      <c r="CX244" s="939"/>
      <c r="CY244" s="939"/>
      <c r="CZ244" s="939"/>
      <c r="DA244" s="522" t="s">
        <v>479</v>
      </c>
      <c r="DB244" s="522" t="s">
        <v>656</v>
      </c>
      <c r="DC244" s="939"/>
      <c r="DD244" s="522"/>
      <c r="DE244" s="522"/>
      <c r="DF244" s="939"/>
      <c r="DG244" s="939" t="s">
        <v>479</v>
      </c>
      <c r="DH244" s="939" t="s">
        <v>640</v>
      </c>
      <c r="DI244" s="939">
        <v>12</v>
      </c>
      <c r="DJ244" s="939"/>
      <c r="DK244" s="939"/>
      <c r="DL244" s="939"/>
      <c r="DM244" s="522"/>
      <c r="DN244" s="522"/>
      <c r="DO244" s="939"/>
      <c r="DP244" s="522"/>
      <c r="DQ244" s="522"/>
      <c r="DR244" s="939"/>
      <c r="DS244" s="522"/>
      <c r="DT244" s="522"/>
      <c r="DU244" s="939"/>
      <c r="DV244" s="522"/>
      <c r="DW244" s="522"/>
      <c r="DX244" s="939"/>
      <c r="DY244" s="522"/>
      <c r="DZ244" s="522"/>
      <c r="EA244" s="939"/>
      <c r="EB244" s="522" t="s">
        <v>479</v>
      </c>
      <c r="EC244" s="522" t="s">
        <v>640</v>
      </c>
      <c r="ED244" s="939">
        <v>142</v>
      </c>
      <c r="EE244" s="939"/>
      <c r="EF244" s="939"/>
      <c r="EG244" s="939"/>
      <c r="EH244" s="522"/>
      <c r="EI244" s="522"/>
      <c r="EJ244" s="939"/>
      <c r="EK244" s="522"/>
      <c r="EL244" s="522"/>
      <c r="EM244" s="939"/>
      <c r="EN244" s="522"/>
      <c r="EO244" s="522"/>
      <c r="EP244" s="939"/>
      <c r="EQ244" s="939"/>
      <c r="ER244" s="939"/>
      <c r="ES244" s="939"/>
      <c r="ET244" s="522"/>
      <c r="EU244" s="522"/>
      <c r="EV244" s="939"/>
      <c r="EW244" s="939"/>
      <c r="EX244" s="939"/>
      <c r="EY244" s="939"/>
      <c r="EZ244" s="522" t="s">
        <v>470</v>
      </c>
      <c r="FA244" s="522"/>
      <c r="FB244" s="522" t="s">
        <v>5122</v>
      </c>
      <c r="FC244" s="522"/>
      <c r="FD244" s="522"/>
      <c r="FE244" s="522"/>
      <c r="FF244" s="522"/>
      <c r="FG244" s="522"/>
      <c r="FH244" s="522"/>
      <c r="FI244" s="522"/>
      <c r="FJ244" s="522" t="s">
        <v>4446</v>
      </c>
      <c r="FK244" s="522" t="s">
        <v>4233</v>
      </c>
      <c r="FL244" s="522" t="s">
        <v>4041</v>
      </c>
      <c r="FM244" s="522" t="s">
        <v>3876</v>
      </c>
      <c r="FN244" s="522" t="s">
        <v>3807</v>
      </c>
      <c r="FO244" s="935" t="s">
        <v>1412</v>
      </c>
    </row>
    <row r="245" spans="5:171" ht="28" customHeight="1" x14ac:dyDescent="0.2">
      <c r="E245" s="94" t="s">
        <v>3236</v>
      </c>
      <c r="F245" s="94" t="s">
        <v>9121</v>
      </c>
      <c r="G245" s="97" t="s">
        <v>340</v>
      </c>
      <c r="H245" s="1012" t="s">
        <v>425</v>
      </c>
      <c r="I245" s="522" t="s">
        <v>8743</v>
      </c>
      <c r="J245" s="522" t="s">
        <v>3438</v>
      </c>
      <c r="K245" s="522" t="s">
        <v>3438</v>
      </c>
      <c r="L245" s="933">
        <v>2020</v>
      </c>
      <c r="M245" s="934">
        <v>44621</v>
      </c>
      <c r="N245" s="934">
        <v>44926</v>
      </c>
      <c r="O245" s="934"/>
      <c r="P245" s="934"/>
      <c r="Q245" s="934"/>
      <c r="R245" s="934"/>
      <c r="S245" s="934"/>
      <c r="T245" s="934"/>
      <c r="U245" s="934"/>
      <c r="V245" s="934"/>
      <c r="W245" s="934"/>
      <c r="X245" s="934"/>
      <c r="Y245" s="934"/>
      <c r="Z245" s="522" t="s">
        <v>8088</v>
      </c>
      <c r="AA245" s="522" t="s">
        <v>7944</v>
      </c>
      <c r="AB245" s="522" t="s">
        <v>656</v>
      </c>
      <c r="AC245" s="522"/>
      <c r="AD245" s="522"/>
      <c r="AE245" s="522"/>
      <c r="AF245" s="522"/>
      <c r="AG245" s="522"/>
      <c r="AH245" s="522" t="s">
        <v>6833</v>
      </c>
      <c r="AI245" s="522" t="s">
        <v>6833</v>
      </c>
      <c r="AJ245" s="522" t="s">
        <v>6653</v>
      </c>
      <c r="AK245" s="522" t="s">
        <v>6488</v>
      </c>
      <c r="AL245" s="580">
        <f t="shared" si="19"/>
        <v>0.5</v>
      </c>
      <c r="AM245" s="504">
        <v>0.5</v>
      </c>
      <c r="AN245" s="516"/>
      <c r="AO245" s="97"/>
      <c r="AP245" s="97"/>
      <c r="AQ245" s="504">
        <v>0.5</v>
      </c>
      <c r="AR245" s="507">
        <v>1</v>
      </c>
      <c r="AS245" s="507">
        <v>8.0000000000000004E-4</v>
      </c>
      <c r="AT245" s="516"/>
      <c r="AU245" s="507"/>
      <c r="AV245" s="516"/>
      <c r="AW245" s="507"/>
      <c r="AX245" s="516"/>
      <c r="AY245" s="507"/>
      <c r="AZ245" s="516"/>
      <c r="BA245" s="936"/>
      <c r="BB245" s="936"/>
      <c r="BC245" s="936"/>
      <c r="BD245" s="936"/>
      <c r="BE245" s="936" t="s">
        <v>470</v>
      </c>
      <c r="BF245" s="936"/>
      <c r="BG245" s="936"/>
      <c r="BH245" s="937"/>
      <c r="BI245" s="938">
        <v>0.5</v>
      </c>
      <c r="BJ245" s="936">
        <v>8.0000000000000004E-4</v>
      </c>
      <c r="BK245" s="939">
        <v>3</v>
      </c>
      <c r="BL245" s="939">
        <v>3</v>
      </c>
      <c r="BM245" s="939">
        <v>1</v>
      </c>
      <c r="BN245" s="939"/>
      <c r="BO245" s="939"/>
      <c r="BP245" s="939"/>
      <c r="BQ245" s="939"/>
      <c r="BR245" s="939"/>
      <c r="BS245" s="939"/>
      <c r="BT245" s="939"/>
      <c r="BU245" s="939"/>
      <c r="BV245" s="939"/>
      <c r="BW245" s="939"/>
      <c r="BX245" s="939"/>
      <c r="BY245" s="939"/>
      <c r="BZ245" s="939"/>
      <c r="CA245" s="939"/>
      <c r="CB245" s="939"/>
      <c r="CC245" s="939"/>
      <c r="CD245" s="939"/>
      <c r="CE245" s="939"/>
      <c r="CF245" s="939"/>
      <c r="CG245" s="939">
        <v>1</v>
      </c>
      <c r="CH245" s="939"/>
      <c r="CI245" s="939"/>
      <c r="CJ245" s="939"/>
      <c r="CK245" s="939"/>
      <c r="CL245" s="940">
        <f t="shared" si="25"/>
        <v>1</v>
      </c>
      <c r="CM245" s="824">
        <f t="shared" si="20"/>
        <v>0</v>
      </c>
      <c r="CN245" s="938">
        <v>1E-3</v>
      </c>
      <c r="CO245" s="522" t="s">
        <v>6099</v>
      </c>
      <c r="CP245" s="522"/>
      <c r="CQ245" s="522"/>
      <c r="CR245" s="938">
        <v>0.6</v>
      </c>
      <c r="CS245" s="936"/>
      <c r="CT245" s="522" t="s">
        <v>470</v>
      </c>
      <c r="CU245" s="522"/>
      <c r="CV245" s="522"/>
      <c r="CW245" s="522"/>
      <c r="CX245" s="939"/>
      <c r="CY245" s="939"/>
      <c r="CZ245" s="939"/>
      <c r="DA245" s="522"/>
      <c r="DB245" s="522"/>
      <c r="DC245" s="939"/>
      <c r="DD245" s="522"/>
      <c r="DE245" s="522"/>
      <c r="DF245" s="939"/>
      <c r="DG245" s="939"/>
      <c r="DH245" s="939"/>
      <c r="DI245" s="939"/>
      <c r="DJ245" s="939"/>
      <c r="DK245" s="939"/>
      <c r="DL245" s="939"/>
      <c r="DM245" s="522"/>
      <c r="DN245" s="522"/>
      <c r="DO245" s="939"/>
      <c r="DP245" s="522"/>
      <c r="DQ245" s="522"/>
      <c r="DR245" s="939"/>
      <c r="DS245" s="522"/>
      <c r="DT245" s="522"/>
      <c r="DU245" s="939"/>
      <c r="DV245" s="522" t="s">
        <v>5508</v>
      </c>
      <c r="DW245" s="522"/>
      <c r="DX245" s="939"/>
      <c r="DY245" s="522"/>
      <c r="DZ245" s="522"/>
      <c r="EA245" s="939"/>
      <c r="EB245" s="522"/>
      <c r="EC245" s="522"/>
      <c r="ED245" s="939"/>
      <c r="EE245" s="939"/>
      <c r="EF245" s="939"/>
      <c r="EG245" s="939"/>
      <c r="EH245" s="522"/>
      <c r="EI245" s="522"/>
      <c r="EJ245" s="939"/>
      <c r="EK245" s="522"/>
      <c r="EL245" s="522"/>
      <c r="EM245" s="939"/>
      <c r="EN245" s="522" t="s">
        <v>479</v>
      </c>
      <c r="EO245" s="522" t="s">
        <v>640</v>
      </c>
      <c r="EP245" s="939">
        <v>11</v>
      </c>
      <c r="EQ245" s="939"/>
      <c r="ER245" s="939"/>
      <c r="ES245" s="939"/>
      <c r="ET245" s="522"/>
      <c r="EU245" s="522"/>
      <c r="EV245" s="939"/>
      <c r="EW245" s="939"/>
      <c r="EX245" s="939"/>
      <c r="EY245" s="939"/>
      <c r="EZ245" s="522" t="s">
        <v>470</v>
      </c>
      <c r="FA245" s="522"/>
      <c r="FB245" s="935" t="s">
        <v>4976</v>
      </c>
      <c r="FC245" s="935" t="s">
        <v>4976</v>
      </c>
      <c r="FD245" s="522" t="s">
        <v>470</v>
      </c>
      <c r="FE245" s="522" t="s">
        <v>470</v>
      </c>
      <c r="FF245" s="522" t="s">
        <v>470</v>
      </c>
      <c r="FG245" s="522" t="s">
        <v>3421</v>
      </c>
      <c r="FH245" s="522">
        <v>0</v>
      </c>
      <c r="FI245" s="522">
        <v>0</v>
      </c>
      <c r="FJ245" s="522" t="s">
        <v>4445</v>
      </c>
      <c r="FK245" s="522" t="s">
        <v>4233</v>
      </c>
      <c r="FL245" s="522" t="s">
        <v>4041</v>
      </c>
      <c r="FM245" s="522" t="s">
        <v>3876</v>
      </c>
      <c r="FN245" s="522" t="s">
        <v>3807</v>
      </c>
      <c r="FO245" s="935" t="s">
        <v>1412</v>
      </c>
    </row>
    <row r="246" spans="5:171" ht="28" customHeight="1" x14ac:dyDescent="0.2">
      <c r="E246" s="94" t="s">
        <v>9302</v>
      </c>
      <c r="F246" s="94" t="s">
        <v>9121</v>
      </c>
      <c r="G246" s="97" t="s">
        <v>340</v>
      </c>
      <c r="H246" s="1012" t="s">
        <v>425</v>
      </c>
      <c r="I246" s="522" t="s">
        <v>8742</v>
      </c>
      <c r="J246" s="522" t="s">
        <v>3260</v>
      </c>
      <c r="K246" s="522" t="s">
        <v>3260</v>
      </c>
      <c r="L246" s="933">
        <v>2022</v>
      </c>
      <c r="M246" s="934">
        <v>44774</v>
      </c>
      <c r="N246" s="934">
        <v>44926</v>
      </c>
      <c r="O246" s="934"/>
      <c r="P246" s="934"/>
      <c r="Q246" s="934"/>
      <c r="R246" s="934"/>
      <c r="S246" s="934"/>
      <c r="T246" s="934"/>
      <c r="U246" s="934"/>
      <c r="V246" s="934"/>
      <c r="W246" s="934"/>
      <c r="X246" s="934"/>
      <c r="Y246" s="934"/>
      <c r="Z246" s="522" t="s">
        <v>8087</v>
      </c>
      <c r="AA246" s="935" t="s">
        <v>7943</v>
      </c>
      <c r="AB246" s="522"/>
      <c r="AC246" s="522"/>
      <c r="AD246" s="522" t="s">
        <v>7463</v>
      </c>
      <c r="AE246" s="935" t="s">
        <v>7275</v>
      </c>
      <c r="AF246" s="522" t="s">
        <v>7150</v>
      </c>
      <c r="AG246" s="935" t="s">
        <v>7079</v>
      </c>
      <c r="AH246" s="522" t="s">
        <v>6832</v>
      </c>
      <c r="AI246" s="522" t="s">
        <v>6832</v>
      </c>
      <c r="AJ246" s="522" t="s">
        <v>2328</v>
      </c>
      <c r="AK246" s="522" t="s">
        <v>6487</v>
      </c>
      <c r="AL246" s="580">
        <f t="shared" si="19"/>
        <v>0.71057500000000007</v>
      </c>
      <c r="AM246" s="504">
        <v>0.71057500000000007</v>
      </c>
      <c r="AN246" s="516"/>
      <c r="AO246" s="97"/>
      <c r="AP246" s="97"/>
      <c r="AQ246" s="504">
        <v>0.56157500000000005</v>
      </c>
      <c r="AR246" s="507">
        <v>0.7903</v>
      </c>
      <c r="AS246" s="507">
        <v>8.0000000000000004E-4</v>
      </c>
      <c r="AT246" s="516">
        <v>2.8400000000000002E-2</v>
      </c>
      <c r="AU246" s="507">
        <v>0.04</v>
      </c>
      <c r="AV246" s="516">
        <v>0.1206</v>
      </c>
      <c r="AW246" s="507">
        <v>0.16969999999999999</v>
      </c>
      <c r="AX246" s="516"/>
      <c r="AY246" s="507"/>
      <c r="AZ246" s="516"/>
      <c r="BA246" s="936"/>
      <c r="BB246" s="936"/>
      <c r="BC246" s="936"/>
      <c r="BD246" s="936"/>
      <c r="BE246" s="936" t="s">
        <v>470</v>
      </c>
      <c r="BF246" s="936"/>
      <c r="BG246" s="936"/>
      <c r="BH246" s="937"/>
      <c r="BI246" s="938">
        <v>0.2918</v>
      </c>
      <c r="BJ246" s="936">
        <v>7.4000000000000003E-3</v>
      </c>
      <c r="BK246" s="939">
        <v>1</v>
      </c>
      <c r="BL246" s="939">
        <v>1</v>
      </c>
      <c r="BM246" s="939">
        <v>1</v>
      </c>
      <c r="BN246" s="939"/>
      <c r="BO246" s="939"/>
      <c r="BP246" s="939"/>
      <c r="BQ246" s="939"/>
      <c r="BR246" s="939"/>
      <c r="BS246" s="939"/>
      <c r="BT246" s="939"/>
      <c r="BU246" s="939">
        <v>1</v>
      </c>
      <c r="BV246" s="939"/>
      <c r="BW246" s="939"/>
      <c r="BX246" s="939"/>
      <c r="BY246" s="939"/>
      <c r="BZ246" s="939"/>
      <c r="CA246" s="939"/>
      <c r="CB246" s="939"/>
      <c r="CC246" s="939"/>
      <c r="CD246" s="939"/>
      <c r="CE246" s="939"/>
      <c r="CF246" s="939"/>
      <c r="CG246" s="939"/>
      <c r="CH246" s="939"/>
      <c r="CI246" s="939"/>
      <c r="CJ246" s="939"/>
      <c r="CK246" s="939"/>
      <c r="CL246" s="940">
        <f t="shared" si="25"/>
        <v>1</v>
      </c>
      <c r="CM246" s="824">
        <f t="shared" si="20"/>
        <v>0</v>
      </c>
      <c r="CN246" s="938">
        <v>0.28199999999999997</v>
      </c>
      <c r="CO246" s="522"/>
      <c r="CP246" s="522"/>
      <c r="CQ246" s="522"/>
      <c r="CR246" s="938">
        <v>16.530999999999999</v>
      </c>
      <c r="CS246" s="1006" t="s">
        <v>5872</v>
      </c>
      <c r="CT246" s="522" t="s">
        <v>470</v>
      </c>
      <c r="CU246" s="522"/>
      <c r="CV246" s="522"/>
      <c r="CW246" s="522"/>
      <c r="CX246" s="939"/>
      <c r="CY246" s="939"/>
      <c r="CZ246" s="939"/>
      <c r="DA246" s="522" t="s">
        <v>479</v>
      </c>
      <c r="DB246" s="522" t="s">
        <v>5702</v>
      </c>
      <c r="DC246" s="939">
        <v>282</v>
      </c>
      <c r="DD246" s="522" t="s">
        <v>479</v>
      </c>
      <c r="DE246" s="522" t="s">
        <v>5629</v>
      </c>
      <c r="DF246" s="939">
        <v>282</v>
      </c>
      <c r="DG246" s="939" t="s">
        <v>470</v>
      </c>
      <c r="DH246" s="939"/>
      <c r="DI246" s="939"/>
      <c r="DJ246" s="939" t="s">
        <v>470</v>
      </c>
      <c r="DK246" s="939"/>
      <c r="DL246" s="939"/>
      <c r="DM246" s="522" t="s">
        <v>470</v>
      </c>
      <c r="DN246" s="522"/>
      <c r="DO246" s="939"/>
      <c r="DP246" s="522" t="s">
        <v>470</v>
      </c>
      <c r="DQ246" s="522"/>
      <c r="DR246" s="939"/>
      <c r="DS246" s="522" t="s">
        <v>470</v>
      </c>
      <c r="DT246" s="522"/>
      <c r="DU246" s="939"/>
      <c r="DV246" s="522"/>
      <c r="DW246" s="522"/>
      <c r="DX246" s="939"/>
      <c r="DY246" s="522" t="s">
        <v>470</v>
      </c>
      <c r="DZ246" s="522"/>
      <c r="EA246" s="939"/>
      <c r="EB246" s="522" t="s">
        <v>479</v>
      </c>
      <c r="EC246" s="522" t="s">
        <v>5407</v>
      </c>
      <c r="ED246" s="939">
        <v>282</v>
      </c>
      <c r="EE246" s="939" t="s">
        <v>470</v>
      </c>
      <c r="EF246" s="939"/>
      <c r="EG246" s="939"/>
      <c r="EH246" s="522" t="s">
        <v>470</v>
      </c>
      <c r="EI246" s="522"/>
      <c r="EJ246" s="939"/>
      <c r="EK246" s="522" t="s">
        <v>470</v>
      </c>
      <c r="EL246" s="522"/>
      <c r="EM246" s="939"/>
      <c r="EN246" s="522" t="s">
        <v>470</v>
      </c>
      <c r="EO246" s="522"/>
      <c r="EP246" s="939"/>
      <c r="EQ246" s="939" t="s">
        <v>470</v>
      </c>
      <c r="ER246" s="939"/>
      <c r="ES246" s="939"/>
      <c r="ET246" s="522"/>
      <c r="EU246" s="522"/>
      <c r="EV246" s="939"/>
      <c r="EW246" s="939"/>
      <c r="EX246" s="939"/>
      <c r="EY246" s="939"/>
      <c r="EZ246" s="522" t="s">
        <v>470</v>
      </c>
      <c r="FA246" s="522" t="s">
        <v>470</v>
      </c>
      <c r="FB246" s="522" t="s">
        <v>470</v>
      </c>
      <c r="FC246" s="522" t="s">
        <v>470</v>
      </c>
      <c r="FD246" s="935" t="s">
        <v>4710</v>
      </c>
      <c r="FE246" s="522" t="s">
        <v>4706</v>
      </c>
      <c r="FF246" s="935" t="s">
        <v>4710</v>
      </c>
      <c r="FG246" s="522" t="s">
        <v>4634</v>
      </c>
      <c r="FH246" s="522">
        <v>1</v>
      </c>
      <c r="FI246" s="522">
        <v>34</v>
      </c>
      <c r="FJ246" s="522" t="s">
        <v>4444</v>
      </c>
      <c r="FK246" s="522" t="s">
        <v>4232</v>
      </c>
      <c r="FL246" s="935" t="s">
        <v>4040</v>
      </c>
      <c r="FM246" s="522" t="s">
        <v>3876</v>
      </c>
      <c r="FN246" s="522" t="s">
        <v>3807</v>
      </c>
      <c r="FO246" s="935" t="s">
        <v>1412</v>
      </c>
    </row>
    <row r="247" spans="5:171" ht="43" customHeight="1" x14ac:dyDescent="0.2">
      <c r="E247" s="94" t="s">
        <v>9305</v>
      </c>
      <c r="F247" s="94" t="s">
        <v>9121</v>
      </c>
      <c r="G247" s="97" t="s">
        <v>340</v>
      </c>
      <c r="H247" s="1012" t="s">
        <v>425</v>
      </c>
      <c r="I247" s="522" t="s">
        <v>8741</v>
      </c>
      <c r="J247" s="522" t="s">
        <v>8365</v>
      </c>
      <c r="K247" s="522" t="s">
        <v>8365</v>
      </c>
      <c r="L247" s="933">
        <v>2021</v>
      </c>
      <c r="M247" s="934" t="s">
        <v>8298</v>
      </c>
      <c r="N247" s="934">
        <v>44926</v>
      </c>
      <c r="O247" s="934"/>
      <c r="P247" s="934"/>
      <c r="Q247" s="934"/>
      <c r="R247" s="934"/>
      <c r="S247" s="934"/>
      <c r="T247" s="934"/>
      <c r="U247" s="934"/>
      <c r="V247" s="934"/>
      <c r="W247" s="934"/>
      <c r="X247" s="934"/>
      <c r="Y247" s="934"/>
      <c r="Z247" s="522"/>
      <c r="AA247" s="522"/>
      <c r="AB247" s="522" t="s">
        <v>7805</v>
      </c>
      <c r="AC247" s="935" t="s">
        <v>7639</v>
      </c>
      <c r="AD247" s="522"/>
      <c r="AE247" s="522"/>
      <c r="AF247" s="522" t="s">
        <v>470</v>
      </c>
      <c r="AG247" s="522"/>
      <c r="AH247" s="522" t="s">
        <v>6831</v>
      </c>
      <c r="AI247" s="522" t="s">
        <v>6831</v>
      </c>
      <c r="AJ247" s="522" t="s">
        <v>6696</v>
      </c>
      <c r="AK247" s="522" t="s">
        <v>6486</v>
      </c>
      <c r="AL247" s="580">
        <f t="shared" si="19"/>
        <v>1.0510000000000002</v>
      </c>
      <c r="AM247" s="504">
        <v>1.0510000000000002</v>
      </c>
      <c r="AN247" s="516"/>
      <c r="AO247" s="97"/>
      <c r="AP247" s="97"/>
      <c r="AQ247" s="504">
        <v>0.8</v>
      </c>
      <c r="AR247" s="507">
        <f>AQ247/AL247</f>
        <v>0.76117982873453849</v>
      </c>
      <c r="AS247" s="507">
        <v>8.9999999999999998E-4</v>
      </c>
      <c r="AT247" s="516"/>
      <c r="AU247" s="507"/>
      <c r="AV247" s="516"/>
      <c r="AW247" s="507"/>
      <c r="AX247" s="516">
        <v>0.251</v>
      </c>
      <c r="AY247" s="507">
        <f>AX247/AL247</f>
        <v>0.23882017126546143</v>
      </c>
      <c r="AZ247" s="516"/>
      <c r="BA247" s="936"/>
      <c r="BB247" s="936"/>
      <c r="BC247" s="936"/>
      <c r="BD247" s="936"/>
      <c r="BE247" s="936" t="s">
        <v>470</v>
      </c>
      <c r="BF247" s="936"/>
      <c r="BG247" s="936"/>
      <c r="BH247" s="937"/>
      <c r="BI247" s="938">
        <v>0.38800000000000001</v>
      </c>
      <c r="BJ247" s="936">
        <v>4.0000000000000002E-4</v>
      </c>
      <c r="BK247" s="939">
        <v>4</v>
      </c>
      <c r="BL247" s="939">
        <v>4</v>
      </c>
      <c r="BM247" s="939">
        <v>4</v>
      </c>
      <c r="BN247" s="939">
        <v>1</v>
      </c>
      <c r="BO247" s="939"/>
      <c r="BP247" s="939"/>
      <c r="BQ247" s="939"/>
      <c r="BR247" s="939"/>
      <c r="BS247" s="939"/>
      <c r="BT247" s="939"/>
      <c r="BU247" s="939">
        <v>1</v>
      </c>
      <c r="BV247" s="939"/>
      <c r="BW247" s="939"/>
      <c r="BX247" s="939">
        <v>1</v>
      </c>
      <c r="BY247" s="939"/>
      <c r="BZ247" s="939">
        <v>1</v>
      </c>
      <c r="CA247" s="939"/>
      <c r="CB247" s="939"/>
      <c r="CC247" s="939"/>
      <c r="CD247" s="939"/>
      <c r="CE247" s="939"/>
      <c r="CF247" s="939"/>
      <c r="CG247" s="939"/>
      <c r="CH247" s="939"/>
      <c r="CI247" s="939"/>
      <c r="CJ247" s="939"/>
      <c r="CK247" s="939"/>
      <c r="CL247" s="940">
        <f t="shared" si="25"/>
        <v>4</v>
      </c>
      <c r="CM247" s="824">
        <f t="shared" si="20"/>
        <v>0</v>
      </c>
      <c r="CN247" s="938">
        <v>1.4350000000000001</v>
      </c>
      <c r="CO247" s="522" t="s">
        <v>6098</v>
      </c>
      <c r="CP247" s="522"/>
      <c r="CQ247" s="936">
        <v>0.21929999999999999</v>
      </c>
      <c r="CR247" s="938">
        <v>6.5449999999999999</v>
      </c>
      <c r="CS247" s="1006" t="s">
        <v>5871</v>
      </c>
      <c r="CT247" s="522" t="s">
        <v>5802</v>
      </c>
      <c r="CU247" s="522"/>
      <c r="CV247" s="522"/>
      <c r="CW247" s="522"/>
      <c r="CX247" s="939"/>
      <c r="CY247" s="939" t="s">
        <v>470</v>
      </c>
      <c r="CZ247" s="939"/>
      <c r="DA247" s="522" t="s">
        <v>479</v>
      </c>
      <c r="DB247" s="522" t="s">
        <v>5701</v>
      </c>
      <c r="DC247" s="939">
        <v>809</v>
      </c>
      <c r="DD247" s="522"/>
      <c r="DE247" s="522"/>
      <c r="DF247" s="939"/>
      <c r="DG247" s="939"/>
      <c r="DH247" s="939"/>
      <c r="DI247" s="939"/>
      <c r="DJ247" s="939"/>
      <c r="DK247" s="939"/>
      <c r="DL247" s="939"/>
      <c r="DM247" s="522"/>
      <c r="DN247" s="522"/>
      <c r="DO247" s="939"/>
      <c r="DP247" s="522"/>
      <c r="DQ247" s="522"/>
      <c r="DR247" s="939"/>
      <c r="DS247" s="522"/>
      <c r="DT247" s="522"/>
      <c r="DU247" s="939"/>
      <c r="DV247" s="522"/>
      <c r="DW247" s="522"/>
      <c r="DX247" s="939"/>
      <c r="DY247" s="522"/>
      <c r="DZ247" s="522"/>
      <c r="EA247" s="939"/>
      <c r="EB247" s="522"/>
      <c r="EC247" s="522"/>
      <c r="ED247" s="939"/>
      <c r="EE247" s="939"/>
      <c r="EF247" s="939"/>
      <c r="EG247" s="939"/>
      <c r="EH247" s="522"/>
      <c r="EI247" s="522"/>
      <c r="EJ247" s="939"/>
      <c r="EK247" s="522"/>
      <c r="EL247" s="522"/>
      <c r="EM247" s="939"/>
      <c r="EN247" s="522" t="s">
        <v>479</v>
      </c>
      <c r="EO247" s="935" t="s">
        <v>5346</v>
      </c>
      <c r="EP247" s="939" t="s">
        <v>5324</v>
      </c>
      <c r="EQ247" s="939"/>
      <c r="ER247" s="939"/>
      <c r="ES247" s="939"/>
      <c r="ET247" s="522"/>
      <c r="EU247" s="522"/>
      <c r="EV247" s="939"/>
      <c r="EW247" s="939"/>
      <c r="EX247" s="939"/>
      <c r="EY247" s="939"/>
      <c r="EZ247" s="522" t="s">
        <v>470</v>
      </c>
      <c r="FA247" s="522"/>
      <c r="FB247" s="935" t="s">
        <v>5121</v>
      </c>
      <c r="FC247" s="522"/>
      <c r="FD247" s="522"/>
      <c r="FE247" s="522" t="s">
        <v>4804</v>
      </c>
      <c r="FF247" s="522" t="s">
        <v>470</v>
      </c>
      <c r="FG247" s="522" t="s">
        <v>470</v>
      </c>
      <c r="FH247" s="522"/>
      <c r="FI247" s="522"/>
      <c r="FJ247" s="522" t="s">
        <v>4443</v>
      </c>
      <c r="FK247" s="522">
        <v>83535223668</v>
      </c>
      <c r="FL247" s="935" t="s">
        <v>4039</v>
      </c>
      <c r="FM247" s="522" t="s">
        <v>3876</v>
      </c>
      <c r="FN247" s="522" t="s">
        <v>3807</v>
      </c>
      <c r="FO247" s="935" t="s">
        <v>1412</v>
      </c>
    </row>
    <row r="248" spans="5:171" ht="28" customHeight="1" x14ac:dyDescent="0.2">
      <c r="E248" s="94" t="s">
        <v>9309</v>
      </c>
      <c r="F248" s="94" t="s">
        <v>9121</v>
      </c>
      <c r="G248" s="97" t="s">
        <v>340</v>
      </c>
      <c r="H248" s="1012" t="s">
        <v>425</v>
      </c>
      <c r="I248" s="522" t="s">
        <v>8741</v>
      </c>
      <c r="J248" s="522" t="s">
        <v>8392</v>
      </c>
      <c r="K248" s="522" t="s">
        <v>8392</v>
      </c>
      <c r="L248" s="933">
        <v>2022</v>
      </c>
      <c r="M248" s="934" t="s">
        <v>8297</v>
      </c>
      <c r="N248" s="934">
        <v>44926</v>
      </c>
      <c r="O248" s="934"/>
      <c r="P248" s="934"/>
      <c r="Q248" s="934"/>
      <c r="R248" s="934"/>
      <c r="S248" s="934"/>
      <c r="T248" s="934"/>
      <c r="U248" s="934"/>
      <c r="V248" s="934"/>
      <c r="W248" s="934"/>
      <c r="X248" s="934"/>
      <c r="Y248" s="934"/>
      <c r="Z248" s="522" t="s">
        <v>8086</v>
      </c>
      <c r="AA248" s="935" t="s">
        <v>7942</v>
      </c>
      <c r="AB248" s="522"/>
      <c r="AC248" s="935"/>
      <c r="AD248" s="522"/>
      <c r="AE248" s="522"/>
      <c r="AF248" s="522" t="s">
        <v>470</v>
      </c>
      <c r="AG248" s="522"/>
      <c r="AH248" s="522" t="s">
        <v>6831</v>
      </c>
      <c r="AI248" s="522" t="s">
        <v>6830</v>
      </c>
      <c r="AJ248" s="522" t="s">
        <v>6695</v>
      </c>
      <c r="AK248" s="522" t="s">
        <v>6485</v>
      </c>
      <c r="AL248" s="580">
        <f t="shared" si="19"/>
        <v>1.4</v>
      </c>
      <c r="AM248" s="504">
        <v>1.4</v>
      </c>
      <c r="AN248" s="516"/>
      <c r="AO248" s="97"/>
      <c r="AP248" s="97"/>
      <c r="AQ248" s="504">
        <v>1.4</v>
      </c>
      <c r="AR248" s="507">
        <v>1</v>
      </c>
      <c r="AS248" s="507">
        <v>1.6000000000000001E-3</v>
      </c>
      <c r="AT248" s="516"/>
      <c r="AU248" s="507"/>
      <c r="AV248" s="516"/>
      <c r="AW248" s="507"/>
      <c r="AX248" s="516"/>
      <c r="AY248" s="507"/>
      <c r="AZ248" s="516"/>
      <c r="BA248" s="936"/>
      <c r="BB248" s="936"/>
      <c r="BC248" s="936"/>
      <c r="BD248" s="936"/>
      <c r="BE248" s="936" t="s">
        <v>470</v>
      </c>
      <c r="BF248" s="936"/>
      <c r="BG248" s="936"/>
      <c r="BH248" s="937"/>
      <c r="BI248" s="938">
        <v>1.2</v>
      </c>
      <c r="BJ248" s="936">
        <v>1.1999999999999999E-3</v>
      </c>
      <c r="BK248" s="939">
        <v>12</v>
      </c>
      <c r="BL248" s="939">
        <v>12</v>
      </c>
      <c r="BM248" s="939">
        <v>7</v>
      </c>
      <c r="BN248" s="939"/>
      <c r="BO248" s="939"/>
      <c r="BP248" s="939"/>
      <c r="BQ248" s="939"/>
      <c r="BR248" s="939"/>
      <c r="BS248" s="939"/>
      <c r="BT248" s="939"/>
      <c r="BU248" s="939">
        <v>7</v>
      </c>
      <c r="BV248" s="939"/>
      <c r="BW248" s="939"/>
      <c r="BX248" s="939"/>
      <c r="BY248" s="939"/>
      <c r="BZ248" s="939"/>
      <c r="CA248" s="939"/>
      <c r="CB248" s="939"/>
      <c r="CC248" s="939"/>
      <c r="CD248" s="939"/>
      <c r="CE248" s="939"/>
      <c r="CF248" s="939"/>
      <c r="CG248" s="939"/>
      <c r="CH248" s="939"/>
      <c r="CI248" s="939"/>
      <c r="CJ248" s="939"/>
      <c r="CK248" s="939"/>
      <c r="CL248" s="940">
        <f t="shared" si="25"/>
        <v>7</v>
      </c>
      <c r="CM248" s="824">
        <f t="shared" si="20"/>
        <v>0</v>
      </c>
      <c r="CN248" s="938">
        <v>2.9849999999999999</v>
      </c>
      <c r="CO248" s="522" t="s">
        <v>6098</v>
      </c>
      <c r="CP248" s="522"/>
      <c r="CQ248" s="936">
        <v>0.3286</v>
      </c>
      <c r="CR248" s="938">
        <v>9.0839999999999996</v>
      </c>
      <c r="CS248" s="1006" t="s">
        <v>5870</v>
      </c>
      <c r="CT248" s="522" t="s">
        <v>5802</v>
      </c>
      <c r="CU248" s="522"/>
      <c r="CV248" s="522"/>
      <c r="CW248" s="522"/>
      <c r="CX248" s="939"/>
      <c r="CY248" s="939" t="s">
        <v>470</v>
      </c>
      <c r="CZ248" s="939"/>
      <c r="DA248" s="522"/>
      <c r="DB248" s="522"/>
      <c r="DC248" s="939"/>
      <c r="DD248" s="522"/>
      <c r="DE248" s="522"/>
      <c r="DF248" s="939"/>
      <c r="DG248" s="939"/>
      <c r="DH248" s="939"/>
      <c r="DI248" s="939"/>
      <c r="DJ248" s="939"/>
      <c r="DK248" s="939"/>
      <c r="DL248" s="939"/>
      <c r="DM248" s="522"/>
      <c r="DN248" s="522"/>
      <c r="DO248" s="939"/>
      <c r="DP248" s="522"/>
      <c r="DQ248" s="522"/>
      <c r="DR248" s="939"/>
      <c r="DS248" s="522"/>
      <c r="DT248" s="522"/>
      <c r="DU248" s="939"/>
      <c r="DV248" s="522" t="s">
        <v>479</v>
      </c>
      <c r="DW248" s="522" t="s">
        <v>5482</v>
      </c>
      <c r="DX248" s="939">
        <v>65</v>
      </c>
      <c r="DY248" s="522"/>
      <c r="DZ248" s="522"/>
      <c r="EA248" s="939"/>
      <c r="EB248" s="522"/>
      <c r="EC248" s="522"/>
      <c r="ED248" s="939"/>
      <c r="EE248" s="939"/>
      <c r="EF248" s="939"/>
      <c r="EG248" s="939"/>
      <c r="EH248" s="522"/>
      <c r="EI248" s="522"/>
      <c r="EJ248" s="939"/>
      <c r="EK248" s="522"/>
      <c r="EL248" s="522"/>
      <c r="EM248" s="939"/>
      <c r="EN248" s="522" t="s">
        <v>479</v>
      </c>
      <c r="EO248" s="935" t="s">
        <v>5345</v>
      </c>
      <c r="EP248" s="939">
        <v>9</v>
      </c>
      <c r="EQ248" s="939"/>
      <c r="ER248" s="939"/>
      <c r="ES248" s="939"/>
      <c r="ET248" s="522"/>
      <c r="EU248" s="522"/>
      <c r="EV248" s="939"/>
      <c r="EW248" s="939"/>
      <c r="EX248" s="939"/>
      <c r="EY248" s="939"/>
      <c r="EZ248" s="522" t="s">
        <v>470</v>
      </c>
      <c r="FA248" s="522"/>
      <c r="FB248" s="935" t="s">
        <v>5120</v>
      </c>
      <c r="FC248" s="935" t="s">
        <v>4975</v>
      </c>
      <c r="FD248" s="522"/>
      <c r="FE248" s="522" t="s">
        <v>4803</v>
      </c>
      <c r="FF248" s="522" t="s">
        <v>470</v>
      </c>
      <c r="FG248" s="522" t="s">
        <v>470</v>
      </c>
      <c r="FH248" s="522"/>
      <c r="FI248" s="522"/>
      <c r="FJ248" s="522" t="s">
        <v>4443</v>
      </c>
      <c r="FK248" s="522">
        <v>83535223668</v>
      </c>
      <c r="FL248" s="935" t="s">
        <v>4039</v>
      </c>
      <c r="FM248" s="522" t="s">
        <v>3876</v>
      </c>
      <c r="FN248" s="522" t="s">
        <v>3807</v>
      </c>
      <c r="FO248" s="935" t="s">
        <v>1412</v>
      </c>
    </row>
    <row r="249" spans="5:171" ht="43" customHeight="1" x14ac:dyDescent="0.2">
      <c r="E249" s="94" t="s">
        <v>9302</v>
      </c>
      <c r="F249" s="94" t="s">
        <v>9121</v>
      </c>
      <c r="G249" s="97" t="s">
        <v>340</v>
      </c>
      <c r="H249" s="1012" t="s">
        <v>425</v>
      </c>
      <c r="I249" s="522" t="s">
        <v>8740</v>
      </c>
      <c r="J249" s="522" t="s">
        <v>3260</v>
      </c>
      <c r="K249" s="522" t="s">
        <v>3260</v>
      </c>
      <c r="L249" s="933">
        <v>2017</v>
      </c>
      <c r="M249" s="934" t="s">
        <v>8296</v>
      </c>
      <c r="N249" s="934" t="s">
        <v>8227</v>
      </c>
      <c r="O249" s="934"/>
      <c r="P249" s="934"/>
      <c r="Q249" s="934"/>
      <c r="R249" s="934"/>
      <c r="S249" s="934"/>
      <c r="T249" s="934"/>
      <c r="U249" s="934"/>
      <c r="V249" s="934"/>
      <c r="W249" s="934"/>
      <c r="X249" s="934"/>
      <c r="Y249" s="934"/>
      <c r="Z249" s="522" t="s">
        <v>8085</v>
      </c>
      <c r="AA249" s="935" t="s">
        <v>6233</v>
      </c>
      <c r="AB249" s="522" t="s">
        <v>4906</v>
      </c>
      <c r="AC249" s="522" t="s">
        <v>4906</v>
      </c>
      <c r="AD249" s="522" t="s">
        <v>7462</v>
      </c>
      <c r="AE249" s="935" t="s">
        <v>7274</v>
      </c>
      <c r="AF249" s="522" t="s">
        <v>4906</v>
      </c>
      <c r="AG249" s="522" t="s">
        <v>4906</v>
      </c>
      <c r="AH249" s="522" t="s">
        <v>6829</v>
      </c>
      <c r="AI249" s="522" t="s">
        <v>6829</v>
      </c>
      <c r="AJ249" s="522" t="s">
        <v>6692</v>
      </c>
      <c r="AK249" s="522" t="s">
        <v>6484</v>
      </c>
      <c r="AL249" s="580">
        <f t="shared" si="19"/>
        <v>1.4115</v>
      </c>
      <c r="AM249" s="504">
        <v>1.4115</v>
      </c>
      <c r="AN249" s="516"/>
      <c r="AO249" s="97"/>
      <c r="AP249" s="97"/>
      <c r="AQ249" s="504">
        <v>1.0767</v>
      </c>
      <c r="AR249" s="507">
        <f>AQ249/AL249</f>
        <v>0.76280552603613183</v>
      </c>
      <c r="AS249" s="507">
        <v>1.0500000000000001E-2</v>
      </c>
      <c r="AT249" s="516"/>
      <c r="AU249" s="97" t="s">
        <v>4906</v>
      </c>
      <c r="AV249" s="516"/>
      <c r="AW249" s="97" t="s">
        <v>4906</v>
      </c>
      <c r="AX249" s="516">
        <v>0.33479999999999999</v>
      </c>
      <c r="AY249" s="507">
        <f>AX249/AL249</f>
        <v>0.23719447396386822</v>
      </c>
      <c r="AZ249" s="516"/>
      <c r="BA249" s="936"/>
      <c r="BB249" s="936"/>
      <c r="BC249" s="936"/>
      <c r="BD249" s="936"/>
      <c r="BE249" s="936" t="s">
        <v>479</v>
      </c>
      <c r="BF249" s="936" t="s">
        <v>6301</v>
      </c>
      <c r="BG249" s="1006" t="s">
        <v>6233</v>
      </c>
      <c r="BH249" s="522" t="s">
        <v>4906</v>
      </c>
      <c r="BI249" s="938">
        <v>3.0501</v>
      </c>
      <c r="BJ249" s="936">
        <v>2.0799999999999999E-2</v>
      </c>
      <c r="BK249" s="939">
        <v>16</v>
      </c>
      <c r="BL249" s="939">
        <v>8</v>
      </c>
      <c r="BM249" s="939">
        <v>8</v>
      </c>
      <c r="BN249" s="939">
        <v>0</v>
      </c>
      <c r="BO249" s="939">
        <v>0</v>
      </c>
      <c r="BP249" s="939">
        <v>1</v>
      </c>
      <c r="BQ249" s="939">
        <v>0</v>
      </c>
      <c r="BR249" s="939">
        <v>0</v>
      </c>
      <c r="BS249" s="939">
        <v>0</v>
      </c>
      <c r="BT249" s="939">
        <v>0</v>
      </c>
      <c r="BU249" s="939">
        <v>0</v>
      </c>
      <c r="BV249" s="939">
        <v>0</v>
      </c>
      <c r="BW249" s="939">
        <v>0</v>
      </c>
      <c r="BX249" s="939">
        <v>2</v>
      </c>
      <c r="BY249" s="939">
        <v>0</v>
      </c>
      <c r="BZ249" s="939">
        <v>4</v>
      </c>
      <c r="CA249" s="939">
        <v>1</v>
      </c>
      <c r="CB249" s="939">
        <v>0</v>
      </c>
      <c r="CC249" s="939">
        <v>0</v>
      </c>
      <c r="CD249" s="939">
        <v>0</v>
      </c>
      <c r="CE249" s="939">
        <v>0</v>
      </c>
      <c r="CF249" s="939">
        <v>0</v>
      </c>
      <c r="CG249" s="939">
        <v>0</v>
      </c>
      <c r="CH249" s="939">
        <v>0</v>
      </c>
      <c r="CI249" s="939">
        <v>0</v>
      </c>
      <c r="CJ249" s="939">
        <v>0</v>
      </c>
      <c r="CK249" s="939">
        <v>0</v>
      </c>
      <c r="CL249" s="940">
        <f t="shared" si="25"/>
        <v>8</v>
      </c>
      <c r="CM249" s="824">
        <f t="shared" si="20"/>
        <v>0</v>
      </c>
      <c r="CN249" s="938">
        <v>3.827</v>
      </c>
      <c r="CO249" s="522" t="s">
        <v>6097</v>
      </c>
      <c r="CP249" s="522" t="s">
        <v>4906</v>
      </c>
      <c r="CQ249" s="522">
        <v>63.57</v>
      </c>
      <c r="CR249" s="938">
        <v>6.02</v>
      </c>
      <c r="CS249" s="1006" t="s">
        <v>5869</v>
      </c>
      <c r="CT249" s="522" t="s">
        <v>470</v>
      </c>
      <c r="CU249" s="522" t="s">
        <v>4906</v>
      </c>
      <c r="CV249" s="522" t="s">
        <v>4906</v>
      </c>
      <c r="CW249" s="522" t="s">
        <v>4906</v>
      </c>
      <c r="CX249" s="522" t="s">
        <v>4906</v>
      </c>
      <c r="CY249" s="522" t="s">
        <v>4906</v>
      </c>
      <c r="CZ249" s="939">
        <v>2</v>
      </c>
      <c r="DA249" s="522" t="s">
        <v>479</v>
      </c>
      <c r="DB249" s="522" t="s">
        <v>5700</v>
      </c>
      <c r="DC249" s="939">
        <v>1366</v>
      </c>
      <c r="DD249" s="522" t="s">
        <v>470</v>
      </c>
      <c r="DE249" s="522" t="s">
        <v>4906</v>
      </c>
      <c r="DF249" s="522" t="s">
        <v>4906</v>
      </c>
      <c r="DG249" s="522" t="s">
        <v>470</v>
      </c>
      <c r="DH249" s="522" t="s">
        <v>4906</v>
      </c>
      <c r="DI249" s="522" t="s">
        <v>4906</v>
      </c>
      <c r="DJ249" s="522" t="s">
        <v>470</v>
      </c>
      <c r="DK249" s="522" t="s">
        <v>4906</v>
      </c>
      <c r="DL249" s="522" t="s">
        <v>4906</v>
      </c>
      <c r="DM249" s="522" t="s">
        <v>470</v>
      </c>
      <c r="DN249" s="522" t="s">
        <v>4906</v>
      </c>
      <c r="DO249" s="522" t="s">
        <v>4906</v>
      </c>
      <c r="DP249" s="522" t="s">
        <v>470</v>
      </c>
      <c r="DQ249" s="522" t="s">
        <v>4906</v>
      </c>
      <c r="DR249" s="522" t="s">
        <v>4906</v>
      </c>
      <c r="DS249" s="522" t="s">
        <v>470</v>
      </c>
      <c r="DT249" s="522" t="s">
        <v>4906</v>
      </c>
      <c r="DU249" s="522" t="s">
        <v>4906</v>
      </c>
      <c r="DV249" s="522" t="s">
        <v>470</v>
      </c>
      <c r="DW249" s="522" t="s">
        <v>4906</v>
      </c>
      <c r="DX249" s="522" t="s">
        <v>4906</v>
      </c>
      <c r="DY249" s="522" t="s">
        <v>470</v>
      </c>
      <c r="DZ249" s="522" t="s">
        <v>4906</v>
      </c>
      <c r="EA249" s="522" t="s">
        <v>4906</v>
      </c>
      <c r="EB249" s="522" t="s">
        <v>470</v>
      </c>
      <c r="EC249" s="522" t="s">
        <v>4906</v>
      </c>
      <c r="ED249" s="522" t="s">
        <v>4906</v>
      </c>
      <c r="EE249" s="522" t="s">
        <v>470</v>
      </c>
      <c r="EF249" s="522" t="s">
        <v>4906</v>
      </c>
      <c r="EG249" s="522" t="s">
        <v>4906</v>
      </c>
      <c r="EH249" s="522" t="s">
        <v>470</v>
      </c>
      <c r="EI249" s="522" t="s">
        <v>4906</v>
      </c>
      <c r="EJ249" s="522" t="s">
        <v>4906</v>
      </c>
      <c r="EK249" s="522" t="s">
        <v>470</v>
      </c>
      <c r="EL249" s="522" t="s">
        <v>4906</v>
      </c>
      <c r="EM249" s="522" t="s">
        <v>4906</v>
      </c>
      <c r="EN249" s="522" t="s">
        <v>470</v>
      </c>
      <c r="EO249" s="522" t="s">
        <v>4906</v>
      </c>
      <c r="EP249" s="522" t="s">
        <v>4906</v>
      </c>
      <c r="EQ249" s="522" t="s">
        <v>470</v>
      </c>
      <c r="ER249" s="522" t="s">
        <v>4906</v>
      </c>
      <c r="ES249" s="522" t="s">
        <v>4906</v>
      </c>
      <c r="ET249" s="522" t="s">
        <v>470</v>
      </c>
      <c r="EU249" s="522" t="s">
        <v>4906</v>
      </c>
      <c r="EV249" s="522" t="s">
        <v>4906</v>
      </c>
      <c r="EW249" s="522"/>
      <c r="EX249" s="522"/>
      <c r="EY249" s="522"/>
      <c r="EZ249" s="522" t="s">
        <v>470</v>
      </c>
      <c r="FA249" s="522" t="s">
        <v>4906</v>
      </c>
      <c r="FB249" s="522" t="s">
        <v>4906</v>
      </c>
      <c r="FC249" s="935" t="s">
        <v>4974</v>
      </c>
      <c r="FD249" s="522" t="s">
        <v>4906</v>
      </c>
      <c r="FE249" s="522" t="s">
        <v>4802</v>
      </c>
      <c r="FF249" s="522" t="s">
        <v>4709</v>
      </c>
      <c r="FG249" s="522" t="s">
        <v>4633</v>
      </c>
      <c r="FH249" s="522">
        <v>4</v>
      </c>
      <c r="FI249" s="522">
        <v>30</v>
      </c>
      <c r="FJ249" s="522" t="s">
        <v>4442</v>
      </c>
      <c r="FK249" s="522" t="s">
        <v>4231</v>
      </c>
      <c r="FL249" s="935" t="s">
        <v>4038</v>
      </c>
      <c r="FM249" s="522" t="s">
        <v>3876</v>
      </c>
      <c r="FN249" s="522" t="s">
        <v>3807</v>
      </c>
      <c r="FO249" s="935" t="s">
        <v>1412</v>
      </c>
    </row>
    <row r="250" spans="5:171" ht="28" customHeight="1" x14ac:dyDescent="0.2">
      <c r="E250" s="94" t="s">
        <v>3236</v>
      </c>
      <c r="F250" s="94" t="s">
        <v>9121</v>
      </c>
      <c r="G250" s="97" t="s">
        <v>340</v>
      </c>
      <c r="H250" s="1012" t="s">
        <v>425</v>
      </c>
      <c r="I250" s="522" t="s">
        <v>8740</v>
      </c>
      <c r="J250" s="522" t="s">
        <v>3438</v>
      </c>
      <c r="K250" s="522" t="s">
        <v>3438</v>
      </c>
      <c r="L250" s="933">
        <v>2022</v>
      </c>
      <c r="M250" s="934">
        <v>44729</v>
      </c>
      <c r="N250" s="934">
        <v>44925</v>
      </c>
      <c r="O250" s="934"/>
      <c r="P250" s="934"/>
      <c r="Q250" s="934"/>
      <c r="R250" s="934"/>
      <c r="S250" s="934"/>
      <c r="T250" s="934"/>
      <c r="U250" s="934"/>
      <c r="V250" s="934"/>
      <c r="W250" s="934"/>
      <c r="X250" s="934"/>
      <c r="Y250" s="934"/>
      <c r="Z250" s="522" t="s">
        <v>8084</v>
      </c>
      <c r="AA250" s="935"/>
      <c r="AB250" s="522" t="s">
        <v>4906</v>
      </c>
      <c r="AC250" s="522" t="s">
        <v>4906</v>
      </c>
      <c r="AD250" s="522" t="s">
        <v>7461</v>
      </c>
      <c r="AE250" s="935" t="s">
        <v>7273</v>
      </c>
      <c r="AF250" s="522" t="s">
        <v>4906</v>
      </c>
      <c r="AG250" s="522" t="s">
        <v>4906</v>
      </c>
      <c r="AH250" s="522" t="s">
        <v>6989</v>
      </c>
      <c r="AI250" s="522" t="s">
        <v>6829</v>
      </c>
      <c r="AJ250" s="522" t="s">
        <v>504</v>
      </c>
      <c r="AK250" s="522" t="s">
        <v>6483</v>
      </c>
      <c r="AL250" s="580">
        <f t="shared" si="19"/>
        <v>0.9</v>
      </c>
      <c r="AM250" s="504">
        <v>0.9</v>
      </c>
      <c r="AN250" s="516"/>
      <c r="AO250" s="97"/>
      <c r="AP250" s="97"/>
      <c r="AQ250" s="504">
        <v>0.9</v>
      </c>
      <c r="AR250" s="507">
        <v>1</v>
      </c>
      <c r="AS250" s="507">
        <v>1</v>
      </c>
      <c r="AT250" s="516"/>
      <c r="AU250" s="97" t="s">
        <v>4906</v>
      </c>
      <c r="AV250" s="516"/>
      <c r="AW250" s="97" t="s">
        <v>4906</v>
      </c>
      <c r="AX250" s="516">
        <v>0</v>
      </c>
      <c r="AY250" s="507">
        <v>0</v>
      </c>
      <c r="AZ250" s="516"/>
      <c r="BA250" s="936"/>
      <c r="BB250" s="936"/>
      <c r="BC250" s="936"/>
      <c r="BD250" s="936"/>
      <c r="BE250" s="936" t="s">
        <v>470</v>
      </c>
      <c r="BF250" s="522" t="s">
        <v>4906</v>
      </c>
      <c r="BG250" s="522" t="s">
        <v>4906</v>
      </c>
      <c r="BH250" s="522" t="s">
        <v>4906</v>
      </c>
      <c r="BI250" s="938">
        <v>900</v>
      </c>
      <c r="BJ250" s="936">
        <v>6.9999999999999999E-4</v>
      </c>
      <c r="BK250" s="522">
        <v>1</v>
      </c>
      <c r="BL250" s="522">
        <v>1</v>
      </c>
      <c r="BM250" s="522">
        <v>1</v>
      </c>
      <c r="BN250" s="939">
        <v>0</v>
      </c>
      <c r="BO250" s="939">
        <v>0</v>
      </c>
      <c r="BP250" s="939">
        <v>0</v>
      </c>
      <c r="BQ250" s="939">
        <v>0</v>
      </c>
      <c r="BR250" s="939">
        <v>0</v>
      </c>
      <c r="BS250" s="939">
        <v>0</v>
      </c>
      <c r="BT250" s="939">
        <v>0</v>
      </c>
      <c r="BU250" s="939">
        <v>0</v>
      </c>
      <c r="BV250" s="939">
        <v>0</v>
      </c>
      <c r="BW250" s="939">
        <v>0</v>
      </c>
      <c r="BX250" s="939">
        <v>0</v>
      </c>
      <c r="BY250" s="939">
        <v>0</v>
      </c>
      <c r="BZ250" s="939">
        <v>0</v>
      </c>
      <c r="CA250" s="939">
        <v>0</v>
      </c>
      <c r="CB250" s="939">
        <v>0</v>
      </c>
      <c r="CC250" s="939">
        <v>0</v>
      </c>
      <c r="CD250" s="939">
        <v>0</v>
      </c>
      <c r="CE250" s="939">
        <v>0</v>
      </c>
      <c r="CF250" s="939">
        <v>0</v>
      </c>
      <c r="CG250" s="939">
        <v>1</v>
      </c>
      <c r="CH250" s="939">
        <v>0</v>
      </c>
      <c r="CI250" s="939">
        <v>0</v>
      </c>
      <c r="CJ250" s="939">
        <v>0</v>
      </c>
      <c r="CK250" s="939">
        <v>0</v>
      </c>
      <c r="CL250" s="940">
        <f t="shared" si="25"/>
        <v>1</v>
      </c>
      <c r="CM250" s="824">
        <f t="shared" si="20"/>
        <v>0</v>
      </c>
      <c r="CN250" s="938">
        <v>0.77600000000000002</v>
      </c>
      <c r="CO250" s="522" t="s">
        <v>6096</v>
      </c>
      <c r="CP250" s="522" t="s">
        <v>4906</v>
      </c>
      <c r="CQ250" s="937">
        <f>CN250/CR250*100</f>
        <v>2.6320252348811182</v>
      </c>
      <c r="CR250" s="938">
        <v>29.483000000000001</v>
      </c>
      <c r="CS250" s="1006" t="s">
        <v>5868</v>
      </c>
      <c r="CT250" s="522" t="s">
        <v>470</v>
      </c>
      <c r="CU250" s="522" t="s">
        <v>4906</v>
      </c>
      <c r="CV250" s="522" t="s">
        <v>4906</v>
      </c>
      <c r="CW250" s="522" t="s">
        <v>4906</v>
      </c>
      <c r="CX250" s="522" t="s">
        <v>4906</v>
      </c>
      <c r="CY250" s="522" t="s">
        <v>4906</v>
      </c>
      <c r="CZ250" s="939"/>
      <c r="DA250" s="522" t="s">
        <v>470</v>
      </c>
      <c r="DB250" s="522" t="s">
        <v>4906</v>
      </c>
      <c r="DC250" s="522" t="s">
        <v>4906</v>
      </c>
      <c r="DD250" s="522" t="s">
        <v>479</v>
      </c>
      <c r="DE250" s="522" t="s">
        <v>5627</v>
      </c>
      <c r="DF250" s="522">
        <v>164</v>
      </c>
      <c r="DG250" s="522" t="s">
        <v>470</v>
      </c>
      <c r="DH250" s="522" t="s">
        <v>4906</v>
      </c>
      <c r="DI250" s="522" t="s">
        <v>4906</v>
      </c>
      <c r="DJ250" s="522" t="s">
        <v>470</v>
      </c>
      <c r="DK250" s="522" t="s">
        <v>4906</v>
      </c>
      <c r="DL250" s="522" t="s">
        <v>4906</v>
      </c>
      <c r="DM250" s="522" t="s">
        <v>470</v>
      </c>
      <c r="DN250" s="522" t="s">
        <v>4906</v>
      </c>
      <c r="DO250" s="522" t="s">
        <v>4906</v>
      </c>
      <c r="DP250" s="522" t="s">
        <v>470</v>
      </c>
      <c r="DQ250" s="522" t="s">
        <v>4906</v>
      </c>
      <c r="DR250" s="522" t="s">
        <v>4906</v>
      </c>
      <c r="DS250" s="522" t="s">
        <v>470</v>
      </c>
      <c r="DT250" s="522" t="s">
        <v>4906</v>
      </c>
      <c r="DU250" s="522" t="s">
        <v>4906</v>
      </c>
      <c r="DV250" s="522" t="s">
        <v>470</v>
      </c>
      <c r="DW250" s="522" t="s">
        <v>4906</v>
      </c>
      <c r="DX250" s="522" t="s">
        <v>4906</v>
      </c>
      <c r="DY250" s="522" t="s">
        <v>470</v>
      </c>
      <c r="DZ250" s="522" t="s">
        <v>4906</v>
      </c>
      <c r="EA250" s="522" t="s">
        <v>4906</v>
      </c>
      <c r="EB250" s="522" t="s">
        <v>470</v>
      </c>
      <c r="EC250" s="522" t="s">
        <v>4906</v>
      </c>
      <c r="ED250" s="522" t="s">
        <v>4906</v>
      </c>
      <c r="EE250" s="522" t="s">
        <v>470</v>
      </c>
      <c r="EF250" s="522" t="s">
        <v>4906</v>
      </c>
      <c r="EG250" s="522" t="s">
        <v>4906</v>
      </c>
      <c r="EH250" s="522" t="s">
        <v>470</v>
      </c>
      <c r="EI250" s="522" t="s">
        <v>4906</v>
      </c>
      <c r="EJ250" s="522" t="s">
        <v>4906</v>
      </c>
      <c r="EK250" s="522" t="s">
        <v>470</v>
      </c>
      <c r="EL250" s="522" t="s">
        <v>4906</v>
      </c>
      <c r="EM250" s="522" t="s">
        <v>4906</v>
      </c>
      <c r="EN250" s="522" t="s">
        <v>470</v>
      </c>
      <c r="EO250" s="522" t="s">
        <v>4906</v>
      </c>
      <c r="EP250" s="522" t="s">
        <v>4906</v>
      </c>
      <c r="EQ250" s="522" t="s">
        <v>470</v>
      </c>
      <c r="ER250" s="522" t="s">
        <v>4906</v>
      </c>
      <c r="ES250" s="522" t="s">
        <v>4906</v>
      </c>
      <c r="ET250" s="522" t="s">
        <v>470</v>
      </c>
      <c r="EU250" s="522" t="s">
        <v>4906</v>
      </c>
      <c r="EV250" s="522" t="s">
        <v>4906</v>
      </c>
      <c r="EW250" s="522"/>
      <c r="EX250" s="522"/>
      <c r="EY250" s="522"/>
      <c r="EZ250" s="522" t="s">
        <v>470</v>
      </c>
      <c r="FA250" s="522"/>
      <c r="FB250" s="522" t="s">
        <v>4906</v>
      </c>
      <c r="FC250" s="935" t="s">
        <v>4973</v>
      </c>
      <c r="FD250" s="522" t="s">
        <v>4906</v>
      </c>
      <c r="FE250" s="522" t="s">
        <v>4801</v>
      </c>
      <c r="FF250" s="522" t="s">
        <v>4708</v>
      </c>
      <c r="FG250" s="522" t="s">
        <v>4632</v>
      </c>
      <c r="FH250" s="522">
        <v>1</v>
      </c>
      <c r="FI250" s="522" t="s">
        <v>4572</v>
      </c>
      <c r="FJ250" s="522" t="s">
        <v>4441</v>
      </c>
      <c r="FK250" s="522" t="s">
        <v>4230</v>
      </c>
      <c r="FL250" s="935" t="s">
        <v>4037</v>
      </c>
      <c r="FM250" s="522" t="s">
        <v>3876</v>
      </c>
      <c r="FN250" s="522" t="s">
        <v>3807</v>
      </c>
      <c r="FO250" s="935" t="s">
        <v>1412</v>
      </c>
    </row>
    <row r="251" spans="5:171" ht="28" customHeight="1" x14ac:dyDescent="0.2">
      <c r="E251" s="94" t="s">
        <v>9302</v>
      </c>
      <c r="F251" s="94" t="s">
        <v>9121</v>
      </c>
      <c r="G251" s="97" t="s">
        <v>340</v>
      </c>
      <c r="H251" s="97" t="s">
        <v>425</v>
      </c>
      <c r="I251" s="522" t="s">
        <v>8739</v>
      </c>
      <c r="J251" s="522" t="s">
        <v>650</v>
      </c>
      <c r="K251" s="522" t="s">
        <v>3260</v>
      </c>
      <c r="L251" s="933">
        <v>2016</v>
      </c>
      <c r="M251" s="934">
        <v>44649</v>
      </c>
      <c r="N251" s="934">
        <v>44873</v>
      </c>
      <c r="O251" s="934"/>
      <c r="P251" s="934"/>
      <c r="Q251" s="934"/>
      <c r="R251" s="934"/>
      <c r="S251" s="934"/>
      <c r="T251" s="934"/>
      <c r="U251" s="934"/>
      <c r="V251" s="934"/>
      <c r="W251" s="934"/>
      <c r="X251" s="934"/>
      <c r="Y251" s="934"/>
      <c r="Z251" s="522" t="s">
        <v>8083</v>
      </c>
      <c r="AA251" s="522" t="s">
        <v>7941</v>
      </c>
      <c r="AB251" s="522"/>
      <c r="AC251" s="522"/>
      <c r="AD251" s="522" t="s">
        <v>7460</v>
      </c>
      <c r="AE251" s="935" t="s">
        <v>7272</v>
      </c>
      <c r="AF251" s="522" t="s">
        <v>7149</v>
      </c>
      <c r="AG251" s="935" t="s">
        <v>7078</v>
      </c>
      <c r="AH251" s="522" t="s">
        <v>6988</v>
      </c>
      <c r="AI251" s="522" t="s">
        <v>6828</v>
      </c>
      <c r="AJ251" s="522" t="s">
        <v>6694</v>
      </c>
      <c r="AK251" s="522" t="s">
        <v>6477</v>
      </c>
      <c r="AL251" s="580">
        <f t="shared" si="19"/>
        <v>0.43</v>
      </c>
      <c r="AM251" s="504">
        <v>0.43</v>
      </c>
      <c r="AN251" s="516"/>
      <c r="AO251" s="97"/>
      <c r="AP251" s="97"/>
      <c r="AQ251" s="504">
        <v>0.3</v>
      </c>
      <c r="AR251" s="507">
        <v>0.187</v>
      </c>
      <c r="AS251" s="507">
        <v>5.0000000000000001E-4</v>
      </c>
      <c r="AT251" s="516"/>
      <c r="AU251" s="507"/>
      <c r="AV251" s="516"/>
      <c r="AW251" s="507"/>
      <c r="AX251" s="516">
        <v>0.13</v>
      </c>
      <c r="AY251" s="507">
        <v>7.9000000000000001E-2</v>
      </c>
      <c r="AZ251" s="516"/>
      <c r="BA251" s="936"/>
      <c r="BB251" s="936"/>
      <c r="BC251" s="936"/>
      <c r="BD251" s="936"/>
      <c r="BE251" s="936" t="s">
        <v>479</v>
      </c>
      <c r="BF251" s="936" t="s">
        <v>6300</v>
      </c>
      <c r="BG251" s="1006" t="s">
        <v>6232</v>
      </c>
      <c r="BH251" s="937"/>
      <c r="BI251" s="938">
        <v>0.2</v>
      </c>
      <c r="BJ251" s="936">
        <v>2.9999999999999997E-4</v>
      </c>
      <c r="BK251" s="939">
        <v>4</v>
      </c>
      <c r="BL251" s="939">
        <v>2</v>
      </c>
      <c r="BM251" s="939">
        <v>2</v>
      </c>
      <c r="BN251" s="939"/>
      <c r="BO251" s="939"/>
      <c r="BP251" s="939"/>
      <c r="BQ251" s="939"/>
      <c r="BR251" s="939"/>
      <c r="BS251" s="939"/>
      <c r="BT251" s="939"/>
      <c r="BU251" s="939"/>
      <c r="BV251" s="939"/>
      <c r="BW251" s="939"/>
      <c r="BX251" s="939">
        <v>2</v>
      </c>
      <c r="BY251" s="939"/>
      <c r="BZ251" s="939"/>
      <c r="CA251" s="939"/>
      <c r="CB251" s="939"/>
      <c r="CC251" s="939"/>
      <c r="CD251" s="939"/>
      <c r="CE251" s="939"/>
      <c r="CF251" s="939"/>
      <c r="CG251" s="939"/>
      <c r="CH251" s="939"/>
      <c r="CI251" s="939"/>
      <c r="CJ251" s="939"/>
      <c r="CK251" s="939"/>
      <c r="CL251" s="940">
        <f t="shared" si="25"/>
        <v>2</v>
      </c>
      <c r="CM251" s="824">
        <f t="shared" si="20"/>
        <v>0</v>
      </c>
      <c r="CN251" s="938">
        <v>0.16500000000000001</v>
      </c>
      <c r="CO251" s="522" t="s">
        <v>6095</v>
      </c>
      <c r="CP251" s="522"/>
      <c r="CQ251" s="522">
        <v>1.6</v>
      </c>
      <c r="CR251" s="522">
        <v>10.545</v>
      </c>
      <c r="CS251" s="1006" t="s">
        <v>5867</v>
      </c>
      <c r="CT251" s="522" t="s">
        <v>470</v>
      </c>
      <c r="CU251" s="522"/>
      <c r="CV251" s="522"/>
      <c r="CW251" s="522"/>
      <c r="CX251" s="939"/>
      <c r="CY251" s="939"/>
      <c r="CZ251" s="939"/>
      <c r="DA251" s="522" t="s">
        <v>470</v>
      </c>
      <c r="DB251" s="522"/>
      <c r="DC251" s="939"/>
      <c r="DD251" s="522" t="s">
        <v>479</v>
      </c>
      <c r="DE251" s="522" t="s">
        <v>961</v>
      </c>
      <c r="DF251" s="939">
        <v>110</v>
      </c>
      <c r="DG251" s="939" t="s">
        <v>470</v>
      </c>
      <c r="DH251" s="939"/>
      <c r="DI251" s="939"/>
      <c r="DJ251" s="939" t="s">
        <v>470</v>
      </c>
      <c r="DK251" s="939"/>
      <c r="DL251" s="939"/>
      <c r="DM251" s="522" t="s">
        <v>470</v>
      </c>
      <c r="DN251" s="522"/>
      <c r="DO251" s="939"/>
      <c r="DP251" s="522" t="s">
        <v>470</v>
      </c>
      <c r="DQ251" s="522"/>
      <c r="DR251" s="939"/>
      <c r="DS251" s="522" t="s">
        <v>470</v>
      </c>
      <c r="DT251" s="522"/>
      <c r="DU251" s="939"/>
      <c r="DV251" s="522"/>
      <c r="DW251" s="522"/>
      <c r="DX251" s="939"/>
      <c r="DY251" s="522" t="s">
        <v>470</v>
      </c>
      <c r="DZ251" s="522"/>
      <c r="EA251" s="939"/>
      <c r="EB251" s="522" t="s">
        <v>479</v>
      </c>
      <c r="EC251" s="522" t="s">
        <v>1365</v>
      </c>
      <c r="ED251" s="939">
        <v>110</v>
      </c>
      <c r="EE251" s="939" t="s">
        <v>470</v>
      </c>
      <c r="EF251" s="939"/>
      <c r="EG251" s="939"/>
      <c r="EH251" s="522" t="s">
        <v>470</v>
      </c>
      <c r="EI251" s="522"/>
      <c r="EJ251" s="939"/>
      <c r="EK251" s="522" t="s">
        <v>470</v>
      </c>
      <c r="EL251" s="522"/>
      <c r="EM251" s="939"/>
      <c r="EN251" s="522" t="s">
        <v>470</v>
      </c>
      <c r="EO251" s="522"/>
      <c r="EP251" s="939"/>
      <c r="EQ251" s="939" t="s">
        <v>470</v>
      </c>
      <c r="ER251" s="939"/>
      <c r="ES251" s="939"/>
      <c r="ET251" s="522"/>
      <c r="EU251" s="522"/>
      <c r="EV251" s="939"/>
      <c r="EW251" s="939"/>
      <c r="EX251" s="939"/>
      <c r="EY251" s="939"/>
      <c r="EZ251" s="522" t="s">
        <v>470</v>
      </c>
      <c r="FA251" s="522"/>
      <c r="FB251" s="935" t="s">
        <v>5119</v>
      </c>
      <c r="FC251" s="522"/>
      <c r="FD251" s="522"/>
      <c r="FE251" s="522" t="s">
        <v>4800</v>
      </c>
      <c r="FF251" s="935" t="s">
        <v>4707</v>
      </c>
      <c r="FG251" s="522" t="s">
        <v>4631</v>
      </c>
      <c r="FH251" s="522">
        <v>2</v>
      </c>
      <c r="FI251" s="522">
        <v>52</v>
      </c>
      <c r="FJ251" s="522" t="s">
        <v>4440</v>
      </c>
      <c r="FK251" s="522" t="s">
        <v>4229</v>
      </c>
      <c r="FL251" s="935" t="s">
        <v>4036</v>
      </c>
      <c r="FM251" s="522" t="s">
        <v>3876</v>
      </c>
      <c r="FN251" s="522" t="s">
        <v>3807</v>
      </c>
      <c r="FO251" s="935" t="s">
        <v>1412</v>
      </c>
    </row>
    <row r="252" spans="5:171" ht="43" customHeight="1" x14ac:dyDescent="0.2">
      <c r="E252" s="94" t="s">
        <v>9302</v>
      </c>
      <c r="F252" s="94" t="s">
        <v>9121</v>
      </c>
      <c r="G252" s="97" t="s">
        <v>340</v>
      </c>
      <c r="H252" s="97" t="s">
        <v>425</v>
      </c>
      <c r="I252" s="522" t="s">
        <v>8738</v>
      </c>
      <c r="J252" s="522" t="s">
        <v>3260</v>
      </c>
      <c r="K252" s="522" t="s">
        <v>3260</v>
      </c>
      <c r="L252" s="933">
        <v>2017</v>
      </c>
      <c r="M252" s="934">
        <v>44641</v>
      </c>
      <c r="N252" s="934">
        <v>44925</v>
      </c>
      <c r="O252" s="934"/>
      <c r="P252" s="934"/>
      <c r="Q252" s="934"/>
      <c r="R252" s="934"/>
      <c r="S252" s="934"/>
      <c r="T252" s="934"/>
      <c r="U252" s="934"/>
      <c r="V252" s="934"/>
      <c r="W252" s="934"/>
      <c r="X252" s="934"/>
      <c r="Y252" s="934"/>
      <c r="Z252" s="522" t="s">
        <v>8082</v>
      </c>
      <c r="AA252" s="935" t="s">
        <v>7940</v>
      </c>
      <c r="AB252" s="522" t="s">
        <v>7804</v>
      </c>
      <c r="AC252" s="935" t="s">
        <v>7638</v>
      </c>
      <c r="AD252" s="522" t="s">
        <v>7459</v>
      </c>
      <c r="AE252" s="935" t="s">
        <v>7271</v>
      </c>
      <c r="AF252" s="522" t="s">
        <v>7148</v>
      </c>
      <c r="AG252" s="935" t="s">
        <v>7077</v>
      </c>
      <c r="AH252" s="522" t="s">
        <v>6827</v>
      </c>
      <c r="AI252" s="522" t="s">
        <v>6827</v>
      </c>
      <c r="AJ252" s="522" t="s">
        <v>2328</v>
      </c>
      <c r="AK252" s="522" t="s">
        <v>6477</v>
      </c>
      <c r="AL252" s="580">
        <f t="shared" si="19"/>
        <v>2.3810000000000002</v>
      </c>
      <c r="AM252" s="504">
        <v>2.3810000000000002</v>
      </c>
      <c r="AN252" s="516"/>
      <c r="AO252" s="97"/>
      <c r="AP252" s="97"/>
      <c r="AQ252" s="504">
        <v>2.0870000000000002</v>
      </c>
      <c r="AR252" s="507">
        <f>AQ252/AL252</f>
        <v>0.87652246955060897</v>
      </c>
      <c r="AS252" s="507">
        <v>2.7000000000000001E-3</v>
      </c>
      <c r="AT252" s="516">
        <v>0.12</v>
      </c>
      <c r="AU252" s="507">
        <f>AT252/AL252</f>
        <v>5.0398992020159593E-2</v>
      </c>
      <c r="AV252" s="516">
        <v>0.17399999999999999</v>
      </c>
      <c r="AW252" s="507">
        <f>AV252/AL252</f>
        <v>7.3078538429231399E-2</v>
      </c>
      <c r="AX252" s="516"/>
      <c r="AY252" s="507"/>
      <c r="AZ252" s="516"/>
      <c r="BA252" s="936"/>
      <c r="BB252" s="936"/>
      <c r="BC252" s="936"/>
      <c r="BD252" s="936"/>
      <c r="BE252" s="936" t="s">
        <v>470</v>
      </c>
      <c r="BF252" s="936"/>
      <c r="BG252" s="936"/>
      <c r="BH252" s="937"/>
      <c r="BI252" s="938">
        <v>1.5</v>
      </c>
      <c r="BJ252" s="936">
        <v>2E-3</v>
      </c>
      <c r="BK252" s="939">
        <v>9</v>
      </c>
      <c r="BL252" s="939">
        <v>9</v>
      </c>
      <c r="BM252" s="939">
        <v>9</v>
      </c>
      <c r="BN252" s="939">
        <v>2</v>
      </c>
      <c r="BO252" s="939"/>
      <c r="BP252" s="939"/>
      <c r="BQ252" s="939">
        <v>2</v>
      </c>
      <c r="BR252" s="939"/>
      <c r="BS252" s="939">
        <v>1</v>
      </c>
      <c r="BT252" s="939"/>
      <c r="BU252" s="939">
        <v>3</v>
      </c>
      <c r="BV252" s="939"/>
      <c r="BW252" s="939"/>
      <c r="BX252" s="939"/>
      <c r="BY252" s="939"/>
      <c r="BZ252" s="939"/>
      <c r="CA252" s="939">
        <v>1</v>
      </c>
      <c r="CB252" s="939"/>
      <c r="CC252" s="939"/>
      <c r="CD252" s="939"/>
      <c r="CE252" s="939"/>
      <c r="CF252" s="939"/>
      <c r="CG252" s="939"/>
      <c r="CH252" s="939"/>
      <c r="CI252" s="939"/>
      <c r="CJ252" s="939"/>
      <c r="CK252" s="939"/>
      <c r="CL252" s="940">
        <f t="shared" si="25"/>
        <v>9</v>
      </c>
      <c r="CM252" s="824">
        <f t="shared" si="20"/>
        <v>0</v>
      </c>
      <c r="CN252" s="938">
        <v>5.069</v>
      </c>
      <c r="CO252" s="522" t="s">
        <v>6094</v>
      </c>
      <c r="CP252" s="935" t="s">
        <v>5991</v>
      </c>
      <c r="CQ252" s="522">
        <v>78.989999999999995</v>
      </c>
      <c r="CR252" s="938">
        <v>6.4169999999999998</v>
      </c>
      <c r="CS252" s="936"/>
      <c r="CT252" s="522" t="s">
        <v>470</v>
      </c>
      <c r="CU252" s="522"/>
      <c r="CV252" s="522"/>
      <c r="CW252" s="522"/>
      <c r="CX252" s="939"/>
      <c r="CY252" s="939"/>
      <c r="CZ252" s="939"/>
      <c r="DA252" s="522"/>
      <c r="DB252" s="522"/>
      <c r="DC252" s="939"/>
      <c r="DD252" s="522" t="s">
        <v>479</v>
      </c>
      <c r="DE252" s="522" t="s">
        <v>1007</v>
      </c>
      <c r="DF252" s="939">
        <v>99</v>
      </c>
      <c r="DG252" s="939"/>
      <c r="DH252" s="939"/>
      <c r="DI252" s="939"/>
      <c r="DJ252" s="939"/>
      <c r="DK252" s="939"/>
      <c r="DL252" s="939"/>
      <c r="DM252" s="522"/>
      <c r="DN252" s="522"/>
      <c r="DO252" s="939"/>
      <c r="DP252" s="522"/>
      <c r="DQ252" s="522"/>
      <c r="DR252" s="939"/>
      <c r="DS252" s="522"/>
      <c r="DT252" s="522"/>
      <c r="DU252" s="939"/>
      <c r="DV252" s="522"/>
      <c r="DW252" s="522"/>
      <c r="DX252" s="939"/>
      <c r="DY252" s="522"/>
      <c r="DZ252" s="522"/>
      <c r="EA252" s="939"/>
      <c r="EB252" s="522"/>
      <c r="EC252" s="522"/>
      <c r="ED252" s="939"/>
      <c r="EE252" s="939"/>
      <c r="EF252" s="939"/>
      <c r="EG252" s="939"/>
      <c r="EH252" s="522"/>
      <c r="EI252" s="522"/>
      <c r="EJ252" s="939"/>
      <c r="EK252" s="522"/>
      <c r="EL252" s="522"/>
      <c r="EM252" s="939"/>
      <c r="EN252" s="522" t="s">
        <v>479</v>
      </c>
      <c r="EO252" s="522" t="s">
        <v>1007</v>
      </c>
      <c r="EP252" s="939">
        <v>728</v>
      </c>
      <c r="EQ252" s="939"/>
      <c r="ER252" s="939"/>
      <c r="ES252" s="939"/>
      <c r="ET252" s="522"/>
      <c r="EU252" s="522"/>
      <c r="EV252" s="939"/>
      <c r="EW252" s="939"/>
      <c r="EX252" s="939"/>
      <c r="EY252" s="939"/>
      <c r="EZ252" s="522" t="s">
        <v>470</v>
      </c>
      <c r="FA252" s="522"/>
      <c r="FB252" s="935" t="s">
        <v>5118</v>
      </c>
      <c r="FC252" s="522"/>
      <c r="FD252" s="522"/>
      <c r="FE252" s="522"/>
      <c r="FF252" s="522"/>
      <c r="FG252" s="522" t="s">
        <v>4630</v>
      </c>
      <c r="FH252" s="522">
        <v>1</v>
      </c>
      <c r="FI252" s="522">
        <v>15</v>
      </c>
      <c r="FJ252" s="522" t="s">
        <v>4439</v>
      </c>
      <c r="FK252" s="522">
        <v>83534530079</v>
      </c>
      <c r="FL252" s="935" t="s">
        <v>4035</v>
      </c>
      <c r="FM252" s="522" t="s">
        <v>3876</v>
      </c>
      <c r="FN252" s="522" t="s">
        <v>3807</v>
      </c>
      <c r="FO252" s="935" t="s">
        <v>1412</v>
      </c>
    </row>
    <row r="253" spans="5:171" ht="28" customHeight="1" x14ac:dyDescent="0.2">
      <c r="E253" s="94" t="s">
        <v>9302</v>
      </c>
      <c r="F253" s="94" t="s">
        <v>9121</v>
      </c>
      <c r="G253" s="97" t="s">
        <v>340</v>
      </c>
      <c r="H253" s="97" t="s">
        <v>425</v>
      </c>
      <c r="I253" s="522" t="s">
        <v>8737</v>
      </c>
      <c r="J253" s="522" t="s">
        <v>8529</v>
      </c>
      <c r="K253" s="522" t="s">
        <v>8391</v>
      </c>
      <c r="L253" s="933">
        <v>2019</v>
      </c>
      <c r="M253" s="934">
        <v>44641</v>
      </c>
      <c r="N253" s="934">
        <v>44925</v>
      </c>
      <c r="O253" s="934"/>
      <c r="P253" s="934"/>
      <c r="Q253" s="934"/>
      <c r="R253" s="934"/>
      <c r="S253" s="934"/>
      <c r="T253" s="934"/>
      <c r="U253" s="934"/>
      <c r="V253" s="934"/>
      <c r="W253" s="934"/>
      <c r="X253" s="934"/>
      <c r="Y253" s="934"/>
      <c r="Z253" s="522" t="s">
        <v>8081</v>
      </c>
      <c r="AA253" s="935" t="s">
        <v>7939</v>
      </c>
      <c r="AB253" s="522"/>
      <c r="AC253" s="522"/>
      <c r="AD253" s="522"/>
      <c r="AE253" s="522"/>
      <c r="AF253" s="522"/>
      <c r="AG253" s="522"/>
      <c r="AH253" s="522" t="s">
        <v>6826</v>
      </c>
      <c r="AI253" s="522" t="s">
        <v>6826</v>
      </c>
      <c r="AJ253" s="522" t="s">
        <v>6693</v>
      </c>
      <c r="AK253" s="522" t="s">
        <v>6482</v>
      </c>
      <c r="AL253" s="580">
        <f t="shared" si="19"/>
        <v>0.55000000000000004</v>
      </c>
      <c r="AM253" s="504">
        <v>0.55000000000000004</v>
      </c>
      <c r="AN253" s="516"/>
      <c r="AO253" s="97"/>
      <c r="AP253" s="97"/>
      <c r="AQ253" s="504">
        <v>0.44600000000000001</v>
      </c>
      <c r="AR253" s="507">
        <v>0.81100000000000005</v>
      </c>
      <c r="AS253" s="507">
        <v>2.9999999999999997E-4</v>
      </c>
      <c r="AT253" s="516"/>
      <c r="AU253" s="507"/>
      <c r="AV253" s="516"/>
      <c r="AW253" s="507"/>
      <c r="AX253" s="516">
        <v>0.104</v>
      </c>
      <c r="AY253" s="507">
        <v>0.189</v>
      </c>
      <c r="AZ253" s="516"/>
      <c r="BA253" s="936"/>
      <c r="BB253" s="936"/>
      <c r="BC253" s="936"/>
      <c r="BD253" s="936"/>
      <c r="BE253" s="936" t="s">
        <v>479</v>
      </c>
      <c r="BF253" s="936" t="s">
        <v>6299</v>
      </c>
      <c r="BG253" s="1006" t="s">
        <v>6231</v>
      </c>
      <c r="BH253" s="937"/>
      <c r="BI253" s="938">
        <v>0.3</v>
      </c>
      <c r="BJ253" s="936">
        <v>4.0000000000000002E-4</v>
      </c>
      <c r="BK253" s="939">
        <v>4</v>
      </c>
      <c r="BL253" s="939">
        <v>4</v>
      </c>
      <c r="BM253" s="939">
        <v>4</v>
      </c>
      <c r="BN253" s="939">
        <v>2</v>
      </c>
      <c r="BO253" s="939">
        <v>1</v>
      </c>
      <c r="BP253" s="939"/>
      <c r="BQ253" s="939"/>
      <c r="BR253" s="939"/>
      <c r="BS253" s="939">
        <v>1</v>
      </c>
      <c r="BT253" s="939"/>
      <c r="BU253" s="939"/>
      <c r="BV253" s="939"/>
      <c r="BW253" s="939"/>
      <c r="BX253" s="939"/>
      <c r="BY253" s="939"/>
      <c r="BZ253" s="939"/>
      <c r="CA253" s="939"/>
      <c r="CB253" s="939"/>
      <c r="CC253" s="939"/>
      <c r="CD253" s="939"/>
      <c r="CE253" s="939"/>
      <c r="CF253" s="939"/>
      <c r="CG253" s="939"/>
      <c r="CH253" s="939"/>
      <c r="CI253" s="939"/>
      <c r="CJ253" s="939"/>
      <c r="CK253" s="939"/>
      <c r="CL253" s="940">
        <f t="shared" si="25"/>
        <v>4</v>
      </c>
      <c r="CM253" s="824">
        <f t="shared" si="20"/>
        <v>0</v>
      </c>
      <c r="CN253" s="938">
        <v>3.1</v>
      </c>
      <c r="CO253" s="522" t="s">
        <v>6093</v>
      </c>
      <c r="CP253" s="522"/>
      <c r="CQ253" s="522"/>
      <c r="CR253" s="938">
        <v>3.6749999999999998</v>
      </c>
      <c r="CS253" s="1006" t="s">
        <v>5866</v>
      </c>
      <c r="CT253" s="522" t="s">
        <v>470</v>
      </c>
      <c r="CU253" s="522"/>
      <c r="CV253" s="522"/>
      <c r="CW253" s="522"/>
      <c r="CX253" s="939"/>
      <c r="CY253" s="939"/>
      <c r="CZ253" s="939">
        <v>3</v>
      </c>
      <c r="DA253" s="522" t="s">
        <v>470</v>
      </c>
      <c r="DB253" s="522"/>
      <c r="DC253" s="939"/>
      <c r="DD253" s="522" t="s">
        <v>479</v>
      </c>
      <c r="DE253" s="522" t="s">
        <v>2533</v>
      </c>
      <c r="DF253" s="939">
        <v>171</v>
      </c>
      <c r="DG253" s="939" t="s">
        <v>470</v>
      </c>
      <c r="DH253" s="939"/>
      <c r="DI253" s="939"/>
      <c r="DJ253" s="939" t="s">
        <v>470</v>
      </c>
      <c r="DK253" s="939"/>
      <c r="DL253" s="939"/>
      <c r="DM253" s="522" t="s">
        <v>470</v>
      </c>
      <c r="DN253" s="522"/>
      <c r="DO253" s="939"/>
      <c r="DP253" s="522" t="s">
        <v>470</v>
      </c>
      <c r="DQ253" s="522"/>
      <c r="DR253" s="939"/>
      <c r="DS253" s="522" t="s">
        <v>470</v>
      </c>
      <c r="DT253" s="522"/>
      <c r="DU253" s="939"/>
      <c r="DV253" s="522"/>
      <c r="DW253" s="522"/>
      <c r="DX253" s="939"/>
      <c r="DY253" s="522" t="s">
        <v>470</v>
      </c>
      <c r="DZ253" s="522"/>
      <c r="EA253" s="939"/>
      <c r="EB253" s="522" t="s">
        <v>470</v>
      </c>
      <c r="EC253" s="522"/>
      <c r="ED253" s="939"/>
      <c r="EE253" s="939" t="s">
        <v>470</v>
      </c>
      <c r="EF253" s="939"/>
      <c r="EG253" s="939"/>
      <c r="EH253" s="522" t="s">
        <v>470</v>
      </c>
      <c r="EI253" s="522"/>
      <c r="EJ253" s="939"/>
      <c r="EK253" s="522" t="s">
        <v>470</v>
      </c>
      <c r="EL253" s="522"/>
      <c r="EM253" s="939"/>
      <c r="EN253" s="522" t="s">
        <v>479</v>
      </c>
      <c r="EO253" s="935" t="s">
        <v>5344</v>
      </c>
      <c r="EP253" s="939">
        <v>6</v>
      </c>
      <c r="EQ253" s="939" t="s">
        <v>470</v>
      </c>
      <c r="ER253" s="939"/>
      <c r="ES253" s="939"/>
      <c r="ET253" s="522"/>
      <c r="EU253" s="522"/>
      <c r="EV253" s="939"/>
      <c r="EW253" s="939"/>
      <c r="EX253" s="939"/>
      <c r="EY253" s="939"/>
      <c r="EZ253" s="522" t="s">
        <v>470</v>
      </c>
      <c r="FA253" s="522"/>
      <c r="FB253" s="935" t="s">
        <v>4905</v>
      </c>
      <c r="FC253" s="935" t="s">
        <v>4972</v>
      </c>
      <c r="FD253" s="935" t="s">
        <v>4905</v>
      </c>
      <c r="FE253" s="522" t="s">
        <v>4799</v>
      </c>
      <c r="FF253" s="522"/>
      <c r="FG253" s="522" t="s">
        <v>4629</v>
      </c>
      <c r="FH253" s="522"/>
      <c r="FI253" s="522"/>
      <c r="FJ253" s="522" t="s">
        <v>4438</v>
      </c>
      <c r="FK253" s="522" t="s">
        <v>4228</v>
      </c>
      <c r="FL253" s="935" t="s">
        <v>4034</v>
      </c>
      <c r="FM253" s="522" t="s">
        <v>3876</v>
      </c>
      <c r="FN253" s="522" t="s">
        <v>3807</v>
      </c>
      <c r="FO253" s="935" t="s">
        <v>1412</v>
      </c>
    </row>
    <row r="254" spans="5:171" ht="43" customHeight="1" x14ac:dyDescent="0.2">
      <c r="E254" s="94" t="s">
        <v>9302</v>
      </c>
      <c r="F254" s="94" t="s">
        <v>9121</v>
      </c>
      <c r="G254" s="97" t="s">
        <v>340</v>
      </c>
      <c r="H254" s="97" t="s">
        <v>425</v>
      </c>
      <c r="I254" s="522" t="s">
        <v>8736</v>
      </c>
      <c r="J254" s="522" t="s">
        <v>8528</v>
      </c>
      <c r="K254" s="522" t="s">
        <v>8390</v>
      </c>
      <c r="L254" s="933">
        <v>2022</v>
      </c>
      <c r="M254" s="934">
        <v>44676</v>
      </c>
      <c r="N254" s="934">
        <v>44750</v>
      </c>
      <c r="O254" s="934"/>
      <c r="P254" s="934"/>
      <c r="Q254" s="934"/>
      <c r="R254" s="934"/>
      <c r="S254" s="934"/>
      <c r="T254" s="934"/>
      <c r="U254" s="934"/>
      <c r="V254" s="934"/>
      <c r="W254" s="934"/>
      <c r="X254" s="934"/>
      <c r="Y254" s="934"/>
      <c r="Z254" s="522" t="s">
        <v>8080</v>
      </c>
      <c r="AA254" s="935" t="s">
        <v>7637</v>
      </c>
      <c r="AB254" s="522" t="s">
        <v>7803</v>
      </c>
      <c r="AC254" s="935" t="s">
        <v>7637</v>
      </c>
      <c r="AD254" s="522" t="s">
        <v>7458</v>
      </c>
      <c r="AE254" s="935" t="s">
        <v>7270</v>
      </c>
      <c r="AF254" s="522"/>
      <c r="AG254" s="935"/>
      <c r="AH254" s="522" t="s">
        <v>6825</v>
      </c>
      <c r="AI254" s="522" t="s">
        <v>6825</v>
      </c>
      <c r="AJ254" s="522" t="s">
        <v>6692</v>
      </c>
      <c r="AK254" s="522" t="s">
        <v>6481</v>
      </c>
      <c r="AL254" s="580">
        <f t="shared" si="19"/>
        <v>4.5</v>
      </c>
      <c r="AM254" s="504">
        <v>4.5</v>
      </c>
      <c r="AN254" s="516"/>
      <c r="AO254" s="97"/>
      <c r="AP254" s="97"/>
      <c r="AQ254" s="504">
        <v>3.77</v>
      </c>
      <c r="AR254" s="507">
        <f>AQ254/AL254</f>
        <v>0.83777777777777773</v>
      </c>
      <c r="AS254" s="507">
        <v>1.4E-3</v>
      </c>
      <c r="AT254" s="516"/>
      <c r="AU254" s="507"/>
      <c r="AV254" s="516"/>
      <c r="AW254" s="507"/>
      <c r="AX254" s="516">
        <v>0.73</v>
      </c>
      <c r="AY254" s="507">
        <f>AX254/AL254</f>
        <v>0.16222222222222221</v>
      </c>
      <c r="AZ254" s="516"/>
      <c r="BA254" s="936"/>
      <c r="BB254" s="936"/>
      <c r="BC254" s="936"/>
      <c r="BD254" s="936"/>
      <c r="BE254" s="936" t="s">
        <v>479</v>
      </c>
      <c r="BF254" s="936" t="s">
        <v>6298</v>
      </c>
      <c r="BG254" s="1006" t="s">
        <v>6230</v>
      </c>
      <c r="BH254" s="937">
        <v>0.5</v>
      </c>
      <c r="BI254" s="938">
        <v>2.5</v>
      </c>
      <c r="BJ254" s="936">
        <v>5.9999999999999995E-4</v>
      </c>
      <c r="BK254" s="939">
        <v>1</v>
      </c>
      <c r="BL254" s="939">
        <v>1</v>
      </c>
      <c r="BM254" s="939">
        <v>1</v>
      </c>
      <c r="BN254" s="939"/>
      <c r="BO254" s="939"/>
      <c r="BP254" s="939"/>
      <c r="BQ254" s="939"/>
      <c r="BR254" s="939"/>
      <c r="BS254" s="939"/>
      <c r="BT254" s="939"/>
      <c r="BU254" s="939"/>
      <c r="BV254" s="939">
        <v>1</v>
      </c>
      <c r="BW254" s="939"/>
      <c r="BX254" s="939"/>
      <c r="BY254" s="939"/>
      <c r="BZ254" s="939"/>
      <c r="CA254" s="939"/>
      <c r="CB254" s="939"/>
      <c r="CC254" s="939"/>
      <c r="CD254" s="939"/>
      <c r="CE254" s="939"/>
      <c r="CF254" s="939"/>
      <c r="CG254" s="939"/>
      <c r="CH254" s="939"/>
      <c r="CI254" s="939"/>
      <c r="CJ254" s="939"/>
      <c r="CK254" s="939"/>
      <c r="CL254" s="940">
        <f t="shared" si="25"/>
        <v>1</v>
      </c>
      <c r="CM254" s="824">
        <f t="shared" si="20"/>
        <v>0</v>
      </c>
      <c r="CN254" s="938">
        <v>1.998</v>
      </c>
      <c r="CO254" s="522" t="s">
        <v>5699</v>
      </c>
      <c r="CP254" s="522"/>
      <c r="CQ254" s="936">
        <f>CN254/CR254</f>
        <v>0.21795571070142905</v>
      </c>
      <c r="CR254" s="938">
        <v>9.1669999999999998</v>
      </c>
      <c r="CS254" s="1006" t="s">
        <v>5865</v>
      </c>
      <c r="CT254" s="522" t="s">
        <v>470</v>
      </c>
      <c r="CU254" s="522"/>
      <c r="CV254" s="522"/>
      <c r="CW254" s="522"/>
      <c r="CX254" s="939"/>
      <c r="CY254" s="939"/>
      <c r="CZ254" s="939"/>
      <c r="DA254" s="522" t="s">
        <v>479</v>
      </c>
      <c r="DB254" s="522" t="s">
        <v>5699</v>
      </c>
      <c r="DC254" s="939">
        <v>1998</v>
      </c>
      <c r="DD254" s="522" t="s">
        <v>479</v>
      </c>
      <c r="DE254" s="522" t="s">
        <v>5628</v>
      </c>
      <c r="DF254" s="939">
        <v>7</v>
      </c>
      <c r="DG254" s="939"/>
      <c r="DH254" s="939"/>
      <c r="DI254" s="939"/>
      <c r="DJ254" s="939"/>
      <c r="DK254" s="939"/>
      <c r="DL254" s="939"/>
      <c r="DM254" s="522"/>
      <c r="DN254" s="522"/>
      <c r="DO254" s="939"/>
      <c r="DP254" s="522"/>
      <c r="DQ254" s="522"/>
      <c r="DR254" s="939"/>
      <c r="DS254" s="522"/>
      <c r="DT254" s="522"/>
      <c r="DU254" s="939"/>
      <c r="DV254" s="522"/>
      <c r="DW254" s="522"/>
      <c r="DX254" s="939"/>
      <c r="DY254" s="522"/>
      <c r="DZ254" s="522"/>
      <c r="EA254" s="939"/>
      <c r="EB254" s="522"/>
      <c r="EC254" s="522"/>
      <c r="ED254" s="939"/>
      <c r="EE254" s="939"/>
      <c r="EF254" s="939"/>
      <c r="EG254" s="939"/>
      <c r="EH254" s="522"/>
      <c r="EI254" s="522"/>
      <c r="EJ254" s="939"/>
      <c r="EK254" s="522"/>
      <c r="EL254" s="522"/>
      <c r="EM254" s="939"/>
      <c r="EN254" s="522" t="s">
        <v>479</v>
      </c>
      <c r="EO254" s="522" t="s">
        <v>5343</v>
      </c>
      <c r="EP254" s="939">
        <v>8</v>
      </c>
      <c r="EQ254" s="939"/>
      <c r="ER254" s="939"/>
      <c r="ES254" s="939"/>
      <c r="ET254" s="522"/>
      <c r="EU254" s="522"/>
      <c r="EV254" s="939"/>
      <c r="EW254" s="939"/>
      <c r="EX254" s="939"/>
      <c r="EY254" s="939"/>
      <c r="EZ254" s="522" t="s">
        <v>470</v>
      </c>
      <c r="FA254" s="522"/>
      <c r="FB254" s="935" t="s">
        <v>4904</v>
      </c>
      <c r="FC254" s="522" t="s">
        <v>4971</v>
      </c>
      <c r="FD254" s="935" t="s">
        <v>4904</v>
      </c>
      <c r="FE254" s="935" t="s">
        <v>4798</v>
      </c>
      <c r="FF254" s="522"/>
      <c r="FG254" s="522" t="s">
        <v>4628</v>
      </c>
      <c r="FH254" s="522">
        <v>2</v>
      </c>
      <c r="FI254" s="522">
        <v>127</v>
      </c>
      <c r="FJ254" s="522" t="s">
        <v>4437</v>
      </c>
      <c r="FK254" s="522">
        <v>83532446668</v>
      </c>
      <c r="FL254" s="935" t="s">
        <v>4033</v>
      </c>
      <c r="FM254" s="522" t="s">
        <v>3876</v>
      </c>
      <c r="FN254" s="522" t="s">
        <v>3807</v>
      </c>
      <c r="FO254" s="935" t="s">
        <v>1412</v>
      </c>
    </row>
    <row r="255" spans="5:171" ht="28" customHeight="1" x14ac:dyDescent="0.2">
      <c r="E255" s="94" t="s">
        <v>3236</v>
      </c>
      <c r="F255" s="94" t="s">
        <v>9121</v>
      </c>
      <c r="G255" s="97" t="s">
        <v>340</v>
      </c>
      <c r="H255" s="97" t="s">
        <v>425</v>
      </c>
      <c r="I255" s="522" t="s">
        <v>8736</v>
      </c>
      <c r="J255" s="522" t="s">
        <v>8527</v>
      </c>
      <c r="K255" s="522" t="s">
        <v>8389</v>
      </c>
      <c r="L255" s="933">
        <v>2022</v>
      </c>
      <c r="M255" s="934">
        <v>44743</v>
      </c>
      <c r="N255" s="934">
        <v>44915</v>
      </c>
      <c r="O255" s="934"/>
      <c r="P255" s="934"/>
      <c r="Q255" s="934"/>
      <c r="R255" s="934"/>
      <c r="S255" s="934"/>
      <c r="T255" s="934"/>
      <c r="U255" s="934"/>
      <c r="V255" s="934"/>
      <c r="W255" s="934"/>
      <c r="X255" s="934"/>
      <c r="Y255" s="934"/>
      <c r="Z255" s="522" t="s">
        <v>8079</v>
      </c>
      <c r="AA255" s="935" t="s">
        <v>5117</v>
      </c>
      <c r="AB255" s="522"/>
      <c r="AC255" s="935"/>
      <c r="AD255" s="522" t="s">
        <v>7457</v>
      </c>
      <c r="AE255" s="935" t="s">
        <v>7269</v>
      </c>
      <c r="AF255" s="522"/>
      <c r="AG255" s="935"/>
      <c r="AH255" s="522" t="s">
        <v>6987</v>
      </c>
      <c r="AI255" s="522" t="s">
        <v>6825</v>
      </c>
      <c r="AJ255" s="522" t="s">
        <v>615</v>
      </c>
      <c r="AK255" s="522" t="s">
        <v>6480</v>
      </c>
      <c r="AL255" s="580">
        <f t="shared" si="19"/>
        <v>1</v>
      </c>
      <c r="AM255" s="504">
        <v>1</v>
      </c>
      <c r="AN255" s="516"/>
      <c r="AO255" s="97"/>
      <c r="AP255" s="97"/>
      <c r="AQ255" s="504">
        <v>1</v>
      </c>
      <c r="AR255" s="507">
        <v>1</v>
      </c>
      <c r="AS255" s="507">
        <v>2.9999999999999997E-4</v>
      </c>
      <c r="AT255" s="516"/>
      <c r="AU255" s="507"/>
      <c r="AV255" s="516"/>
      <c r="AW255" s="507"/>
      <c r="AX255" s="516"/>
      <c r="AY255" s="507"/>
      <c r="AZ255" s="516"/>
      <c r="BA255" s="936"/>
      <c r="BB255" s="936"/>
      <c r="BC255" s="936"/>
      <c r="BD255" s="936"/>
      <c r="BE255" s="936" t="s">
        <v>470</v>
      </c>
      <c r="BF255" s="936"/>
      <c r="BG255" s="1006"/>
      <c r="BH255" s="937"/>
      <c r="BI255" s="938">
        <v>0.5</v>
      </c>
      <c r="BJ255" s="936">
        <v>1E-4</v>
      </c>
      <c r="BK255" s="939">
        <v>10</v>
      </c>
      <c r="BL255" s="939">
        <v>7</v>
      </c>
      <c r="BM255" s="939">
        <v>3</v>
      </c>
      <c r="BN255" s="939"/>
      <c r="BO255" s="939"/>
      <c r="BP255" s="939"/>
      <c r="BQ255" s="939"/>
      <c r="BR255" s="939"/>
      <c r="BS255" s="939"/>
      <c r="BT255" s="939">
        <v>3</v>
      </c>
      <c r="BU255" s="939"/>
      <c r="BV255" s="939"/>
      <c r="BW255" s="939"/>
      <c r="BX255" s="939"/>
      <c r="BY255" s="939"/>
      <c r="BZ255" s="939"/>
      <c r="CA255" s="939"/>
      <c r="CB255" s="939"/>
      <c r="CC255" s="939"/>
      <c r="CD255" s="939"/>
      <c r="CE255" s="939"/>
      <c r="CF255" s="939"/>
      <c r="CG255" s="939"/>
      <c r="CH255" s="939"/>
      <c r="CI255" s="939"/>
      <c r="CJ255" s="939"/>
      <c r="CK255" s="939"/>
      <c r="CL255" s="940">
        <f t="shared" si="25"/>
        <v>3</v>
      </c>
      <c r="CM255" s="824">
        <f t="shared" si="20"/>
        <v>0</v>
      </c>
      <c r="CN255" s="938">
        <v>1.5509999999999999</v>
      </c>
      <c r="CO255" s="522"/>
      <c r="CP255" s="522"/>
      <c r="CQ255" s="522">
        <v>1.4</v>
      </c>
      <c r="CR255" s="938">
        <v>106.666</v>
      </c>
      <c r="CS255" s="1006" t="s">
        <v>5864</v>
      </c>
      <c r="CT255" s="522" t="s">
        <v>470</v>
      </c>
      <c r="CU255" s="522"/>
      <c r="CV255" s="522"/>
      <c r="CW255" s="522"/>
      <c r="CX255" s="939"/>
      <c r="CY255" s="939"/>
      <c r="CZ255" s="939"/>
      <c r="DA255" s="522"/>
      <c r="DB255" s="522"/>
      <c r="DC255" s="939"/>
      <c r="DD255" s="522"/>
      <c r="DE255" s="522"/>
      <c r="DF255" s="939"/>
      <c r="DG255" s="939"/>
      <c r="DH255" s="939"/>
      <c r="DI255" s="939"/>
      <c r="DJ255" s="939"/>
      <c r="DK255" s="939"/>
      <c r="DL255" s="939"/>
      <c r="DM255" s="522"/>
      <c r="DN255" s="522"/>
      <c r="DO255" s="939"/>
      <c r="DP255" s="522"/>
      <c r="DQ255" s="522"/>
      <c r="DR255" s="939"/>
      <c r="DS255" s="522"/>
      <c r="DT255" s="522"/>
      <c r="DU255" s="939"/>
      <c r="DV255" s="522" t="s">
        <v>5507</v>
      </c>
      <c r="DW255" s="522" t="s">
        <v>5481</v>
      </c>
      <c r="DX255" s="939"/>
      <c r="DY255" s="522"/>
      <c r="DZ255" s="522"/>
      <c r="EA255" s="939"/>
      <c r="EB255" s="522"/>
      <c r="EC255" s="522"/>
      <c r="ED255" s="939"/>
      <c r="EE255" s="939"/>
      <c r="EF255" s="939"/>
      <c r="EG255" s="939"/>
      <c r="EH255" s="522"/>
      <c r="EI255" s="522"/>
      <c r="EJ255" s="939"/>
      <c r="EK255" s="522"/>
      <c r="EL255" s="522"/>
      <c r="EM255" s="939"/>
      <c r="EN255" s="522" t="s">
        <v>479</v>
      </c>
      <c r="EO255" s="522" t="s">
        <v>5342</v>
      </c>
      <c r="EP255" s="939">
        <v>5</v>
      </c>
      <c r="EQ255" s="939"/>
      <c r="ER255" s="939"/>
      <c r="ES255" s="939"/>
      <c r="ET255" s="522"/>
      <c r="EU255" s="522"/>
      <c r="EV255" s="939"/>
      <c r="EW255" s="939"/>
      <c r="EX255" s="939"/>
      <c r="EY255" s="939"/>
      <c r="EZ255" s="522" t="s">
        <v>470</v>
      </c>
      <c r="FA255" s="522"/>
      <c r="FB255" s="935" t="s">
        <v>5117</v>
      </c>
      <c r="FC255" s="935"/>
      <c r="FD255" s="935"/>
      <c r="FE255" s="935" t="s">
        <v>4797</v>
      </c>
      <c r="FF255" s="522"/>
      <c r="FG255" s="522" t="s">
        <v>4628</v>
      </c>
      <c r="FH255" s="522">
        <v>1</v>
      </c>
      <c r="FI255" s="522">
        <v>135</v>
      </c>
      <c r="FJ255" s="522" t="s">
        <v>4437</v>
      </c>
      <c r="FK255" s="522">
        <v>83532446668</v>
      </c>
      <c r="FL255" s="935" t="s">
        <v>4033</v>
      </c>
      <c r="FM255" s="522" t="s">
        <v>3876</v>
      </c>
      <c r="FN255" s="522" t="s">
        <v>3807</v>
      </c>
      <c r="FO255" s="935" t="s">
        <v>1412</v>
      </c>
    </row>
    <row r="256" spans="5:171" ht="28" customHeight="1" x14ac:dyDescent="0.2">
      <c r="E256" s="94" t="s">
        <v>3236</v>
      </c>
      <c r="F256" s="94" t="s">
        <v>9121</v>
      </c>
      <c r="G256" s="97" t="s">
        <v>340</v>
      </c>
      <c r="H256" s="97" t="s">
        <v>425</v>
      </c>
      <c r="I256" s="522" t="s">
        <v>8735</v>
      </c>
      <c r="J256" s="522" t="s">
        <v>8388</v>
      </c>
      <c r="K256" s="522" t="s">
        <v>8388</v>
      </c>
      <c r="L256" s="933">
        <v>2022</v>
      </c>
      <c r="M256" s="934">
        <v>44783</v>
      </c>
      <c r="N256" s="934">
        <v>44925</v>
      </c>
      <c r="O256" s="934"/>
      <c r="P256" s="934"/>
      <c r="Q256" s="934"/>
      <c r="R256" s="934"/>
      <c r="S256" s="934"/>
      <c r="T256" s="934"/>
      <c r="U256" s="934"/>
      <c r="V256" s="934"/>
      <c r="W256" s="934"/>
      <c r="X256" s="934"/>
      <c r="Y256" s="934"/>
      <c r="Z256" s="522" t="s">
        <v>8078</v>
      </c>
      <c r="AA256" s="935" t="s">
        <v>7938</v>
      </c>
      <c r="AB256" s="522"/>
      <c r="AC256" s="522"/>
      <c r="AD256" s="522" t="s">
        <v>7456</v>
      </c>
      <c r="AE256" s="522"/>
      <c r="AF256" s="522"/>
      <c r="AG256" s="522"/>
      <c r="AH256" s="522" t="s">
        <v>6986</v>
      </c>
      <c r="AI256" s="522" t="s">
        <v>6824</v>
      </c>
      <c r="AJ256" s="522" t="s">
        <v>615</v>
      </c>
      <c r="AK256" s="522" t="s">
        <v>6479</v>
      </c>
      <c r="AL256" s="580">
        <f t="shared" si="19"/>
        <v>0.1</v>
      </c>
      <c r="AM256" s="504">
        <v>0.1</v>
      </c>
      <c r="AN256" s="516"/>
      <c r="AO256" s="97"/>
      <c r="AP256" s="97"/>
      <c r="AQ256" s="504">
        <v>0.1</v>
      </c>
      <c r="AR256" s="507">
        <v>1</v>
      </c>
      <c r="AS256" s="507">
        <v>1</v>
      </c>
      <c r="AT256" s="516"/>
      <c r="AU256" s="507"/>
      <c r="AV256" s="516"/>
      <c r="AW256" s="507"/>
      <c r="AX256" s="516"/>
      <c r="AY256" s="507"/>
      <c r="AZ256" s="516"/>
      <c r="BA256" s="936"/>
      <c r="BB256" s="936"/>
      <c r="BC256" s="936"/>
      <c r="BD256" s="936"/>
      <c r="BE256" s="936" t="s">
        <v>470</v>
      </c>
      <c r="BF256" s="936"/>
      <c r="BG256" s="936"/>
      <c r="BH256" s="937"/>
      <c r="BI256" s="938">
        <v>0.1</v>
      </c>
      <c r="BJ256" s="936">
        <f>BI256/937.779%</f>
        <v>1.0663493211087048E-2</v>
      </c>
      <c r="BK256" s="939">
        <v>1</v>
      </c>
      <c r="BL256" s="939">
        <v>1</v>
      </c>
      <c r="BM256" s="939">
        <v>1</v>
      </c>
      <c r="BN256" s="939"/>
      <c r="BO256" s="939"/>
      <c r="BP256" s="939"/>
      <c r="BQ256" s="939"/>
      <c r="BR256" s="939"/>
      <c r="BS256" s="939"/>
      <c r="BT256" s="939"/>
      <c r="BU256" s="939"/>
      <c r="BV256" s="939"/>
      <c r="BW256" s="939"/>
      <c r="BX256" s="939"/>
      <c r="BY256" s="939"/>
      <c r="BZ256" s="939"/>
      <c r="CA256" s="939"/>
      <c r="CB256" s="939"/>
      <c r="CC256" s="939"/>
      <c r="CD256" s="939"/>
      <c r="CE256" s="939"/>
      <c r="CF256" s="939"/>
      <c r="CG256" s="939">
        <v>1</v>
      </c>
      <c r="CH256" s="939"/>
      <c r="CI256" s="939"/>
      <c r="CJ256" s="939"/>
      <c r="CK256" s="939"/>
      <c r="CL256" s="940">
        <f t="shared" si="25"/>
        <v>1</v>
      </c>
      <c r="CM256" s="824">
        <f t="shared" si="20"/>
        <v>0</v>
      </c>
      <c r="CN256" s="938">
        <v>0.85</v>
      </c>
      <c r="CO256" s="522" t="s">
        <v>6092</v>
      </c>
      <c r="CP256" s="522"/>
      <c r="CQ256" s="936">
        <f>CN256/CR256</f>
        <v>0.12818579399788871</v>
      </c>
      <c r="CR256" s="938">
        <v>6.6310000000000002</v>
      </c>
      <c r="CS256" s="936"/>
      <c r="CT256" s="522" t="s">
        <v>470</v>
      </c>
      <c r="CU256" s="522"/>
      <c r="CV256" s="522"/>
      <c r="CW256" s="522"/>
      <c r="CX256" s="939"/>
      <c r="CY256" s="939"/>
      <c r="CZ256" s="939"/>
      <c r="DA256" s="522"/>
      <c r="DB256" s="522"/>
      <c r="DC256" s="939"/>
      <c r="DD256" s="522" t="s">
        <v>479</v>
      </c>
      <c r="DE256" s="522" t="s">
        <v>5627</v>
      </c>
      <c r="DF256" s="522">
        <v>420</v>
      </c>
      <c r="DG256" s="939"/>
      <c r="DH256" s="939"/>
      <c r="DI256" s="939"/>
      <c r="DJ256" s="939"/>
      <c r="DK256" s="939"/>
      <c r="DL256" s="939"/>
      <c r="DM256" s="522"/>
      <c r="DN256" s="522"/>
      <c r="DO256" s="939"/>
      <c r="DP256" s="522"/>
      <c r="DQ256" s="522"/>
      <c r="DR256" s="939"/>
      <c r="DS256" s="522"/>
      <c r="DT256" s="522"/>
      <c r="DU256" s="939"/>
      <c r="DV256" s="522"/>
      <c r="DW256" s="522"/>
      <c r="DX256" s="939"/>
      <c r="DY256" s="522"/>
      <c r="DZ256" s="522"/>
      <c r="EA256" s="939"/>
      <c r="EB256" s="522" t="s">
        <v>479</v>
      </c>
      <c r="EC256" s="522" t="s">
        <v>5406</v>
      </c>
      <c r="ED256" s="939">
        <v>8</v>
      </c>
      <c r="EE256" s="939"/>
      <c r="EF256" s="939"/>
      <c r="EG256" s="939"/>
      <c r="EH256" s="522"/>
      <c r="EI256" s="522"/>
      <c r="EJ256" s="939"/>
      <c r="EK256" s="522"/>
      <c r="EL256" s="522"/>
      <c r="EM256" s="939"/>
      <c r="EN256" s="522"/>
      <c r="EO256" s="522"/>
      <c r="EP256" s="939"/>
      <c r="EQ256" s="939"/>
      <c r="ER256" s="939"/>
      <c r="ES256" s="939"/>
      <c r="ET256" s="522"/>
      <c r="EU256" s="522"/>
      <c r="EV256" s="939"/>
      <c r="EW256" s="939"/>
      <c r="EX256" s="939"/>
      <c r="EY256" s="939"/>
      <c r="EZ256" s="522" t="s">
        <v>470</v>
      </c>
      <c r="FA256" s="522"/>
      <c r="FB256" s="935" t="s">
        <v>5116</v>
      </c>
      <c r="FC256" s="935" t="s">
        <v>4970</v>
      </c>
      <c r="FD256" s="522"/>
      <c r="FE256" s="522"/>
      <c r="FF256" s="522"/>
      <c r="FG256" s="522">
        <v>0</v>
      </c>
      <c r="FH256" s="522">
        <v>0</v>
      </c>
      <c r="FI256" s="522">
        <v>0</v>
      </c>
      <c r="FJ256" s="522" t="s">
        <v>4436</v>
      </c>
      <c r="FK256" s="522" t="s">
        <v>4227</v>
      </c>
      <c r="FL256" s="935" t="s">
        <v>4032</v>
      </c>
      <c r="FM256" s="522" t="s">
        <v>3876</v>
      </c>
      <c r="FN256" s="522" t="s">
        <v>3807</v>
      </c>
      <c r="FO256" s="935" t="s">
        <v>1412</v>
      </c>
    </row>
    <row r="257" spans="5:171" ht="28" customHeight="1" x14ac:dyDescent="0.2">
      <c r="E257" s="94" t="s">
        <v>9302</v>
      </c>
      <c r="F257" s="94" t="s">
        <v>9121</v>
      </c>
      <c r="G257" s="97" t="s">
        <v>340</v>
      </c>
      <c r="H257" s="97" t="s">
        <v>425</v>
      </c>
      <c r="I257" s="522" t="s">
        <v>8734</v>
      </c>
      <c r="J257" s="522" t="s">
        <v>1256</v>
      </c>
      <c r="K257" s="522" t="s">
        <v>1256</v>
      </c>
      <c r="L257" s="933">
        <v>2020</v>
      </c>
      <c r="M257" s="934" t="s">
        <v>8295</v>
      </c>
      <c r="N257" s="934" t="s">
        <v>8226</v>
      </c>
      <c r="O257" s="934"/>
      <c r="P257" s="934"/>
      <c r="Q257" s="934"/>
      <c r="R257" s="934"/>
      <c r="S257" s="934"/>
      <c r="T257" s="934"/>
      <c r="U257" s="934"/>
      <c r="V257" s="934"/>
      <c r="W257" s="934"/>
      <c r="X257" s="934"/>
      <c r="Y257" s="934"/>
      <c r="Z257" s="522" t="s">
        <v>8077</v>
      </c>
      <c r="AA257" s="522" t="s">
        <v>5458</v>
      </c>
      <c r="AB257" s="522" t="s">
        <v>7802</v>
      </c>
      <c r="AC257" s="522" t="s">
        <v>7636</v>
      </c>
      <c r="AD257" s="522"/>
      <c r="AE257" s="522"/>
      <c r="AF257" s="522"/>
      <c r="AG257" s="522"/>
      <c r="AH257" s="522" t="s">
        <v>6478</v>
      </c>
      <c r="AI257" s="522" t="s">
        <v>6478</v>
      </c>
      <c r="AJ257" s="522" t="s">
        <v>6661</v>
      </c>
      <c r="AK257" s="522" t="s">
        <v>6478</v>
      </c>
      <c r="AL257" s="580">
        <f t="shared" si="19"/>
        <v>0.32099999999999995</v>
      </c>
      <c r="AM257" s="504">
        <v>0.32099999999999995</v>
      </c>
      <c r="AN257" s="516"/>
      <c r="AO257" s="97"/>
      <c r="AP257" s="97"/>
      <c r="AQ257" s="504">
        <v>0.28599999999999998</v>
      </c>
      <c r="AR257" s="507">
        <f>AQ257/AL257</f>
        <v>0.89096573208722751</v>
      </c>
      <c r="AS257" s="507">
        <v>1.7999999999999999E-2</v>
      </c>
      <c r="AT257" s="516"/>
      <c r="AU257" s="507"/>
      <c r="AV257" s="516">
        <v>3.5000000000000003E-2</v>
      </c>
      <c r="AW257" s="507">
        <f>AV257/AL257</f>
        <v>0.10903426791277261</v>
      </c>
      <c r="AX257" s="516"/>
      <c r="AY257" s="507"/>
      <c r="AZ257" s="516"/>
      <c r="BA257" s="936"/>
      <c r="BB257" s="936"/>
      <c r="BC257" s="936"/>
      <c r="BD257" s="936"/>
      <c r="BE257" s="936" t="s">
        <v>470</v>
      </c>
      <c r="BF257" s="936"/>
      <c r="BG257" s="936"/>
      <c r="BH257" s="937"/>
      <c r="BI257" s="938">
        <v>0</v>
      </c>
      <c r="BJ257" s="936">
        <v>0</v>
      </c>
      <c r="BK257" s="939">
        <v>1</v>
      </c>
      <c r="BL257" s="939">
        <v>1</v>
      </c>
      <c r="BM257" s="939">
        <v>1</v>
      </c>
      <c r="BN257" s="939">
        <v>1</v>
      </c>
      <c r="BO257" s="939"/>
      <c r="BP257" s="939"/>
      <c r="BQ257" s="939"/>
      <c r="BR257" s="939"/>
      <c r="BS257" s="939"/>
      <c r="BT257" s="939"/>
      <c r="BU257" s="939"/>
      <c r="BV257" s="939"/>
      <c r="BW257" s="939"/>
      <c r="BX257" s="939"/>
      <c r="BY257" s="939"/>
      <c r="BZ257" s="939"/>
      <c r="CA257" s="939"/>
      <c r="CB257" s="939"/>
      <c r="CC257" s="939"/>
      <c r="CD257" s="939"/>
      <c r="CE257" s="939"/>
      <c r="CF257" s="939"/>
      <c r="CG257" s="939"/>
      <c r="CH257" s="939"/>
      <c r="CI257" s="939"/>
      <c r="CJ257" s="939"/>
      <c r="CK257" s="939"/>
      <c r="CL257" s="940">
        <f t="shared" si="25"/>
        <v>1</v>
      </c>
      <c r="CM257" s="824">
        <f t="shared" si="20"/>
        <v>0</v>
      </c>
      <c r="CN257" s="938">
        <v>0.36799999999999999</v>
      </c>
      <c r="CO257" s="522"/>
      <c r="CP257" s="522"/>
      <c r="CQ257" s="936">
        <f>CN257/CR257</f>
        <v>0.16958525345622119</v>
      </c>
      <c r="CR257" s="938">
        <v>2.17</v>
      </c>
      <c r="CS257" s="936"/>
      <c r="CT257" s="522" t="s">
        <v>470</v>
      </c>
      <c r="CU257" s="522"/>
      <c r="CV257" s="522"/>
      <c r="CW257" s="522"/>
      <c r="CX257" s="939"/>
      <c r="CY257" s="939"/>
      <c r="CZ257" s="939"/>
      <c r="DA257" s="522"/>
      <c r="DB257" s="522"/>
      <c r="DC257" s="939"/>
      <c r="DD257" s="522" t="s">
        <v>479</v>
      </c>
      <c r="DE257" s="522" t="s">
        <v>2533</v>
      </c>
      <c r="DF257" s="939">
        <v>169</v>
      </c>
      <c r="DG257" s="939"/>
      <c r="DH257" s="939"/>
      <c r="DI257" s="939"/>
      <c r="DJ257" s="939"/>
      <c r="DK257" s="939"/>
      <c r="DL257" s="939"/>
      <c r="DM257" s="522"/>
      <c r="DN257" s="522"/>
      <c r="DO257" s="939"/>
      <c r="DP257" s="522"/>
      <c r="DQ257" s="522"/>
      <c r="DR257" s="939"/>
      <c r="DS257" s="522"/>
      <c r="DT257" s="522"/>
      <c r="DU257" s="939"/>
      <c r="DV257" s="522"/>
      <c r="DW257" s="522"/>
      <c r="DX257" s="939"/>
      <c r="DY257" s="522" t="s">
        <v>479</v>
      </c>
      <c r="DZ257" s="522" t="s">
        <v>5458</v>
      </c>
      <c r="EA257" s="939">
        <v>169</v>
      </c>
      <c r="EB257" s="522"/>
      <c r="EC257" s="522"/>
      <c r="ED257" s="939"/>
      <c r="EE257" s="939"/>
      <c r="EF257" s="939"/>
      <c r="EG257" s="939"/>
      <c r="EH257" s="522"/>
      <c r="EI257" s="522"/>
      <c r="EJ257" s="939"/>
      <c r="EK257" s="522"/>
      <c r="EL257" s="522"/>
      <c r="EM257" s="939"/>
      <c r="EN257" s="522"/>
      <c r="EO257" s="522"/>
      <c r="EP257" s="939"/>
      <c r="EQ257" s="939"/>
      <c r="ER257" s="939"/>
      <c r="ES257" s="939"/>
      <c r="ET257" s="522"/>
      <c r="EU257" s="522"/>
      <c r="EV257" s="939"/>
      <c r="EW257" s="939"/>
      <c r="EX257" s="939"/>
      <c r="EY257" s="939"/>
      <c r="EZ257" s="522" t="s">
        <v>470</v>
      </c>
      <c r="FA257" s="522"/>
      <c r="FB257" s="522" t="s">
        <v>470</v>
      </c>
      <c r="FC257" s="522" t="s">
        <v>470</v>
      </c>
      <c r="FD257" s="522" t="s">
        <v>470</v>
      </c>
      <c r="FE257" s="522" t="s">
        <v>4796</v>
      </c>
      <c r="FF257" s="522" t="s">
        <v>470</v>
      </c>
      <c r="FG257" s="522" t="s">
        <v>4627</v>
      </c>
      <c r="FH257" s="522">
        <v>2</v>
      </c>
      <c r="FI257" s="522">
        <v>35</v>
      </c>
      <c r="FJ257" s="522" t="s">
        <v>4435</v>
      </c>
      <c r="FK257" s="522">
        <v>23533121341</v>
      </c>
      <c r="FL257" s="935" t="s">
        <v>4031</v>
      </c>
      <c r="FM257" s="522" t="s">
        <v>3876</v>
      </c>
      <c r="FN257" s="522" t="s">
        <v>3807</v>
      </c>
      <c r="FO257" s="935" t="s">
        <v>1412</v>
      </c>
    </row>
    <row r="258" spans="5:171" ht="43" customHeight="1" x14ac:dyDescent="0.2">
      <c r="E258" s="94" t="s">
        <v>3236</v>
      </c>
      <c r="F258" s="94" t="s">
        <v>9121</v>
      </c>
      <c r="G258" s="97" t="s">
        <v>340</v>
      </c>
      <c r="H258" s="97" t="s">
        <v>425</v>
      </c>
      <c r="I258" s="522" t="s">
        <v>8733</v>
      </c>
      <c r="J258" s="522" t="s">
        <v>3438</v>
      </c>
      <c r="K258" s="522" t="s">
        <v>3438</v>
      </c>
      <c r="L258" s="933">
        <v>2021</v>
      </c>
      <c r="M258" s="934">
        <v>44807</v>
      </c>
      <c r="N258" s="934">
        <v>44889</v>
      </c>
      <c r="O258" s="934"/>
      <c r="P258" s="934"/>
      <c r="Q258" s="934"/>
      <c r="R258" s="934"/>
      <c r="S258" s="934"/>
      <c r="T258" s="934"/>
      <c r="U258" s="934"/>
      <c r="V258" s="934"/>
      <c r="W258" s="934"/>
      <c r="X258" s="934"/>
      <c r="Y258" s="934"/>
      <c r="Z258" s="522" t="s">
        <v>8076</v>
      </c>
      <c r="AA258" s="522"/>
      <c r="AB258" s="522" t="s">
        <v>7801</v>
      </c>
      <c r="AC258" s="522"/>
      <c r="AD258" s="522" t="s">
        <v>7455</v>
      </c>
      <c r="AE258" s="522"/>
      <c r="AF258" s="522"/>
      <c r="AG258" s="522"/>
      <c r="AH258" s="522" t="s">
        <v>6985</v>
      </c>
      <c r="AI258" s="522"/>
      <c r="AJ258" s="522"/>
      <c r="AK258" s="522"/>
      <c r="AL258" s="580">
        <f t="shared" si="19"/>
        <v>0.05</v>
      </c>
      <c r="AM258" s="504">
        <v>0.05</v>
      </c>
      <c r="AN258" s="516"/>
      <c r="AO258" s="97"/>
      <c r="AP258" s="97"/>
      <c r="AQ258" s="504">
        <v>0.05</v>
      </c>
      <c r="AR258" s="507">
        <v>1</v>
      </c>
      <c r="AS258" s="507">
        <v>1</v>
      </c>
      <c r="AT258" s="516"/>
      <c r="AU258" s="507"/>
      <c r="AV258" s="516"/>
      <c r="AW258" s="507"/>
      <c r="AX258" s="516"/>
      <c r="AY258" s="507"/>
      <c r="AZ258" s="516"/>
      <c r="BA258" s="936"/>
      <c r="BB258" s="936"/>
      <c r="BC258" s="936"/>
      <c r="BD258" s="936"/>
      <c r="BE258" s="936" t="s">
        <v>470</v>
      </c>
      <c r="BF258" s="936"/>
      <c r="BG258" s="936"/>
      <c r="BH258" s="937"/>
      <c r="BI258" s="938">
        <v>0.05</v>
      </c>
      <c r="BJ258" s="936">
        <f>BI258/842.986</f>
        <v>5.9312966051630758E-5</v>
      </c>
      <c r="BK258" s="939">
        <v>3</v>
      </c>
      <c r="BL258" s="939">
        <v>3</v>
      </c>
      <c r="BM258" s="939">
        <v>3</v>
      </c>
      <c r="BN258" s="939"/>
      <c r="BO258" s="939"/>
      <c r="BP258" s="939"/>
      <c r="BQ258" s="939"/>
      <c r="BR258" s="939"/>
      <c r="BS258" s="939"/>
      <c r="BT258" s="939"/>
      <c r="BU258" s="939"/>
      <c r="BV258" s="939"/>
      <c r="BW258" s="939"/>
      <c r="BX258" s="939"/>
      <c r="BY258" s="939"/>
      <c r="BZ258" s="939"/>
      <c r="CA258" s="939"/>
      <c r="CB258" s="939"/>
      <c r="CC258" s="939"/>
      <c r="CD258" s="939"/>
      <c r="CE258" s="939"/>
      <c r="CF258" s="939"/>
      <c r="CG258" s="939">
        <v>3</v>
      </c>
      <c r="CH258" s="939"/>
      <c r="CI258" s="939"/>
      <c r="CJ258" s="939"/>
      <c r="CK258" s="939"/>
      <c r="CL258" s="940">
        <f t="shared" si="25"/>
        <v>3</v>
      </c>
      <c r="CM258" s="824">
        <f t="shared" si="20"/>
        <v>0</v>
      </c>
      <c r="CN258" s="938">
        <v>0.79400000000000004</v>
      </c>
      <c r="CO258" s="522" t="s">
        <v>6091</v>
      </c>
      <c r="CP258" s="522" t="s">
        <v>470</v>
      </c>
      <c r="CQ258" s="522">
        <v>8.6210640608000002</v>
      </c>
      <c r="CR258" s="938">
        <v>9.2100000000000009</v>
      </c>
      <c r="CS258" s="1006" t="s">
        <v>5863</v>
      </c>
      <c r="CT258" s="522" t="s">
        <v>470</v>
      </c>
      <c r="CU258" s="522"/>
      <c r="CV258" s="522"/>
      <c r="CW258" s="522"/>
      <c r="CX258" s="939"/>
      <c r="CY258" s="939"/>
      <c r="CZ258" s="939"/>
      <c r="DA258" s="522"/>
      <c r="DB258" s="522"/>
      <c r="DC258" s="939"/>
      <c r="DD258" s="522"/>
      <c r="DE258" s="522"/>
      <c r="DF258" s="939"/>
      <c r="DG258" s="939"/>
      <c r="DH258" s="939"/>
      <c r="DI258" s="939"/>
      <c r="DJ258" s="939"/>
      <c r="DK258" s="939"/>
      <c r="DL258" s="939"/>
      <c r="DM258" s="522"/>
      <c r="DN258" s="522"/>
      <c r="DO258" s="939"/>
      <c r="DP258" s="522"/>
      <c r="DQ258" s="522"/>
      <c r="DR258" s="939"/>
      <c r="DS258" s="522"/>
      <c r="DT258" s="522"/>
      <c r="DU258" s="939"/>
      <c r="DV258" s="522" t="s">
        <v>5506</v>
      </c>
      <c r="DW258" s="522" t="s">
        <v>5480</v>
      </c>
      <c r="DX258" s="939">
        <v>3</v>
      </c>
      <c r="DY258" s="522" t="s">
        <v>479</v>
      </c>
      <c r="DZ258" s="935" t="s">
        <v>5457</v>
      </c>
      <c r="EA258" s="939">
        <v>59897</v>
      </c>
      <c r="EB258" s="522"/>
      <c r="EC258" s="522"/>
      <c r="ED258" s="939"/>
      <c r="EE258" s="939"/>
      <c r="EF258" s="939"/>
      <c r="EG258" s="939"/>
      <c r="EH258" s="522"/>
      <c r="EI258" s="522"/>
      <c r="EJ258" s="939"/>
      <c r="EK258" s="522"/>
      <c r="EL258" s="522"/>
      <c r="EM258" s="939"/>
      <c r="EN258" s="522"/>
      <c r="EO258" s="522"/>
      <c r="EP258" s="939"/>
      <c r="EQ258" s="939"/>
      <c r="ER258" s="939"/>
      <c r="ES258" s="939"/>
      <c r="ET258" s="522"/>
      <c r="EU258" s="522"/>
      <c r="EV258" s="939"/>
      <c r="EW258" s="939"/>
      <c r="EX258" s="939"/>
      <c r="EY258" s="939"/>
      <c r="EZ258" s="522" t="s">
        <v>470</v>
      </c>
      <c r="FA258" s="522"/>
      <c r="FB258" s="935" t="s">
        <v>5115</v>
      </c>
      <c r="FC258" s="522" t="s">
        <v>470</v>
      </c>
      <c r="FD258" s="935" t="s">
        <v>4903</v>
      </c>
      <c r="FE258" s="522" t="s">
        <v>4795</v>
      </c>
      <c r="FF258" s="522" t="s">
        <v>470</v>
      </c>
      <c r="FG258" s="522" t="s">
        <v>4626</v>
      </c>
      <c r="FH258" s="522">
        <v>2</v>
      </c>
      <c r="FI258" s="522">
        <v>59</v>
      </c>
      <c r="FJ258" s="522" t="s">
        <v>4434</v>
      </c>
      <c r="FK258" s="522" t="s">
        <v>4226</v>
      </c>
      <c r="FL258" s="935" t="s">
        <v>4030</v>
      </c>
      <c r="FM258" s="522" t="s">
        <v>3876</v>
      </c>
      <c r="FN258" s="522" t="s">
        <v>3807</v>
      </c>
      <c r="FO258" s="935" t="s">
        <v>1412</v>
      </c>
    </row>
    <row r="259" spans="5:171" ht="43" customHeight="1" x14ac:dyDescent="0.2">
      <c r="E259" s="94" t="s">
        <v>9302</v>
      </c>
      <c r="F259" s="94" t="s">
        <v>9121</v>
      </c>
      <c r="G259" s="97" t="s">
        <v>340</v>
      </c>
      <c r="H259" s="97" t="s">
        <v>425</v>
      </c>
      <c r="I259" s="522" t="s">
        <v>8732</v>
      </c>
      <c r="J259" s="522" t="s">
        <v>8526</v>
      </c>
      <c r="K259" s="522" t="s">
        <v>1256</v>
      </c>
      <c r="L259" s="933">
        <v>2018</v>
      </c>
      <c r="M259" s="934">
        <v>44562</v>
      </c>
      <c r="N259" s="934">
        <v>44926</v>
      </c>
      <c r="O259" s="934"/>
      <c r="P259" s="934"/>
      <c r="Q259" s="934"/>
      <c r="R259" s="934"/>
      <c r="S259" s="934"/>
      <c r="T259" s="934"/>
      <c r="U259" s="934"/>
      <c r="V259" s="934"/>
      <c r="W259" s="934"/>
      <c r="X259" s="934"/>
      <c r="Y259" s="934"/>
      <c r="Z259" s="1013" t="s">
        <v>8075</v>
      </c>
      <c r="AA259" s="935" t="s">
        <v>7937</v>
      </c>
      <c r="AB259" s="522" t="s">
        <v>7800</v>
      </c>
      <c r="AC259" s="935" t="s">
        <v>7635</v>
      </c>
      <c r="AD259" s="522" t="s">
        <v>7454</v>
      </c>
      <c r="AE259" s="935" t="s">
        <v>7268</v>
      </c>
      <c r="AF259" s="522" t="s">
        <v>470</v>
      </c>
      <c r="AG259" s="522"/>
      <c r="AH259" s="522" t="s">
        <v>6823</v>
      </c>
      <c r="AI259" s="522" t="s">
        <v>6823</v>
      </c>
      <c r="AJ259" s="522" t="s">
        <v>6691</v>
      </c>
      <c r="AK259" s="522" t="s">
        <v>6477</v>
      </c>
      <c r="AL259" s="580">
        <f t="shared" si="19"/>
        <v>1.415</v>
      </c>
      <c r="AM259" s="504">
        <v>1.415</v>
      </c>
      <c r="AN259" s="516"/>
      <c r="AO259" s="97"/>
      <c r="AP259" s="97"/>
      <c r="AQ259" s="504">
        <v>1.048</v>
      </c>
      <c r="AR259" s="507">
        <v>0.74060000000000004</v>
      </c>
      <c r="AS259" s="507">
        <v>1.6000000000000001E-3</v>
      </c>
      <c r="AT259" s="516"/>
      <c r="AU259" s="507"/>
      <c r="AV259" s="516"/>
      <c r="AW259" s="507"/>
      <c r="AX259" s="516">
        <v>0.36699999999999999</v>
      </c>
      <c r="AY259" s="507">
        <v>0.25940000000000002</v>
      </c>
      <c r="AZ259" s="516"/>
      <c r="BA259" s="936"/>
      <c r="BB259" s="936"/>
      <c r="BC259" s="936"/>
      <c r="BD259" s="936"/>
      <c r="BE259" s="936" t="s">
        <v>479</v>
      </c>
      <c r="BF259" s="936" t="s">
        <v>6297</v>
      </c>
      <c r="BG259" s="936"/>
      <c r="BH259" s="937"/>
      <c r="BI259" s="938">
        <v>0.5</v>
      </c>
      <c r="BJ259" s="936">
        <v>5.0000000000000001E-4</v>
      </c>
      <c r="BK259" s="939">
        <v>11</v>
      </c>
      <c r="BL259" s="939">
        <v>11</v>
      </c>
      <c r="BM259" s="939">
        <v>5</v>
      </c>
      <c r="BN259" s="939"/>
      <c r="BO259" s="939">
        <v>1</v>
      </c>
      <c r="BP259" s="939"/>
      <c r="BQ259" s="939"/>
      <c r="BR259" s="939"/>
      <c r="BS259" s="939"/>
      <c r="BT259" s="939"/>
      <c r="BU259" s="939"/>
      <c r="BV259" s="939"/>
      <c r="BW259" s="939">
        <v>1</v>
      </c>
      <c r="BX259" s="939"/>
      <c r="BY259" s="939"/>
      <c r="BZ259" s="939">
        <v>3</v>
      </c>
      <c r="CA259" s="939"/>
      <c r="CB259" s="939"/>
      <c r="CC259" s="939"/>
      <c r="CD259" s="939"/>
      <c r="CE259" s="939"/>
      <c r="CF259" s="939"/>
      <c r="CG259" s="939"/>
      <c r="CH259" s="939"/>
      <c r="CI259" s="939"/>
      <c r="CJ259" s="939"/>
      <c r="CK259" s="939"/>
      <c r="CL259" s="940">
        <f t="shared" si="25"/>
        <v>5</v>
      </c>
      <c r="CM259" s="824">
        <f t="shared" si="20"/>
        <v>0</v>
      </c>
      <c r="CN259" s="938">
        <v>3.5910000000000002</v>
      </c>
      <c r="CO259" s="522" t="s">
        <v>470</v>
      </c>
      <c r="CP259" s="522"/>
      <c r="CQ259" s="936">
        <f>CN259/CR259</f>
        <v>0.86886039196709419</v>
      </c>
      <c r="CR259" s="938">
        <v>4.133</v>
      </c>
      <c r="CS259" s="1006" t="s">
        <v>5805</v>
      </c>
      <c r="CT259" s="522" t="s">
        <v>470</v>
      </c>
      <c r="CU259" s="522"/>
      <c r="CV259" s="522"/>
      <c r="CW259" s="522"/>
      <c r="CX259" s="939"/>
      <c r="CY259" s="939"/>
      <c r="CZ259" s="939"/>
      <c r="DA259" s="522" t="s">
        <v>479</v>
      </c>
      <c r="DB259" s="522" t="s">
        <v>1876</v>
      </c>
      <c r="DC259" s="939">
        <v>1163</v>
      </c>
      <c r="DD259" s="522" t="s">
        <v>479</v>
      </c>
      <c r="DE259" s="522" t="s">
        <v>2533</v>
      </c>
      <c r="DF259" s="939">
        <v>227</v>
      </c>
      <c r="DG259" s="939" t="s">
        <v>470</v>
      </c>
      <c r="DH259" s="939"/>
      <c r="DI259" s="939"/>
      <c r="DJ259" s="939" t="s">
        <v>470</v>
      </c>
      <c r="DK259" s="939"/>
      <c r="DL259" s="939"/>
      <c r="DM259" s="522" t="s">
        <v>470</v>
      </c>
      <c r="DN259" s="522"/>
      <c r="DO259" s="939"/>
      <c r="DP259" s="522" t="s">
        <v>470</v>
      </c>
      <c r="DQ259" s="522"/>
      <c r="DR259" s="939"/>
      <c r="DS259" s="522" t="s">
        <v>470</v>
      </c>
      <c r="DT259" s="522"/>
      <c r="DU259" s="939"/>
      <c r="DV259" s="522" t="s">
        <v>470</v>
      </c>
      <c r="DW259" s="522"/>
      <c r="DX259" s="939"/>
      <c r="DY259" s="522" t="s">
        <v>470</v>
      </c>
      <c r="DZ259" s="522"/>
      <c r="EA259" s="939"/>
      <c r="EB259" s="522" t="s">
        <v>479</v>
      </c>
      <c r="EC259" s="522" t="s">
        <v>2533</v>
      </c>
      <c r="ED259" s="939">
        <v>277</v>
      </c>
      <c r="EE259" s="939" t="s">
        <v>470</v>
      </c>
      <c r="EF259" s="939"/>
      <c r="EG259" s="939"/>
      <c r="EH259" s="522" t="s">
        <v>470</v>
      </c>
      <c r="EI259" s="522"/>
      <c r="EJ259" s="939"/>
      <c r="EK259" s="522" t="s">
        <v>470</v>
      </c>
      <c r="EL259" s="522"/>
      <c r="EM259" s="939"/>
      <c r="EN259" s="522" t="s">
        <v>470</v>
      </c>
      <c r="EO259" s="522"/>
      <c r="EP259" s="939"/>
      <c r="EQ259" s="939" t="s">
        <v>470</v>
      </c>
      <c r="ER259" s="939"/>
      <c r="ES259" s="939"/>
      <c r="ET259" s="522" t="s">
        <v>5244</v>
      </c>
      <c r="EU259" s="522" t="s">
        <v>1876</v>
      </c>
      <c r="EV259" s="939">
        <v>1113</v>
      </c>
      <c r="EW259" s="939"/>
      <c r="EX259" s="939"/>
      <c r="EY259" s="939"/>
      <c r="EZ259" s="522" t="s">
        <v>470</v>
      </c>
      <c r="FA259" s="522" t="s">
        <v>5206</v>
      </c>
      <c r="FB259" s="935" t="s">
        <v>5114</v>
      </c>
      <c r="FC259" s="935" t="s">
        <v>4969</v>
      </c>
      <c r="FD259" s="935" t="s">
        <v>4902</v>
      </c>
      <c r="FE259" s="522" t="s">
        <v>4706</v>
      </c>
      <c r="FF259" s="522" t="s">
        <v>4706</v>
      </c>
      <c r="FG259" s="522" t="s">
        <v>4625</v>
      </c>
      <c r="FH259" s="522">
        <v>7</v>
      </c>
      <c r="FI259" s="522">
        <v>110</v>
      </c>
      <c r="FJ259" s="522" t="s">
        <v>4433</v>
      </c>
      <c r="FK259" s="522" t="s">
        <v>4225</v>
      </c>
      <c r="FL259" s="935" t="s">
        <v>4029</v>
      </c>
      <c r="FM259" s="522" t="s">
        <v>3876</v>
      </c>
      <c r="FN259" s="522" t="s">
        <v>3807</v>
      </c>
      <c r="FO259" s="935" t="s">
        <v>1412</v>
      </c>
    </row>
    <row r="260" spans="5:171" ht="28" customHeight="1" x14ac:dyDescent="0.2">
      <c r="E260" s="94" t="s">
        <v>3236</v>
      </c>
      <c r="F260" s="94" t="s">
        <v>9121</v>
      </c>
      <c r="G260" s="97" t="s">
        <v>340</v>
      </c>
      <c r="H260" s="97" t="s">
        <v>425</v>
      </c>
      <c r="I260" s="522" t="s">
        <v>8731</v>
      </c>
      <c r="J260" s="522" t="s">
        <v>8525</v>
      </c>
      <c r="K260" s="522" t="s">
        <v>3438</v>
      </c>
      <c r="L260" s="933">
        <v>2022</v>
      </c>
      <c r="M260" s="934" t="s">
        <v>8293</v>
      </c>
      <c r="N260" s="934" t="s">
        <v>472</v>
      </c>
      <c r="O260" s="934"/>
      <c r="P260" s="934"/>
      <c r="Q260" s="934"/>
      <c r="R260" s="934"/>
      <c r="S260" s="934"/>
      <c r="T260" s="934"/>
      <c r="U260" s="934"/>
      <c r="V260" s="934"/>
      <c r="W260" s="934"/>
      <c r="X260" s="934"/>
      <c r="Y260" s="934"/>
      <c r="Z260" s="522" t="s">
        <v>8074</v>
      </c>
      <c r="AA260" s="935" t="s">
        <v>7936</v>
      </c>
      <c r="AB260" s="522"/>
      <c r="AC260" s="522"/>
      <c r="AD260" s="522" t="s">
        <v>7453</v>
      </c>
      <c r="AE260" s="935" t="s">
        <v>7267</v>
      </c>
      <c r="AF260" s="522"/>
      <c r="AG260" s="522"/>
      <c r="AH260" s="522"/>
      <c r="AI260" s="522" t="s">
        <v>6822</v>
      </c>
      <c r="AJ260" s="522"/>
      <c r="AK260" s="522" t="s">
        <v>6476</v>
      </c>
      <c r="AL260" s="580">
        <f t="shared" si="19"/>
        <v>0.2</v>
      </c>
      <c r="AM260" s="504">
        <v>0.2</v>
      </c>
      <c r="AN260" s="516"/>
      <c r="AO260" s="97"/>
      <c r="AP260" s="97"/>
      <c r="AQ260" s="504">
        <v>0.2</v>
      </c>
      <c r="AR260" s="507">
        <v>1</v>
      </c>
      <c r="AS260" s="507">
        <v>1</v>
      </c>
      <c r="AT260" s="516"/>
      <c r="AU260" s="507"/>
      <c r="AV260" s="516"/>
      <c r="AW260" s="507"/>
      <c r="AX260" s="516"/>
      <c r="AY260" s="507"/>
      <c r="AZ260" s="516"/>
      <c r="BA260" s="936"/>
      <c r="BB260" s="936"/>
      <c r="BC260" s="936"/>
      <c r="BD260" s="936"/>
      <c r="BE260" s="936" t="s">
        <v>470</v>
      </c>
      <c r="BF260" s="936"/>
      <c r="BG260" s="936"/>
      <c r="BH260" s="937">
        <v>0</v>
      </c>
      <c r="BI260" s="938">
        <v>0.2</v>
      </c>
      <c r="BJ260" s="936">
        <f>BI260/775.556</f>
        <v>2.5787950837850523E-4</v>
      </c>
      <c r="BK260" s="939">
        <v>3</v>
      </c>
      <c r="BL260" s="939">
        <v>3</v>
      </c>
      <c r="BM260" s="939">
        <v>1</v>
      </c>
      <c r="BN260" s="939"/>
      <c r="BO260" s="939"/>
      <c r="BP260" s="939"/>
      <c r="BQ260" s="939"/>
      <c r="BR260" s="939"/>
      <c r="BS260" s="939"/>
      <c r="BT260" s="939"/>
      <c r="BU260" s="939"/>
      <c r="BV260" s="939"/>
      <c r="BW260" s="939"/>
      <c r="BX260" s="939"/>
      <c r="BY260" s="939"/>
      <c r="BZ260" s="939"/>
      <c r="CA260" s="939"/>
      <c r="CB260" s="939"/>
      <c r="CC260" s="939"/>
      <c r="CD260" s="939"/>
      <c r="CE260" s="939"/>
      <c r="CF260" s="939"/>
      <c r="CG260" s="939">
        <v>1</v>
      </c>
      <c r="CH260" s="939"/>
      <c r="CI260" s="939"/>
      <c r="CJ260" s="939"/>
      <c r="CK260" s="939"/>
      <c r="CL260" s="940">
        <f t="shared" si="25"/>
        <v>1</v>
      </c>
      <c r="CM260" s="824">
        <f t="shared" si="20"/>
        <v>0</v>
      </c>
      <c r="CN260" s="938">
        <v>0.11</v>
      </c>
      <c r="CO260" s="522" t="s">
        <v>6090</v>
      </c>
      <c r="CP260" s="522"/>
      <c r="CQ260" s="522">
        <v>12.95</v>
      </c>
      <c r="CR260" s="938">
        <v>0.84899999999999998</v>
      </c>
      <c r="CS260" s="1006" t="s">
        <v>5805</v>
      </c>
      <c r="CT260" s="522" t="s">
        <v>470</v>
      </c>
      <c r="CU260" s="522"/>
      <c r="CV260" s="522"/>
      <c r="CW260" s="522"/>
      <c r="CX260" s="939"/>
      <c r="CY260" s="939"/>
      <c r="CZ260" s="939"/>
      <c r="DA260" s="522" t="s">
        <v>470</v>
      </c>
      <c r="DB260" s="522"/>
      <c r="DC260" s="939"/>
      <c r="DD260" s="522" t="s">
        <v>479</v>
      </c>
      <c r="DE260" s="522" t="s">
        <v>5626</v>
      </c>
      <c r="DF260" s="939">
        <v>51</v>
      </c>
      <c r="DG260" s="939" t="s">
        <v>470</v>
      </c>
      <c r="DH260" s="939"/>
      <c r="DI260" s="939"/>
      <c r="DJ260" s="939"/>
      <c r="DK260" s="939"/>
      <c r="DL260" s="939"/>
      <c r="DM260" s="522" t="s">
        <v>470</v>
      </c>
      <c r="DN260" s="522"/>
      <c r="DO260" s="939"/>
      <c r="DP260" s="522" t="s">
        <v>470</v>
      </c>
      <c r="DQ260" s="522"/>
      <c r="DR260" s="939"/>
      <c r="DS260" s="522" t="s">
        <v>470</v>
      </c>
      <c r="DT260" s="522"/>
      <c r="DU260" s="939"/>
      <c r="DV260" s="522"/>
      <c r="DW260" s="522"/>
      <c r="DX260" s="939"/>
      <c r="DY260" s="522" t="s">
        <v>470</v>
      </c>
      <c r="DZ260" s="522"/>
      <c r="EA260" s="939"/>
      <c r="EB260" s="522" t="s">
        <v>479</v>
      </c>
      <c r="EC260" s="935" t="s">
        <v>5405</v>
      </c>
      <c r="ED260" s="939">
        <v>30</v>
      </c>
      <c r="EE260" s="939" t="s">
        <v>470</v>
      </c>
      <c r="EF260" s="939"/>
      <c r="EG260" s="939"/>
      <c r="EH260" s="522"/>
      <c r="EI260" s="522" t="s">
        <v>470</v>
      </c>
      <c r="EJ260" s="939"/>
      <c r="EK260" s="522" t="s">
        <v>470</v>
      </c>
      <c r="EL260" s="522"/>
      <c r="EM260" s="939"/>
      <c r="EN260" s="522" t="s">
        <v>470</v>
      </c>
      <c r="EO260" s="522"/>
      <c r="EP260" s="939"/>
      <c r="EQ260" s="939" t="s">
        <v>470</v>
      </c>
      <c r="ER260" s="939"/>
      <c r="ES260" s="939"/>
      <c r="ET260" s="522"/>
      <c r="EU260" s="522"/>
      <c r="EV260" s="939"/>
      <c r="EW260" s="939"/>
      <c r="EX260" s="939"/>
      <c r="EY260" s="939"/>
      <c r="EZ260" s="522" t="s">
        <v>470</v>
      </c>
      <c r="FA260" s="522"/>
      <c r="FB260" s="935" t="s">
        <v>5113</v>
      </c>
      <c r="FC260" s="935" t="s">
        <v>4968</v>
      </c>
      <c r="FD260" s="522"/>
      <c r="FE260" s="522"/>
      <c r="FF260" s="522"/>
      <c r="FG260" s="522"/>
      <c r="FH260" s="522"/>
      <c r="FI260" s="522"/>
      <c r="FJ260" s="522" t="s">
        <v>4432</v>
      </c>
      <c r="FK260" s="522">
        <v>83533221372</v>
      </c>
      <c r="FL260" s="935" t="s">
        <v>4028</v>
      </c>
      <c r="FM260" s="522" t="s">
        <v>3876</v>
      </c>
      <c r="FN260" s="522" t="s">
        <v>3807</v>
      </c>
      <c r="FO260" s="935" t="s">
        <v>1412</v>
      </c>
    </row>
    <row r="261" spans="5:171" ht="28" customHeight="1" x14ac:dyDescent="0.2">
      <c r="E261" s="94" t="s">
        <v>9305</v>
      </c>
      <c r="F261" s="94" t="s">
        <v>9121</v>
      </c>
      <c r="G261" s="97" t="s">
        <v>340</v>
      </c>
      <c r="H261" s="97" t="s">
        <v>425</v>
      </c>
      <c r="I261" s="97" t="s">
        <v>8730</v>
      </c>
      <c r="J261" s="97" t="s">
        <v>8524</v>
      </c>
      <c r="K261" s="97" t="s">
        <v>5242</v>
      </c>
      <c r="L261" s="502">
        <v>2019</v>
      </c>
      <c r="M261" s="841">
        <v>44697</v>
      </c>
      <c r="N261" s="841">
        <v>44865</v>
      </c>
      <c r="O261" s="841"/>
      <c r="P261" s="841"/>
      <c r="Q261" s="841"/>
      <c r="R261" s="841"/>
      <c r="S261" s="841"/>
      <c r="T261" s="841"/>
      <c r="U261" s="841"/>
      <c r="V261" s="841"/>
      <c r="W261" s="841"/>
      <c r="X261" s="841"/>
      <c r="Y261" s="841"/>
      <c r="Z261" s="97"/>
      <c r="AA261" s="97"/>
      <c r="AB261" s="97" t="s">
        <v>7799</v>
      </c>
      <c r="AC261" s="97"/>
      <c r="AD261" s="97" t="s">
        <v>7452</v>
      </c>
      <c r="AE261" s="97"/>
      <c r="AF261" s="97"/>
      <c r="AG261" s="97"/>
      <c r="AH261" s="97" t="s">
        <v>6475</v>
      </c>
      <c r="AI261" s="97" t="s">
        <v>6475</v>
      </c>
      <c r="AJ261" s="97" t="s">
        <v>6690</v>
      </c>
      <c r="AK261" s="97" t="s">
        <v>6475</v>
      </c>
      <c r="AL261" s="580">
        <f t="shared" si="19"/>
        <v>0.11800000000000001</v>
      </c>
      <c r="AM261" s="504">
        <v>0.11800000000000001</v>
      </c>
      <c r="AN261" s="516"/>
      <c r="AO261" s="97"/>
      <c r="AP261" s="97"/>
      <c r="AQ261" s="504">
        <v>0.1</v>
      </c>
      <c r="AR261" s="876">
        <f>AQ261/AL261</f>
        <v>0.84745762711864403</v>
      </c>
      <c r="AS261" s="1014">
        <v>3.5999999999999997E-2</v>
      </c>
      <c r="AT261" s="516">
        <v>1.7999999999999999E-2</v>
      </c>
      <c r="AU261" s="507">
        <f>AT261/AL261</f>
        <v>0.15254237288135591</v>
      </c>
      <c r="AV261" s="516"/>
      <c r="AW261" s="507"/>
      <c r="AX261" s="516"/>
      <c r="AY261" s="507"/>
      <c r="AZ261" s="516"/>
      <c r="BA261" s="507"/>
      <c r="BB261" s="507"/>
      <c r="BC261" s="507"/>
      <c r="BD261" s="507"/>
      <c r="BE261" s="507" t="s">
        <v>479</v>
      </c>
      <c r="BF261" s="507" t="s">
        <v>6296</v>
      </c>
      <c r="BG261" s="507"/>
      <c r="BH261" s="852">
        <v>5</v>
      </c>
      <c r="BI261" s="504"/>
      <c r="BJ261" s="507"/>
      <c r="BK261" s="96">
        <v>1</v>
      </c>
      <c r="BL261" s="96">
        <v>1</v>
      </c>
      <c r="BM261" s="96">
        <v>1</v>
      </c>
      <c r="BN261" s="96">
        <v>1</v>
      </c>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815">
        <f t="shared" si="25"/>
        <v>1</v>
      </c>
      <c r="CM261" s="824">
        <f t="shared" si="20"/>
        <v>0</v>
      </c>
      <c r="CN261" s="504">
        <v>0.4</v>
      </c>
      <c r="CO261" s="97" t="s">
        <v>6089</v>
      </c>
      <c r="CP261" s="97"/>
      <c r="CQ261" s="97">
        <f>CN261/CR261*100</f>
        <v>80</v>
      </c>
      <c r="CR261" s="504">
        <v>0.5</v>
      </c>
      <c r="CS261" s="507"/>
      <c r="CT261" s="97" t="s">
        <v>470</v>
      </c>
      <c r="CU261" s="97"/>
      <c r="CV261" s="97"/>
      <c r="CW261" s="97"/>
      <c r="CX261" s="96"/>
      <c r="CY261" s="96"/>
      <c r="CZ261" s="96"/>
      <c r="DA261" s="97" t="s">
        <v>479</v>
      </c>
      <c r="DB261" s="97" t="s">
        <v>5243</v>
      </c>
      <c r="DC261" s="96"/>
      <c r="DD261" s="97" t="s">
        <v>470</v>
      </c>
      <c r="DE261" s="97"/>
      <c r="DF261" s="96"/>
      <c r="DG261" s="96" t="s">
        <v>470</v>
      </c>
      <c r="DH261" s="96"/>
      <c r="DI261" s="96"/>
      <c r="DJ261" s="96" t="s">
        <v>470</v>
      </c>
      <c r="DK261" s="96"/>
      <c r="DL261" s="96"/>
      <c r="DM261" s="97" t="s">
        <v>470</v>
      </c>
      <c r="DN261" s="97"/>
      <c r="DO261" s="96"/>
      <c r="DP261" s="97" t="s">
        <v>470</v>
      </c>
      <c r="DQ261" s="97"/>
      <c r="DR261" s="96"/>
      <c r="DS261" s="97" t="s">
        <v>470</v>
      </c>
      <c r="DT261" s="97"/>
      <c r="DU261" s="96"/>
      <c r="DV261" s="97"/>
      <c r="DW261" s="97"/>
      <c r="DX261" s="96"/>
      <c r="DY261" s="97" t="s">
        <v>470</v>
      </c>
      <c r="DZ261" s="97"/>
      <c r="EA261" s="96"/>
      <c r="EB261" s="97" t="s">
        <v>470</v>
      </c>
      <c r="EC261" s="97"/>
      <c r="ED261" s="96"/>
      <c r="EE261" s="96" t="s">
        <v>470</v>
      </c>
      <c r="EF261" s="96"/>
      <c r="EG261" s="96"/>
      <c r="EH261" s="97" t="s">
        <v>470</v>
      </c>
      <c r="EI261" s="97"/>
      <c r="EJ261" s="96"/>
      <c r="EK261" s="97" t="s">
        <v>470</v>
      </c>
      <c r="EL261" s="97"/>
      <c r="EM261" s="96"/>
      <c r="EN261" s="97" t="s">
        <v>470</v>
      </c>
      <c r="EO261" s="97"/>
      <c r="EP261" s="96"/>
      <c r="EQ261" s="96" t="s">
        <v>470</v>
      </c>
      <c r="ER261" s="96"/>
      <c r="ES261" s="96"/>
      <c r="ET261" s="97" t="s">
        <v>5243</v>
      </c>
      <c r="EU261" s="97"/>
      <c r="EV261" s="96"/>
      <c r="EW261" s="96"/>
      <c r="EX261" s="96"/>
      <c r="EY261" s="96"/>
      <c r="EZ261" s="97" t="s">
        <v>470</v>
      </c>
      <c r="FA261" s="97"/>
      <c r="FB261" s="842" t="s">
        <v>5112</v>
      </c>
      <c r="FC261" s="842" t="s">
        <v>4967</v>
      </c>
      <c r="FD261" s="97" t="s">
        <v>470</v>
      </c>
      <c r="FE261" s="97" t="s">
        <v>4794</v>
      </c>
      <c r="FF261" s="97" t="s">
        <v>470</v>
      </c>
      <c r="FG261" s="97" t="s">
        <v>4624</v>
      </c>
      <c r="FH261" s="97">
        <v>2</v>
      </c>
      <c r="FI261" s="97" t="s">
        <v>4571</v>
      </c>
      <c r="FJ261" s="97" t="s">
        <v>4431</v>
      </c>
      <c r="FK261" s="97" t="s">
        <v>4224</v>
      </c>
      <c r="FL261" s="842" t="s">
        <v>4027</v>
      </c>
      <c r="FM261" s="522" t="s">
        <v>3876</v>
      </c>
      <c r="FN261" s="522" t="s">
        <v>3807</v>
      </c>
      <c r="FO261" s="935" t="s">
        <v>1412</v>
      </c>
    </row>
    <row r="262" spans="5:171" ht="28" customHeight="1" x14ac:dyDescent="0.2">
      <c r="E262" s="94" t="s">
        <v>9302</v>
      </c>
      <c r="F262" s="94" t="s">
        <v>9121</v>
      </c>
      <c r="G262" s="97" t="s">
        <v>340</v>
      </c>
      <c r="H262" s="97" t="s">
        <v>425</v>
      </c>
      <c r="I262" s="522" t="s">
        <v>8728</v>
      </c>
      <c r="J262" s="522" t="s">
        <v>1772</v>
      </c>
      <c r="K262" s="522" t="s">
        <v>1772</v>
      </c>
      <c r="L262" s="933">
        <v>2021</v>
      </c>
      <c r="M262" s="934" t="s">
        <v>8294</v>
      </c>
      <c r="N262" s="934" t="s">
        <v>8225</v>
      </c>
      <c r="O262" s="934"/>
      <c r="P262" s="934"/>
      <c r="Q262" s="934"/>
      <c r="R262" s="934"/>
      <c r="S262" s="934"/>
      <c r="T262" s="934"/>
      <c r="U262" s="934"/>
      <c r="V262" s="934"/>
      <c r="W262" s="934"/>
      <c r="X262" s="934"/>
      <c r="Y262" s="934"/>
      <c r="Z262" s="522" t="s">
        <v>8073</v>
      </c>
      <c r="AA262" s="522" t="s">
        <v>7935</v>
      </c>
      <c r="AB262" s="522"/>
      <c r="AC262" s="522"/>
      <c r="AD262" s="522" t="s">
        <v>7450</v>
      </c>
      <c r="AE262" s="522"/>
      <c r="AF262" s="522"/>
      <c r="AG262" s="522"/>
      <c r="AH262" s="522" t="s">
        <v>6473</v>
      </c>
      <c r="AI262" s="522" t="s">
        <v>6473</v>
      </c>
      <c r="AJ262" s="522" t="s">
        <v>1763</v>
      </c>
      <c r="AK262" s="522" t="s">
        <v>6473</v>
      </c>
      <c r="AL262" s="580">
        <f t="shared" si="19"/>
        <v>9.2299999999999993E-2</v>
      </c>
      <c r="AM262" s="504">
        <v>9.2299999999999993E-2</v>
      </c>
      <c r="AN262" s="516"/>
      <c r="AO262" s="97"/>
      <c r="AP262" s="97"/>
      <c r="AQ262" s="1015">
        <v>8.3299999999999999E-2</v>
      </c>
      <c r="AR262" s="507">
        <v>0.90249999999999997</v>
      </c>
      <c r="AS262" s="507"/>
      <c r="AT262" s="516"/>
      <c r="AU262" s="507"/>
      <c r="AV262" s="516"/>
      <c r="AW262" s="507"/>
      <c r="AX262" s="516">
        <v>8.9999999999999993E-3</v>
      </c>
      <c r="AY262" s="507">
        <v>9.7500000000000003E-2</v>
      </c>
      <c r="AZ262" s="516"/>
      <c r="BA262" s="936"/>
      <c r="BB262" s="936"/>
      <c r="BC262" s="936"/>
      <c r="BD262" s="936"/>
      <c r="BE262" s="936" t="s">
        <v>479</v>
      </c>
      <c r="BF262" s="936" t="s">
        <v>6295</v>
      </c>
      <c r="BG262" s="936"/>
      <c r="BH262" s="937"/>
      <c r="BI262" s="1016">
        <v>0.125</v>
      </c>
      <c r="BJ262" s="936">
        <v>2.75E-2</v>
      </c>
      <c r="BK262" s="939">
        <v>1</v>
      </c>
      <c r="BL262" s="939">
        <v>1</v>
      </c>
      <c r="BM262" s="939">
        <v>1</v>
      </c>
      <c r="BN262" s="939"/>
      <c r="BO262" s="939"/>
      <c r="BP262" s="939"/>
      <c r="BQ262" s="939"/>
      <c r="BR262" s="939"/>
      <c r="BS262" s="939"/>
      <c r="BT262" s="939"/>
      <c r="BU262" s="939"/>
      <c r="BV262" s="939"/>
      <c r="BW262" s="939"/>
      <c r="BX262" s="939"/>
      <c r="BY262" s="939">
        <v>1</v>
      </c>
      <c r="BZ262" s="939"/>
      <c r="CA262" s="939"/>
      <c r="CB262" s="939"/>
      <c r="CC262" s="939"/>
      <c r="CD262" s="939"/>
      <c r="CE262" s="939"/>
      <c r="CF262" s="939"/>
      <c r="CG262" s="939"/>
      <c r="CH262" s="939"/>
      <c r="CI262" s="939"/>
      <c r="CJ262" s="939"/>
      <c r="CK262" s="939"/>
      <c r="CL262" s="940">
        <f>SUM(BN262:CK262)</f>
        <v>1</v>
      </c>
      <c r="CM262" s="824">
        <f t="shared" si="20"/>
        <v>0</v>
      </c>
      <c r="CN262" s="938">
        <v>0.40699999999999997</v>
      </c>
      <c r="CO262" s="522" t="s">
        <v>1924</v>
      </c>
      <c r="CP262" s="522"/>
      <c r="CQ262" s="936">
        <f>CN262/CR262</f>
        <v>0.5327225130890052</v>
      </c>
      <c r="CR262" s="938">
        <v>0.76400000000000001</v>
      </c>
      <c r="CS262" s="936" t="s">
        <v>5862</v>
      </c>
      <c r="CT262" s="522" t="s">
        <v>470</v>
      </c>
      <c r="CU262" s="522"/>
      <c r="CV262" s="522"/>
      <c r="CW262" s="522"/>
      <c r="CX262" s="939"/>
      <c r="CY262" s="939"/>
      <c r="CZ262" s="939"/>
      <c r="DA262" s="522" t="s">
        <v>470</v>
      </c>
      <c r="DB262" s="522"/>
      <c r="DC262" s="939"/>
      <c r="DD262" s="522" t="s">
        <v>470</v>
      </c>
      <c r="DE262" s="522"/>
      <c r="DF262" s="939"/>
      <c r="DG262" s="939" t="s">
        <v>470</v>
      </c>
      <c r="DH262" s="939"/>
      <c r="DI262" s="939"/>
      <c r="DJ262" s="939" t="s">
        <v>470</v>
      </c>
      <c r="DK262" s="939"/>
      <c r="DL262" s="939"/>
      <c r="DM262" s="522" t="s">
        <v>470</v>
      </c>
      <c r="DN262" s="522"/>
      <c r="DO262" s="939"/>
      <c r="DP262" s="522" t="s">
        <v>470</v>
      </c>
      <c r="DQ262" s="522"/>
      <c r="DR262" s="939"/>
      <c r="DS262" s="522" t="s">
        <v>470</v>
      </c>
      <c r="DT262" s="522"/>
      <c r="DU262" s="939"/>
      <c r="DV262" s="522" t="s">
        <v>470</v>
      </c>
      <c r="DW262" s="522"/>
      <c r="DX262" s="939"/>
      <c r="DY262" s="522" t="s">
        <v>470</v>
      </c>
      <c r="DZ262" s="522"/>
      <c r="EA262" s="939"/>
      <c r="EB262" s="522" t="s">
        <v>479</v>
      </c>
      <c r="EC262" s="522" t="s">
        <v>640</v>
      </c>
      <c r="ED262" s="939">
        <v>8</v>
      </c>
      <c r="EE262" s="939" t="s">
        <v>470</v>
      </c>
      <c r="EF262" s="939"/>
      <c r="EG262" s="939"/>
      <c r="EH262" s="522" t="s">
        <v>470</v>
      </c>
      <c r="EI262" s="522"/>
      <c r="EJ262" s="939"/>
      <c r="EK262" s="522" t="s">
        <v>470</v>
      </c>
      <c r="EL262" s="522"/>
      <c r="EM262" s="939"/>
      <c r="EN262" s="522" t="s">
        <v>470</v>
      </c>
      <c r="EO262" s="522"/>
      <c r="EP262" s="939"/>
      <c r="EQ262" s="939" t="s">
        <v>470</v>
      </c>
      <c r="ER262" s="939"/>
      <c r="ES262" s="939"/>
      <c r="ET262" s="522" t="s">
        <v>470</v>
      </c>
      <c r="EU262" s="522"/>
      <c r="EV262" s="939"/>
      <c r="EW262" s="939"/>
      <c r="EX262" s="939"/>
      <c r="EY262" s="939"/>
      <c r="EZ262" s="522" t="s">
        <v>470</v>
      </c>
      <c r="FA262" s="522"/>
      <c r="FB262" s="522"/>
      <c r="FC262" s="522"/>
      <c r="FD262" s="522"/>
      <c r="FE262" s="522" t="s">
        <v>4792</v>
      </c>
      <c r="FF262" s="522"/>
      <c r="FG262" s="522" t="s">
        <v>4623</v>
      </c>
      <c r="FH262" s="522">
        <v>3</v>
      </c>
      <c r="FI262" s="522">
        <v>90</v>
      </c>
      <c r="FJ262" s="522" t="s">
        <v>4430</v>
      </c>
      <c r="FK262" s="522" t="s">
        <v>4223</v>
      </c>
      <c r="FL262" s="522" t="s">
        <v>4026</v>
      </c>
      <c r="FM262" s="522" t="s">
        <v>3876</v>
      </c>
      <c r="FN262" s="522" t="s">
        <v>3807</v>
      </c>
      <c r="FO262" s="935" t="s">
        <v>1412</v>
      </c>
    </row>
    <row r="263" spans="5:171" ht="28" customHeight="1" x14ac:dyDescent="0.2">
      <c r="E263" s="94" t="s">
        <v>9305</v>
      </c>
      <c r="F263" s="94" t="s">
        <v>9121</v>
      </c>
      <c r="G263" s="97" t="s">
        <v>340</v>
      </c>
      <c r="H263" s="97" t="s">
        <v>425</v>
      </c>
      <c r="I263" s="97" t="s">
        <v>8729</v>
      </c>
      <c r="J263" s="97" t="s">
        <v>8524</v>
      </c>
      <c r="K263" s="97" t="s">
        <v>5242</v>
      </c>
      <c r="L263" s="502">
        <v>2022</v>
      </c>
      <c r="M263" s="841">
        <v>44837</v>
      </c>
      <c r="N263" s="841">
        <v>44865</v>
      </c>
      <c r="O263" s="841"/>
      <c r="P263" s="841"/>
      <c r="Q263" s="841"/>
      <c r="R263" s="841"/>
      <c r="S263" s="841"/>
      <c r="T263" s="841"/>
      <c r="U263" s="841"/>
      <c r="V263" s="841"/>
      <c r="W263" s="841"/>
      <c r="X263" s="841"/>
      <c r="Y263" s="841"/>
      <c r="Z263" s="97"/>
      <c r="AA263" s="97"/>
      <c r="AB263" s="97" t="s">
        <v>7798</v>
      </c>
      <c r="AC263" s="97"/>
      <c r="AD263" s="97" t="s">
        <v>7451</v>
      </c>
      <c r="AE263" s="97"/>
      <c r="AF263" s="97"/>
      <c r="AG263" s="97"/>
      <c r="AH263" s="97" t="s">
        <v>6474</v>
      </c>
      <c r="AI263" s="97" t="s">
        <v>6474</v>
      </c>
      <c r="AJ263" s="97" t="s">
        <v>6690</v>
      </c>
      <c r="AK263" s="97" t="s">
        <v>6474</v>
      </c>
      <c r="AL263" s="580">
        <f t="shared" si="19"/>
        <v>0.25</v>
      </c>
      <c r="AM263" s="504">
        <v>0.25</v>
      </c>
      <c r="AN263" s="516"/>
      <c r="AO263" s="97"/>
      <c r="AP263" s="97"/>
      <c r="AQ263" s="504">
        <v>0.23499999999999999</v>
      </c>
      <c r="AR263" s="876">
        <f>AQ263/AL263</f>
        <v>0.94</v>
      </c>
      <c r="AS263" s="1014">
        <v>4.0000000000000001E-3</v>
      </c>
      <c r="AT263" s="516"/>
      <c r="AU263" s="876"/>
      <c r="AV263" s="516"/>
      <c r="AW263" s="1014"/>
      <c r="AX263" s="516">
        <v>1.4999999999999999E-2</v>
      </c>
      <c r="AY263" s="876">
        <f>AX263/AL263</f>
        <v>0.06</v>
      </c>
      <c r="AZ263" s="516"/>
      <c r="BA263" s="876"/>
      <c r="BB263" s="876"/>
      <c r="BC263" s="876"/>
      <c r="BD263" s="876"/>
      <c r="BE263" s="507"/>
      <c r="BF263" s="507"/>
      <c r="BG263" s="507"/>
      <c r="BH263" s="852"/>
      <c r="BI263" s="504"/>
      <c r="BJ263" s="507"/>
      <c r="BK263" s="96">
        <v>1</v>
      </c>
      <c r="BL263" s="96">
        <v>1</v>
      </c>
      <c r="BM263" s="96">
        <v>1</v>
      </c>
      <c r="BN263" s="96"/>
      <c r="BO263" s="96">
        <v>1</v>
      </c>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815">
        <f t="shared" si="25"/>
        <v>1</v>
      </c>
      <c r="CM263" s="824">
        <f t="shared" si="20"/>
        <v>0</v>
      </c>
      <c r="CN263" s="504">
        <v>0.25</v>
      </c>
      <c r="CO263" s="97" t="s">
        <v>6089</v>
      </c>
      <c r="CP263" s="97"/>
      <c r="CQ263" s="516">
        <f>CN263/CR263*100</f>
        <v>5.6818181818181817</v>
      </c>
      <c r="CR263" s="504">
        <v>4.4000000000000004</v>
      </c>
      <c r="CS263" s="507"/>
      <c r="CT263" s="97" t="s">
        <v>470</v>
      </c>
      <c r="CU263" s="97"/>
      <c r="CV263" s="97"/>
      <c r="CW263" s="97"/>
      <c r="CX263" s="96"/>
      <c r="CY263" s="96"/>
      <c r="CZ263" s="96"/>
      <c r="DA263" s="97" t="s">
        <v>479</v>
      </c>
      <c r="DB263" s="97" t="s">
        <v>5243</v>
      </c>
      <c r="DC263" s="96"/>
      <c r="DD263" s="97" t="s">
        <v>470</v>
      </c>
      <c r="DE263" s="97"/>
      <c r="DF263" s="96"/>
      <c r="DG263" s="96" t="s">
        <v>470</v>
      </c>
      <c r="DH263" s="96"/>
      <c r="DI263" s="96"/>
      <c r="DJ263" s="96" t="s">
        <v>470</v>
      </c>
      <c r="DK263" s="96"/>
      <c r="DL263" s="96"/>
      <c r="DM263" s="97" t="s">
        <v>470</v>
      </c>
      <c r="DN263" s="97"/>
      <c r="DO263" s="96"/>
      <c r="DP263" s="97" t="s">
        <v>479</v>
      </c>
      <c r="DQ263" s="97" t="s">
        <v>5537</v>
      </c>
      <c r="DR263" s="96"/>
      <c r="DS263" s="97" t="s">
        <v>470</v>
      </c>
      <c r="DT263" s="97"/>
      <c r="DU263" s="96"/>
      <c r="DV263" s="97"/>
      <c r="DW263" s="97"/>
      <c r="DX263" s="96"/>
      <c r="DY263" s="97" t="s">
        <v>479</v>
      </c>
      <c r="DZ263" s="97"/>
      <c r="EA263" s="96"/>
      <c r="EB263" s="97" t="s">
        <v>470</v>
      </c>
      <c r="EC263" s="97"/>
      <c r="ED263" s="96"/>
      <c r="EE263" s="96" t="s">
        <v>470</v>
      </c>
      <c r="EF263" s="96"/>
      <c r="EG263" s="96"/>
      <c r="EH263" s="97" t="s">
        <v>470</v>
      </c>
      <c r="EI263" s="97"/>
      <c r="EJ263" s="96"/>
      <c r="EK263" s="97" t="s">
        <v>470</v>
      </c>
      <c r="EL263" s="97"/>
      <c r="EM263" s="96"/>
      <c r="EN263" s="97" t="s">
        <v>470</v>
      </c>
      <c r="EO263" s="97"/>
      <c r="EP263" s="96"/>
      <c r="EQ263" s="96"/>
      <c r="ER263" s="96"/>
      <c r="ES263" s="96"/>
      <c r="ET263" s="97" t="s">
        <v>5243</v>
      </c>
      <c r="EU263" s="97"/>
      <c r="EV263" s="96"/>
      <c r="EW263" s="96"/>
      <c r="EX263" s="96"/>
      <c r="EY263" s="96"/>
      <c r="EZ263" s="97" t="s">
        <v>470</v>
      </c>
      <c r="FA263" s="97"/>
      <c r="FB263" s="842" t="s">
        <v>5111</v>
      </c>
      <c r="FC263" s="97" t="s">
        <v>470</v>
      </c>
      <c r="FD263" s="97" t="s">
        <v>470</v>
      </c>
      <c r="FE263" s="97" t="s">
        <v>4793</v>
      </c>
      <c r="FF263" s="97" t="s">
        <v>470</v>
      </c>
      <c r="FG263" s="97" t="s">
        <v>4624</v>
      </c>
      <c r="FH263" s="97">
        <v>2</v>
      </c>
      <c r="FI263" s="97" t="s">
        <v>4571</v>
      </c>
      <c r="FJ263" s="97" t="s">
        <v>4431</v>
      </c>
      <c r="FK263" s="97" t="s">
        <v>4224</v>
      </c>
      <c r="FL263" s="842" t="s">
        <v>4027</v>
      </c>
      <c r="FM263" s="97" t="s">
        <v>3876</v>
      </c>
      <c r="FN263" s="97" t="s">
        <v>3807</v>
      </c>
      <c r="FO263" s="1017" t="s">
        <v>1412</v>
      </c>
    </row>
    <row r="264" spans="5:171" ht="104" customHeight="1" x14ac:dyDescent="0.2">
      <c r="E264" s="94" t="s">
        <v>9303</v>
      </c>
      <c r="F264" s="94" t="s">
        <v>9120</v>
      </c>
      <c r="G264" s="198" t="s">
        <v>341</v>
      </c>
      <c r="H264" s="198" t="s">
        <v>426</v>
      </c>
      <c r="I264" s="198"/>
      <c r="J264" s="198" t="s">
        <v>1045</v>
      </c>
      <c r="K264" s="198" t="s">
        <v>1045</v>
      </c>
      <c r="L264" s="578">
        <v>2014</v>
      </c>
      <c r="M264" s="822" t="s">
        <v>3088</v>
      </c>
      <c r="N264" s="822" t="s">
        <v>865</v>
      </c>
      <c r="O264" s="198" t="s">
        <v>3089</v>
      </c>
      <c r="P264" s="198" t="s">
        <v>3090</v>
      </c>
      <c r="Q264" s="549" t="s">
        <v>3091</v>
      </c>
      <c r="R264" s="198" t="s">
        <v>3092</v>
      </c>
      <c r="S264" s="198" t="s">
        <v>3093</v>
      </c>
      <c r="T264" s="198"/>
      <c r="U264" s="198"/>
      <c r="V264" s="198"/>
      <c r="W264" s="198"/>
      <c r="X264" s="198"/>
      <c r="Y264" s="198"/>
      <c r="Z264" s="198"/>
      <c r="AA264" s="198"/>
      <c r="AB264" s="198"/>
      <c r="AC264" s="198"/>
      <c r="AD264" s="198"/>
      <c r="AE264" s="198"/>
      <c r="AF264" s="198"/>
      <c r="AG264" s="198"/>
      <c r="AH264" s="198" t="s">
        <v>3094</v>
      </c>
      <c r="AI264" s="198" t="s">
        <v>3094</v>
      </c>
      <c r="AJ264" s="198" t="s">
        <v>680</v>
      </c>
      <c r="AK264" s="198" t="s">
        <v>3095</v>
      </c>
      <c r="AL264" s="580">
        <f t="shared" ref="AL264:AL327" si="26">SUM(AN264,AQ264,AT264,AV264,AX264,AZ264)</f>
        <v>2.5455000000000001</v>
      </c>
      <c r="AM264" s="504">
        <v>2.5455000000000001</v>
      </c>
      <c r="AN264" s="516">
        <v>1.78E-2</v>
      </c>
      <c r="AO264" s="137">
        <f>AN264/AL264</f>
        <v>6.9927322726379883E-3</v>
      </c>
      <c r="AP264" s="137">
        <f>AN264/52709.8468</f>
        <v>3.3769781322908342E-7</v>
      </c>
      <c r="AQ264" s="504">
        <v>1.8800000000000001E-2</v>
      </c>
      <c r="AR264" s="137">
        <f>AQ264/AL264</f>
        <v>7.3855824003142799E-3</v>
      </c>
      <c r="AS264" s="137"/>
      <c r="AT264" s="520">
        <v>0</v>
      </c>
      <c r="AU264" s="137">
        <v>0</v>
      </c>
      <c r="AV264" s="520"/>
      <c r="AW264" s="137">
        <f>AV264/AL264</f>
        <v>0</v>
      </c>
      <c r="AX264" s="520">
        <v>0.74539999999999995</v>
      </c>
      <c r="AY264" s="137">
        <f>AX264/AL264</f>
        <v>0.29283048516990767</v>
      </c>
      <c r="AZ264" s="520">
        <v>1.7635000000000001</v>
      </c>
      <c r="BA264" s="137">
        <f>AZ264/AL264</f>
        <v>0.69279120015714002</v>
      </c>
      <c r="BB264" s="198" t="s">
        <v>3096</v>
      </c>
      <c r="BC264" s="198" t="s">
        <v>875</v>
      </c>
      <c r="BD264" s="198" t="s">
        <v>3094</v>
      </c>
      <c r="BE264" s="198" t="s">
        <v>479</v>
      </c>
      <c r="BF264" s="198" t="s">
        <v>1111</v>
      </c>
      <c r="BG264" s="198"/>
      <c r="BH264" s="198"/>
      <c r="BI264" s="520">
        <v>4.6100000000000003</v>
      </c>
      <c r="BJ264" s="137">
        <f>BI264/53359.676</f>
        <v>8.639482743485925E-5</v>
      </c>
      <c r="BK264" s="83">
        <v>22</v>
      </c>
      <c r="BL264" s="83">
        <v>22</v>
      </c>
      <c r="BM264" s="83">
        <v>3</v>
      </c>
      <c r="BN264" s="83"/>
      <c r="BO264" s="83">
        <v>1</v>
      </c>
      <c r="BP264" s="83"/>
      <c r="BQ264" s="83"/>
      <c r="BR264" s="83"/>
      <c r="BS264" s="83"/>
      <c r="BT264" s="83"/>
      <c r="BU264" s="83"/>
      <c r="BV264" s="83"/>
      <c r="BW264" s="83"/>
      <c r="BX264" s="83">
        <v>1</v>
      </c>
      <c r="BY264" s="83">
        <v>1</v>
      </c>
      <c r="BZ264" s="83"/>
      <c r="CA264" s="83"/>
      <c r="CB264" s="83"/>
      <c r="CC264" s="83"/>
      <c r="CD264" s="83"/>
      <c r="CE264" s="83"/>
      <c r="CF264" s="83"/>
      <c r="CG264" s="83"/>
      <c r="CH264" s="83"/>
      <c r="CI264" s="83"/>
      <c r="CJ264" s="83"/>
      <c r="CK264" s="83"/>
      <c r="CL264" s="824">
        <f t="shared" si="25"/>
        <v>3</v>
      </c>
      <c r="CM264" s="824">
        <f t="shared" si="20"/>
        <v>0</v>
      </c>
      <c r="CN264" s="580">
        <v>0.76900000000000002</v>
      </c>
      <c r="CO264" s="198" t="s">
        <v>3097</v>
      </c>
      <c r="CP264" s="198"/>
      <c r="CQ264" s="137">
        <f>CN264/CR264</f>
        <v>1.0830635063934549E-3</v>
      </c>
      <c r="CR264" s="580">
        <v>710.02300000000002</v>
      </c>
      <c r="CS264" s="834" t="s">
        <v>3098</v>
      </c>
      <c r="CT264" s="198" t="s">
        <v>470</v>
      </c>
      <c r="CU264" s="198"/>
      <c r="CV264" s="198"/>
      <c r="CW264" s="198"/>
      <c r="CX264" s="83"/>
      <c r="CY264" s="83"/>
      <c r="CZ264" s="83">
        <v>2</v>
      </c>
      <c r="DA264" s="198" t="s">
        <v>479</v>
      </c>
      <c r="DB264" s="198" t="s">
        <v>3099</v>
      </c>
      <c r="DC264" s="83">
        <v>210</v>
      </c>
      <c r="DD264" s="198" t="s">
        <v>479</v>
      </c>
      <c r="DE264" s="198" t="s">
        <v>3099</v>
      </c>
      <c r="DF264" s="83">
        <v>210</v>
      </c>
      <c r="DG264" s="83" t="s">
        <v>470</v>
      </c>
      <c r="DH264" s="83"/>
      <c r="DI264" s="83"/>
      <c r="DJ264" s="83" t="s">
        <v>470</v>
      </c>
      <c r="DK264" s="83"/>
      <c r="DL264" s="83"/>
      <c r="DM264" s="83" t="s">
        <v>470</v>
      </c>
      <c r="DN264" s="198"/>
      <c r="DO264" s="83"/>
      <c r="DP264" s="83" t="s">
        <v>470</v>
      </c>
      <c r="DQ264" s="198"/>
      <c r="DR264" s="83"/>
      <c r="DS264" s="83" t="s">
        <v>470</v>
      </c>
      <c r="DT264" s="198"/>
      <c r="DU264" s="83"/>
      <c r="DV264" s="198" t="s">
        <v>470</v>
      </c>
      <c r="DW264" s="198"/>
      <c r="DX264" s="83"/>
      <c r="DY264" s="198" t="s">
        <v>470</v>
      </c>
      <c r="DZ264" s="198"/>
      <c r="EA264" s="83"/>
      <c r="EB264" s="198" t="s">
        <v>479</v>
      </c>
      <c r="EC264" s="198" t="s">
        <v>3099</v>
      </c>
      <c r="ED264" s="83">
        <v>210</v>
      </c>
      <c r="EE264" s="198" t="s">
        <v>479</v>
      </c>
      <c r="EF264" s="198" t="s">
        <v>3099</v>
      </c>
      <c r="EG264" s="83">
        <v>210</v>
      </c>
      <c r="EH264" s="198" t="s">
        <v>470</v>
      </c>
      <c r="EI264" s="198"/>
      <c r="EJ264" s="83"/>
      <c r="EK264" s="198" t="s">
        <v>470</v>
      </c>
      <c r="EL264" s="198"/>
      <c r="EM264" s="83"/>
      <c r="EN264" s="198" t="s">
        <v>470</v>
      </c>
      <c r="EO264" s="198"/>
      <c r="EP264" s="83"/>
      <c r="EQ264" s="83" t="s">
        <v>470</v>
      </c>
      <c r="ER264" s="83"/>
      <c r="ES264" s="83"/>
      <c r="ET264" s="198" t="s">
        <v>470</v>
      </c>
      <c r="EU264" s="198"/>
      <c r="EV264" s="83"/>
      <c r="EW264" s="837">
        <v>1</v>
      </c>
      <c r="EX264" s="198"/>
      <c r="EY264" s="505">
        <v>9</v>
      </c>
      <c r="EZ264" s="198" t="s">
        <v>470</v>
      </c>
      <c r="FA264" s="198"/>
      <c r="FB264" s="198"/>
      <c r="FC264" s="198"/>
      <c r="FD264" s="198"/>
      <c r="FE264" s="198"/>
      <c r="FF264" s="198"/>
      <c r="FG264" s="198"/>
      <c r="FH264" s="198"/>
      <c r="FI264" s="198"/>
      <c r="FJ264" s="198" t="s">
        <v>3100</v>
      </c>
      <c r="FK264" s="198" t="s">
        <v>3101</v>
      </c>
      <c r="FL264" s="549" t="s">
        <v>3102</v>
      </c>
      <c r="FM264" s="198" t="s">
        <v>3103</v>
      </c>
      <c r="FN264" s="198" t="s">
        <v>3104</v>
      </c>
      <c r="FO264" s="844" t="s">
        <v>3105</v>
      </c>
    </row>
    <row r="265" spans="5:171" ht="104" customHeight="1" x14ac:dyDescent="0.2">
      <c r="E265" s="94" t="s">
        <v>9304</v>
      </c>
      <c r="F265" s="94" t="s">
        <v>9120</v>
      </c>
      <c r="G265" s="198" t="s">
        <v>341</v>
      </c>
      <c r="H265" s="198" t="s">
        <v>426</v>
      </c>
      <c r="I265" s="198"/>
      <c r="J265" s="198" t="s">
        <v>3119</v>
      </c>
      <c r="K265" s="198" t="s">
        <v>3120</v>
      </c>
      <c r="L265" s="578">
        <v>2018</v>
      </c>
      <c r="M265" s="822" t="s">
        <v>3121</v>
      </c>
      <c r="N265" s="822">
        <v>44926</v>
      </c>
      <c r="O265" s="198" t="s">
        <v>3122</v>
      </c>
      <c r="P265" s="198" t="s">
        <v>3123</v>
      </c>
      <c r="Q265" s="549" t="s">
        <v>3124</v>
      </c>
      <c r="R265" s="198" t="s">
        <v>3125</v>
      </c>
      <c r="S265" s="198" t="s">
        <v>3126</v>
      </c>
      <c r="T265" s="198" t="s">
        <v>656</v>
      </c>
      <c r="U265" s="503" t="s">
        <v>656</v>
      </c>
      <c r="V265" s="198" t="s">
        <v>656</v>
      </c>
      <c r="W265" s="198" t="s">
        <v>656</v>
      </c>
      <c r="X265" s="198" t="s">
        <v>656</v>
      </c>
      <c r="Y265" s="198" t="s">
        <v>656</v>
      </c>
      <c r="Z265" s="198"/>
      <c r="AA265" s="198"/>
      <c r="AB265" s="198"/>
      <c r="AC265" s="198"/>
      <c r="AD265" s="198"/>
      <c r="AE265" s="198"/>
      <c r="AF265" s="198"/>
      <c r="AG265" s="198"/>
      <c r="AH265" s="198" t="s">
        <v>3127</v>
      </c>
      <c r="AI265" s="198" t="s">
        <v>3127</v>
      </c>
      <c r="AJ265" s="198" t="s">
        <v>3128</v>
      </c>
      <c r="AK265" s="198" t="s">
        <v>3129</v>
      </c>
      <c r="AL265" s="580">
        <f t="shared" si="26"/>
        <v>588.52497223626256</v>
      </c>
      <c r="AM265" s="504">
        <v>588.52497223626256</v>
      </c>
      <c r="AN265" s="516">
        <v>193.184</v>
      </c>
      <c r="AO265" s="137">
        <f>AN265/AL265</f>
        <v>0.32825115180065212</v>
      </c>
      <c r="AP265" s="137">
        <f>AN265/52709.8468</f>
        <v>3.6650457500475983E-3</v>
      </c>
      <c r="AQ265" s="504">
        <v>15.718815656262599</v>
      </c>
      <c r="AR265" s="137">
        <f>AQ265/AL265</f>
        <v>2.6708833775624906E-2</v>
      </c>
      <c r="AS265" s="137"/>
      <c r="AT265" s="520">
        <v>7.5999999999999998E-2</v>
      </c>
      <c r="AU265" s="137">
        <f>AT265/AL265</f>
        <v>1.2913640641486646E-4</v>
      </c>
      <c r="AV265" s="520">
        <v>0.14990677999999999</v>
      </c>
      <c r="AW265" s="137">
        <f>AV265/AL265</f>
        <v>2.5471609034768386E-4</v>
      </c>
      <c r="AZ265" s="520">
        <v>379.39624980000002</v>
      </c>
      <c r="BA265" s="137">
        <f>AZ265/AL265</f>
        <v>0.64465616192696051</v>
      </c>
      <c r="BB265" s="520" t="s">
        <v>3130</v>
      </c>
      <c r="BC265" s="198" t="s">
        <v>847</v>
      </c>
      <c r="BD265" s="198" t="s">
        <v>3127</v>
      </c>
      <c r="BE265" s="198" t="s">
        <v>479</v>
      </c>
      <c r="BF265" s="198" t="s">
        <v>3131</v>
      </c>
      <c r="BG265" s="549" t="s">
        <v>3124</v>
      </c>
      <c r="BH265" s="198"/>
      <c r="BI265" s="823">
        <v>1283.6453535400001</v>
      </c>
      <c r="BJ265" s="137">
        <f>BI265/53359.676</f>
        <v>2.4056468287775964E-2</v>
      </c>
      <c r="BK265" s="83">
        <v>204</v>
      </c>
      <c r="BL265" s="83">
        <v>204</v>
      </c>
      <c r="BM265" s="83">
        <v>171</v>
      </c>
      <c r="BN265" s="83"/>
      <c r="BO265" s="83"/>
      <c r="BP265" s="83"/>
      <c r="BQ265" s="83"/>
      <c r="BR265" s="83"/>
      <c r="BS265" s="83"/>
      <c r="BT265" s="83"/>
      <c r="BU265" s="83"/>
      <c r="BV265" s="83"/>
      <c r="BW265" s="83">
        <v>121</v>
      </c>
      <c r="BX265" s="83"/>
      <c r="BY265" s="83">
        <v>49</v>
      </c>
      <c r="BZ265" s="83"/>
      <c r="CA265" s="83"/>
      <c r="CB265" s="83"/>
      <c r="CC265" s="83"/>
      <c r="CD265" s="83"/>
      <c r="CE265" s="83"/>
      <c r="CF265" s="83"/>
      <c r="CG265" s="83"/>
      <c r="CH265" s="83">
        <v>1</v>
      </c>
      <c r="CL265" s="857">
        <f>SUM(BN265:CH265)</f>
        <v>171</v>
      </c>
      <c r="CM265" s="824">
        <f t="shared" si="20"/>
        <v>0</v>
      </c>
      <c r="CN265" s="580">
        <v>575.13900000000001</v>
      </c>
      <c r="CO265" s="198" t="s">
        <v>3097</v>
      </c>
      <c r="CP265" s="578"/>
      <c r="CQ265" s="137">
        <f>CN265/CR265</f>
        <v>0.81002868921147619</v>
      </c>
      <c r="CR265" s="580">
        <v>710.02300000000002</v>
      </c>
      <c r="CS265" s="834" t="s">
        <v>3098</v>
      </c>
      <c r="CT265" s="198" t="s">
        <v>470</v>
      </c>
      <c r="CU265" s="83"/>
      <c r="CV265" s="83">
        <v>4</v>
      </c>
      <c r="CW265" s="198"/>
      <c r="CX265" s="198"/>
      <c r="CY265" s="83"/>
      <c r="CZ265" s="198"/>
      <c r="DA265" s="198"/>
      <c r="DB265" s="83"/>
      <c r="DC265" s="83" t="s">
        <v>479</v>
      </c>
      <c r="DD265" s="83" t="s">
        <v>484</v>
      </c>
      <c r="DE265" s="83">
        <v>9768</v>
      </c>
      <c r="DF265" s="83"/>
      <c r="DG265" s="83"/>
      <c r="DH265" s="83"/>
      <c r="DI265" s="198"/>
      <c r="DJ265" s="198"/>
      <c r="DK265" s="83"/>
      <c r="DL265" s="198"/>
      <c r="DM265" s="198"/>
      <c r="DN265" s="83"/>
      <c r="DO265" s="198"/>
      <c r="DP265" s="198"/>
      <c r="DQ265" s="83"/>
      <c r="DR265" s="198"/>
      <c r="DS265" s="198"/>
      <c r="DT265" s="83"/>
      <c r="DU265" s="198" t="s">
        <v>479</v>
      </c>
      <c r="DV265" s="549" t="s">
        <v>3132</v>
      </c>
      <c r="DW265" s="83">
        <v>56896</v>
      </c>
      <c r="DX265" s="198"/>
      <c r="DY265" s="198"/>
      <c r="DZ265" s="83"/>
      <c r="EA265" s="83"/>
      <c r="EB265" s="83"/>
      <c r="EC265" s="83"/>
      <c r="ED265" s="198"/>
      <c r="EE265" s="198"/>
      <c r="EF265" s="83"/>
      <c r="EG265" s="198"/>
      <c r="EH265" s="198"/>
      <c r="EI265" s="83"/>
      <c r="EJ265" s="198"/>
      <c r="EK265" s="198"/>
      <c r="EL265" s="83"/>
      <c r="EM265" s="83"/>
      <c r="EN265" s="83"/>
      <c r="EO265" s="83"/>
      <c r="EP265" s="198"/>
      <c r="EQ265" s="198"/>
      <c r="ER265" s="83"/>
      <c r="ES265" s="198" t="s">
        <v>3133</v>
      </c>
      <c r="ET265" s="198" t="s">
        <v>3134</v>
      </c>
      <c r="EU265" s="505">
        <v>37</v>
      </c>
      <c r="EV265" s="198" t="s">
        <v>479</v>
      </c>
      <c r="EW265" s="198" t="s">
        <v>3135</v>
      </c>
      <c r="EX265" s="549" t="s">
        <v>9635</v>
      </c>
      <c r="EY265" s="549" t="s">
        <v>3136</v>
      </c>
      <c r="EZ265" s="549" t="s">
        <v>3137</v>
      </c>
      <c r="FA265" s="198" t="s">
        <v>3138</v>
      </c>
      <c r="FB265" s="549"/>
      <c r="FC265" s="198" t="s">
        <v>656</v>
      </c>
      <c r="FD265" s="198" t="s">
        <v>656</v>
      </c>
      <c r="FE265" s="198" t="s">
        <v>656</v>
      </c>
      <c r="FF265" s="198" t="s">
        <v>3139</v>
      </c>
      <c r="FG265" s="198" t="s">
        <v>3140</v>
      </c>
      <c r="FH265" s="549" t="s">
        <v>3141</v>
      </c>
      <c r="FI265" s="198" t="s">
        <v>3103</v>
      </c>
      <c r="FJ265" s="198" t="s">
        <v>3104</v>
      </c>
      <c r="FK265" s="198" t="s">
        <v>3105</v>
      </c>
      <c r="FL265" s="198"/>
      <c r="FM265" s="198"/>
      <c r="FN265" s="549"/>
      <c r="FO265" s="198"/>
    </row>
    <row r="266" spans="5:171" ht="104" customHeight="1" x14ac:dyDescent="0.2">
      <c r="E266" s="94" t="s">
        <v>9302</v>
      </c>
      <c r="F266" s="94" t="s">
        <v>9120</v>
      </c>
      <c r="G266" s="198" t="s">
        <v>341</v>
      </c>
      <c r="H266" s="198" t="s">
        <v>426</v>
      </c>
      <c r="I266" s="198"/>
      <c r="J266" s="198" t="s">
        <v>3106</v>
      </c>
      <c r="K266" s="198" t="s">
        <v>3107</v>
      </c>
      <c r="L266" s="578">
        <v>2018</v>
      </c>
      <c r="M266" s="822"/>
      <c r="N266" s="822"/>
      <c r="O266" s="198" t="s">
        <v>656</v>
      </c>
      <c r="P266" s="198" t="s">
        <v>656</v>
      </c>
      <c r="Q266" s="198" t="s">
        <v>656</v>
      </c>
      <c r="R266" s="550" t="s">
        <v>3108</v>
      </c>
      <c r="S266" s="550" t="s">
        <v>3109</v>
      </c>
      <c r="T266" s="198"/>
      <c r="U266" s="198"/>
      <c r="V266" s="198"/>
      <c r="W266" s="198"/>
      <c r="X266" s="550" t="s">
        <v>3110</v>
      </c>
      <c r="Y266" s="550" t="s">
        <v>3111</v>
      </c>
      <c r="Z266" s="550"/>
      <c r="AA266" s="550"/>
      <c r="AB266" s="550"/>
      <c r="AC266" s="550"/>
      <c r="AD266" s="550"/>
      <c r="AE266" s="550"/>
      <c r="AF266" s="550"/>
      <c r="AG266" s="550"/>
      <c r="AH266" s="550" t="s">
        <v>3112</v>
      </c>
      <c r="AI266" s="550" t="s">
        <v>3113</v>
      </c>
      <c r="AJ266" s="550" t="s">
        <v>3114</v>
      </c>
      <c r="AK266" s="550" t="s">
        <v>3115</v>
      </c>
      <c r="AL266" s="580">
        <f t="shared" si="26"/>
        <v>22.401120049999996</v>
      </c>
      <c r="AM266" s="504">
        <v>22.401120049999996</v>
      </c>
      <c r="AN266" s="516">
        <v>14.075053049999999</v>
      </c>
      <c r="AO266" s="137">
        <f>AN266/AL266</f>
        <v>0.62831916522852627</v>
      </c>
      <c r="AP266" s="137">
        <f>AN266/52709.8468</f>
        <v>2.6702891213867085E-4</v>
      </c>
      <c r="AQ266" s="504">
        <v>4.3534829999999998</v>
      </c>
      <c r="AR266" s="137">
        <f>AQ266/AL266</f>
        <v>0.19434220209895267</v>
      </c>
      <c r="AS266" s="137"/>
      <c r="AT266" s="520"/>
      <c r="AU266" s="137"/>
      <c r="AV266" s="520">
        <v>2.7717580000000002</v>
      </c>
      <c r="AW266" s="137">
        <f>AV266/AL266</f>
        <v>0.1237330095019066</v>
      </c>
      <c r="AX266" s="520">
        <v>1.2008259999999999</v>
      </c>
      <c r="AY266" s="137"/>
      <c r="AZ266" s="520">
        <v>0</v>
      </c>
      <c r="BA266" s="137">
        <f>AZ266/AL266</f>
        <v>0</v>
      </c>
      <c r="BB266" s="198" t="s">
        <v>656</v>
      </c>
      <c r="BC266" s="198" t="s">
        <v>656</v>
      </c>
      <c r="BD266" s="198" t="s">
        <v>656</v>
      </c>
      <c r="BE266" s="198" t="s">
        <v>470</v>
      </c>
      <c r="BF266" s="198" t="s">
        <v>656</v>
      </c>
      <c r="BG266" s="198" t="s">
        <v>656</v>
      </c>
      <c r="BH266" s="198" t="s">
        <v>656</v>
      </c>
      <c r="BI266" s="580">
        <v>15</v>
      </c>
      <c r="BJ266" s="137">
        <f>BI266/53359.676</f>
        <v>2.8111115217416239E-4</v>
      </c>
      <c r="BK266" s="83">
        <v>23</v>
      </c>
      <c r="BL266" s="83">
        <v>23</v>
      </c>
      <c r="BM266" s="83">
        <v>9</v>
      </c>
      <c r="BN266" s="83">
        <v>1</v>
      </c>
      <c r="BO266" s="83"/>
      <c r="BP266" s="83"/>
      <c r="BQ266" s="83"/>
      <c r="BR266" s="83"/>
      <c r="BS266" s="83"/>
      <c r="BT266" s="83">
        <v>3</v>
      </c>
      <c r="BU266" s="83"/>
      <c r="BV266" s="83">
        <v>2</v>
      </c>
      <c r="BW266" s="83"/>
      <c r="BX266" s="83"/>
      <c r="BY266" s="83">
        <v>2</v>
      </c>
      <c r="BZ266" s="83"/>
      <c r="CA266" s="83"/>
      <c r="CB266" s="83"/>
      <c r="CC266" s="83">
        <v>1</v>
      </c>
      <c r="CD266" s="83"/>
      <c r="CE266" s="83"/>
      <c r="CF266" s="83"/>
      <c r="CG266" s="83"/>
      <c r="CH266" s="83"/>
      <c r="CI266" s="83"/>
      <c r="CJ266" s="83"/>
      <c r="CK266" s="83"/>
      <c r="CL266" s="824">
        <f>SUM(BN266:CK266)</f>
        <v>9</v>
      </c>
      <c r="CM266" s="824">
        <f t="shared" ref="CM266:CM325" si="27">SUM(BN266:CK266)-CL266</f>
        <v>0</v>
      </c>
      <c r="CN266" s="580">
        <v>7.2009999999999996</v>
      </c>
      <c r="CO266" s="198"/>
      <c r="CP266" s="198"/>
      <c r="CQ266" s="137">
        <f>CN266/CR266</f>
        <v>1.0141924979895016E-2</v>
      </c>
      <c r="CR266" s="580">
        <v>710.02300000000002</v>
      </c>
      <c r="CS266" s="834" t="s">
        <v>3098</v>
      </c>
      <c r="CT266" s="198" t="s">
        <v>470</v>
      </c>
      <c r="CU266" s="198" t="s">
        <v>656</v>
      </c>
      <c r="CV266" s="198" t="s">
        <v>656</v>
      </c>
      <c r="CW266" s="198" t="s">
        <v>656</v>
      </c>
      <c r="CX266" s="83" t="s">
        <v>656</v>
      </c>
      <c r="CY266" s="83" t="s">
        <v>656</v>
      </c>
      <c r="CZ266" s="83">
        <v>3</v>
      </c>
      <c r="DA266" s="198"/>
      <c r="DB266" s="198"/>
      <c r="DC266" s="83"/>
      <c r="DD266" s="198" t="s">
        <v>540</v>
      </c>
      <c r="DE266" s="198"/>
      <c r="DF266" s="83">
        <v>225</v>
      </c>
      <c r="DG266" s="83"/>
      <c r="DH266" s="83"/>
      <c r="DI266" s="83"/>
      <c r="DJ266" s="83"/>
      <c r="DK266" s="83"/>
      <c r="DL266" s="83"/>
      <c r="DM266" s="198"/>
      <c r="DN266" s="198"/>
      <c r="DO266" s="83"/>
      <c r="DP266" s="198"/>
      <c r="DQ266" s="198"/>
      <c r="DR266" s="83"/>
      <c r="DS266" s="198"/>
      <c r="DT266" s="198"/>
      <c r="DU266" s="83"/>
      <c r="DV266" s="198"/>
      <c r="DW266" s="198"/>
      <c r="DX266" s="83"/>
      <c r="DY266" s="198"/>
      <c r="DZ266" s="198"/>
      <c r="EA266" s="83"/>
      <c r="EB266" s="198"/>
      <c r="EC266" s="198"/>
      <c r="ED266" s="83"/>
      <c r="EE266" s="83"/>
      <c r="EF266" s="83"/>
      <c r="EG266" s="83"/>
      <c r="EH266" s="198"/>
      <c r="EI266" s="198"/>
      <c r="EJ266" s="83"/>
      <c r="EK266" s="198"/>
      <c r="EL266" s="198"/>
      <c r="EM266" s="83"/>
      <c r="EN266" s="198"/>
      <c r="EO266" s="198"/>
      <c r="EP266" s="83"/>
      <c r="EQ266" s="83"/>
      <c r="ER266" s="83"/>
      <c r="ES266" s="83"/>
      <c r="ET266" s="198"/>
      <c r="EU266" s="198"/>
      <c r="EV266" s="83"/>
      <c r="EW266" s="837">
        <v>1</v>
      </c>
      <c r="EX266" s="198" t="s">
        <v>656</v>
      </c>
      <c r="EY266" s="505">
        <v>16</v>
      </c>
      <c r="EZ266" s="198" t="s">
        <v>470</v>
      </c>
      <c r="FA266" s="198" t="s">
        <v>656</v>
      </c>
      <c r="FB266" s="549" t="s">
        <v>3116</v>
      </c>
      <c r="FC266" s="549" t="s">
        <v>3117</v>
      </c>
      <c r="FD266" s="549" t="s">
        <v>3117</v>
      </c>
      <c r="FE266" s="198" t="s">
        <v>3118</v>
      </c>
      <c r="FF266" s="198" t="s">
        <v>656</v>
      </c>
      <c r="FG266" s="198" t="s">
        <v>656</v>
      </c>
      <c r="FH266" s="198" t="s">
        <v>656</v>
      </c>
      <c r="FI266" s="198" t="s">
        <v>656</v>
      </c>
      <c r="FJ266" s="198"/>
      <c r="FK266" s="198"/>
      <c r="FL266" s="198"/>
      <c r="FM266" s="198" t="s">
        <v>3103</v>
      </c>
      <c r="FN266" s="198" t="s">
        <v>3104</v>
      </c>
      <c r="FO266" s="549" t="s">
        <v>3105</v>
      </c>
    </row>
    <row r="267" spans="5:171" ht="104" customHeight="1" x14ac:dyDescent="0.2">
      <c r="G267" s="198" t="s">
        <v>342</v>
      </c>
      <c r="H267" s="198" t="s">
        <v>427</v>
      </c>
      <c r="I267" s="198"/>
      <c r="AL267" s="580">
        <f t="shared" si="26"/>
        <v>0</v>
      </c>
      <c r="AM267" s="504">
        <v>0</v>
      </c>
      <c r="AN267" s="510"/>
      <c r="AQ267" s="511"/>
      <c r="AT267" s="569"/>
      <c r="AV267" s="569"/>
      <c r="AX267" s="569"/>
      <c r="AZ267" s="569"/>
      <c r="CL267" s="512"/>
      <c r="CM267" s="824">
        <f t="shared" si="27"/>
        <v>0</v>
      </c>
    </row>
    <row r="268" spans="5:171" ht="104" customHeight="1" x14ac:dyDescent="0.2">
      <c r="E268" s="94" t="s">
        <v>9302</v>
      </c>
      <c r="F268" s="94" t="s">
        <v>9121</v>
      </c>
      <c r="G268" s="97" t="s">
        <v>342</v>
      </c>
      <c r="H268" s="97" t="s">
        <v>427</v>
      </c>
      <c r="I268" s="97" t="s">
        <v>8727</v>
      </c>
      <c r="J268" s="97" t="s">
        <v>8523</v>
      </c>
      <c r="K268" s="97" t="s">
        <v>8387</v>
      </c>
      <c r="L268" s="502">
        <v>2015</v>
      </c>
      <c r="M268" s="841">
        <v>44686</v>
      </c>
      <c r="N268" s="841">
        <v>44926</v>
      </c>
      <c r="O268" s="841"/>
      <c r="P268" s="841"/>
      <c r="Q268" s="841"/>
      <c r="R268" s="841"/>
      <c r="S268" s="841"/>
      <c r="T268" s="841"/>
      <c r="U268" s="841"/>
      <c r="V268" s="841"/>
      <c r="W268" s="841"/>
      <c r="X268" s="841"/>
      <c r="Y268" s="841"/>
      <c r="Z268" s="97" t="s">
        <v>8072</v>
      </c>
      <c r="AA268" s="872" t="s">
        <v>7934</v>
      </c>
      <c r="AB268" s="97" t="s">
        <v>7797</v>
      </c>
      <c r="AC268" s="97"/>
      <c r="AD268" s="97" t="s">
        <v>7449</v>
      </c>
      <c r="AE268" s="97"/>
      <c r="AF268" s="97" t="s">
        <v>7147</v>
      </c>
      <c r="AG268" s="872" t="s">
        <v>7076</v>
      </c>
      <c r="AH268" s="97" t="s">
        <v>6984</v>
      </c>
      <c r="AI268" s="97" t="s">
        <v>6472</v>
      </c>
      <c r="AJ268" s="97" t="s">
        <v>6689</v>
      </c>
      <c r="AK268" s="97" t="s">
        <v>6472</v>
      </c>
      <c r="AL268" s="580">
        <f t="shared" si="26"/>
        <v>33.527000000000001</v>
      </c>
      <c r="AM268" s="504">
        <v>33.527000000000001</v>
      </c>
      <c r="AN268" s="516"/>
      <c r="AO268" s="97"/>
      <c r="AP268" s="97"/>
      <c r="AQ268" s="504">
        <v>17.027000000000001</v>
      </c>
      <c r="AR268" s="507">
        <v>0.51</v>
      </c>
      <c r="AS268" s="507">
        <v>8.0000000000000004E-4</v>
      </c>
      <c r="AT268" s="516">
        <v>16.5</v>
      </c>
      <c r="AU268" s="507">
        <v>0.49</v>
      </c>
      <c r="AV268" s="516">
        <v>0</v>
      </c>
      <c r="AW268" s="507"/>
      <c r="AX268" s="516"/>
      <c r="AY268" s="507"/>
      <c r="AZ268" s="516"/>
      <c r="BA268" s="507"/>
      <c r="BB268" s="507"/>
      <c r="BC268" s="507"/>
      <c r="BD268" s="507"/>
      <c r="BE268" s="507" t="s">
        <v>470</v>
      </c>
      <c r="BF268" s="507"/>
      <c r="BG268" s="507"/>
      <c r="BH268" s="852"/>
      <c r="BI268" s="504">
        <v>16</v>
      </c>
      <c r="BJ268" s="507">
        <v>8.1999999999999998E-4</v>
      </c>
      <c r="BK268" s="96">
        <v>54</v>
      </c>
      <c r="BL268" s="96">
        <v>54</v>
      </c>
      <c r="BM268" s="96">
        <v>30</v>
      </c>
      <c r="BN268" s="96">
        <v>3</v>
      </c>
      <c r="BO268" s="96">
        <v>2</v>
      </c>
      <c r="BP268" s="96"/>
      <c r="BQ268" s="96"/>
      <c r="BR268" s="96"/>
      <c r="BS268" s="96"/>
      <c r="BT268" s="96"/>
      <c r="BU268" s="96"/>
      <c r="BV268" s="96"/>
      <c r="BW268" s="96">
        <v>1</v>
      </c>
      <c r="BX268" s="96">
        <v>2</v>
      </c>
      <c r="BY268" s="96"/>
      <c r="BZ268" s="96"/>
      <c r="CA268" s="96"/>
      <c r="CB268" s="96">
        <v>3</v>
      </c>
      <c r="CC268" s="96">
        <v>19</v>
      </c>
      <c r="CD268" s="96"/>
      <c r="CE268" s="96"/>
      <c r="CF268" s="96"/>
      <c r="CG268" s="96"/>
      <c r="CH268" s="96"/>
      <c r="CI268" s="96"/>
      <c r="CJ268" s="96"/>
      <c r="CK268" s="96"/>
      <c r="CL268" s="815">
        <f t="shared" ref="CL268:CL298" si="28">SUM(BN268:CK268)</f>
        <v>30</v>
      </c>
      <c r="CM268" s="824">
        <f t="shared" si="27"/>
        <v>0</v>
      </c>
      <c r="CN268" s="504">
        <v>14</v>
      </c>
      <c r="CO268" s="97" t="s">
        <v>6088</v>
      </c>
      <c r="CP268" s="97"/>
      <c r="CQ268" s="199">
        <v>2.7</v>
      </c>
      <c r="CR268" s="504">
        <v>509.51299999999998</v>
      </c>
      <c r="CS268" s="888" t="s">
        <v>5861</v>
      </c>
      <c r="CT268" s="97" t="s">
        <v>470</v>
      </c>
      <c r="CU268" s="97"/>
      <c r="CV268" s="97"/>
      <c r="CW268" s="97"/>
      <c r="CX268" s="96"/>
      <c r="CY268" s="96"/>
      <c r="CZ268" s="96">
        <v>4</v>
      </c>
      <c r="DA268" s="97" t="s">
        <v>470</v>
      </c>
      <c r="DB268" s="97"/>
      <c r="DC268" s="96"/>
      <c r="DD268" s="97" t="s">
        <v>470</v>
      </c>
      <c r="DE268" s="97"/>
      <c r="DF268" s="96"/>
      <c r="DG268" s="96" t="s">
        <v>470</v>
      </c>
      <c r="DH268" s="96"/>
      <c r="DI268" s="96"/>
      <c r="DJ268" s="96" t="s">
        <v>470</v>
      </c>
      <c r="DK268" s="96"/>
      <c r="DL268" s="96"/>
      <c r="DM268" s="97" t="s">
        <v>470</v>
      </c>
      <c r="DN268" s="97"/>
      <c r="DO268" s="96"/>
      <c r="DP268" s="97" t="s">
        <v>470</v>
      </c>
      <c r="DQ268" s="97"/>
      <c r="DR268" s="96"/>
      <c r="DS268" s="97" t="s">
        <v>470</v>
      </c>
      <c r="DT268" s="97"/>
      <c r="DU268" s="96"/>
      <c r="DV268" s="97" t="s">
        <v>479</v>
      </c>
      <c r="DW268" s="97" t="s">
        <v>5479</v>
      </c>
      <c r="DX268" s="96">
        <v>54</v>
      </c>
      <c r="DY268" s="97" t="s">
        <v>470</v>
      </c>
      <c r="DZ268" s="97"/>
      <c r="EA268" s="96"/>
      <c r="EB268" s="97" t="s">
        <v>470</v>
      </c>
      <c r="EC268" s="97"/>
      <c r="ED268" s="96"/>
      <c r="EE268" s="97" t="s">
        <v>470</v>
      </c>
      <c r="EF268" s="96"/>
      <c r="EG268" s="96"/>
      <c r="EH268" s="97" t="s">
        <v>470</v>
      </c>
      <c r="EI268" s="97"/>
      <c r="EJ268" s="96"/>
      <c r="EK268" s="97" t="s">
        <v>470</v>
      </c>
      <c r="EL268" s="97"/>
      <c r="EM268" s="96"/>
      <c r="EN268" s="97" t="s">
        <v>470</v>
      </c>
      <c r="EO268" s="97" t="s">
        <v>5341</v>
      </c>
      <c r="EP268" s="96">
        <v>21</v>
      </c>
      <c r="EQ268" s="97" t="s">
        <v>470</v>
      </c>
      <c r="ER268" s="96"/>
      <c r="ES268" s="96"/>
      <c r="ET268" s="97"/>
      <c r="EU268" s="97"/>
      <c r="EV268" s="96"/>
      <c r="EW268" s="96"/>
      <c r="EX268" s="96"/>
      <c r="EY268" s="96"/>
      <c r="EZ268" s="97" t="s">
        <v>470</v>
      </c>
      <c r="FA268" s="97"/>
      <c r="FB268" s="872" t="s">
        <v>5110</v>
      </c>
      <c r="FC268" s="872" t="s">
        <v>4966</v>
      </c>
      <c r="FD268" s="97" t="s">
        <v>470</v>
      </c>
      <c r="FE268" s="97" t="s">
        <v>4791</v>
      </c>
      <c r="FF268" s="97"/>
      <c r="FG268" s="97"/>
      <c r="FH268" s="97"/>
      <c r="FI268" s="97"/>
      <c r="FJ268" s="97"/>
      <c r="FK268" s="97"/>
      <c r="FL268" s="97"/>
      <c r="FM268" s="97" t="s">
        <v>3875</v>
      </c>
      <c r="FN268" s="97" t="s">
        <v>3806</v>
      </c>
      <c r="FO268" s="97" t="s">
        <v>3728</v>
      </c>
    </row>
    <row r="269" spans="5:171" ht="104" customHeight="1" x14ac:dyDescent="0.2">
      <c r="E269" s="94" t="s">
        <v>9302</v>
      </c>
      <c r="F269" s="94" t="s">
        <v>9120</v>
      </c>
      <c r="G269" s="198" t="s">
        <v>343</v>
      </c>
      <c r="H269" s="198" t="s">
        <v>428</v>
      </c>
      <c r="I269" s="198"/>
      <c r="J269" s="198" t="s">
        <v>3058</v>
      </c>
      <c r="K269" s="198" t="s">
        <v>3059</v>
      </c>
      <c r="L269" s="578">
        <v>2017</v>
      </c>
      <c r="M269" s="822">
        <v>44197</v>
      </c>
      <c r="N269" s="822">
        <v>44926</v>
      </c>
      <c r="O269" s="822" t="s">
        <v>3060</v>
      </c>
      <c r="P269" s="198" t="s">
        <v>3061</v>
      </c>
      <c r="Q269" s="549" t="s">
        <v>3062</v>
      </c>
      <c r="R269" s="198" t="s">
        <v>656</v>
      </c>
      <c r="S269" s="198" t="s">
        <v>656</v>
      </c>
      <c r="T269" s="198" t="s">
        <v>3063</v>
      </c>
      <c r="U269" s="549" t="s">
        <v>3064</v>
      </c>
      <c r="V269" s="198" t="s">
        <v>656</v>
      </c>
      <c r="W269" s="198" t="s">
        <v>656</v>
      </c>
      <c r="X269" s="198" t="s">
        <v>656</v>
      </c>
      <c r="Y269" s="198" t="s">
        <v>656</v>
      </c>
      <c r="Z269" s="198"/>
      <c r="AA269" s="198"/>
      <c r="AB269" s="198"/>
      <c r="AC269" s="198"/>
      <c r="AD269" s="198"/>
      <c r="AE269" s="198"/>
      <c r="AF269" s="198"/>
      <c r="AG269" s="198"/>
      <c r="AH269" s="198" t="s">
        <v>3065</v>
      </c>
      <c r="AI269" s="198" t="s">
        <v>3065</v>
      </c>
      <c r="AJ269" s="198" t="s">
        <v>615</v>
      </c>
      <c r="AK269" s="198" t="s">
        <v>9636</v>
      </c>
      <c r="AL269" s="580">
        <f t="shared" si="26"/>
        <v>337.36191697000004</v>
      </c>
      <c r="AM269" s="504">
        <v>337.36191697000004</v>
      </c>
      <c r="AN269" s="516">
        <v>239.85445482</v>
      </c>
      <c r="AO269" s="137">
        <f>AN269/AL269</f>
        <v>0.71097074908229518</v>
      </c>
      <c r="AP269" s="137">
        <f>AN269/176879.055</f>
        <v>1.356036500873436E-3</v>
      </c>
      <c r="AQ269" s="504">
        <v>29.30302343</v>
      </c>
      <c r="AR269" s="137">
        <f>AQ269/AL269</f>
        <v>8.6859310301481876E-2</v>
      </c>
      <c r="AS269" s="137"/>
      <c r="AT269" s="520">
        <v>33.8402897</v>
      </c>
      <c r="AU269" s="137">
        <f>AT269/AL269</f>
        <v>0.10030856477202568</v>
      </c>
      <c r="AV269" s="520">
        <v>0.26192966000000001</v>
      </c>
      <c r="AW269" s="137">
        <f>AV269/AL269</f>
        <v>7.7640553608572288E-4</v>
      </c>
      <c r="AX269" s="520">
        <f>AV269+AT269</f>
        <v>34.102219359999999</v>
      </c>
      <c r="AY269" s="137">
        <f>AX269/AL269</f>
        <v>0.10108497030811141</v>
      </c>
      <c r="AZ269" s="520" t="s">
        <v>656</v>
      </c>
      <c r="BA269" s="137" t="s">
        <v>656</v>
      </c>
      <c r="BB269" s="198" t="s">
        <v>656</v>
      </c>
      <c r="BC269" s="198" t="s">
        <v>656</v>
      </c>
      <c r="BD269" s="198" t="s">
        <v>656</v>
      </c>
      <c r="BE269" s="198" t="s">
        <v>479</v>
      </c>
      <c r="BF269" s="198" t="s">
        <v>3066</v>
      </c>
      <c r="BG269" s="549" t="s">
        <v>3064</v>
      </c>
      <c r="BH269" s="137" t="s">
        <v>3067</v>
      </c>
      <c r="BI269" s="580">
        <v>199.23792517000001</v>
      </c>
      <c r="BJ269" s="137">
        <f>BI269/210713.6546</f>
        <v>9.4553874806175002E-4</v>
      </c>
      <c r="BK269" s="83"/>
      <c r="BL269" s="83">
        <v>295</v>
      </c>
      <c r="BM269" s="83">
        <v>223</v>
      </c>
      <c r="BN269" s="83">
        <v>7</v>
      </c>
      <c r="BO269" s="83">
        <v>12</v>
      </c>
      <c r="BP269" s="83" t="s">
        <v>656</v>
      </c>
      <c r="BQ269" s="83" t="s">
        <v>656</v>
      </c>
      <c r="BR269" s="83" t="s">
        <v>656</v>
      </c>
      <c r="BS269" s="83">
        <v>28</v>
      </c>
      <c r="BT269" s="83" t="s">
        <v>656</v>
      </c>
      <c r="BU269" s="83">
        <v>19</v>
      </c>
      <c r="BV269" s="83">
        <v>70</v>
      </c>
      <c r="BW269" s="83" t="s">
        <v>656</v>
      </c>
      <c r="BX269" s="83">
        <v>50</v>
      </c>
      <c r="BY269" s="83">
        <v>20</v>
      </c>
      <c r="BZ269" s="83">
        <v>9</v>
      </c>
      <c r="CA269" s="83" t="s">
        <v>656</v>
      </c>
      <c r="CB269" s="83" t="s">
        <v>656</v>
      </c>
      <c r="CC269" s="83" t="s">
        <v>656</v>
      </c>
      <c r="CD269" s="83" t="s">
        <v>656</v>
      </c>
      <c r="CE269" s="83">
        <v>7</v>
      </c>
      <c r="CF269" s="83" t="s">
        <v>656</v>
      </c>
      <c r="CG269" s="83" t="s">
        <v>656</v>
      </c>
      <c r="CH269" s="83" t="s">
        <v>656</v>
      </c>
      <c r="CI269" s="83" t="s">
        <v>656</v>
      </c>
      <c r="CJ269" s="83" t="s">
        <v>656</v>
      </c>
      <c r="CK269" s="83" t="s">
        <v>656</v>
      </c>
      <c r="CL269" s="824">
        <f t="shared" si="28"/>
        <v>222</v>
      </c>
      <c r="CM269" s="824">
        <f t="shared" si="27"/>
        <v>0</v>
      </c>
      <c r="CN269" s="580" t="s">
        <v>656</v>
      </c>
      <c r="CO269" s="198" t="s">
        <v>3068</v>
      </c>
      <c r="CP269" s="198" t="s">
        <v>656</v>
      </c>
      <c r="CQ269" s="137" t="s">
        <v>656</v>
      </c>
      <c r="CR269" s="580">
        <v>2556.8519999999999</v>
      </c>
      <c r="CS269" s="834" t="s">
        <v>3069</v>
      </c>
      <c r="CT269" s="198" t="s">
        <v>470</v>
      </c>
      <c r="CU269" s="198" t="s">
        <v>656</v>
      </c>
      <c r="CV269" s="198" t="s">
        <v>656</v>
      </c>
      <c r="CW269" s="83" t="s">
        <v>656</v>
      </c>
      <c r="CX269" s="83" t="s">
        <v>656</v>
      </c>
      <c r="CY269" s="83" t="s">
        <v>656</v>
      </c>
      <c r="CZ269" s="83">
        <v>5</v>
      </c>
      <c r="DA269" s="198" t="s">
        <v>479</v>
      </c>
      <c r="DB269" s="198" t="s">
        <v>3070</v>
      </c>
      <c r="DC269" s="83" t="s">
        <v>3071</v>
      </c>
      <c r="DD269" s="198" t="s">
        <v>479</v>
      </c>
      <c r="DE269" s="83" t="s">
        <v>3072</v>
      </c>
      <c r="DF269" s="83" t="s">
        <v>3071</v>
      </c>
      <c r="DG269" s="83" t="s">
        <v>479</v>
      </c>
      <c r="DH269" s="83" t="s">
        <v>3072</v>
      </c>
      <c r="DI269" s="83">
        <v>40</v>
      </c>
      <c r="DJ269" s="83" t="s">
        <v>479</v>
      </c>
      <c r="DK269" s="83" t="s">
        <v>3072</v>
      </c>
      <c r="DL269" s="83">
        <v>17</v>
      </c>
      <c r="DM269" s="198" t="s">
        <v>470</v>
      </c>
      <c r="DN269" s="198" t="s">
        <v>656</v>
      </c>
      <c r="DO269" s="83" t="s">
        <v>656</v>
      </c>
      <c r="DP269" s="198" t="s">
        <v>470</v>
      </c>
      <c r="DQ269" s="198" t="s">
        <v>656</v>
      </c>
      <c r="DR269" s="83" t="s">
        <v>656</v>
      </c>
      <c r="DS269" s="198" t="s">
        <v>470</v>
      </c>
      <c r="DT269" s="198" t="s">
        <v>656</v>
      </c>
      <c r="DU269" s="83" t="s">
        <v>656</v>
      </c>
      <c r="DV269" s="198" t="s">
        <v>479</v>
      </c>
      <c r="DW269" s="198" t="s">
        <v>3073</v>
      </c>
      <c r="DX269" s="83" t="s">
        <v>3071</v>
      </c>
      <c r="DY269" s="198" t="s">
        <v>479</v>
      </c>
      <c r="DZ269" s="198" t="s">
        <v>3074</v>
      </c>
      <c r="EA269" s="83" t="s">
        <v>3071</v>
      </c>
      <c r="EB269" s="198" t="s">
        <v>479</v>
      </c>
      <c r="EC269" s="198" t="s">
        <v>3072</v>
      </c>
      <c r="ED269" s="83" t="s">
        <v>3071</v>
      </c>
      <c r="EE269" s="198" t="s">
        <v>479</v>
      </c>
      <c r="EF269" s="198" t="s">
        <v>3072</v>
      </c>
      <c r="EG269" s="83" t="s">
        <v>3071</v>
      </c>
      <c r="EH269" s="198" t="s">
        <v>470</v>
      </c>
      <c r="EI269" s="198" t="s">
        <v>656</v>
      </c>
      <c r="EJ269" s="83" t="s">
        <v>656</v>
      </c>
      <c r="EK269" s="198" t="s">
        <v>470</v>
      </c>
      <c r="EL269" s="198" t="s">
        <v>656</v>
      </c>
      <c r="EM269" s="83" t="s">
        <v>656</v>
      </c>
      <c r="EN269" s="198" t="s">
        <v>470</v>
      </c>
      <c r="EO269" s="198" t="s">
        <v>656</v>
      </c>
      <c r="EP269" s="83" t="s">
        <v>656</v>
      </c>
      <c r="EQ269" s="198" t="s">
        <v>479</v>
      </c>
      <c r="ER269" s="198" t="s">
        <v>3075</v>
      </c>
      <c r="ES269" s="198">
        <v>8</v>
      </c>
      <c r="ET269" s="198" t="s">
        <v>470</v>
      </c>
      <c r="EU269" s="198" t="s">
        <v>656</v>
      </c>
      <c r="EV269" s="83" t="s">
        <v>656</v>
      </c>
      <c r="EW269" s="837">
        <v>1</v>
      </c>
      <c r="EX269" s="198" t="s">
        <v>656</v>
      </c>
      <c r="EY269" s="198">
        <v>39</v>
      </c>
      <c r="EZ269" s="198" t="s">
        <v>479</v>
      </c>
      <c r="FA269" s="198" t="s">
        <v>3076</v>
      </c>
      <c r="FB269" s="549" t="s">
        <v>3077</v>
      </c>
      <c r="FC269" s="549" t="s">
        <v>3078</v>
      </c>
      <c r="FD269" s="549" t="s">
        <v>3077</v>
      </c>
      <c r="FE269" s="198" t="s">
        <v>3079</v>
      </c>
      <c r="FF269" s="198" t="s">
        <v>3080</v>
      </c>
      <c r="FG269" s="198" t="s">
        <v>3081</v>
      </c>
      <c r="FH269" s="198">
        <v>6</v>
      </c>
      <c r="FI269" s="198">
        <v>380</v>
      </c>
      <c r="FJ269" s="198" t="s">
        <v>3082</v>
      </c>
      <c r="FK269" s="198" t="s">
        <v>3083</v>
      </c>
      <c r="FL269" s="549" t="s">
        <v>3084</v>
      </c>
      <c r="FM269" s="198" t="s">
        <v>3085</v>
      </c>
      <c r="FN269" s="198" t="s">
        <v>3086</v>
      </c>
      <c r="FO269" s="549" t="s">
        <v>3087</v>
      </c>
    </row>
    <row r="270" spans="5:171" ht="104" customHeight="1" x14ac:dyDescent="0.2">
      <c r="E270" s="94" t="s">
        <v>9305</v>
      </c>
      <c r="F270" s="94" t="s">
        <v>9121</v>
      </c>
      <c r="G270" s="97" t="s">
        <v>343</v>
      </c>
      <c r="H270" s="97" t="s">
        <v>428</v>
      </c>
      <c r="I270" s="97" t="s">
        <v>8726</v>
      </c>
      <c r="J270" s="97" t="s">
        <v>470</v>
      </c>
      <c r="K270" s="97" t="s">
        <v>470</v>
      </c>
      <c r="L270" s="502">
        <v>2022</v>
      </c>
      <c r="M270" s="841">
        <v>44701</v>
      </c>
      <c r="N270" s="841">
        <v>44713</v>
      </c>
      <c r="O270" s="841"/>
      <c r="P270" s="841"/>
      <c r="Q270" s="841"/>
      <c r="R270" s="841"/>
      <c r="S270" s="841"/>
      <c r="T270" s="841"/>
      <c r="U270" s="841"/>
      <c r="V270" s="841"/>
      <c r="W270" s="841"/>
      <c r="X270" s="841"/>
      <c r="Y270" s="841"/>
      <c r="Z270" s="97"/>
      <c r="AA270" s="97"/>
      <c r="AB270" s="97" t="s">
        <v>7796</v>
      </c>
      <c r="AC270" s="842" t="s">
        <v>7634</v>
      </c>
      <c r="AD270" s="97" t="s">
        <v>7448</v>
      </c>
      <c r="AE270" s="97" t="s">
        <v>7266</v>
      </c>
      <c r="AF270" s="97" t="s">
        <v>7146</v>
      </c>
      <c r="AG270" s="97" t="s">
        <v>7075</v>
      </c>
      <c r="AH270" s="97" t="s">
        <v>6471</v>
      </c>
      <c r="AI270" s="97" t="s">
        <v>6471</v>
      </c>
      <c r="AJ270" s="97" t="s">
        <v>6688</v>
      </c>
      <c r="AK270" s="97" t="s">
        <v>6471</v>
      </c>
      <c r="AL270" s="580">
        <f t="shared" si="26"/>
        <v>1.0697680000000001</v>
      </c>
      <c r="AM270" s="504">
        <v>1.0697680000000001</v>
      </c>
      <c r="AN270" s="516"/>
      <c r="AO270" s="97"/>
      <c r="AP270" s="97"/>
      <c r="AQ270" s="504">
        <v>0.98976799999999998</v>
      </c>
      <c r="AR270" s="507">
        <v>0.92500000000000004</v>
      </c>
      <c r="AS270" s="507">
        <v>5.6999999999999998E-4</v>
      </c>
      <c r="AT270" s="516"/>
      <c r="AU270" s="507"/>
      <c r="AV270" s="516"/>
      <c r="AW270" s="507"/>
      <c r="AX270" s="516">
        <v>0.08</v>
      </c>
      <c r="AY270" s="507">
        <v>7.4999999999999997E-2</v>
      </c>
      <c r="AZ270" s="516"/>
      <c r="BA270" s="507"/>
      <c r="BB270" s="507"/>
      <c r="BC270" s="507"/>
      <c r="BD270" s="507"/>
      <c r="BE270" s="507" t="s">
        <v>470</v>
      </c>
      <c r="BF270" s="507" t="s">
        <v>470</v>
      </c>
      <c r="BG270" s="507" t="s">
        <v>470</v>
      </c>
      <c r="BH270" s="852" t="s">
        <v>470</v>
      </c>
      <c r="BI270" s="504">
        <v>1</v>
      </c>
      <c r="BJ270" s="507">
        <v>5.9999999999999995E-4</v>
      </c>
      <c r="BK270" s="96">
        <v>6</v>
      </c>
      <c r="BL270" s="96">
        <v>6</v>
      </c>
      <c r="BM270" s="96">
        <v>4</v>
      </c>
      <c r="BN270" s="96">
        <v>1</v>
      </c>
      <c r="BO270" s="96"/>
      <c r="BP270" s="96">
        <v>1</v>
      </c>
      <c r="BQ270" s="96"/>
      <c r="BR270" s="96"/>
      <c r="BS270" s="96">
        <v>1</v>
      </c>
      <c r="BT270" s="96"/>
      <c r="BU270" s="96"/>
      <c r="BV270" s="96">
        <v>1</v>
      </c>
      <c r="BW270" s="96"/>
      <c r="BX270" s="96"/>
      <c r="BY270" s="96"/>
      <c r="BZ270" s="96"/>
      <c r="CA270" s="96"/>
      <c r="CB270" s="96"/>
      <c r="CC270" s="96"/>
      <c r="CD270" s="96"/>
      <c r="CE270" s="96"/>
      <c r="CF270" s="96"/>
      <c r="CG270" s="96"/>
      <c r="CH270" s="96"/>
      <c r="CI270" s="96"/>
      <c r="CJ270" s="96"/>
      <c r="CK270" s="96"/>
      <c r="CL270" s="815">
        <f t="shared" si="28"/>
        <v>4</v>
      </c>
      <c r="CM270" s="824">
        <f t="shared" si="27"/>
        <v>0</v>
      </c>
      <c r="CN270" s="504">
        <v>0.77700000000000002</v>
      </c>
      <c r="CO270" s="97" t="s">
        <v>6087</v>
      </c>
      <c r="CP270" s="97"/>
      <c r="CQ270" s="97"/>
      <c r="CR270" s="504">
        <v>39.25</v>
      </c>
      <c r="CS270" s="887" t="s">
        <v>3069</v>
      </c>
      <c r="CT270" s="97" t="s">
        <v>470</v>
      </c>
      <c r="CU270" s="97" t="s">
        <v>470</v>
      </c>
      <c r="CV270" s="97" t="s">
        <v>470</v>
      </c>
      <c r="CW270" s="97" t="s">
        <v>470</v>
      </c>
      <c r="CX270" s="96" t="s">
        <v>470</v>
      </c>
      <c r="CY270" s="96" t="s">
        <v>470</v>
      </c>
      <c r="CZ270" s="96" t="s">
        <v>470</v>
      </c>
      <c r="DA270" s="97" t="s">
        <v>470</v>
      </c>
      <c r="DB270" s="97"/>
      <c r="DC270" s="96"/>
      <c r="DD270" s="97" t="s">
        <v>540</v>
      </c>
      <c r="DE270" s="97" t="s">
        <v>541</v>
      </c>
      <c r="DF270" s="96">
        <v>114</v>
      </c>
      <c r="DG270" s="96" t="s">
        <v>470</v>
      </c>
      <c r="DH270" s="96"/>
      <c r="DI270" s="96"/>
      <c r="DJ270" s="96" t="s">
        <v>479</v>
      </c>
      <c r="DK270" s="97" t="s">
        <v>541</v>
      </c>
      <c r="DL270" s="96">
        <v>37</v>
      </c>
      <c r="DM270" s="97" t="s">
        <v>470</v>
      </c>
      <c r="DN270" s="97"/>
      <c r="DO270" s="96"/>
      <c r="DP270" s="97" t="s">
        <v>470</v>
      </c>
      <c r="DQ270" s="97"/>
      <c r="DR270" s="96"/>
      <c r="DS270" s="97" t="s">
        <v>470</v>
      </c>
      <c r="DT270" s="97"/>
      <c r="DU270" s="96"/>
      <c r="DV270" s="97" t="s">
        <v>470</v>
      </c>
      <c r="DW270" s="97"/>
      <c r="DX270" s="96"/>
      <c r="DY270" s="97" t="s">
        <v>470</v>
      </c>
      <c r="DZ270" s="97"/>
      <c r="EA270" s="96"/>
      <c r="EB270" s="97" t="s">
        <v>479</v>
      </c>
      <c r="EC270" s="97" t="s">
        <v>541</v>
      </c>
      <c r="ED270" s="96">
        <v>114</v>
      </c>
      <c r="EE270" s="96" t="s">
        <v>470</v>
      </c>
      <c r="EF270" s="96"/>
      <c r="EG270" s="96"/>
      <c r="EH270" s="97" t="s">
        <v>470</v>
      </c>
      <c r="EI270" s="97"/>
      <c r="EJ270" s="96"/>
      <c r="EK270" s="97" t="s">
        <v>470</v>
      </c>
      <c r="EL270" s="97"/>
      <c r="EM270" s="96"/>
      <c r="EN270" s="97" t="s">
        <v>479</v>
      </c>
      <c r="EO270" s="97" t="s">
        <v>5340</v>
      </c>
      <c r="EP270" s="96">
        <v>8</v>
      </c>
      <c r="EQ270" s="96" t="s">
        <v>470</v>
      </c>
      <c r="ER270" s="96"/>
      <c r="ES270" s="96"/>
      <c r="ET270" s="97" t="s">
        <v>470</v>
      </c>
      <c r="EU270" s="97"/>
      <c r="EV270" s="96"/>
      <c r="EW270" s="96"/>
      <c r="EX270" s="96"/>
      <c r="EY270" s="96"/>
      <c r="EZ270" s="97" t="s">
        <v>470</v>
      </c>
      <c r="FA270" s="97"/>
      <c r="FB270" s="97" t="s">
        <v>5109</v>
      </c>
      <c r="FC270" s="842" t="s">
        <v>4965</v>
      </c>
      <c r="FD270" s="97" t="s">
        <v>470</v>
      </c>
      <c r="FE270" s="97" t="s">
        <v>4790</v>
      </c>
      <c r="FF270" s="97" t="s">
        <v>470</v>
      </c>
      <c r="FG270" s="97"/>
      <c r="FH270" s="97"/>
      <c r="FI270" s="97"/>
      <c r="FJ270" s="97" t="s">
        <v>4429</v>
      </c>
      <c r="FK270" s="97" t="s">
        <v>4222</v>
      </c>
      <c r="FL270" s="842" t="s">
        <v>4025</v>
      </c>
      <c r="FM270" s="97" t="s">
        <v>3874</v>
      </c>
      <c r="FN270" s="97" t="s">
        <v>3805</v>
      </c>
      <c r="FO270" s="842" t="s">
        <v>3727</v>
      </c>
    </row>
    <row r="271" spans="5:171" ht="104" customHeight="1" x14ac:dyDescent="0.2">
      <c r="E271" s="94" t="s">
        <v>9305</v>
      </c>
      <c r="F271" s="94" t="s">
        <v>9121</v>
      </c>
      <c r="G271" s="97" t="s">
        <v>343</v>
      </c>
      <c r="H271" s="97" t="s">
        <v>428</v>
      </c>
      <c r="I271" s="97" t="s">
        <v>8725</v>
      </c>
      <c r="J271" s="97" t="s">
        <v>8386</v>
      </c>
      <c r="K271" s="97" t="s">
        <v>8386</v>
      </c>
      <c r="L271" s="502"/>
      <c r="M271" s="841"/>
      <c r="N271" s="841"/>
      <c r="O271" s="841"/>
      <c r="P271" s="841"/>
      <c r="Q271" s="841"/>
      <c r="R271" s="841"/>
      <c r="S271" s="841"/>
      <c r="T271" s="841"/>
      <c r="U271" s="841"/>
      <c r="V271" s="841"/>
      <c r="W271" s="841"/>
      <c r="X271" s="841"/>
      <c r="Y271" s="841"/>
      <c r="Z271" s="97"/>
      <c r="AA271" s="842"/>
      <c r="AB271" s="97"/>
      <c r="AC271" s="842"/>
      <c r="AD271" s="97" t="s">
        <v>7447</v>
      </c>
      <c r="AE271" s="97" t="s">
        <v>7265</v>
      </c>
      <c r="AF271" s="97" t="s">
        <v>470</v>
      </c>
      <c r="AG271" s="97" t="s">
        <v>470</v>
      </c>
      <c r="AH271" s="97" t="s">
        <v>6983</v>
      </c>
      <c r="AI271" s="97" t="s">
        <v>6821</v>
      </c>
      <c r="AJ271" s="97" t="s">
        <v>6687</v>
      </c>
      <c r="AK271" s="97" t="s">
        <v>6470</v>
      </c>
      <c r="AL271" s="580">
        <f t="shared" si="26"/>
        <v>1.02</v>
      </c>
      <c r="AM271" s="504">
        <v>1.02</v>
      </c>
      <c r="AN271" s="516"/>
      <c r="AO271" s="97"/>
      <c r="AP271" s="97"/>
      <c r="AQ271" s="504">
        <v>0.96799999999999997</v>
      </c>
      <c r="AR271" s="507">
        <v>0.94879999999999998</v>
      </c>
      <c r="AS271" s="507">
        <v>1E-4</v>
      </c>
      <c r="AT271" s="516"/>
      <c r="AU271" s="507"/>
      <c r="AV271" s="516"/>
      <c r="AW271" s="507"/>
      <c r="AX271" s="516">
        <v>5.1999999999999998E-2</v>
      </c>
      <c r="AY271" s="507">
        <v>5.1200000000000002E-2</v>
      </c>
      <c r="AZ271" s="516"/>
      <c r="BA271" s="507"/>
      <c r="BB271" s="507"/>
      <c r="BC271" s="507"/>
      <c r="BD271" s="507"/>
      <c r="BE271" s="507" t="s">
        <v>470</v>
      </c>
      <c r="BF271" s="507"/>
      <c r="BG271" s="507"/>
      <c r="BH271" s="852"/>
      <c r="BI271" s="504">
        <v>1.8660000000000001</v>
      </c>
      <c r="BJ271" s="507">
        <v>2.9999999999999997E-4</v>
      </c>
      <c r="BK271" s="96">
        <v>5</v>
      </c>
      <c r="BL271" s="96">
        <v>5</v>
      </c>
      <c r="BM271" s="96">
        <v>5</v>
      </c>
      <c r="BN271" s="96"/>
      <c r="BO271" s="96"/>
      <c r="BP271" s="96"/>
      <c r="BQ271" s="96"/>
      <c r="BR271" s="96"/>
      <c r="BS271" s="96"/>
      <c r="BT271" s="96">
        <v>2</v>
      </c>
      <c r="BU271" s="96"/>
      <c r="BV271" s="96"/>
      <c r="BW271" s="96"/>
      <c r="BX271" s="96"/>
      <c r="BY271" s="96"/>
      <c r="BZ271" s="96"/>
      <c r="CA271" s="96"/>
      <c r="CB271" s="96">
        <v>3</v>
      </c>
      <c r="CC271" s="96"/>
      <c r="CD271" s="96"/>
      <c r="CE271" s="96"/>
      <c r="CF271" s="96"/>
      <c r="CG271" s="96"/>
      <c r="CH271" s="96"/>
      <c r="CI271" s="96"/>
      <c r="CJ271" s="96"/>
      <c r="CK271" s="96"/>
      <c r="CL271" s="815">
        <f t="shared" si="28"/>
        <v>5</v>
      </c>
      <c r="CM271" s="824">
        <f t="shared" si="27"/>
        <v>0</v>
      </c>
      <c r="CN271" s="504"/>
      <c r="CO271" s="97" t="s">
        <v>470</v>
      </c>
      <c r="CP271" s="97"/>
      <c r="CQ271" s="97"/>
      <c r="CR271" s="504"/>
      <c r="CS271" s="507"/>
      <c r="CT271" s="97" t="s">
        <v>470</v>
      </c>
      <c r="CU271" s="97"/>
      <c r="CV271" s="97"/>
      <c r="CW271" s="97"/>
      <c r="CX271" s="96"/>
      <c r="CY271" s="96"/>
      <c r="CZ271" s="96"/>
      <c r="DA271" s="97" t="s">
        <v>479</v>
      </c>
      <c r="DB271" s="97" t="s">
        <v>5698</v>
      </c>
      <c r="DC271" s="96">
        <v>810</v>
      </c>
      <c r="DD271" s="97" t="s">
        <v>479</v>
      </c>
      <c r="DE271" s="97" t="s">
        <v>1007</v>
      </c>
      <c r="DF271" s="96">
        <v>172</v>
      </c>
      <c r="DG271" s="96" t="s">
        <v>479</v>
      </c>
      <c r="DH271" s="96" t="s">
        <v>1007</v>
      </c>
      <c r="DI271" s="96">
        <v>22</v>
      </c>
      <c r="DJ271" s="96" t="s">
        <v>470</v>
      </c>
      <c r="DK271" s="96"/>
      <c r="DL271" s="96"/>
      <c r="DM271" s="97" t="s">
        <v>470</v>
      </c>
      <c r="DN271" s="97"/>
      <c r="DO271" s="96"/>
      <c r="DP271" s="97" t="s">
        <v>470</v>
      </c>
      <c r="DQ271" s="97"/>
      <c r="DR271" s="96"/>
      <c r="DS271" s="97" t="s">
        <v>470</v>
      </c>
      <c r="DT271" s="97"/>
      <c r="DU271" s="96"/>
      <c r="DV271" s="97"/>
      <c r="DW271" s="97"/>
      <c r="DX271" s="96"/>
      <c r="DY271" s="97" t="s">
        <v>470</v>
      </c>
      <c r="DZ271" s="97"/>
      <c r="EA271" s="96"/>
      <c r="EB271" s="97" t="s">
        <v>470</v>
      </c>
      <c r="EC271" s="97"/>
      <c r="ED271" s="96"/>
      <c r="EE271" s="96" t="s">
        <v>470</v>
      </c>
      <c r="EF271" s="96"/>
      <c r="EG271" s="96"/>
      <c r="EH271" s="97" t="s">
        <v>470</v>
      </c>
      <c r="EI271" s="97"/>
      <c r="EJ271" s="96"/>
      <c r="EK271" s="97" t="s">
        <v>470</v>
      </c>
      <c r="EL271" s="97"/>
      <c r="EM271" s="96"/>
      <c r="EN271" s="97" t="s">
        <v>470</v>
      </c>
      <c r="EO271" s="97"/>
      <c r="EP271" s="96"/>
      <c r="EQ271" s="96" t="s">
        <v>479</v>
      </c>
      <c r="ER271" s="96" t="s">
        <v>5294</v>
      </c>
      <c r="ES271" s="96">
        <v>7</v>
      </c>
      <c r="ET271" s="97"/>
      <c r="EU271" s="97"/>
      <c r="EV271" s="96"/>
      <c r="EW271" s="96"/>
      <c r="EX271" s="96"/>
      <c r="EY271" s="96"/>
      <c r="EZ271" s="97" t="s">
        <v>470</v>
      </c>
      <c r="FA271" s="97"/>
      <c r="FB271" s="842" t="s">
        <v>5108</v>
      </c>
      <c r="FC271" s="842" t="s">
        <v>9637</v>
      </c>
      <c r="FD271" s="97"/>
      <c r="FE271" s="97" t="s">
        <v>4789</v>
      </c>
      <c r="FF271" s="97" t="s">
        <v>470</v>
      </c>
      <c r="FG271" s="97" t="s">
        <v>4622</v>
      </c>
      <c r="FH271" s="97">
        <v>2</v>
      </c>
      <c r="FI271" s="97">
        <v>200</v>
      </c>
      <c r="FJ271" s="97" t="s">
        <v>4428</v>
      </c>
      <c r="FK271" s="97" t="s">
        <v>4221</v>
      </c>
      <c r="FL271" s="97" t="s">
        <v>4024</v>
      </c>
      <c r="FM271" s="97"/>
      <c r="FN271" s="97"/>
      <c r="FO271" s="97"/>
    </row>
    <row r="272" spans="5:171" ht="104" customHeight="1" x14ac:dyDescent="0.2">
      <c r="E272" s="94" t="s">
        <v>9305</v>
      </c>
      <c r="F272" s="94" t="s">
        <v>9121</v>
      </c>
      <c r="G272" s="97" t="s">
        <v>343</v>
      </c>
      <c r="H272" s="97" t="s">
        <v>428</v>
      </c>
      <c r="I272" s="97" t="s">
        <v>8724</v>
      </c>
      <c r="J272" s="97" t="s">
        <v>1414</v>
      </c>
      <c r="K272" s="97" t="s">
        <v>5242</v>
      </c>
      <c r="L272" s="502">
        <v>2021</v>
      </c>
      <c r="M272" s="841">
        <v>44424</v>
      </c>
      <c r="N272" s="841">
        <v>44880</v>
      </c>
      <c r="O272" s="841"/>
      <c r="P272" s="841"/>
      <c r="Q272" s="841"/>
      <c r="R272" s="841"/>
      <c r="S272" s="841"/>
      <c r="T272" s="841"/>
      <c r="U272" s="841"/>
      <c r="V272" s="841"/>
      <c r="W272" s="841"/>
      <c r="X272" s="841"/>
      <c r="Y272" s="841"/>
      <c r="Z272" s="97"/>
      <c r="AA272" s="97"/>
      <c r="AB272" s="97" t="s">
        <v>7795</v>
      </c>
      <c r="AC272" s="842" t="s">
        <v>7633</v>
      </c>
      <c r="AD272" s="97" t="s">
        <v>7446</v>
      </c>
      <c r="AE272" s="842" t="s">
        <v>7264</v>
      </c>
      <c r="AF272" s="97"/>
      <c r="AG272" s="97"/>
      <c r="AH272" s="97" t="s">
        <v>6820</v>
      </c>
      <c r="AI272" s="97" t="s">
        <v>6820</v>
      </c>
      <c r="AJ272" s="97" t="s">
        <v>6686</v>
      </c>
      <c r="AK272" s="97" t="s">
        <v>6469</v>
      </c>
      <c r="AL272" s="580">
        <f t="shared" si="26"/>
        <v>1.8758654000000001</v>
      </c>
      <c r="AM272" s="504">
        <v>1.8758654000000001</v>
      </c>
      <c r="AN272" s="516"/>
      <c r="AO272" s="97"/>
      <c r="AP272" s="97"/>
      <c r="AQ272" s="504">
        <v>0.2050786</v>
      </c>
      <c r="AR272" s="507">
        <v>0.156</v>
      </c>
      <c r="AS272" s="507">
        <v>1.8137735850000001E-4</v>
      </c>
      <c r="AT272" s="516">
        <v>2.2786799999999999E-2</v>
      </c>
      <c r="AU272" s="507">
        <v>1.7299999999999999E-2</v>
      </c>
      <c r="AV272" s="516">
        <v>1.0860000000000001</v>
      </c>
      <c r="AW272" s="507">
        <v>0.8266</v>
      </c>
      <c r="AX272" s="516">
        <v>0.56200000000000006</v>
      </c>
      <c r="AY272" s="507">
        <v>0.1091</v>
      </c>
      <c r="AZ272" s="516"/>
      <c r="BA272" s="507"/>
      <c r="BB272" s="507"/>
      <c r="BC272" s="507"/>
      <c r="BD272" s="507"/>
      <c r="BE272" s="507" t="s">
        <v>479</v>
      </c>
      <c r="BF272" s="507" t="s">
        <v>6294</v>
      </c>
      <c r="BG272" s="507"/>
      <c r="BH272" s="852"/>
      <c r="BI272" s="504">
        <v>0</v>
      </c>
      <c r="BJ272" s="507">
        <v>0</v>
      </c>
      <c r="BK272" s="96">
        <v>1</v>
      </c>
      <c r="BL272" s="96">
        <v>1</v>
      </c>
      <c r="BM272" s="96">
        <v>1</v>
      </c>
      <c r="BN272" s="96"/>
      <c r="BO272" s="96"/>
      <c r="BP272" s="96"/>
      <c r="BQ272" s="96"/>
      <c r="BR272" s="96"/>
      <c r="BS272" s="96">
        <v>1</v>
      </c>
      <c r="BT272" s="96"/>
      <c r="BU272" s="96"/>
      <c r="BV272" s="96"/>
      <c r="BW272" s="96"/>
      <c r="BX272" s="96"/>
      <c r="BY272" s="96"/>
      <c r="BZ272" s="96"/>
      <c r="CA272" s="96"/>
      <c r="CB272" s="96"/>
      <c r="CC272" s="96"/>
      <c r="CD272" s="96"/>
      <c r="CE272" s="96"/>
      <c r="CF272" s="96"/>
      <c r="CG272" s="96"/>
      <c r="CH272" s="96"/>
      <c r="CI272" s="96"/>
      <c r="CJ272" s="96"/>
      <c r="CK272" s="96"/>
      <c r="CL272" s="815">
        <f t="shared" si="28"/>
        <v>1</v>
      </c>
      <c r="CM272" s="824">
        <f t="shared" si="27"/>
        <v>0</v>
      </c>
      <c r="CN272" s="504">
        <v>29.853000000000002</v>
      </c>
      <c r="CO272" s="97" t="s">
        <v>6086</v>
      </c>
      <c r="CP272" s="97"/>
      <c r="CQ272" s="97">
        <v>100</v>
      </c>
      <c r="CR272" s="504">
        <v>29.853000000000002</v>
      </c>
      <c r="CS272" s="507" t="s">
        <v>5860</v>
      </c>
      <c r="CT272" s="97" t="s">
        <v>470</v>
      </c>
      <c r="CU272" s="97"/>
      <c r="CV272" s="97"/>
      <c r="CW272" s="97"/>
      <c r="CX272" s="96"/>
      <c r="CY272" s="96"/>
      <c r="CZ272" s="96"/>
      <c r="DA272" s="97" t="s">
        <v>470</v>
      </c>
      <c r="DB272" s="97"/>
      <c r="DC272" s="96"/>
      <c r="DD272" s="97" t="s">
        <v>540</v>
      </c>
      <c r="DE272" s="97" t="s">
        <v>5404</v>
      </c>
      <c r="DF272" s="96">
        <v>50</v>
      </c>
      <c r="DG272" s="96" t="s">
        <v>470</v>
      </c>
      <c r="DH272" s="96"/>
      <c r="DI272" s="96"/>
      <c r="DJ272" s="96" t="s">
        <v>470</v>
      </c>
      <c r="DK272" s="96"/>
      <c r="DL272" s="96"/>
      <c r="DM272" s="97" t="s">
        <v>470</v>
      </c>
      <c r="DN272" s="97"/>
      <c r="DO272" s="96"/>
      <c r="DP272" s="97" t="s">
        <v>470</v>
      </c>
      <c r="DQ272" s="97"/>
      <c r="DR272" s="96"/>
      <c r="DS272" s="97" t="s">
        <v>470</v>
      </c>
      <c r="DT272" s="97"/>
      <c r="DU272" s="96"/>
      <c r="DV272" s="97" t="s">
        <v>470</v>
      </c>
      <c r="DW272" s="97"/>
      <c r="DX272" s="96"/>
      <c r="DY272" s="97" t="s">
        <v>470</v>
      </c>
      <c r="DZ272" s="97"/>
      <c r="EA272" s="96"/>
      <c r="EB272" s="97" t="s">
        <v>479</v>
      </c>
      <c r="EC272" s="97" t="s">
        <v>5404</v>
      </c>
      <c r="ED272" s="96">
        <v>50</v>
      </c>
      <c r="EE272" s="96" t="s">
        <v>470</v>
      </c>
      <c r="EF272" s="96"/>
      <c r="EG272" s="96"/>
      <c r="EH272" s="97" t="s">
        <v>470</v>
      </c>
      <c r="EI272" s="97"/>
      <c r="EJ272" s="96"/>
      <c r="EK272" s="97" t="s">
        <v>470</v>
      </c>
      <c r="EL272" s="97"/>
      <c r="EM272" s="96"/>
      <c r="EN272" s="97" t="s">
        <v>470</v>
      </c>
      <c r="EO272" s="97"/>
      <c r="EP272" s="96"/>
      <c r="EQ272" s="96" t="s">
        <v>540</v>
      </c>
      <c r="ER272" s="96" t="s">
        <v>5293</v>
      </c>
      <c r="ES272" s="96">
        <v>16</v>
      </c>
      <c r="ET272" s="97" t="s">
        <v>470</v>
      </c>
      <c r="EU272" s="97"/>
      <c r="EV272" s="96"/>
      <c r="EW272" s="96"/>
      <c r="EX272" s="96"/>
      <c r="EY272" s="96"/>
      <c r="EZ272" s="97" t="s">
        <v>470</v>
      </c>
      <c r="FA272" s="97"/>
      <c r="FB272" s="842" t="s">
        <v>5107</v>
      </c>
      <c r="FC272" s="97"/>
      <c r="FD272" s="97"/>
      <c r="FE272" s="97" t="s">
        <v>4788</v>
      </c>
      <c r="FF272" s="97" t="s">
        <v>4705</v>
      </c>
      <c r="FG272" s="97" t="s">
        <v>4621</v>
      </c>
      <c r="FH272" s="97">
        <v>5</v>
      </c>
      <c r="FI272" s="97">
        <v>15</v>
      </c>
      <c r="FJ272" s="97" t="s">
        <v>4427</v>
      </c>
      <c r="FK272" s="97">
        <v>83426045569</v>
      </c>
      <c r="FL272" s="842" t="s">
        <v>4023</v>
      </c>
      <c r="FM272" s="97"/>
      <c r="FN272" s="97"/>
      <c r="FO272" s="97"/>
    </row>
    <row r="273" spans="5:171" ht="104" customHeight="1" x14ac:dyDescent="0.2">
      <c r="E273" s="94" t="s">
        <v>9305</v>
      </c>
      <c r="F273" s="94" t="s">
        <v>9121</v>
      </c>
      <c r="G273" s="97" t="s">
        <v>343</v>
      </c>
      <c r="H273" s="97" t="s">
        <v>428</v>
      </c>
      <c r="I273" s="97" t="s">
        <v>8723</v>
      </c>
      <c r="J273" s="97" t="s">
        <v>8353</v>
      </c>
      <c r="K273" s="97" t="s">
        <v>8353</v>
      </c>
      <c r="L273" s="502">
        <v>2021</v>
      </c>
      <c r="M273" s="841">
        <v>44600</v>
      </c>
      <c r="N273" s="841">
        <v>44910</v>
      </c>
      <c r="O273" s="841"/>
      <c r="P273" s="841"/>
      <c r="Q273" s="841"/>
      <c r="R273" s="841"/>
      <c r="S273" s="841"/>
      <c r="T273" s="841"/>
      <c r="U273" s="841"/>
      <c r="V273" s="841"/>
      <c r="W273" s="841"/>
      <c r="X273" s="841"/>
      <c r="Y273" s="841"/>
      <c r="Z273" s="97"/>
      <c r="AA273" s="97"/>
      <c r="AB273" s="97" t="s">
        <v>7794</v>
      </c>
      <c r="AC273" s="97" t="s">
        <v>7632</v>
      </c>
      <c r="AD273" s="97" t="s">
        <v>7445</v>
      </c>
      <c r="AE273" s="97"/>
      <c r="AF273" s="97" t="s">
        <v>7145</v>
      </c>
      <c r="AG273" s="97"/>
      <c r="AH273" s="97" t="s">
        <v>6982</v>
      </c>
      <c r="AI273" s="97" t="s">
        <v>6819</v>
      </c>
      <c r="AJ273" s="97" t="s">
        <v>615</v>
      </c>
      <c r="AK273" s="97" t="s">
        <v>6468</v>
      </c>
      <c r="AL273" s="580">
        <f t="shared" si="26"/>
        <v>20.536999999999999</v>
      </c>
      <c r="AM273" s="504">
        <v>20.536999999999999</v>
      </c>
      <c r="AN273" s="516"/>
      <c r="AO273" s="97"/>
      <c r="AP273" s="97"/>
      <c r="AQ273" s="504">
        <f>0.016+17.8</f>
        <v>17.815999999999999</v>
      </c>
      <c r="AR273" s="507">
        <f>AQ273/AL273</f>
        <v>0.86750742562204797</v>
      </c>
      <c r="AS273" s="507">
        <f>AQ273/26850.3</f>
        <v>6.6353076129503207E-4</v>
      </c>
      <c r="AT273" s="516"/>
      <c r="AU273" s="507"/>
      <c r="AV273" s="516"/>
      <c r="AW273" s="507" t="s">
        <v>6346</v>
      </c>
      <c r="AX273" s="516">
        <f>0.522+2.199</f>
        <v>2.7210000000000001</v>
      </c>
      <c r="AY273" s="507">
        <f>AX273/AL273</f>
        <v>0.132492574377952</v>
      </c>
      <c r="AZ273" s="516"/>
      <c r="BA273" s="507"/>
      <c r="BB273" s="507"/>
      <c r="BC273" s="507"/>
      <c r="BD273" s="507"/>
      <c r="BE273" s="507" t="s">
        <v>479</v>
      </c>
      <c r="BF273" s="507" t="s">
        <v>6293</v>
      </c>
      <c r="BG273" s="507" t="s">
        <v>6229</v>
      </c>
      <c r="BH273" s="852">
        <f>1238/1000</f>
        <v>1.238</v>
      </c>
      <c r="BI273" s="504">
        <f>22+0.2</f>
        <v>22.2</v>
      </c>
      <c r="BJ273" s="507">
        <f>BI273/28219.5</f>
        <v>7.8669005474937543E-4</v>
      </c>
      <c r="BK273" s="96">
        <f>14+2</f>
        <v>16</v>
      </c>
      <c r="BL273" s="96">
        <f>14+2</f>
        <v>16</v>
      </c>
      <c r="BM273" s="96">
        <f>13+2</f>
        <v>15</v>
      </c>
      <c r="BN273" s="96">
        <v>0</v>
      </c>
      <c r="BO273" s="96">
        <v>0</v>
      </c>
      <c r="BP273" s="96">
        <v>0</v>
      </c>
      <c r="BQ273" s="96">
        <v>0</v>
      </c>
      <c r="BR273" s="96">
        <v>0</v>
      </c>
      <c r="BS273" s="96">
        <v>0</v>
      </c>
      <c r="BT273" s="96">
        <v>0</v>
      </c>
      <c r="BU273" s="96">
        <v>0</v>
      </c>
      <c r="BV273" s="96">
        <v>2</v>
      </c>
      <c r="BW273" s="96">
        <v>0</v>
      </c>
      <c r="BX273" s="96">
        <v>2</v>
      </c>
      <c r="BY273" s="96">
        <f>6+1</f>
        <v>7</v>
      </c>
      <c r="BZ273" s="96">
        <v>0</v>
      </c>
      <c r="CA273" s="96">
        <v>0</v>
      </c>
      <c r="CB273" s="96">
        <v>0</v>
      </c>
      <c r="CC273" s="96">
        <v>0</v>
      </c>
      <c r="CD273" s="96">
        <v>0</v>
      </c>
      <c r="CE273" s="96">
        <v>0</v>
      </c>
      <c r="CF273" s="96">
        <v>0</v>
      </c>
      <c r="CG273" s="96">
        <v>0</v>
      </c>
      <c r="CH273" s="96">
        <v>0</v>
      </c>
      <c r="CI273" s="96">
        <v>0</v>
      </c>
      <c r="CJ273" s="96">
        <v>0</v>
      </c>
      <c r="CK273" s="96">
        <f>3+1</f>
        <v>4</v>
      </c>
      <c r="CL273" s="815">
        <f t="shared" si="28"/>
        <v>15</v>
      </c>
      <c r="CM273" s="824">
        <f t="shared" si="27"/>
        <v>0</v>
      </c>
      <c r="CN273" s="504">
        <f>(30000+30000+99840+5000+99840+18000+18000+6000+9397+3000+5000+45000+5000)/1000</f>
        <v>374.077</v>
      </c>
      <c r="CO273" s="97" t="s">
        <v>6085</v>
      </c>
      <c r="CP273" s="97"/>
      <c r="CQ273" s="516">
        <f>CN273/CR273*100</f>
        <v>36.418677962570477</v>
      </c>
      <c r="CR273" s="504">
        <f>1027157/1000</f>
        <v>1027.1569999999999</v>
      </c>
      <c r="CS273" s="507" t="s">
        <v>5859</v>
      </c>
      <c r="CT273" s="97" t="s">
        <v>470</v>
      </c>
      <c r="CU273" s="97"/>
      <c r="CV273" s="97"/>
      <c r="CW273" s="97"/>
      <c r="CX273" s="96"/>
      <c r="CY273" s="96"/>
      <c r="CZ273" s="96"/>
      <c r="DA273" s="97" t="s">
        <v>470</v>
      </c>
      <c r="DB273" s="97"/>
      <c r="DC273" s="96"/>
      <c r="DD273" s="97" t="s">
        <v>470</v>
      </c>
      <c r="DE273" s="97" t="s">
        <v>5625</v>
      </c>
      <c r="DF273" s="96">
        <v>0</v>
      </c>
      <c r="DG273" s="96" t="s">
        <v>479</v>
      </c>
      <c r="DH273" s="96" t="s">
        <v>5376</v>
      </c>
      <c r="DI273" s="96">
        <v>11</v>
      </c>
      <c r="DJ273" s="97" t="s">
        <v>470</v>
      </c>
      <c r="DK273" s="96"/>
      <c r="DL273" s="96"/>
      <c r="DM273" s="97" t="s">
        <v>470</v>
      </c>
      <c r="DN273" s="97"/>
      <c r="DO273" s="96"/>
      <c r="DP273" s="97" t="s">
        <v>470</v>
      </c>
      <c r="DQ273" s="97"/>
      <c r="DR273" s="96"/>
      <c r="DS273" s="97" t="s">
        <v>470</v>
      </c>
      <c r="DT273" s="97"/>
      <c r="DU273" s="96"/>
      <c r="DV273" s="97" t="s">
        <v>470</v>
      </c>
      <c r="DW273" s="97"/>
      <c r="DX273" s="96"/>
      <c r="DY273" s="97" t="s">
        <v>470</v>
      </c>
      <c r="DZ273" s="97"/>
      <c r="EA273" s="96"/>
      <c r="EB273" s="97" t="s">
        <v>470</v>
      </c>
      <c r="EC273" s="97"/>
      <c r="ED273" s="96"/>
      <c r="EE273" s="96" t="s">
        <v>479</v>
      </c>
      <c r="EF273" s="96" t="s">
        <v>5376</v>
      </c>
      <c r="EG273" s="96">
        <v>0</v>
      </c>
      <c r="EH273" s="97" t="s">
        <v>470</v>
      </c>
      <c r="EI273" s="97"/>
      <c r="EJ273" s="96"/>
      <c r="EK273" s="97" t="s">
        <v>470</v>
      </c>
      <c r="EL273" s="97"/>
      <c r="EM273" s="96"/>
      <c r="EN273" s="97" t="s">
        <v>470</v>
      </c>
      <c r="EO273" s="97"/>
      <c r="EP273" s="96"/>
      <c r="EQ273" s="96" t="s">
        <v>479</v>
      </c>
      <c r="ER273" s="96" t="s">
        <v>5292</v>
      </c>
      <c r="ES273" s="96">
        <v>8</v>
      </c>
      <c r="ET273" s="97"/>
      <c r="EU273" s="97"/>
      <c r="EV273" s="96"/>
      <c r="EW273" s="96"/>
      <c r="EX273" s="96"/>
      <c r="EY273" s="96"/>
      <c r="EZ273" s="97" t="s">
        <v>470</v>
      </c>
      <c r="FA273" s="97"/>
      <c r="FB273" s="97" t="s">
        <v>5106</v>
      </c>
      <c r="FC273" s="97"/>
      <c r="FD273" s="97"/>
      <c r="FE273" s="97" t="s">
        <v>4787</v>
      </c>
      <c r="FF273" s="97"/>
      <c r="FG273" s="97"/>
      <c r="FH273" s="97"/>
      <c r="FI273" s="97"/>
      <c r="FJ273" s="97" t="s">
        <v>4426</v>
      </c>
      <c r="FK273" s="97" t="s">
        <v>4220</v>
      </c>
      <c r="FL273" s="97" t="s">
        <v>4022</v>
      </c>
      <c r="FM273" s="97" t="s">
        <v>3873</v>
      </c>
      <c r="FN273" s="97" t="s">
        <v>3804</v>
      </c>
      <c r="FO273" s="97" t="s">
        <v>3726</v>
      </c>
    </row>
    <row r="274" spans="5:171" ht="104" customHeight="1" x14ac:dyDescent="0.2">
      <c r="E274" s="94" t="s">
        <v>9302</v>
      </c>
      <c r="F274" s="94" t="s">
        <v>9120</v>
      </c>
      <c r="G274" s="198" t="s">
        <v>344</v>
      </c>
      <c r="H274" s="97" t="s">
        <v>429</v>
      </c>
      <c r="I274" s="198"/>
      <c r="J274" s="523" t="s">
        <v>3237</v>
      </c>
      <c r="K274" s="523" t="s">
        <v>3238</v>
      </c>
      <c r="L274" s="524">
        <v>2021</v>
      </c>
      <c r="M274" s="525">
        <v>44220</v>
      </c>
      <c r="N274" s="525">
        <v>44926</v>
      </c>
      <c r="O274" s="523" t="s">
        <v>3239</v>
      </c>
      <c r="P274" s="523" t="s">
        <v>3240</v>
      </c>
      <c r="Q274" s="558" t="s">
        <v>3241</v>
      </c>
      <c r="R274" s="1230" t="s">
        <v>1924</v>
      </c>
      <c r="S274" s="1230"/>
      <c r="T274" s="1230" t="s">
        <v>1924</v>
      </c>
      <c r="U274" s="1230"/>
      <c r="V274" s="1230" t="s">
        <v>1924</v>
      </c>
      <c r="W274" s="1230"/>
      <c r="X274" s="523" t="s">
        <v>3242</v>
      </c>
      <c r="Y274" s="558" t="s">
        <v>3241</v>
      </c>
      <c r="Z274" s="558"/>
      <c r="AA274" s="558"/>
      <c r="AB274" s="558"/>
      <c r="AC274" s="558"/>
      <c r="AD274" s="558"/>
      <c r="AE274" s="558"/>
      <c r="AF274" s="558"/>
      <c r="AG274" s="558"/>
      <c r="AH274" s="523" t="s">
        <v>3243</v>
      </c>
      <c r="AI274" s="523" t="s">
        <v>3243</v>
      </c>
      <c r="AJ274" s="523" t="s">
        <v>3244</v>
      </c>
      <c r="AK274" s="523" t="s">
        <v>3245</v>
      </c>
      <c r="AL274" s="580">
        <f t="shared" si="26"/>
        <v>231.00200000000001</v>
      </c>
      <c r="AM274" s="504">
        <v>231.00200000000001</v>
      </c>
      <c r="AN274" s="526">
        <v>210.41</v>
      </c>
      <c r="AO274" s="527">
        <v>0.91090000000000004</v>
      </c>
      <c r="AP274" s="527">
        <f>210.41/200939.32</f>
        <v>1.047132039662521E-3</v>
      </c>
      <c r="AQ274" s="504">
        <v>20.591999999999999</v>
      </c>
      <c r="AR274" s="137">
        <v>8.9099999999999999E-2</v>
      </c>
      <c r="AS274" s="137"/>
      <c r="AT274" s="520">
        <v>0</v>
      </c>
      <c r="AU274" s="137">
        <v>0</v>
      </c>
      <c r="AV274" s="520">
        <v>0</v>
      </c>
      <c r="AW274" s="137">
        <v>0</v>
      </c>
      <c r="AX274" s="520"/>
      <c r="AY274" s="137">
        <v>0</v>
      </c>
      <c r="AZ274" s="593"/>
      <c r="BA274" s="528"/>
      <c r="BB274" s="528"/>
      <c r="BC274" s="528"/>
      <c r="BD274" s="528"/>
      <c r="BE274" s="523" t="s">
        <v>470</v>
      </c>
      <c r="BF274" s="523" t="s">
        <v>656</v>
      </c>
      <c r="BG274" s="523" t="s">
        <v>656</v>
      </c>
      <c r="BH274" s="523" t="s">
        <v>656</v>
      </c>
      <c r="BI274" s="529">
        <v>258</v>
      </c>
      <c r="BJ274" s="527">
        <v>1.2999999999999999E-3</v>
      </c>
      <c r="BK274" s="530">
        <v>532</v>
      </c>
      <c r="BL274" s="530">
        <v>233</v>
      </c>
      <c r="BM274" s="530">
        <v>87</v>
      </c>
      <c r="BN274" s="530">
        <v>1</v>
      </c>
      <c r="BO274" s="530">
        <v>3</v>
      </c>
      <c r="BP274" s="530">
        <v>5</v>
      </c>
      <c r="BQ274" s="530" t="s">
        <v>656</v>
      </c>
      <c r="BR274" s="530" t="s">
        <v>656</v>
      </c>
      <c r="BS274" s="530">
        <v>9</v>
      </c>
      <c r="BT274" s="530" t="s">
        <v>656</v>
      </c>
      <c r="BU274" s="530">
        <v>1</v>
      </c>
      <c r="BV274" s="530" t="s">
        <v>656</v>
      </c>
      <c r="BW274" s="530">
        <v>35</v>
      </c>
      <c r="BX274" s="530">
        <v>33</v>
      </c>
      <c r="BY274" s="530" t="s">
        <v>656</v>
      </c>
      <c r="BZ274" s="530" t="s">
        <v>656</v>
      </c>
      <c r="CA274" s="530" t="s">
        <v>656</v>
      </c>
      <c r="CB274" s="530" t="s">
        <v>656</v>
      </c>
      <c r="CC274" s="530" t="s">
        <v>656</v>
      </c>
      <c r="CD274" s="530" t="s">
        <v>656</v>
      </c>
      <c r="CE274" s="530" t="s">
        <v>656</v>
      </c>
      <c r="CF274" s="530" t="s">
        <v>656</v>
      </c>
      <c r="CG274" s="530" t="s">
        <v>656</v>
      </c>
      <c r="CH274" s="530" t="s">
        <v>656</v>
      </c>
      <c r="CI274" s="530" t="s">
        <v>656</v>
      </c>
      <c r="CJ274" s="530" t="s">
        <v>656</v>
      </c>
      <c r="CK274" s="530" t="s">
        <v>656</v>
      </c>
      <c r="CL274" s="531">
        <f t="shared" si="28"/>
        <v>87</v>
      </c>
      <c r="CM274" s="824">
        <f t="shared" si="27"/>
        <v>0</v>
      </c>
      <c r="CN274" s="529">
        <v>92.963999999999999</v>
      </c>
      <c r="CO274" s="523" t="s">
        <v>3246</v>
      </c>
      <c r="CP274" s="558" t="s">
        <v>3247</v>
      </c>
      <c r="CQ274" s="532">
        <v>5.0500000000000003E-2</v>
      </c>
      <c r="CR274" s="533">
        <v>1842</v>
      </c>
      <c r="CS274" s="532" t="s">
        <v>3248</v>
      </c>
      <c r="CT274" s="523" t="s">
        <v>470</v>
      </c>
      <c r="CU274" s="523" t="s">
        <v>656</v>
      </c>
      <c r="CV274" s="523" t="s">
        <v>656</v>
      </c>
      <c r="CW274" s="523" t="s">
        <v>656</v>
      </c>
      <c r="CX274" s="530" t="s">
        <v>656</v>
      </c>
      <c r="CY274" s="530" t="s">
        <v>656</v>
      </c>
      <c r="CZ274" s="530">
        <v>2</v>
      </c>
      <c r="DA274" s="523" t="s">
        <v>470</v>
      </c>
      <c r="DB274" s="523" t="s">
        <v>656</v>
      </c>
      <c r="DC274" s="530" t="s">
        <v>656</v>
      </c>
      <c r="DD274" s="523" t="s">
        <v>470</v>
      </c>
      <c r="DE274" s="530" t="s">
        <v>656</v>
      </c>
      <c r="DF274" s="530" t="s">
        <v>656</v>
      </c>
      <c r="DG274" s="530" t="s">
        <v>479</v>
      </c>
      <c r="DH274" s="530" t="s">
        <v>3249</v>
      </c>
      <c r="DI274" s="530" t="s">
        <v>3250</v>
      </c>
      <c r="DJ274" s="523" t="s">
        <v>470</v>
      </c>
      <c r="DK274" s="530" t="s">
        <v>656</v>
      </c>
      <c r="DL274" s="530" t="s">
        <v>656</v>
      </c>
      <c r="DM274" s="523" t="s">
        <v>470</v>
      </c>
      <c r="DN274" s="530" t="s">
        <v>656</v>
      </c>
      <c r="DO274" s="530" t="s">
        <v>656</v>
      </c>
      <c r="DP274" s="523" t="s">
        <v>479</v>
      </c>
      <c r="DQ274" s="530" t="s">
        <v>3249</v>
      </c>
      <c r="DR274" s="530">
        <v>532</v>
      </c>
      <c r="DS274" s="523" t="s">
        <v>470</v>
      </c>
      <c r="DT274" s="530" t="s">
        <v>656</v>
      </c>
      <c r="DU274" s="530" t="s">
        <v>656</v>
      </c>
      <c r="DV274" s="523" t="s">
        <v>470</v>
      </c>
      <c r="DW274" s="530" t="s">
        <v>656</v>
      </c>
      <c r="DX274" s="530" t="s">
        <v>656</v>
      </c>
      <c r="DY274" s="523" t="s">
        <v>479</v>
      </c>
      <c r="DZ274" s="530" t="s">
        <v>3249</v>
      </c>
      <c r="EA274" s="530" t="s">
        <v>3251</v>
      </c>
      <c r="EB274" s="523" t="s">
        <v>470</v>
      </c>
      <c r="EC274" s="530" t="s">
        <v>656</v>
      </c>
      <c r="ED274" s="530" t="s">
        <v>656</v>
      </c>
      <c r="EE274" s="523" t="s">
        <v>470</v>
      </c>
      <c r="EF274" s="530" t="s">
        <v>656</v>
      </c>
      <c r="EG274" s="530" t="s">
        <v>656</v>
      </c>
      <c r="EH274" s="523" t="s">
        <v>470</v>
      </c>
      <c r="EI274" s="530" t="s">
        <v>656</v>
      </c>
      <c r="EJ274" s="530" t="s">
        <v>656</v>
      </c>
      <c r="EK274" s="523" t="s">
        <v>470</v>
      </c>
      <c r="EL274" s="530" t="s">
        <v>656</v>
      </c>
      <c r="EM274" s="530" t="s">
        <v>656</v>
      </c>
      <c r="EN274" s="523" t="s">
        <v>470</v>
      </c>
      <c r="EO274" s="530" t="s">
        <v>656</v>
      </c>
      <c r="EP274" s="530" t="s">
        <v>656</v>
      </c>
      <c r="EQ274" s="523" t="s">
        <v>470</v>
      </c>
      <c r="ER274" s="530" t="s">
        <v>656</v>
      </c>
      <c r="ES274" s="530" t="s">
        <v>656</v>
      </c>
      <c r="ET274" s="523" t="s">
        <v>470</v>
      </c>
      <c r="EU274" s="530" t="s">
        <v>656</v>
      </c>
      <c r="EV274" s="530" t="s">
        <v>656</v>
      </c>
      <c r="EW274" s="532">
        <v>1</v>
      </c>
      <c r="EX274" s="523" t="s">
        <v>656</v>
      </c>
      <c r="EY274" s="534" t="s">
        <v>3252</v>
      </c>
      <c r="EZ274" s="523" t="s">
        <v>3253</v>
      </c>
      <c r="FA274" s="523" t="s">
        <v>3254</v>
      </c>
      <c r="FB274" s="523" t="s">
        <v>3253</v>
      </c>
      <c r="FC274" s="523" t="s">
        <v>656</v>
      </c>
      <c r="FD274" s="559" t="s">
        <v>3255</v>
      </c>
      <c r="FE274" s="523" t="s">
        <v>3256</v>
      </c>
      <c r="FF274" s="559" t="s">
        <v>9519</v>
      </c>
      <c r="FG274" s="523" t="s">
        <v>1750</v>
      </c>
      <c r="FH274" s="523">
        <v>0</v>
      </c>
      <c r="FI274" s="523">
        <v>0</v>
      </c>
      <c r="FJ274" s="523" t="s">
        <v>3257</v>
      </c>
      <c r="FK274" s="523" t="s">
        <v>3258</v>
      </c>
      <c r="FL274" s="558" t="s">
        <v>3259</v>
      </c>
      <c r="FM274" s="523" t="s">
        <v>3257</v>
      </c>
      <c r="FN274" s="523" t="s">
        <v>3258</v>
      </c>
      <c r="FO274" s="558" t="s">
        <v>3259</v>
      </c>
    </row>
    <row r="275" spans="5:171" ht="42" customHeight="1" x14ac:dyDescent="0.2">
      <c r="E275" s="94" t="s">
        <v>9309</v>
      </c>
      <c r="F275" s="94" t="s">
        <v>9121</v>
      </c>
      <c r="G275" s="198" t="s">
        <v>344</v>
      </c>
      <c r="H275" s="97" t="s">
        <v>429</v>
      </c>
      <c r="I275" s="535" t="s">
        <v>8722</v>
      </c>
      <c r="J275" s="535" t="s">
        <v>8385</v>
      </c>
      <c r="K275" s="535" t="s">
        <v>8385</v>
      </c>
      <c r="L275" s="536">
        <v>2019</v>
      </c>
      <c r="M275" s="537">
        <v>43819</v>
      </c>
      <c r="N275" s="537">
        <v>46752</v>
      </c>
      <c r="O275" s="537"/>
      <c r="P275" s="537"/>
      <c r="Q275" s="537"/>
      <c r="R275" s="537"/>
      <c r="S275" s="537"/>
      <c r="T275" s="537"/>
      <c r="U275" s="537"/>
      <c r="V275" s="537"/>
      <c r="W275" s="537"/>
      <c r="X275" s="537"/>
      <c r="Y275" s="537"/>
      <c r="Z275" s="535" t="s">
        <v>8071</v>
      </c>
      <c r="AA275" s="538" t="s">
        <v>7933</v>
      </c>
      <c r="AB275" s="535" t="s">
        <v>470</v>
      </c>
      <c r="AC275" s="535" t="s">
        <v>656</v>
      </c>
      <c r="AD275" s="535" t="s">
        <v>7444</v>
      </c>
      <c r="AE275" s="538" t="s">
        <v>7263</v>
      </c>
      <c r="AF275" s="535" t="s">
        <v>7144</v>
      </c>
      <c r="AG275" s="538" t="s">
        <v>7074</v>
      </c>
      <c r="AH275" s="535" t="s">
        <v>6981</v>
      </c>
      <c r="AI275" s="535" t="s">
        <v>6818</v>
      </c>
      <c r="AJ275" s="535" t="s">
        <v>504</v>
      </c>
      <c r="AK275" s="535" t="s">
        <v>6467</v>
      </c>
      <c r="AL275" s="580">
        <f t="shared" si="26"/>
        <v>5.5627732999999999</v>
      </c>
      <c r="AM275" s="504">
        <v>5.5627732999999999</v>
      </c>
      <c r="AN275" s="516"/>
      <c r="AO275" s="97"/>
      <c r="AP275" s="97"/>
      <c r="AQ275" s="504">
        <v>5.5627732999999999</v>
      </c>
      <c r="AR275" s="507">
        <v>1</v>
      </c>
      <c r="AS275" s="507">
        <f>AQ275/5500.802</f>
        <v>1.0112658663227654E-3</v>
      </c>
      <c r="AT275" s="516">
        <v>0</v>
      </c>
      <c r="AU275" s="507" t="s">
        <v>656</v>
      </c>
      <c r="AV275" s="516">
        <v>0</v>
      </c>
      <c r="AW275" s="507" t="s">
        <v>656</v>
      </c>
      <c r="AX275" s="516"/>
      <c r="AY275" s="507" t="s">
        <v>656</v>
      </c>
      <c r="AZ275" s="507"/>
      <c r="BA275" s="539"/>
      <c r="BB275" s="539"/>
      <c r="BC275" s="539"/>
      <c r="BD275" s="539"/>
      <c r="BE275" s="539" t="s">
        <v>470</v>
      </c>
      <c r="BF275" s="539" t="s">
        <v>656</v>
      </c>
      <c r="BG275" s="539" t="s">
        <v>656</v>
      </c>
      <c r="BH275" s="540">
        <v>0</v>
      </c>
      <c r="BI275" s="541">
        <v>0</v>
      </c>
      <c r="BJ275" s="539" t="s">
        <v>656</v>
      </c>
      <c r="BK275" s="542">
        <v>143</v>
      </c>
      <c r="BL275" s="542">
        <v>143</v>
      </c>
      <c r="BM275" s="542">
        <v>143</v>
      </c>
      <c r="BN275" s="542" t="s">
        <v>656</v>
      </c>
      <c r="BO275" s="542" t="s">
        <v>656</v>
      </c>
      <c r="BP275" s="542" t="s">
        <v>656</v>
      </c>
      <c r="BQ275" s="542" t="s">
        <v>656</v>
      </c>
      <c r="BR275" s="542" t="s">
        <v>656</v>
      </c>
      <c r="BS275" s="542" t="s">
        <v>656</v>
      </c>
      <c r="BT275" s="542" t="s">
        <v>656</v>
      </c>
      <c r="BU275" s="542" t="s">
        <v>656</v>
      </c>
      <c r="BV275" s="542" t="s">
        <v>656</v>
      </c>
      <c r="BW275" s="542">
        <v>1</v>
      </c>
      <c r="BX275" s="542" t="s">
        <v>656</v>
      </c>
      <c r="BY275" s="542" t="s">
        <v>656</v>
      </c>
      <c r="BZ275" s="542" t="s">
        <v>656</v>
      </c>
      <c r="CA275" s="542" t="s">
        <v>656</v>
      </c>
      <c r="CB275" s="542" t="s">
        <v>656</v>
      </c>
      <c r="CC275" s="542" t="s">
        <v>656</v>
      </c>
      <c r="CD275" s="542" t="s">
        <v>656</v>
      </c>
      <c r="CE275" s="542" t="s">
        <v>656</v>
      </c>
      <c r="CF275" s="542" t="s">
        <v>656</v>
      </c>
      <c r="CG275" s="542" t="s">
        <v>656</v>
      </c>
      <c r="CH275" s="542" t="s">
        <v>656</v>
      </c>
      <c r="CI275" s="542" t="s">
        <v>656</v>
      </c>
      <c r="CJ275" s="542" t="s">
        <v>656</v>
      </c>
      <c r="CK275" s="542" t="s">
        <v>656</v>
      </c>
      <c r="CL275" s="543">
        <f t="shared" si="28"/>
        <v>1</v>
      </c>
      <c r="CM275" s="824">
        <f t="shared" si="27"/>
        <v>0</v>
      </c>
      <c r="CN275" s="541">
        <v>0.36799999999999999</v>
      </c>
      <c r="CO275" s="535" t="s">
        <v>6084</v>
      </c>
      <c r="CP275" s="535" t="s">
        <v>656</v>
      </c>
      <c r="CQ275" s="535" t="s">
        <v>5958</v>
      </c>
      <c r="CR275" s="541">
        <v>118.622</v>
      </c>
      <c r="CS275" s="544" t="s">
        <v>5858</v>
      </c>
      <c r="CT275" s="535" t="s">
        <v>470</v>
      </c>
      <c r="CU275" s="535" t="s">
        <v>656</v>
      </c>
      <c r="CV275" s="535" t="s">
        <v>656</v>
      </c>
      <c r="CW275" s="535" t="s">
        <v>656</v>
      </c>
      <c r="CX275" s="542" t="s">
        <v>656</v>
      </c>
      <c r="CY275" s="542" t="s">
        <v>656</v>
      </c>
      <c r="CZ275" s="542" t="s">
        <v>656</v>
      </c>
      <c r="DA275" s="535" t="s">
        <v>470</v>
      </c>
      <c r="DB275" s="535" t="s">
        <v>656</v>
      </c>
      <c r="DC275" s="542" t="s">
        <v>656</v>
      </c>
      <c r="DD275" s="535" t="s">
        <v>470</v>
      </c>
      <c r="DE275" s="535" t="s">
        <v>656</v>
      </c>
      <c r="DF275" s="542" t="s">
        <v>656</v>
      </c>
      <c r="DG275" s="542" t="s">
        <v>470</v>
      </c>
      <c r="DH275" s="542" t="s">
        <v>656</v>
      </c>
      <c r="DI275" s="542" t="s">
        <v>656</v>
      </c>
      <c r="DJ275" s="542" t="s">
        <v>470</v>
      </c>
      <c r="DK275" s="542" t="s">
        <v>656</v>
      </c>
      <c r="DL275" s="542" t="s">
        <v>656</v>
      </c>
      <c r="DM275" s="535" t="s">
        <v>470</v>
      </c>
      <c r="DN275" s="535" t="s">
        <v>656</v>
      </c>
      <c r="DO275" s="542" t="s">
        <v>656</v>
      </c>
      <c r="DP275" s="535" t="s">
        <v>470</v>
      </c>
      <c r="DQ275" s="535" t="s">
        <v>656</v>
      </c>
      <c r="DR275" s="542" t="s">
        <v>656</v>
      </c>
      <c r="DS275" s="535" t="s">
        <v>470</v>
      </c>
      <c r="DT275" s="535" t="s">
        <v>656</v>
      </c>
      <c r="DU275" s="542" t="s">
        <v>656</v>
      </c>
      <c r="DV275" s="535" t="s">
        <v>5505</v>
      </c>
      <c r="DW275" s="535" t="s">
        <v>5478</v>
      </c>
      <c r="DX275" s="542" t="s">
        <v>5466</v>
      </c>
      <c r="DY275" s="535" t="s">
        <v>470</v>
      </c>
      <c r="DZ275" s="535" t="s">
        <v>656</v>
      </c>
      <c r="EA275" s="542" t="s">
        <v>656</v>
      </c>
      <c r="EB275" s="535" t="s">
        <v>470</v>
      </c>
      <c r="EC275" s="535" t="s">
        <v>656</v>
      </c>
      <c r="ED275" s="542" t="s">
        <v>656</v>
      </c>
      <c r="EE275" s="542" t="s">
        <v>470</v>
      </c>
      <c r="EF275" s="542" t="s">
        <v>656</v>
      </c>
      <c r="EG275" s="542" t="s">
        <v>656</v>
      </c>
      <c r="EH275" s="535" t="s">
        <v>470</v>
      </c>
      <c r="EI275" s="535" t="s">
        <v>656</v>
      </c>
      <c r="EJ275" s="542" t="s">
        <v>656</v>
      </c>
      <c r="EK275" s="535" t="s">
        <v>470</v>
      </c>
      <c r="EL275" s="535" t="s">
        <v>656</v>
      </c>
      <c r="EM275" s="542" t="s">
        <v>656</v>
      </c>
      <c r="EN275" s="535" t="s">
        <v>479</v>
      </c>
      <c r="EO275" s="535" t="s">
        <v>5339</v>
      </c>
      <c r="EP275" s="542">
        <v>12</v>
      </c>
      <c r="EQ275" s="542" t="s">
        <v>470</v>
      </c>
      <c r="ER275" s="542" t="s">
        <v>656</v>
      </c>
      <c r="ES275" s="542" t="s">
        <v>656</v>
      </c>
      <c r="ET275" s="535" t="s">
        <v>656</v>
      </c>
      <c r="EU275" s="535" t="s">
        <v>656</v>
      </c>
      <c r="EV275" s="542" t="s">
        <v>656</v>
      </c>
      <c r="EW275" s="542"/>
      <c r="EX275" s="542"/>
      <c r="EY275" s="542"/>
      <c r="EZ275" s="535" t="s">
        <v>470</v>
      </c>
      <c r="FA275" s="535" t="s">
        <v>656</v>
      </c>
      <c r="FB275" s="538" t="s">
        <v>5105</v>
      </c>
      <c r="FC275" s="535" t="s">
        <v>4964</v>
      </c>
      <c r="FD275" s="535" t="s">
        <v>470</v>
      </c>
      <c r="FE275" s="535" t="s">
        <v>4786</v>
      </c>
      <c r="FF275" s="535" t="s">
        <v>4704</v>
      </c>
      <c r="FG275" s="535" t="s">
        <v>4620</v>
      </c>
      <c r="FH275" s="535" t="s">
        <v>656</v>
      </c>
      <c r="FI275" s="535" t="s">
        <v>656</v>
      </c>
      <c r="FJ275" s="535" t="s">
        <v>4425</v>
      </c>
      <c r="FK275" s="535" t="s">
        <v>4219</v>
      </c>
      <c r="FL275" s="538" t="s">
        <v>4021</v>
      </c>
      <c r="FM275" s="535" t="s">
        <v>3872</v>
      </c>
      <c r="FN275" s="535" t="s">
        <v>3803</v>
      </c>
      <c r="FO275" s="538" t="s">
        <v>3725</v>
      </c>
    </row>
    <row r="276" spans="5:171" ht="34" customHeight="1" x14ac:dyDescent="0.2">
      <c r="E276" s="94" t="s">
        <v>9302</v>
      </c>
      <c r="F276" s="94" t="s">
        <v>9121</v>
      </c>
      <c r="G276" s="198" t="s">
        <v>344</v>
      </c>
      <c r="H276" s="97" t="s">
        <v>429</v>
      </c>
      <c r="I276" s="535" t="s">
        <v>8721</v>
      </c>
      <c r="J276" s="535" t="s">
        <v>8522</v>
      </c>
      <c r="K276" s="535" t="s">
        <v>8384</v>
      </c>
      <c r="L276" s="536">
        <v>2021</v>
      </c>
      <c r="M276" s="537">
        <v>44671</v>
      </c>
      <c r="N276" s="537" t="s">
        <v>8224</v>
      </c>
      <c r="O276" s="537"/>
      <c r="P276" s="537"/>
      <c r="Q276" s="537"/>
      <c r="R276" s="537"/>
      <c r="S276" s="537"/>
      <c r="T276" s="537"/>
      <c r="U276" s="537"/>
      <c r="V276" s="537"/>
      <c r="W276" s="537"/>
      <c r="X276" s="537"/>
      <c r="Y276" s="537"/>
      <c r="Z276" s="535" t="s">
        <v>8070</v>
      </c>
      <c r="AA276" s="538" t="s">
        <v>7932</v>
      </c>
      <c r="AB276" s="535" t="s">
        <v>7793</v>
      </c>
      <c r="AC276" s="538" t="s">
        <v>7631</v>
      </c>
      <c r="AD276" s="535" t="s">
        <v>7443</v>
      </c>
      <c r="AE276" s="538" t="s">
        <v>7262</v>
      </c>
      <c r="AF276" s="545" t="s">
        <v>656</v>
      </c>
      <c r="AG276" s="545" t="s">
        <v>656</v>
      </c>
      <c r="AH276" s="535" t="s">
        <v>6980</v>
      </c>
      <c r="AI276" s="535" t="s">
        <v>6466</v>
      </c>
      <c r="AJ276" s="535" t="s">
        <v>6685</v>
      </c>
      <c r="AK276" s="535" t="s">
        <v>6466</v>
      </c>
      <c r="AL276" s="580">
        <f t="shared" si="26"/>
        <v>0.496</v>
      </c>
      <c r="AM276" s="504">
        <v>0.496</v>
      </c>
      <c r="AN276" s="516"/>
      <c r="AO276" s="97"/>
      <c r="AP276" s="97"/>
      <c r="AQ276" s="504">
        <v>0.496</v>
      </c>
      <c r="AR276" s="507">
        <v>1</v>
      </c>
      <c r="AS276" s="507">
        <v>2.9999999999999997E-4</v>
      </c>
      <c r="AT276" s="516">
        <v>0</v>
      </c>
      <c r="AU276" s="507">
        <v>0</v>
      </c>
      <c r="AV276" s="516">
        <v>0</v>
      </c>
      <c r="AW276" s="507">
        <v>0</v>
      </c>
      <c r="AX276" s="516"/>
      <c r="AY276" s="507">
        <v>0</v>
      </c>
      <c r="AZ276" s="507"/>
      <c r="BA276" s="539"/>
      <c r="BB276" s="539"/>
      <c r="BC276" s="539"/>
      <c r="BD276" s="539"/>
      <c r="BE276" s="539" t="s">
        <v>470</v>
      </c>
      <c r="BF276" s="539" t="s">
        <v>656</v>
      </c>
      <c r="BG276" s="539" t="s">
        <v>656</v>
      </c>
      <c r="BH276" s="540" t="s">
        <v>656</v>
      </c>
      <c r="BI276" s="541">
        <v>0.6</v>
      </c>
      <c r="BJ276" s="539">
        <v>4.0000000000000002E-4</v>
      </c>
      <c r="BK276" s="542">
        <v>7</v>
      </c>
      <c r="BL276" s="542">
        <v>5</v>
      </c>
      <c r="BM276" s="542">
        <v>3</v>
      </c>
      <c r="BN276" s="542" t="s">
        <v>656</v>
      </c>
      <c r="BO276" s="542">
        <v>1</v>
      </c>
      <c r="BP276" s="542">
        <v>2</v>
      </c>
      <c r="BQ276" s="542" t="s">
        <v>656</v>
      </c>
      <c r="BR276" s="542" t="s">
        <v>656</v>
      </c>
      <c r="BS276" s="542" t="s">
        <v>656</v>
      </c>
      <c r="BT276" s="542" t="s">
        <v>656</v>
      </c>
      <c r="BU276" s="542" t="s">
        <v>656</v>
      </c>
      <c r="BV276" s="542" t="s">
        <v>656</v>
      </c>
      <c r="BW276" s="542" t="s">
        <v>656</v>
      </c>
      <c r="BX276" s="542" t="s">
        <v>656</v>
      </c>
      <c r="BY276" s="542" t="s">
        <v>656</v>
      </c>
      <c r="BZ276" s="542" t="s">
        <v>656</v>
      </c>
      <c r="CA276" s="542" t="s">
        <v>656</v>
      </c>
      <c r="CB276" s="542" t="s">
        <v>656</v>
      </c>
      <c r="CC276" s="542" t="s">
        <v>656</v>
      </c>
      <c r="CD276" s="542" t="s">
        <v>656</v>
      </c>
      <c r="CE276" s="542" t="s">
        <v>656</v>
      </c>
      <c r="CF276" s="542" t="s">
        <v>656</v>
      </c>
      <c r="CG276" s="542" t="s">
        <v>656</v>
      </c>
      <c r="CH276" s="542" t="s">
        <v>656</v>
      </c>
      <c r="CI276" s="542" t="s">
        <v>656</v>
      </c>
      <c r="CJ276" s="542" t="s">
        <v>656</v>
      </c>
      <c r="CK276" s="542" t="s">
        <v>656</v>
      </c>
      <c r="CL276" s="543">
        <f t="shared" si="28"/>
        <v>3</v>
      </c>
      <c r="CM276" s="824">
        <f t="shared" si="27"/>
        <v>0</v>
      </c>
      <c r="CN276" s="541">
        <v>2.8</v>
      </c>
      <c r="CO276" s="535" t="s">
        <v>6083</v>
      </c>
      <c r="CP276" s="535" t="s">
        <v>656</v>
      </c>
      <c r="CQ276" s="535">
        <v>7.9</v>
      </c>
      <c r="CR276" s="541">
        <v>35.607999999999997</v>
      </c>
      <c r="CS276" s="544" t="s">
        <v>5857</v>
      </c>
      <c r="CT276" s="535" t="s">
        <v>479</v>
      </c>
      <c r="CU276" s="535" t="s">
        <v>5796</v>
      </c>
      <c r="CV276" s="538" t="s">
        <v>5780</v>
      </c>
      <c r="CW276" s="535" t="s">
        <v>5761</v>
      </c>
      <c r="CX276" s="542">
        <v>9</v>
      </c>
      <c r="CY276" s="542" t="s">
        <v>5743</v>
      </c>
      <c r="CZ276" s="542">
        <v>10</v>
      </c>
      <c r="DA276" s="535" t="s">
        <v>470</v>
      </c>
      <c r="DB276" s="535" t="s">
        <v>656</v>
      </c>
      <c r="DC276" s="542" t="s">
        <v>656</v>
      </c>
      <c r="DD276" s="535" t="s">
        <v>479</v>
      </c>
      <c r="DE276" s="535" t="s">
        <v>5624</v>
      </c>
      <c r="DF276" s="542">
        <v>98</v>
      </c>
      <c r="DG276" s="542" t="s">
        <v>470</v>
      </c>
      <c r="DH276" s="542" t="s">
        <v>656</v>
      </c>
      <c r="DI276" s="542" t="s">
        <v>656</v>
      </c>
      <c r="DJ276" s="542" t="s">
        <v>470</v>
      </c>
      <c r="DK276" s="542"/>
      <c r="DL276" s="542"/>
      <c r="DM276" s="535" t="s">
        <v>470</v>
      </c>
      <c r="DN276" s="535" t="s">
        <v>656</v>
      </c>
      <c r="DO276" s="542" t="s">
        <v>656</v>
      </c>
      <c r="DP276" s="535" t="s">
        <v>470</v>
      </c>
      <c r="DQ276" s="535" t="s">
        <v>656</v>
      </c>
      <c r="DR276" s="542" t="s">
        <v>656</v>
      </c>
      <c r="DS276" s="535" t="s">
        <v>470</v>
      </c>
      <c r="DT276" s="535" t="s">
        <v>656</v>
      </c>
      <c r="DU276" s="542" t="s">
        <v>656</v>
      </c>
      <c r="DV276" s="535" t="s">
        <v>656</v>
      </c>
      <c r="DW276" s="535" t="s">
        <v>656</v>
      </c>
      <c r="DX276" s="542" t="s">
        <v>656</v>
      </c>
      <c r="DY276" s="535" t="s">
        <v>479</v>
      </c>
      <c r="DZ276" s="535" t="s">
        <v>5456</v>
      </c>
      <c r="EA276" s="542">
        <v>3242</v>
      </c>
      <c r="EB276" s="535" t="s">
        <v>470</v>
      </c>
      <c r="EC276" s="535" t="s">
        <v>656</v>
      </c>
      <c r="ED276" s="542" t="s">
        <v>656</v>
      </c>
      <c r="EE276" s="542" t="s">
        <v>470</v>
      </c>
      <c r="EF276" s="542" t="s">
        <v>656</v>
      </c>
      <c r="EG276" s="542" t="s">
        <v>656</v>
      </c>
      <c r="EH276" s="535" t="s">
        <v>470</v>
      </c>
      <c r="EI276" s="535" t="s">
        <v>656</v>
      </c>
      <c r="EJ276" s="542" t="s">
        <v>656</v>
      </c>
      <c r="EK276" s="535" t="s">
        <v>470</v>
      </c>
      <c r="EL276" s="535" t="s">
        <v>656</v>
      </c>
      <c r="EM276" s="542" t="s">
        <v>656</v>
      </c>
      <c r="EN276" s="535" t="s">
        <v>470</v>
      </c>
      <c r="EO276" s="535" t="s">
        <v>656</v>
      </c>
      <c r="EP276" s="542" t="s">
        <v>656</v>
      </c>
      <c r="EQ276" s="542" t="s">
        <v>470</v>
      </c>
      <c r="ER276" s="542" t="s">
        <v>656</v>
      </c>
      <c r="ES276" s="542" t="s">
        <v>656</v>
      </c>
      <c r="ET276" s="535" t="s">
        <v>656</v>
      </c>
      <c r="EU276" s="535" t="s">
        <v>656</v>
      </c>
      <c r="EV276" s="542" t="s">
        <v>656</v>
      </c>
      <c r="EW276" s="542"/>
      <c r="EX276" s="542"/>
      <c r="EY276" s="542"/>
      <c r="EZ276" s="535" t="s">
        <v>479</v>
      </c>
      <c r="FA276" s="535" t="s">
        <v>5205</v>
      </c>
      <c r="FB276" s="538" t="s">
        <v>5104</v>
      </c>
      <c r="FC276" s="538" t="s">
        <v>4963</v>
      </c>
      <c r="FD276" s="538" t="s">
        <v>4901</v>
      </c>
      <c r="FE276" s="535" t="s">
        <v>4785</v>
      </c>
      <c r="FF276" s="538" t="s">
        <v>4703</v>
      </c>
      <c r="FG276" s="535" t="s">
        <v>4619</v>
      </c>
      <c r="FH276" s="535">
        <v>8</v>
      </c>
      <c r="FI276" s="535">
        <v>180</v>
      </c>
      <c r="FJ276" s="535" t="s">
        <v>3871</v>
      </c>
      <c r="FK276" s="535" t="s">
        <v>3802</v>
      </c>
      <c r="FL276" s="546" t="s">
        <v>3724</v>
      </c>
      <c r="FM276" s="535" t="s">
        <v>3871</v>
      </c>
      <c r="FN276" s="535" t="s">
        <v>3802</v>
      </c>
      <c r="FO276" s="546" t="s">
        <v>3724</v>
      </c>
    </row>
    <row r="277" spans="5:171" ht="46" customHeight="1" x14ac:dyDescent="0.2">
      <c r="E277" s="94" t="s">
        <v>9305</v>
      </c>
      <c r="F277" s="94" t="s">
        <v>9121</v>
      </c>
      <c r="G277" s="198" t="s">
        <v>344</v>
      </c>
      <c r="H277" s="97" t="s">
        <v>429</v>
      </c>
      <c r="I277" s="535" t="s">
        <v>8720</v>
      </c>
      <c r="J277" s="535" t="s">
        <v>8521</v>
      </c>
      <c r="K277" s="535" t="s">
        <v>8383</v>
      </c>
      <c r="L277" s="536" t="s">
        <v>8337</v>
      </c>
      <c r="M277" s="537" t="s">
        <v>8293</v>
      </c>
      <c r="N277" s="537" t="s">
        <v>8223</v>
      </c>
      <c r="O277" s="537"/>
      <c r="P277" s="537"/>
      <c r="Q277" s="537"/>
      <c r="R277" s="537"/>
      <c r="S277" s="537"/>
      <c r="T277" s="537"/>
      <c r="U277" s="537"/>
      <c r="V277" s="537"/>
      <c r="W277" s="537"/>
      <c r="X277" s="537"/>
      <c r="Y277" s="537"/>
      <c r="Z277" s="535" t="s">
        <v>8069</v>
      </c>
      <c r="AA277" s="546" t="s">
        <v>7931</v>
      </c>
      <c r="AB277" s="535" t="s">
        <v>7792</v>
      </c>
      <c r="AC277" s="546" t="s">
        <v>7630</v>
      </c>
      <c r="AD277" s="535" t="s">
        <v>7442</v>
      </c>
      <c r="AE277" s="546" t="s">
        <v>7261</v>
      </c>
      <c r="AF277" s="535"/>
      <c r="AG277" s="546"/>
      <c r="AH277" s="535" t="s">
        <v>6979</v>
      </c>
      <c r="AI277" s="535" t="s">
        <v>6817</v>
      </c>
      <c r="AJ277" s="535" t="s">
        <v>504</v>
      </c>
      <c r="AK277" s="535" t="s">
        <v>6465</v>
      </c>
      <c r="AL277" s="580">
        <f t="shared" si="26"/>
        <v>0.8</v>
      </c>
      <c r="AM277" s="504">
        <v>0.8</v>
      </c>
      <c r="AN277" s="516"/>
      <c r="AO277" s="97"/>
      <c r="AP277" s="97"/>
      <c r="AQ277" s="504">
        <v>0.8</v>
      </c>
      <c r="AR277" s="507">
        <v>1</v>
      </c>
      <c r="AS277" s="507">
        <v>1.4E-3</v>
      </c>
      <c r="AT277" s="516">
        <v>0</v>
      </c>
      <c r="AU277" s="507">
        <v>0</v>
      </c>
      <c r="AV277" s="516">
        <v>0</v>
      </c>
      <c r="AW277" s="507">
        <v>0</v>
      </c>
      <c r="AX277" s="516"/>
      <c r="AY277" s="507">
        <v>0</v>
      </c>
      <c r="AZ277" s="507"/>
      <c r="BA277" s="539"/>
      <c r="BB277" s="539"/>
      <c r="BC277" s="539"/>
      <c r="BD277" s="539"/>
      <c r="BE277" s="539" t="s">
        <v>479</v>
      </c>
      <c r="BF277" s="539" t="s">
        <v>6292</v>
      </c>
      <c r="BG277" s="546" t="s">
        <v>6228</v>
      </c>
      <c r="BH277" s="540">
        <v>0</v>
      </c>
      <c r="BI277" s="541">
        <v>1</v>
      </c>
      <c r="BJ277" s="539">
        <v>1.8E-3</v>
      </c>
      <c r="BK277" s="542">
        <v>1</v>
      </c>
      <c r="BL277" s="542">
        <v>1</v>
      </c>
      <c r="BM277" s="542">
        <v>1</v>
      </c>
      <c r="BN277" s="542" t="s">
        <v>656</v>
      </c>
      <c r="BO277" s="542" t="s">
        <v>656</v>
      </c>
      <c r="BP277" s="542" t="s">
        <v>656</v>
      </c>
      <c r="BQ277" s="542" t="s">
        <v>656</v>
      </c>
      <c r="BR277" s="542" t="s">
        <v>656</v>
      </c>
      <c r="BS277" s="542" t="s">
        <v>656</v>
      </c>
      <c r="BT277" s="542">
        <v>1</v>
      </c>
      <c r="BU277" s="542" t="s">
        <v>656</v>
      </c>
      <c r="BV277" s="542" t="s">
        <v>656</v>
      </c>
      <c r="BW277" s="542" t="s">
        <v>656</v>
      </c>
      <c r="BX277" s="542" t="s">
        <v>656</v>
      </c>
      <c r="BY277" s="542" t="s">
        <v>656</v>
      </c>
      <c r="BZ277" s="542" t="s">
        <v>656</v>
      </c>
      <c r="CA277" s="542" t="s">
        <v>656</v>
      </c>
      <c r="CB277" s="542" t="s">
        <v>656</v>
      </c>
      <c r="CC277" s="542" t="s">
        <v>656</v>
      </c>
      <c r="CD277" s="542" t="s">
        <v>656</v>
      </c>
      <c r="CE277" s="542" t="s">
        <v>656</v>
      </c>
      <c r="CF277" s="542" t="s">
        <v>656</v>
      </c>
      <c r="CG277" s="542" t="s">
        <v>656</v>
      </c>
      <c r="CH277" s="542" t="s">
        <v>656</v>
      </c>
      <c r="CI277" s="542" t="s">
        <v>656</v>
      </c>
      <c r="CJ277" s="542" t="s">
        <v>656</v>
      </c>
      <c r="CK277" s="542" t="s">
        <v>656</v>
      </c>
      <c r="CL277" s="543">
        <f t="shared" si="28"/>
        <v>1</v>
      </c>
      <c r="CM277" s="824">
        <f t="shared" si="27"/>
        <v>0</v>
      </c>
      <c r="CN277" s="541">
        <v>1.18</v>
      </c>
      <c r="CO277" s="535" t="s">
        <v>656</v>
      </c>
      <c r="CP277" s="535" t="s">
        <v>656</v>
      </c>
      <c r="CQ277" s="535">
        <v>14.25</v>
      </c>
      <c r="CR277" s="541">
        <v>8.2799999999999994</v>
      </c>
      <c r="CS277" s="539" t="s">
        <v>656</v>
      </c>
      <c r="CT277" s="535" t="s">
        <v>470</v>
      </c>
      <c r="CU277" s="535" t="s">
        <v>656</v>
      </c>
      <c r="CV277" s="535" t="s">
        <v>656</v>
      </c>
      <c r="CW277" s="535" t="s">
        <v>656</v>
      </c>
      <c r="CX277" s="542" t="s">
        <v>656</v>
      </c>
      <c r="CY277" s="542" t="s">
        <v>656</v>
      </c>
      <c r="CZ277" s="542">
        <v>1</v>
      </c>
      <c r="DA277" s="535" t="s">
        <v>470</v>
      </c>
      <c r="DB277" s="535" t="s">
        <v>656</v>
      </c>
      <c r="DC277" s="542" t="s">
        <v>656</v>
      </c>
      <c r="DD277" s="535" t="s">
        <v>479</v>
      </c>
      <c r="DE277" s="535" t="s">
        <v>5623</v>
      </c>
      <c r="DF277" s="542">
        <v>10</v>
      </c>
      <c r="DG277" s="542" t="s">
        <v>470</v>
      </c>
      <c r="DH277" s="542" t="s">
        <v>656</v>
      </c>
      <c r="DI277" s="542" t="s">
        <v>656</v>
      </c>
      <c r="DJ277" s="542" t="s">
        <v>470</v>
      </c>
      <c r="DK277" s="542" t="s">
        <v>656</v>
      </c>
      <c r="DL277" s="542" t="s">
        <v>656</v>
      </c>
      <c r="DM277" s="535" t="s">
        <v>470</v>
      </c>
      <c r="DN277" s="535" t="s">
        <v>656</v>
      </c>
      <c r="DO277" s="542" t="s">
        <v>656</v>
      </c>
      <c r="DP277" s="535" t="s">
        <v>470</v>
      </c>
      <c r="DQ277" s="535" t="s">
        <v>656</v>
      </c>
      <c r="DR277" s="542" t="s">
        <v>656</v>
      </c>
      <c r="DS277" s="535" t="s">
        <v>470</v>
      </c>
      <c r="DT277" s="535" t="s">
        <v>656</v>
      </c>
      <c r="DU277" s="542" t="s">
        <v>656</v>
      </c>
      <c r="DV277" s="535" t="s">
        <v>656</v>
      </c>
      <c r="DW277" s="535" t="s">
        <v>656</v>
      </c>
      <c r="DX277" s="542" t="s">
        <v>656</v>
      </c>
      <c r="DY277" s="535" t="s">
        <v>470</v>
      </c>
      <c r="DZ277" s="535" t="s">
        <v>656</v>
      </c>
      <c r="EA277" s="542" t="s">
        <v>656</v>
      </c>
      <c r="EB277" s="535" t="s">
        <v>470</v>
      </c>
      <c r="EC277" s="535" t="s">
        <v>656</v>
      </c>
      <c r="ED277" s="542" t="s">
        <v>656</v>
      </c>
      <c r="EE277" s="542" t="s">
        <v>470</v>
      </c>
      <c r="EF277" s="542" t="s">
        <v>656</v>
      </c>
      <c r="EG277" s="542" t="s">
        <v>656</v>
      </c>
      <c r="EH277" s="535" t="s">
        <v>470</v>
      </c>
      <c r="EI277" s="535" t="s">
        <v>656</v>
      </c>
      <c r="EJ277" s="542" t="s">
        <v>656</v>
      </c>
      <c r="EK277" s="535" t="s">
        <v>470</v>
      </c>
      <c r="EL277" s="535" t="s">
        <v>656</v>
      </c>
      <c r="EM277" s="542" t="s">
        <v>656</v>
      </c>
      <c r="EN277" s="535" t="s">
        <v>470</v>
      </c>
      <c r="EO277" s="535" t="s">
        <v>656</v>
      </c>
      <c r="EP277" s="542" t="s">
        <v>656</v>
      </c>
      <c r="EQ277" s="542" t="s">
        <v>470</v>
      </c>
      <c r="ER277" s="542" t="s">
        <v>656</v>
      </c>
      <c r="ES277" s="542" t="s">
        <v>656</v>
      </c>
      <c r="ET277" s="535" t="s">
        <v>656</v>
      </c>
      <c r="EU277" s="535" t="s">
        <v>656</v>
      </c>
      <c r="EV277" s="542" t="s">
        <v>656</v>
      </c>
      <c r="EW277" s="542"/>
      <c r="EX277" s="542"/>
      <c r="EY277" s="542"/>
      <c r="EZ277" s="535" t="s">
        <v>470</v>
      </c>
      <c r="FA277" s="535" t="s">
        <v>656</v>
      </c>
      <c r="FB277" s="546" t="s">
        <v>5103</v>
      </c>
      <c r="FC277" s="535" t="s">
        <v>656</v>
      </c>
      <c r="FD277" s="535" t="s">
        <v>656</v>
      </c>
      <c r="FE277" s="535" t="s">
        <v>656</v>
      </c>
      <c r="FF277" s="535" t="s">
        <v>656</v>
      </c>
      <c r="FG277" s="535" t="s">
        <v>656</v>
      </c>
      <c r="FH277" s="535" t="s">
        <v>656</v>
      </c>
      <c r="FI277" s="535" t="s">
        <v>656</v>
      </c>
      <c r="FJ277" s="535" t="s">
        <v>4424</v>
      </c>
      <c r="FK277" s="535" t="s">
        <v>3801</v>
      </c>
      <c r="FL277" s="538" t="s">
        <v>3723</v>
      </c>
      <c r="FM277" s="535" t="s">
        <v>3870</v>
      </c>
      <c r="FN277" s="535" t="s">
        <v>3801</v>
      </c>
      <c r="FO277" s="538" t="s">
        <v>3723</v>
      </c>
    </row>
    <row r="278" spans="5:171" ht="46" customHeight="1" x14ac:dyDescent="0.2">
      <c r="E278" s="94" t="s">
        <v>9305</v>
      </c>
      <c r="F278" s="94" t="s">
        <v>9121</v>
      </c>
      <c r="G278" s="198" t="s">
        <v>344</v>
      </c>
      <c r="H278" s="97" t="s">
        <v>429</v>
      </c>
      <c r="I278" s="535" t="s">
        <v>8718</v>
      </c>
      <c r="J278" s="535" t="s">
        <v>8519</v>
      </c>
      <c r="K278" s="535" t="s">
        <v>8381</v>
      </c>
      <c r="L278" s="536">
        <v>2022</v>
      </c>
      <c r="M278" s="537" t="s">
        <v>8292</v>
      </c>
      <c r="N278" s="537" t="s">
        <v>8222</v>
      </c>
      <c r="O278" s="537"/>
      <c r="P278" s="537"/>
      <c r="Q278" s="537"/>
      <c r="R278" s="537"/>
      <c r="S278" s="537"/>
      <c r="T278" s="537"/>
      <c r="U278" s="537"/>
      <c r="V278" s="537"/>
      <c r="W278" s="537"/>
      <c r="X278" s="537"/>
      <c r="Y278" s="537"/>
      <c r="Z278" s="535" t="s">
        <v>656</v>
      </c>
      <c r="AA278" s="535" t="s">
        <v>656</v>
      </c>
      <c r="AB278" s="535" t="s">
        <v>7791</v>
      </c>
      <c r="AC278" s="538" t="s">
        <v>6227</v>
      </c>
      <c r="AD278" s="535" t="s">
        <v>7440</v>
      </c>
      <c r="AE278" s="538" t="s">
        <v>7259</v>
      </c>
      <c r="AF278" s="535" t="s">
        <v>7143</v>
      </c>
      <c r="AG278" s="538" t="s">
        <v>7073</v>
      </c>
      <c r="AH278" s="535" t="s">
        <v>6977</v>
      </c>
      <c r="AI278" s="535" t="s">
        <v>6816</v>
      </c>
      <c r="AJ278" s="535" t="s">
        <v>6684</v>
      </c>
      <c r="AK278" s="535" t="s">
        <v>6463</v>
      </c>
      <c r="AL278" s="580">
        <f t="shared" si="26"/>
        <v>10.629999999999999</v>
      </c>
      <c r="AM278" s="504">
        <v>10.629999999999999</v>
      </c>
      <c r="AN278" s="516"/>
      <c r="AO278" s="97"/>
      <c r="AP278" s="97"/>
      <c r="AQ278" s="504">
        <v>10.6</v>
      </c>
      <c r="AR278" s="507">
        <f>AQ278/AL278</f>
        <v>0.99717779868297274</v>
      </c>
      <c r="AS278" s="507">
        <v>2.5999999999999999E-3</v>
      </c>
      <c r="AT278" s="516"/>
      <c r="AU278" s="507" t="s">
        <v>656</v>
      </c>
      <c r="AV278" s="516"/>
      <c r="AW278" s="507" t="s">
        <v>656</v>
      </c>
      <c r="AX278" s="516">
        <v>0.03</v>
      </c>
      <c r="AY278" s="507">
        <f>AX278/AL278</f>
        <v>2.8222013170272815E-3</v>
      </c>
      <c r="AZ278" s="507"/>
      <c r="BA278" s="539"/>
      <c r="BB278" s="539"/>
      <c r="BC278" s="539"/>
      <c r="BD278" s="539"/>
      <c r="BE278" s="539" t="s">
        <v>689</v>
      </c>
      <c r="BF278" s="539" t="s">
        <v>6291</v>
      </c>
      <c r="BG278" s="538" t="s">
        <v>6227</v>
      </c>
      <c r="BH278" s="540" t="s">
        <v>656</v>
      </c>
      <c r="BI278" s="541">
        <v>9.76</v>
      </c>
      <c r="BJ278" s="539">
        <v>3.0000000000000001E-3</v>
      </c>
      <c r="BK278" s="542">
        <v>5</v>
      </c>
      <c r="BL278" s="542">
        <v>3</v>
      </c>
      <c r="BM278" s="542">
        <v>3</v>
      </c>
      <c r="BN278" s="542" t="s">
        <v>656</v>
      </c>
      <c r="BO278" s="542" t="s">
        <v>656</v>
      </c>
      <c r="BP278" s="542" t="s">
        <v>656</v>
      </c>
      <c r="BQ278" s="542" t="s">
        <v>656</v>
      </c>
      <c r="BR278" s="542" t="s">
        <v>656</v>
      </c>
      <c r="BS278" s="542" t="s">
        <v>656</v>
      </c>
      <c r="BT278" s="542">
        <v>1</v>
      </c>
      <c r="BU278" s="542" t="s">
        <v>656</v>
      </c>
      <c r="BV278" s="542" t="s">
        <v>656</v>
      </c>
      <c r="BW278" s="542" t="s">
        <v>656</v>
      </c>
      <c r="BX278" s="542">
        <v>2</v>
      </c>
      <c r="BY278" s="542" t="s">
        <v>656</v>
      </c>
      <c r="BZ278" s="542" t="s">
        <v>656</v>
      </c>
      <c r="CA278" s="542" t="s">
        <v>656</v>
      </c>
      <c r="CB278" s="542" t="s">
        <v>656</v>
      </c>
      <c r="CC278" s="542" t="s">
        <v>656</v>
      </c>
      <c r="CD278" s="542" t="s">
        <v>656</v>
      </c>
      <c r="CE278" s="542" t="s">
        <v>656</v>
      </c>
      <c r="CF278" s="542" t="s">
        <v>656</v>
      </c>
      <c r="CG278" s="542" t="s">
        <v>656</v>
      </c>
      <c r="CH278" s="542" t="s">
        <v>656</v>
      </c>
      <c r="CI278" s="542" t="s">
        <v>656</v>
      </c>
      <c r="CJ278" s="542" t="s">
        <v>656</v>
      </c>
      <c r="CK278" s="542" t="s">
        <v>656</v>
      </c>
      <c r="CL278" s="543">
        <f t="shared" si="28"/>
        <v>3</v>
      </c>
      <c r="CM278" s="824">
        <f t="shared" si="27"/>
        <v>0</v>
      </c>
      <c r="CN278" s="541">
        <v>2.4</v>
      </c>
      <c r="CO278" s="535" t="s">
        <v>6082</v>
      </c>
      <c r="CP278" s="538" t="s">
        <v>5990</v>
      </c>
      <c r="CQ278" s="547" t="e">
        <f>#REF!/#REF!*100</f>
        <v>#REF!</v>
      </c>
      <c r="CR278" s="541">
        <v>197.21</v>
      </c>
      <c r="CS278" s="548" t="s">
        <v>5855</v>
      </c>
      <c r="CT278" s="535" t="s">
        <v>470</v>
      </c>
      <c r="CU278" s="535" t="s">
        <v>656</v>
      </c>
      <c r="CV278" s="535" t="s">
        <v>656</v>
      </c>
      <c r="CW278" s="535" t="s">
        <v>656</v>
      </c>
      <c r="CX278" s="542" t="s">
        <v>656</v>
      </c>
      <c r="CY278" s="542" t="s">
        <v>656</v>
      </c>
      <c r="CZ278" s="542">
        <v>1</v>
      </c>
      <c r="DA278" s="535" t="s">
        <v>656</v>
      </c>
      <c r="DB278" s="535" t="s">
        <v>656</v>
      </c>
      <c r="DC278" s="542" t="s">
        <v>656</v>
      </c>
      <c r="DD278" s="535" t="s">
        <v>689</v>
      </c>
      <c r="DE278" s="535" t="s">
        <v>5622</v>
      </c>
      <c r="DF278" s="542">
        <f>293+264+245</f>
        <v>802</v>
      </c>
      <c r="DG278" s="542" t="s">
        <v>656</v>
      </c>
      <c r="DH278" s="542" t="s">
        <v>656</v>
      </c>
      <c r="DI278" s="542" t="s">
        <v>656</v>
      </c>
      <c r="DJ278" s="542" t="s">
        <v>656</v>
      </c>
      <c r="DK278" s="542" t="s">
        <v>656</v>
      </c>
      <c r="DL278" s="542" t="s">
        <v>656</v>
      </c>
      <c r="DM278" s="535" t="s">
        <v>656</v>
      </c>
      <c r="DN278" s="535" t="s">
        <v>656</v>
      </c>
      <c r="DO278" s="542" t="s">
        <v>656</v>
      </c>
      <c r="DP278" s="535" t="s">
        <v>656</v>
      </c>
      <c r="DQ278" s="535" t="s">
        <v>656</v>
      </c>
      <c r="DR278" s="542" t="s">
        <v>656</v>
      </c>
      <c r="DS278" s="535" t="s">
        <v>656</v>
      </c>
      <c r="DT278" s="535" t="s">
        <v>656</v>
      </c>
      <c r="DU278" s="542" t="s">
        <v>656</v>
      </c>
      <c r="DV278" s="535" t="s">
        <v>656</v>
      </c>
      <c r="DW278" s="535" t="s">
        <v>656</v>
      </c>
      <c r="DX278" s="542" t="s">
        <v>656</v>
      </c>
      <c r="DY278" s="535" t="s">
        <v>656</v>
      </c>
      <c r="DZ278" s="535" t="s">
        <v>656</v>
      </c>
      <c r="EA278" s="542" t="s">
        <v>656</v>
      </c>
      <c r="EB278" s="535" t="s">
        <v>656</v>
      </c>
      <c r="EC278" s="535" t="s">
        <v>656</v>
      </c>
      <c r="ED278" s="542" t="s">
        <v>656</v>
      </c>
      <c r="EE278" s="542" t="s">
        <v>656</v>
      </c>
      <c r="EF278" s="542" t="s">
        <v>656</v>
      </c>
      <c r="EG278" s="542" t="s">
        <v>656</v>
      </c>
      <c r="EH278" s="535" t="s">
        <v>656</v>
      </c>
      <c r="EI278" s="535" t="s">
        <v>656</v>
      </c>
      <c r="EJ278" s="542" t="s">
        <v>656</v>
      </c>
      <c r="EK278" s="535" t="s">
        <v>656</v>
      </c>
      <c r="EL278" s="535" t="s">
        <v>656</v>
      </c>
      <c r="EM278" s="542" t="s">
        <v>656</v>
      </c>
      <c r="EN278" s="535" t="s">
        <v>656</v>
      </c>
      <c r="EO278" s="535" t="s">
        <v>656</v>
      </c>
      <c r="EP278" s="542" t="s">
        <v>656</v>
      </c>
      <c r="EQ278" s="542" t="s">
        <v>689</v>
      </c>
      <c r="ER278" s="542" t="s">
        <v>5291</v>
      </c>
      <c r="ES278" s="542">
        <v>9</v>
      </c>
      <c r="ET278" s="535" t="s">
        <v>656</v>
      </c>
      <c r="EU278" s="535" t="s">
        <v>656</v>
      </c>
      <c r="EV278" s="542" t="s">
        <v>656</v>
      </c>
      <c r="EW278" s="542"/>
      <c r="EX278" s="542"/>
      <c r="EY278" s="542"/>
      <c r="EZ278" s="535" t="s">
        <v>689</v>
      </c>
      <c r="FA278" s="535" t="s">
        <v>5204</v>
      </c>
      <c r="FB278" s="538" t="s">
        <v>4701</v>
      </c>
      <c r="FC278" s="538" t="s">
        <v>4962</v>
      </c>
      <c r="FD278" s="538"/>
      <c r="FE278" s="535" t="s">
        <v>4783</v>
      </c>
      <c r="FF278" s="538" t="s">
        <v>4701</v>
      </c>
      <c r="FG278" s="535" t="s">
        <v>4618</v>
      </c>
      <c r="FH278" s="535">
        <v>2</v>
      </c>
      <c r="FI278" s="535">
        <v>196</v>
      </c>
      <c r="FJ278" s="535" t="s">
        <v>3869</v>
      </c>
      <c r="FK278" s="535" t="s">
        <v>3800</v>
      </c>
      <c r="FL278" s="538" t="s">
        <v>3722</v>
      </c>
      <c r="FM278" s="535" t="s">
        <v>3869</v>
      </c>
      <c r="FN278" s="535" t="s">
        <v>3800</v>
      </c>
      <c r="FO278" s="538" t="s">
        <v>3722</v>
      </c>
    </row>
    <row r="279" spans="5:171" ht="104" customHeight="1" x14ac:dyDescent="0.2">
      <c r="E279" s="94" t="s">
        <v>9302</v>
      </c>
      <c r="F279" s="94" t="s">
        <v>9120</v>
      </c>
      <c r="G279" s="198" t="s">
        <v>345</v>
      </c>
      <c r="H279" s="198" t="s">
        <v>430</v>
      </c>
      <c r="I279" s="198"/>
      <c r="J279" s="198" t="s">
        <v>1446</v>
      </c>
      <c r="K279" s="198" t="s">
        <v>1447</v>
      </c>
      <c r="L279" s="578">
        <v>2021</v>
      </c>
      <c r="M279" s="822">
        <v>44403</v>
      </c>
      <c r="N279" s="822">
        <v>44925</v>
      </c>
      <c r="O279" s="198" t="s">
        <v>1448</v>
      </c>
      <c r="P279" s="198" t="s">
        <v>1449</v>
      </c>
      <c r="Q279" s="844" t="s">
        <v>1450</v>
      </c>
      <c r="R279" s="198" t="s">
        <v>1447</v>
      </c>
      <c r="S279" s="198" t="s">
        <v>1447</v>
      </c>
      <c r="T279" s="198" t="s">
        <v>1447</v>
      </c>
      <c r="U279" s="198" t="s">
        <v>1447</v>
      </c>
      <c r="V279" s="198" t="s">
        <v>1447</v>
      </c>
      <c r="W279" s="198" t="s">
        <v>1447</v>
      </c>
      <c r="X279" s="198" t="s">
        <v>1451</v>
      </c>
      <c r="Y279" s="844" t="s">
        <v>1452</v>
      </c>
      <c r="Z279" s="844"/>
      <c r="AA279" s="844"/>
      <c r="AB279" s="844"/>
      <c r="AC279" s="844"/>
      <c r="AD279" s="844"/>
      <c r="AE279" s="844"/>
      <c r="AF279" s="844"/>
      <c r="AG279" s="844"/>
      <c r="AH279" s="198" t="s">
        <v>1453</v>
      </c>
      <c r="AI279" s="198" t="s">
        <v>1453</v>
      </c>
      <c r="AJ279" s="198" t="s">
        <v>477</v>
      </c>
      <c r="AK279" s="198" t="s">
        <v>1124</v>
      </c>
      <c r="AL279" s="580">
        <f t="shared" si="26"/>
        <v>31.251659999999998</v>
      </c>
      <c r="AM279" s="504">
        <v>31.251659999999998</v>
      </c>
      <c r="AN279" s="516">
        <v>24.716999999999999</v>
      </c>
      <c r="AO279" s="137">
        <v>0.79579999999999995</v>
      </c>
      <c r="AP279" s="137">
        <v>4.2999999999999999E-4</v>
      </c>
      <c r="AQ279" s="504">
        <v>5.3789999999999996</v>
      </c>
      <c r="AR279" s="137">
        <v>0.16800000000000001</v>
      </c>
      <c r="AS279" s="137"/>
      <c r="AT279" s="520"/>
      <c r="AU279" s="137" t="s">
        <v>1447</v>
      </c>
      <c r="AV279" s="520"/>
      <c r="AW279" s="137" t="s">
        <v>1447</v>
      </c>
      <c r="AX279" s="520">
        <v>1.1556599999999999</v>
      </c>
      <c r="AY279" s="137">
        <v>3.61E-2</v>
      </c>
      <c r="AZ279" s="580"/>
      <c r="BA279" s="137" t="s">
        <v>1447</v>
      </c>
      <c r="BB279" s="198" t="s">
        <v>1447</v>
      </c>
      <c r="BC279" s="198" t="s">
        <v>1447</v>
      </c>
      <c r="BD279" s="198" t="s">
        <v>1447</v>
      </c>
      <c r="BE279" s="198" t="s">
        <v>479</v>
      </c>
      <c r="BF279" s="198" t="s">
        <v>1454</v>
      </c>
      <c r="BG279" s="198" t="s">
        <v>1447</v>
      </c>
      <c r="BH279" s="198" t="s">
        <v>1447</v>
      </c>
      <c r="BI279" s="520">
        <v>20</v>
      </c>
      <c r="BJ279" s="137">
        <v>3.6000000000000002E-4</v>
      </c>
      <c r="BK279" s="83">
        <v>28</v>
      </c>
      <c r="BL279" s="83">
        <v>28</v>
      </c>
      <c r="BM279" s="83">
        <v>18</v>
      </c>
      <c r="BN279" s="83" t="s">
        <v>1447</v>
      </c>
      <c r="BO279" s="83">
        <v>4</v>
      </c>
      <c r="BP279" s="83">
        <v>1</v>
      </c>
      <c r="BQ279" s="83" t="s">
        <v>1447</v>
      </c>
      <c r="BR279" s="83" t="s">
        <v>1447</v>
      </c>
      <c r="BS279" s="83" t="s">
        <v>1447</v>
      </c>
      <c r="BT279" s="83" t="s">
        <v>1447</v>
      </c>
      <c r="BU279" s="83">
        <v>1</v>
      </c>
      <c r="BV279" s="83">
        <v>4</v>
      </c>
      <c r="BW279" s="83">
        <v>3</v>
      </c>
      <c r="BX279" s="83" t="s">
        <v>1447</v>
      </c>
      <c r="BY279" s="83">
        <v>1</v>
      </c>
      <c r="BZ279" s="83" t="s">
        <v>1447</v>
      </c>
      <c r="CA279" s="83" t="s">
        <v>1447</v>
      </c>
      <c r="CB279" s="83" t="s">
        <v>1447</v>
      </c>
      <c r="CC279" s="83" t="s">
        <v>1447</v>
      </c>
      <c r="CD279" s="83" t="s">
        <v>1447</v>
      </c>
      <c r="CE279" s="83" t="s">
        <v>1447</v>
      </c>
      <c r="CF279" s="83" t="s">
        <v>1447</v>
      </c>
      <c r="CG279" s="83" t="s">
        <v>1447</v>
      </c>
      <c r="CH279" s="83" t="s">
        <v>1447</v>
      </c>
      <c r="CI279" s="83" t="s">
        <v>1447</v>
      </c>
      <c r="CJ279" s="83" t="s">
        <v>1447</v>
      </c>
      <c r="CK279" s="83" t="s">
        <v>1447</v>
      </c>
      <c r="CL279" s="824">
        <f t="shared" si="28"/>
        <v>14</v>
      </c>
      <c r="CM279" s="824">
        <f t="shared" si="27"/>
        <v>0</v>
      </c>
      <c r="CN279" s="580">
        <v>65.828999999999994</v>
      </c>
      <c r="CO279" s="198" t="s">
        <v>1455</v>
      </c>
      <c r="CP279" s="198" t="s">
        <v>1447</v>
      </c>
      <c r="CQ279" s="137">
        <v>0.10732899999999999</v>
      </c>
      <c r="CR279" s="580">
        <v>613.33600000000001</v>
      </c>
      <c r="CS279" s="873" t="s">
        <v>1456</v>
      </c>
      <c r="CT279" s="198" t="s">
        <v>470</v>
      </c>
      <c r="CU279" s="198" t="s">
        <v>1447</v>
      </c>
      <c r="CV279" s="198" t="s">
        <v>1447</v>
      </c>
      <c r="CW279" s="198" t="s">
        <v>1447</v>
      </c>
      <c r="CX279" s="83" t="s">
        <v>1447</v>
      </c>
      <c r="CY279" s="83" t="s">
        <v>1447</v>
      </c>
      <c r="CZ279" s="83">
        <v>3</v>
      </c>
      <c r="DA279" s="198" t="s">
        <v>479</v>
      </c>
      <c r="DB279" s="198" t="s">
        <v>1457</v>
      </c>
      <c r="DC279" s="83">
        <v>4964</v>
      </c>
      <c r="DD279" s="198" t="s">
        <v>479</v>
      </c>
      <c r="DE279" s="198" t="s">
        <v>640</v>
      </c>
      <c r="DF279" s="83">
        <v>1636</v>
      </c>
      <c r="DG279" s="83" t="s">
        <v>479</v>
      </c>
      <c r="DH279" s="83" t="s">
        <v>640</v>
      </c>
      <c r="DI279" s="83">
        <v>97</v>
      </c>
      <c r="DJ279" s="83" t="s">
        <v>470</v>
      </c>
      <c r="DK279" s="83" t="s">
        <v>1447</v>
      </c>
      <c r="DL279" s="83" t="s">
        <v>1447</v>
      </c>
      <c r="DM279" s="198" t="s">
        <v>470</v>
      </c>
      <c r="DN279" s="198" t="s">
        <v>1447</v>
      </c>
      <c r="DO279" s="83" t="s">
        <v>1447</v>
      </c>
      <c r="DP279" s="198" t="s">
        <v>470</v>
      </c>
      <c r="DQ279" s="198" t="s">
        <v>1447</v>
      </c>
      <c r="DR279" s="83" t="s">
        <v>1447</v>
      </c>
      <c r="DS279" s="198" t="s">
        <v>470</v>
      </c>
      <c r="DT279" s="198" t="s">
        <v>1447</v>
      </c>
      <c r="DU279" s="83" t="s">
        <v>1447</v>
      </c>
      <c r="DV279" s="198" t="s">
        <v>470</v>
      </c>
      <c r="DW279" s="198" t="s">
        <v>1447</v>
      </c>
      <c r="DX279" s="83" t="s">
        <v>1447</v>
      </c>
      <c r="DY279" s="198" t="s">
        <v>470</v>
      </c>
      <c r="DZ279" s="198" t="s">
        <v>1447</v>
      </c>
      <c r="EA279" s="83" t="s">
        <v>1447</v>
      </c>
      <c r="EB279" s="198" t="s">
        <v>470</v>
      </c>
      <c r="EC279" s="198" t="s">
        <v>1447</v>
      </c>
      <c r="ED279" s="83" t="s">
        <v>1447</v>
      </c>
      <c r="EE279" s="83" t="s">
        <v>470</v>
      </c>
      <c r="EF279" s="83" t="s">
        <v>1447</v>
      </c>
      <c r="EG279" s="83" t="s">
        <v>1447</v>
      </c>
      <c r="EH279" s="198" t="s">
        <v>470</v>
      </c>
      <c r="EI279" s="198" t="s">
        <v>1447</v>
      </c>
      <c r="EJ279" s="83" t="s">
        <v>1447</v>
      </c>
      <c r="EK279" s="198" t="s">
        <v>470</v>
      </c>
      <c r="EL279" s="198" t="s">
        <v>1447</v>
      </c>
      <c r="EM279" s="83" t="s">
        <v>1447</v>
      </c>
      <c r="EN279" s="198" t="s">
        <v>470</v>
      </c>
      <c r="EO279" s="198" t="s">
        <v>1447</v>
      </c>
      <c r="EP279" s="83" t="s">
        <v>1447</v>
      </c>
      <c r="EQ279" s="83" t="s">
        <v>479</v>
      </c>
      <c r="ER279" s="83" t="s">
        <v>640</v>
      </c>
      <c r="ES279" s="83">
        <v>13</v>
      </c>
      <c r="ET279" s="198" t="s">
        <v>470</v>
      </c>
      <c r="EU279" s="198" t="s">
        <v>1447</v>
      </c>
      <c r="EV279" s="83" t="s">
        <v>1447</v>
      </c>
      <c r="EW279" s="837">
        <v>1</v>
      </c>
      <c r="EX279" s="198" t="s">
        <v>1447</v>
      </c>
      <c r="EY279" s="505">
        <v>28</v>
      </c>
      <c r="EZ279" s="198" t="s">
        <v>470</v>
      </c>
      <c r="FA279" s="198" t="s">
        <v>1447</v>
      </c>
      <c r="FB279" s="198" t="s">
        <v>1447</v>
      </c>
      <c r="FC279" s="844" t="s">
        <v>1458</v>
      </c>
      <c r="FD279" s="198" t="s">
        <v>1447</v>
      </c>
      <c r="FE279" s="198" t="s">
        <v>1447</v>
      </c>
      <c r="FF279" s="198" t="s">
        <v>1459</v>
      </c>
      <c r="FG279" s="198" t="s">
        <v>1447</v>
      </c>
      <c r="FH279" s="198" t="s">
        <v>1447</v>
      </c>
      <c r="FI279" s="198" t="s">
        <v>1447</v>
      </c>
      <c r="FJ279" s="198" t="s">
        <v>1460</v>
      </c>
      <c r="FK279" s="198" t="s">
        <v>1461</v>
      </c>
      <c r="FL279" s="844" t="s">
        <v>1462</v>
      </c>
      <c r="FM279" s="198" t="s">
        <v>1463</v>
      </c>
      <c r="FN279" s="198" t="s">
        <v>1464</v>
      </c>
      <c r="FO279" s="844" t="s">
        <v>1465</v>
      </c>
    </row>
    <row r="280" spans="5:171" ht="104" customHeight="1" x14ac:dyDescent="0.2">
      <c r="E280" s="94" t="s">
        <v>9307</v>
      </c>
      <c r="F280" s="94" t="s">
        <v>9120</v>
      </c>
      <c r="G280" s="198" t="s">
        <v>345</v>
      </c>
      <c r="H280" s="198" t="s">
        <v>430</v>
      </c>
      <c r="I280" s="198"/>
      <c r="J280" s="198" t="s">
        <v>1466</v>
      </c>
      <c r="K280" s="198" t="s">
        <v>1447</v>
      </c>
      <c r="L280" s="578">
        <v>2019</v>
      </c>
      <c r="M280" s="822">
        <v>44562</v>
      </c>
      <c r="N280" s="822">
        <v>44925</v>
      </c>
      <c r="O280" s="198" t="s">
        <v>1467</v>
      </c>
      <c r="P280" s="198" t="s">
        <v>1449</v>
      </c>
      <c r="Q280" s="844" t="s">
        <v>1450</v>
      </c>
      <c r="R280" s="198" t="s">
        <v>1447</v>
      </c>
      <c r="S280" s="198" t="s">
        <v>1447</v>
      </c>
      <c r="T280" s="198" t="s">
        <v>1447</v>
      </c>
      <c r="U280" s="198" t="s">
        <v>1447</v>
      </c>
      <c r="V280" s="198" t="s">
        <v>1447</v>
      </c>
      <c r="W280" s="198" t="s">
        <v>1447</v>
      </c>
      <c r="X280" s="198" t="s">
        <v>1451</v>
      </c>
      <c r="Y280" s="844" t="s">
        <v>1452</v>
      </c>
      <c r="Z280" s="844"/>
      <c r="AA280" s="844"/>
      <c r="AB280" s="844"/>
      <c r="AC280" s="844"/>
      <c r="AD280" s="844"/>
      <c r="AE280" s="844"/>
      <c r="AF280" s="844"/>
      <c r="AG280" s="844"/>
      <c r="AH280" s="198" t="s">
        <v>1453</v>
      </c>
      <c r="AI280" s="198" t="s">
        <v>1453</v>
      </c>
      <c r="AJ280" s="198" t="s">
        <v>477</v>
      </c>
      <c r="AK280" s="198" t="s">
        <v>1124</v>
      </c>
      <c r="AL280" s="580">
        <f t="shared" si="26"/>
        <v>47.81</v>
      </c>
      <c r="AM280" s="504">
        <v>47.81</v>
      </c>
      <c r="AN280" s="516">
        <v>39.994</v>
      </c>
      <c r="AO280" s="137">
        <v>0.83650000000000002</v>
      </c>
      <c r="AP280" s="137">
        <v>6.9999999999999999E-4</v>
      </c>
      <c r="AQ280" s="504">
        <v>7.8159999999999998</v>
      </c>
      <c r="AR280" s="137">
        <v>0.16339999999999999</v>
      </c>
      <c r="AS280" s="137"/>
      <c r="AT280" s="520"/>
      <c r="AU280" s="137" t="s">
        <v>1447</v>
      </c>
      <c r="AV280" s="520"/>
      <c r="AW280" s="137" t="s">
        <v>1447</v>
      </c>
      <c r="AX280" s="520"/>
      <c r="AY280" s="580" t="s">
        <v>1447</v>
      </c>
      <c r="AZ280" s="580"/>
      <c r="BA280" s="137" t="s">
        <v>1447</v>
      </c>
      <c r="BB280" s="198" t="s">
        <v>1447</v>
      </c>
      <c r="BC280" s="198" t="s">
        <v>1447</v>
      </c>
      <c r="BD280" s="198" t="s">
        <v>1447</v>
      </c>
      <c r="BE280" s="198" t="s">
        <v>479</v>
      </c>
      <c r="BF280" s="198" t="s">
        <v>1454</v>
      </c>
      <c r="BG280" s="198" t="s">
        <v>1447</v>
      </c>
      <c r="BH280" s="198" t="s">
        <v>1447</v>
      </c>
      <c r="BI280" s="520">
        <v>50</v>
      </c>
      <c r="BJ280" s="137">
        <v>9.2000000000000003E-4</v>
      </c>
      <c r="BK280" s="83">
        <v>477</v>
      </c>
      <c r="BL280" s="83">
        <v>477</v>
      </c>
      <c r="BM280" s="83">
        <v>206</v>
      </c>
      <c r="BN280" s="83">
        <v>13</v>
      </c>
      <c r="BO280" s="83">
        <v>2</v>
      </c>
      <c r="BP280" s="83">
        <v>15</v>
      </c>
      <c r="BQ280" s="83">
        <v>2</v>
      </c>
      <c r="BR280" s="83" t="s">
        <v>1447</v>
      </c>
      <c r="BS280" s="83">
        <v>13</v>
      </c>
      <c r="BT280" s="83">
        <v>3</v>
      </c>
      <c r="BU280" s="83">
        <v>14</v>
      </c>
      <c r="BV280" s="83">
        <v>33</v>
      </c>
      <c r="BW280" s="83">
        <v>3</v>
      </c>
      <c r="BX280" s="83">
        <v>46</v>
      </c>
      <c r="BY280" s="83">
        <v>34</v>
      </c>
      <c r="BZ280" s="83">
        <v>8</v>
      </c>
      <c r="CA280" s="83">
        <v>18</v>
      </c>
      <c r="CB280" s="83" t="s">
        <v>1447</v>
      </c>
      <c r="CC280" s="83" t="s">
        <v>1447</v>
      </c>
      <c r="CD280" s="83" t="s">
        <v>1447</v>
      </c>
      <c r="CE280" s="83">
        <v>1</v>
      </c>
      <c r="CF280" s="83" t="s">
        <v>1447</v>
      </c>
      <c r="CG280" s="83" t="s">
        <v>1447</v>
      </c>
      <c r="CH280" s="83" t="s">
        <v>1447</v>
      </c>
      <c r="CI280" s="83" t="s">
        <v>1447</v>
      </c>
      <c r="CJ280" s="83">
        <v>1</v>
      </c>
      <c r="CK280" s="83" t="s">
        <v>1447</v>
      </c>
      <c r="CL280" s="824">
        <f t="shared" si="28"/>
        <v>206</v>
      </c>
      <c r="CM280" s="824">
        <f t="shared" si="27"/>
        <v>0</v>
      </c>
      <c r="CN280" s="580">
        <v>105.553</v>
      </c>
      <c r="CO280" s="198" t="s">
        <v>1455</v>
      </c>
      <c r="CP280" s="198" t="s">
        <v>1447</v>
      </c>
      <c r="CQ280" s="137">
        <v>0.17208999999999999</v>
      </c>
      <c r="CR280" s="580">
        <v>613.33600000000001</v>
      </c>
      <c r="CS280" s="873" t="s">
        <v>1456</v>
      </c>
      <c r="CT280" s="198" t="s">
        <v>470</v>
      </c>
      <c r="CU280" s="198" t="s">
        <v>1447</v>
      </c>
      <c r="CV280" s="198" t="s">
        <v>1447</v>
      </c>
      <c r="CW280" s="198" t="s">
        <v>1447</v>
      </c>
      <c r="CX280" s="83" t="s">
        <v>1447</v>
      </c>
      <c r="CY280" s="83" t="s">
        <v>1447</v>
      </c>
      <c r="CZ280" s="83">
        <v>3</v>
      </c>
      <c r="DA280" s="198" t="s">
        <v>470</v>
      </c>
      <c r="DB280" s="198" t="s">
        <v>1447</v>
      </c>
      <c r="DC280" s="198" t="s">
        <v>1447</v>
      </c>
      <c r="DD280" s="198" t="s">
        <v>470</v>
      </c>
      <c r="DE280" s="198" t="s">
        <v>1447</v>
      </c>
      <c r="DF280" s="198" t="s">
        <v>1447</v>
      </c>
      <c r="DG280" s="83" t="s">
        <v>479</v>
      </c>
      <c r="DH280" s="83" t="s">
        <v>640</v>
      </c>
      <c r="DI280" s="83">
        <v>7548</v>
      </c>
      <c r="DJ280" s="83" t="s">
        <v>470</v>
      </c>
      <c r="DK280" s="83" t="s">
        <v>1447</v>
      </c>
      <c r="DL280" s="83" t="s">
        <v>1447</v>
      </c>
      <c r="DM280" s="198" t="s">
        <v>470</v>
      </c>
      <c r="DN280" s="198" t="s">
        <v>1447</v>
      </c>
      <c r="DO280" s="83" t="s">
        <v>1447</v>
      </c>
      <c r="DP280" s="198" t="s">
        <v>470</v>
      </c>
      <c r="DQ280" s="198" t="s">
        <v>1447</v>
      </c>
      <c r="DR280" s="83" t="s">
        <v>1447</v>
      </c>
      <c r="DS280" s="198" t="s">
        <v>470</v>
      </c>
      <c r="DT280" s="198" t="s">
        <v>1447</v>
      </c>
      <c r="DU280" s="83" t="s">
        <v>1447</v>
      </c>
      <c r="DV280" s="198" t="s">
        <v>470</v>
      </c>
      <c r="DW280" s="198" t="s">
        <v>1447</v>
      </c>
      <c r="DX280" s="83" t="s">
        <v>1447</v>
      </c>
      <c r="DY280" s="198" t="s">
        <v>470</v>
      </c>
      <c r="DZ280" s="198" t="s">
        <v>1447</v>
      </c>
      <c r="EA280" s="83" t="s">
        <v>1447</v>
      </c>
      <c r="EB280" s="198" t="s">
        <v>470</v>
      </c>
      <c r="EC280" s="198" t="s">
        <v>1447</v>
      </c>
      <c r="ED280" s="83" t="s">
        <v>1447</v>
      </c>
      <c r="EE280" s="83" t="s">
        <v>470</v>
      </c>
      <c r="EF280" s="83" t="s">
        <v>1447</v>
      </c>
      <c r="EG280" s="83" t="s">
        <v>1447</v>
      </c>
      <c r="EH280" s="198" t="s">
        <v>470</v>
      </c>
      <c r="EI280" s="198" t="s">
        <v>1447</v>
      </c>
      <c r="EJ280" s="83" t="s">
        <v>1447</v>
      </c>
      <c r="EK280" s="198" t="s">
        <v>470</v>
      </c>
      <c r="EL280" s="198" t="s">
        <v>1447</v>
      </c>
      <c r="EM280" s="83" t="s">
        <v>1447</v>
      </c>
      <c r="EN280" s="198" t="s">
        <v>470</v>
      </c>
      <c r="EO280" s="198" t="s">
        <v>1447</v>
      </c>
      <c r="EP280" s="83" t="s">
        <v>1447</v>
      </c>
      <c r="EQ280" s="83" t="s">
        <v>479</v>
      </c>
      <c r="ER280" s="83" t="s">
        <v>640</v>
      </c>
      <c r="ES280" s="83">
        <v>13</v>
      </c>
      <c r="ET280" s="198" t="s">
        <v>470</v>
      </c>
      <c r="EU280" s="198" t="s">
        <v>1447</v>
      </c>
      <c r="EV280" s="83" t="s">
        <v>1447</v>
      </c>
      <c r="EW280" s="837">
        <v>1</v>
      </c>
      <c r="EX280" s="198" t="s">
        <v>1447</v>
      </c>
      <c r="EY280" s="505">
        <v>100</v>
      </c>
      <c r="EZ280" s="198" t="s">
        <v>470</v>
      </c>
      <c r="FA280" s="198" t="s">
        <v>1447</v>
      </c>
      <c r="FB280" s="198" t="s">
        <v>1447</v>
      </c>
      <c r="FC280" s="844" t="s">
        <v>1458</v>
      </c>
      <c r="FD280" s="198" t="s">
        <v>1447</v>
      </c>
      <c r="FE280" s="198" t="s">
        <v>1447</v>
      </c>
      <c r="FF280" s="198" t="s">
        <v>1459</v>
      </c>
      <c r="FG280" s="198" t="s">
        <v>1447</v>
      </c>
      <c r="FH280" s="198" t="s">
        <v>1447</v>
      </c>
      <c r="FI280" s="198" t="s">
        <v>1447</v>
      </c>
      <c r="FJ280" s="198" t="s">
        <v>1460</v>
      </c>
      <c r="FK280" s="198" t="s">
        <v>1461</v>
      </c>
      <c r="FL280" s="844" t="s">
        <v>1462</v>
      </c>
      <c r="FM280" s="198" t="s">
        <v>1463</v>
      </c>
      <c r="FN280" s="198" t="s">
        <v>1464</v>
      </c>
      <c r="FO280" s="844" t="s">
        <v>1465</v>
      </c>
    </row>
    <row r="281" spans="5:171" ht="104" customHeight="1" x14ac:dyDescent="0.2">
      <c r="E281" s="94" t="s">
        <v>9313</v>
      </c>
      <c r="F281" s="94" t="s">
        <v>9120</v>
      </c>
      <c r="G281" s="198" t="s">
        <v>346</v>
      </c>
      <c r="H281" s="198" t="s">
        <v>431</v>
      </c>
      <c r="I281" s="198"/>
      <c r="J281" s="198" t="s">
        <v>2878</v>
      </c>
      <c r="K281" s="198" t="s">
        <v>2879</v>
      </c>
      <c r="L281" s="578">
        <v>2020</v>
      </c>
      <c r="M281" s="822" t="s">
        <v>2880</v>
      </c>
      <c r="N281" s="822" t="s">
        <v>2881</v>
      </c>
      <c r="O281" s="198" t="s">
        <v>1482</v>
      </c>
      <c r="P281" s="198" t="s">
        <v>1482</v>
      </c>
      <c r="Q281" s="198" t="s">
        <v>1482</v>
      </c>
      <c r="R281" s="198" t="s">
        <v>2882</v>
      </c>
      <c r="S281" s="198" t="s">
        <v>2883</v>
      </c>
      <c r="T281" s="198" t="s">
        <v>2884</v>
      </c>
      <c r="U281" s="549" t="s">
        <v>2885</v>
      </c>
      <c r="V281" s="198" t="s">
        <v>1482</v>
      </c>
      <c r="W281" s="198" t="s">
        <v>1482</v>
      </c>
      <c r="X281" s="198" t="s">
        <v>1482</v>
      </c>
      <c r="Y281" s="198" t="s">
        <v>1482</v>
      </c>
      <c r="Z281" s="198"/>
      <c r="AA281" s="198"/>
      <c r="AB281" s="198"/>
      <c r="AC281" s="198"/>
      <c r="AD281" s="198"/>
      <c r="AE281" s="198"/>
      <c r="AF281" s="198"/>
      <c r="AG281" s="198"/>
      <c r="AH281" s="198" t="s">
        <v>2886</v>
      </c>
      <c r="AI281" s="198" t="s">
        <v>2887</v>
      </c>
      <c r="AJ281" s="198" t="s">
        <v>477</v>
      </c>
      <c r="AK281" s="198" t="s">
        <v>2888</v>
      </c>
      <c r="AL281" s="580">
        <f t="shared" si="26"/>
        <v>372.78143</v>
      </c>
      <c r="AM281" s="504">
        <v>372.78143</v>
      </c>
      <c r="AN281" s="516">
        <v>277.5</v>
      </c>
      <c r="AO281" s="137">
        <f>SUM(AN281/AL281)</f>
        <v>0.74440403321592497</v>
      </c>
      <c r="AP281" s="875">
        <v>1.2999999999999999E-3</v>
      </c>
      <c r="AQ281" s="612">
        <v>57.277799999999999</v>
      </c>
      <c r="AR281" s="137">
        <f>SUM(AQ281/AL281)</f>
        <v>0.15364982102246885</v>
      </c>
      <c r="AS281" s="137"/>
      <c r="AT281" s="520">
        <v>21.649719999999999</v>
      </c>
      <c r="AU281" s="137">
        <v>5.6599999999999998E-2</v>
      </c>
      <c r="AV281" s="520">
        <v>16.353909999999999</v>
      </c>
      <c r="AW281" s="137">
        <f>SUM(AV281/AL281)</f>
        <v>4.3869969595856741E-2</v>
      </c>
      <c r="AX281" s="520"/>
      <c r="AY281" s="198" t="s">
        <v>1482</v>
      </c>
      <c r="AZ281" s="198"/>
      <c r="BA281" s="198" t="s">
        <v>1482</v>
      </c>
      <c r="BB281" s="198" t="s">
        <v>1482</v>
      </c>
      <c r="BC281" s="198" t="s">
        <v>1482</v>
      </c>
      <c r="BD281" s="198" t="s">
        <v>1482</v>
      </c>
      <c r="BE281" s="198" t="s">
        <v>479</v>
      </c>
      <c r="BF281" s="198" t="s">
        <v>2889</v>
      </c>
      <c r="BG281" s="198" t="s">
        <v>1482</v>
      </c>
      <c r="BH281" s="198" t="s">
        <v>1482</v>
      </c>
      <c r="BI281" s="520">
        <v>400</v>
      </c>
      <c r="BJ281" s="137">
        <v>1.5E-3</v>
      </c>
      <c r="BK281" s="83"/>
      <c r="BL281" s="198">
        <v>316</v>
      </c>
      <c r="BM281" s="198">
        <v>181</v>
      </c>
      <c r="BN281" s="198" t="s">
        <v>1482</v>
      </c>
      <c r="BO281" s="83">
        <v>7</v>
      </c>
      <c r="BP281" s="83">
        <v>1</v>
      </c>
      <c r="BQ281" s="83">
        <v>1</v>
      </c>
      <c r="BR281" s="198" t="s">
        <v>1482</v>
      </c>
      <c r="BS281" s="83">
        <v>4</v>
      </c>
      <c r="BT281" s="83">
        <v>39</v>
      </c>
      <c r="BU281" s="83">
        <v>44</v>
      </c>
      <c r="BV281" s="83">
        <v>22</v>
      </c>
      <c r="BW281" s="83">
        <v>1</v>
      </c>
      <c r="BX281" s="83">
        <v>11</v>
      </c>
      <c r="BY281" s="83">
        <v>33</v>
      </c>
      <c r="BZ281" s="83">
        <v>9</v>
      </c>
      <c r="CA281" s="83">
        <v>2</v>
      </c>
      <c r="CB281" s="83">
        <v>1</v>
      </c>
      <c r="CC281" s="198" t="s">
        <v>1482</v>
      </c>
      <c r="CD281" s="198" t="s">
        <v>1482</v>
      </c>
      <c r="CE281" s="83">
        <v>1</v>
      </c>
      <c r="CF281" s="83">
        <v>1</v>
      </c>
      <c r="CG281" s="83">
        <v>4</v>
      </c>
      <c r="CH281" s="198" t="s">
        <v>1482</v>
      </c>
      <c r="CI281" s="198" t="s">
        <v>1482</v>
      </c>
      <c r="CJ281" s="198" t="s">
        <v>1482</v>
      </c>
      <c r="CK281" s="198" t="s">
        <v>1482</v>
      </c>
      <c r="CL281" s="824">
        <f t="shared" si="28"/>
        <v>181</v>
      </c>
      <c r="CM281" s="824">
        <f t="shared" si="27"/>
        <v>0</v>
      </c>
      <c r="CN281" s="581">
        <v>687.27099999999996</v>
      </c>
      <c r="CO281" s="198" t="s">
        <v>2890</v>
      </c>
      <c r="CP281" s="198" t="s">
        <v>1482</v>
      </c>
      <c r="CQ281" s="137">
        <f>SUM(CN281/CR281)</f>
        <v>0.16545744184249317</v>
      </c>
      <c r="CR281" s="581">
        <v>4153.7629999999999</v>
      </c>
      <c r="CS281" s="834" t="s">
        <v>2891</v>
      </c>
      <c r="CT281" s="198" t="s">
        <v>470</v>
      </c>
      <c r="CU281" s="198" t="s">
        <v>1482</v>
      </c>
      <c r="CV281" s="198" t="s">
        <v>1482</v>
      </c>
      <c r="CW281" s="198" t="s">
        <v>1482</v>
      </c>
      <c r="CX281" s="198" t="s">
        <v>1482</v>
      </c>
      <c r="CY281" s="198" t="s">
        <v>1482</v>
      </c>
      <c r="CZ281" s="83">
        <v>17</v>
      </c>
      <c r="DA281" s="198" t="s">
        <v>1482</v>
      </c>
      <c r="DB281" s="198" t="s">
        <v>1482</v>
      </c>
      <c r="DC281" s="198" t="s">
        <v>1482</v>
      </c>
      <c r="DD281" s="198" t="s">
        <v>479</v>
      </c>
      <c r="DE281" s="198" t="s">
        <v>2892</v>
      </c>
      <c r="DF281" s="83">
        <v>40776</v>
      </c>
      <c r="DG281" s="198" t="s">
        <v>1482</v>
      </c>
      <c r="DH281" s="198" t="s">
        <v>1482</v>
      </c>
      <c r="DI281" s="198" t="s">
        <v>1482</v>
      </c>
      <c r="DJ281" s="198" t="s">
        <v>1482</v>
      </c>
      <c r="DK281" s="198" t="s">
        <v>1482</v>
      </c>
      <c r="DL281" s="198" t="s">
        <v>1482</v>
      </c>
      <c r="DM281" s="198" t="s">
        <v>1482</v>
      </c>
      <c r="DN281" s="198" t="s">
        <v>1482</v>
      </c>
      <c r="DO281" s="198" t="s">
        <v>1482</v>
      </c>
      <c r="DP281" s="198" t="s">
        <v>1482</v>
      </c>
      <c r="DQ281" s="198" t="s">
        <v>1482</v>
      </c>
      <c r="DR281" s="198" t="s">
        <v>1482</v>
      </c>
      <c r="DS281" s="198" t="s">
        <v>1482</v>
      </c>
      <c r="DT281" s="198" t="s">
        <v>1482</v>
      </c>
      <c r="DU281" s="198" t="s">
        <v>1482</v>
      </c>
      <c r="DV281" s="198" t="s">
        <v>1482</v>
      </c>
      <c r="DW281" s="198" t="s">
        <v>1482</v>
      </c>
      <c r="DX281" s="198" t="s">
        <v>1482</v>
      </c>
      <c r="DY281" s="198" t="s">
        <v>1482</v>
      </c>
      <c r="DZ281" s="198" t="s">
        <v>1482</v>
      </c>
      <c r="EA281" s="198" t="s">
        <v>1482</v>
      </c>
      <c r="EB281" s="198" t="s">
        <v>1482</v>
      </c>
      <c r="EC281" s="198" t="s">
        <v>1482</v>
      </c>
      <c r="ED281" s="198" t="s">
        <v>1482</v>
      </c>
      <c r="EE281" s="198" t="s">
        <v>1482</v>
      </c>
      <c r="EF281" s="198" t="s">
        <v>1482</v>
      </c>
      <c r="EG281" s="198" t="s">
        <v>1482</v>
      </c>
      <c r="EH281" s="198" t="s">
        <v>1482</v>
      </c>
      <c r="EI281" s="198" t="s">
        <v>1482</v>
      </c>
      <c r="EJ281" s="198" t="s">
        <v>1482</v>
      </c>
      <c r="EK281" s="198" t="s">
        <v>1482</v>
      </c>
      <c r="EL281" s="198" t="s">
        <v>1482</v>
      </c>
      <c r="EM281" s="198" t="s">
        <v>1482</v>
      </c>
      <c r="EN281" s="198" t="s">
        <v>479</v>
      </c>
      <c r="EO281" s="198" t="s">
        <v>2893</v>
      </c>
      <c r="EP281" s="198" t="s">
        <v>481</v>
      </c>
      <c r="EQ281" s="83" t="s">
        <v>479</v>
      </c>
      <c r="ER281" s="848" t="s">
        <v>2894</v>
      </c>
      <c r="ES281" s="83">
        <v>15</v>
      </c>
      <c r="ET281" s="198" t="s">
        <v>1482</v>
      </c>
      <c r="EU281" s="198" t="s">
        <v>1482</v>
      </c>
      <c r="EV281" s="198" t="s">
        <v>1482</v>
      </c>
      <c r="EW281" s="198" t="s">
        <v>2895</v>
      </c>
      <c r="EX281" s="198" t="s">
        <v>1482</v>
      </c>
      <c r="EY281" s="83">
        <v>53</v>
      </c>
      <c r="EZ281" s="198" t="s">
        <v>470</v>
      </c>
      <c r="FA281" s="198" t="s">
        <v>1482</v>
      </c>
      <c r="FB281" s="549" t="s">
        <v>2896</v>
      </c>
      <c r="FC281" s="549" t="s">
        <v>2897</v>
      </c>
      <c r="FD281" s="198" t="s">
        <v>1482</v>
      </c>
      <c r="FE281" s="198" t="s">
        <v>2898</v>
      </c>
      <c r="FF281" s="198" t="s">
        <v>1482</v>
      </c>
      <c r="FG281" s="198" t="s">
        <v>2899</v>
      </c>
      <c r="FH281" s="198">
        <v>3</v>
      </c>
      <c r="FI281" s="198" t="s">
        <v>481</v>
      </c>
      <c r="FJ281" s="198" t="s">
        <v>2900</v>
      </c>
      <c r="FK281" s="550" t="s">
        <v>2901</v>
      </c>
      <c r="FL281" s="549" t="s">
        <v>2902</v>
      </c>
      <c r="FM281" s="198" t="s">
        <v>2903</v>
      </c>
      <c r="FN281" s="198" t="s">
        <v>2904</v>
      </c>
      <c r="FO281" s="549" t="s">
        <v>2905</v>
      </c>
    </row>
    <row r="282" spans="5:171" ht="46" customHeight="1" x14ac:dyDescent="0.2">
      <c r="E282" s="94" t="s">
        <v>9302</v>
      </c>
      <c r="F282" s="94" t="s">
        <v>9121</v>
      </c>
      <c r="G282" s="97" t="s">
        <v>346</v>
      </c>
      <c r="H282" s="97" t="s">
        <v>431</v>
      </c>
      <c r="I282" s="97" t="s">
        <v>8717</v>
      </c>
      <c r="J282" s="97" t="s">
        <v>8518</v>
      </c>
      <c r="K282" s="97" t="s">
        <v>5242</v>
      </c>
      <c r="L282" s="502" t="s">
        <v>8337</v>
      </c>
      <c r="M282" s="841" t="s">
        <v>8291</v>
      </c>
      <c r="N282" s="841" t="s">
        <v>8221</v>
      </c>
      <c r="O282" s="841"/>
      <c r="P282" s="841"/>
      <c r="Q282" s="841"/>
      <c r="R282" s="841"/>
      <c r="S282" s="841"/>
      <c r="T282" s="841"/>
      <c r="U282" s="841"/>
      <c r="V282" s="841"/>
      <c r="W282" s="841"/>
      <c r="X282" s="841"/>
      <c r="Y282" s="841"/>
      <c r="Z282" s="97" t="s">
        <v>8067</v>
      </c>
      <c r="AA282" s="97"/>
      <c r="AB282" s="97" t="s">
        <v>7790</v>
      </c>
      <c r="AC282" s="97"/>
      <c r="AD282" s="97" t="s">
        <v>7439</v>
      </c>
      <c r="AE282" s="97"/>
      <c r="AF282" s="97" t="s">
        <v>7142</v>
      </c>
      <c r="AG282" s="97"/>
      <c r="AH282" s="97" t="s">
        <v>6976</v>
      </c>
      <c r="AI282" s="97" t="s">
        <v>6815</v>
      </c>
      <c r="AJ282" s="97" t="s">
        <v>504</v>
      </c>
      <c r="AK282" s="97" t="s">
        <v>9472</v>
      </c>
      <c r="AL282" s="580">
        <f t="shared" si="26"/>
        <v>347.50400000000002</v>
      </c>
      <c r="AM282" s="504">
        <v>347.50400000000002</v>
      </c>
      <c r="AN282" s="516"/>
      <c r="AO282" s="97"/>
      <c r="AP282" s="97"/>
      <c r="AQ282" s="504">
        <v>311.23</v>
      </c>
      <c r="AR282" s="507">
        <v>0.92</v>
      </c>
      <c r="AS282" s="507">
        <v>0.11</v>
      </c>
      <c r="AT282" s="516">
        <v>6.9390000000000001</v>
      </c>
      <c r="AU282" s="507">
        <v>0.02</v>
      </c>
      <c r="AV282" s="516">
        <v>20.818000000000001</v>
      </c>
      <c r="AW282" s="507">
        <v>0.06</v>
      </c>
      <c r="AX282" s="516">
        <v>8.5169999999999995</v>
      </c>
      <c r="AY282" s="507">
        <v>0.02</v>
      </c>
      <c r="AZ282" s="507"/>
      <c r="BA282" s="507"/>
      <c r="BB282" s="507"/>
      <c r="BC282" s="507"/>
      <c r="BD282" s="507"/>
      <c r="BE282" s="507" t="s">
        <v>479</v>
      </c>
      <c r="BF282" s="507"/>
      <c r="BG282" s="507"/>
      <c r="BH282" s="852"/>
      <c r="BI282" s="504">
        <v>86.081000000000003</v>
      </c>
      <c r="BJ282" s="507">
        <v>0.03</v>
      </c>
      <c r="BK282" s="96">
        <v>135</v>
      </c>
      <c r="BL282" s="96">
        <v>135</v>
      </c>
      <c r="BM282" s="96">
        <v>135</v>
      </c>
      <c r="BN282" s="96">
        <v>6</v>
      </c>
      <c r="BO282" s="96">
        <v>33</v>
      </c>
      <c r="BP282" s="96">
        <v>3</v>
      </c>
      <c r="BQ282" s="96"/>
      <c r="BR282" s="96"/>
      <c r="BS282" s="96">
        <v>6</v>
      </c>
      <c r="BT282" s="96">
        <v>1</v>
      </c>
      <c r="BU282" s="96"/>
      <c r="BV282" s="96">
        <v>1</v>
      </c>
      <c r="BW282" s="96">
        <v>40</v>
      </c>
      <c r="BX282" s="96">
        <v>19</v>
      </c>
      <c r="BY282" s="96">
        <v>9</v>
      </c>
      <c r="BZ282" s="96">
        <v>16</v>
      </c>
      <c r="CA282" s="96"/>
      <c r="CB282" s="96"/>
      <c r="CC282" s="96"/>
      <c r="CD282" s="96">
        <v>1</v>
      </c>
      <c r="CE282" s="96"/>
      <c r="CF282" s="96"/>
      <c r="CG282" s="96"/>
      <c r="CH282" s="96"/>
      <c r="CI282" s="96"/>
      <c r="CJ282" s="96"/>
      <c r="CK282" s="96"/>
      <c r="CL282" s="815">
        <f t="shared" si="28"/>
        <v>135</v>
      </c>
      <c r="CM282" s="824">
        <f t="shared" si="27"/>
        <v>0</v>
      </c>
      <c r="CN282" s="504">
        <v>29.187999999999999</v>
      </c>
      <c r="CO282" s="97" t="s">
        <v>6081</v>
      </c>
      <c r="CP282" s="97"/>
      <c r="CQ282" s="97">
        <v>40</v>
      </c>
      <c r="CR282" s="504">
        <v>72.97</v>
      </c>
      <c r="CS282" s="507"/>
      <c r="CT282" s="97" t="s">
        <v>470</v>
      </c>
      <c r="CU282" s="97"/>
      <c r="CV282" s="97"/>
      <c r="CW282" s="97"/>
      <c r="CX282" s="96"/>
      <c r="CY282" s="96"/>
      <c r="CZ282" s="96">
        <v>21</v>
      </c>
      <c r="DA282" s="97" t="s">
        <v>470</v>
      </c>
      <c r="DB282" s="97"/>
      <c r="DC282" s="96"/>
      <c r="DD282" s="97" t="s">
        <v>479</v>
      </c>
      <c r="DE282" s="97" t="s">
        <v>640</v>
      </c>
      <c r="DF282" s="96">
        <v>1315</v>
      </c>
      <c r="DG282" s="96" t="s">
        <v>470</v>
      </c>
      <c r="DH282" s="96"/>
      <c r="DI282" s="96"/>
      <c r="DJ282" s="96" t="s">
        <v>470</v>
      </c>
      <c r="DK282" s="96"/>
      <c r="DL282" s="96"/>
      <c r="DM282" s="97" t="s">
        <v>470</v>
      </c>
      <c r="DN282" s="97"/>
      <c r="DO282" s="96"/>
      <c r="DP282" s="97" t="s">
        <v>470</v>
      </c>
      <c r="DQ282" s="97"/>
      <c r="DR282" s="96"/>
      <c r="DS282" s="97" t="s">
        <v>470</v>
      </c>
      <c r="DT282" s="97"/>
      <c r="DU282" s="96"/>
      <c r="DV282" s="97" t="s">
        <v>470</v>
      </c>
      <c r="DW282" s="97"/>
      <c r="DX282" s="96"/>
      <c r="DY282" s="97" t="s">
        <v>470</v>
      </c>
      <c r="DZ282" s="97"/>
      <c r="EA282" s="96"/>
      <c r="EB282" s="97" t="s">
        <v>470</v>
      </c>
      <c r="EC282" s="97"/>
      <c r="ED282" s="96"/>
      <c r="EE282" s="96" t="s">
        <v>470</v>
      </c>
      <c r="EF282" s="96"/>
      <c r="EG282" s="96"/>
      <c r="EH282" s="97" t="s">
        <v>470</v>
      </c>
      <c r="EI282" s="97"/>
      <c r="EJ282" s="96"/>
      <c r="EK282" s="97" t="s">
        <v>470</v>
      </c>
      <c r="EL282" s="97"/>
      <c r="EM282" s="96"/>
      <c r="EN282" s="97" t="s">
        <v>479</v>
      </c>
      <c r="EO282" s="97" t="s">
        <v>5338</v>
      </c>
      <c r="EP282" s="96">
        <v>5</v>
      </c>
      <c r="EQ282" s="96" t="s">
        <v>470</v>
      </c>
      <c r="ER282" s="96"/>
      <c r="ES282" s="96"/>
      <c r="ET282" s="97" t="s">
        <v>470</v>
      </c>
      <c r="EU282" s="97"/>
      <c r="EV282" s="96"/>
      <c r="EW282" s="96"/>
      <c r="EX282" s="96"/>
      <c r="EY282" s="96"/>
      <c r="EZ282" s="97" t="s">
        <v>470</v>
      </c>
      <c r="FA282" s="97"/>
      <c r="FB282" s="97"/>
      <c r="FC282" s="97"/>
      <c r="FD282" s="97"/>
      <c r="FE282" s="97"/>
      <c r="FF282" s="97"/>
      <c r="FG282" s="97"/>
      <c r="FH282" s="97"/>
      <c r="FI282" s="97"/>
      <c r="FJ282" s="97" t="s">
        <v>4422</v>
      </c>
      <c r="FK282" s="97" t="s">
        <v>4217</v>
      </c>
      <c r="FL282" s="849" t="s">
        <v>4019</v>
      </c>
      <c r="FM282" s="97" t="s">
        <v>2903</v>
      </c>
      <c r="FN282" s="97" t="s">
        <v>2904</v>
      </c>
      <c r="FO282" s="97" t="s">
        <v>2905</v>
      </c>
    </row>
    <row r="283" spans="5:171" ht="104" customHeight="1" x14ac:dyDescent="0.2">
      <c r="E283" s="94" t="s">
        <v>9302</v>
      </c>
      <c r="F283" s="94" t="s">
        <v>9120</v>
      </c>
      <c r="G283" s="198" t="s">
        <v>347</v>
      </c>
      <c r="H283" s="198" t="s">
        <v>432</v>
      </c>
      <c r="I283" s="198"/>
      <c r="J283" s="198" t="s">
        <v>2834</v>
      </c>
      <c r="K283" s="198" t="s">
        <v>2094</v>
      </c>
      <c r="L283" s="578">
        <v>2017</v>
      </c>
      <c r="M283" s="822">
        <v>44564</v>
      </c>
      <c r="N283" s="822" t="s">
        <v>2835</v>
      </c>
      <c r="O283" s="198" t="s">
        <v>2836</v>
      </c>
      <c r="P283" s="198" t="s">
        <v>2837</v>
      </c>
      <c r="Q283" s="198" t="s">
        <v>1924</v>
      </c>
      <c r="R283" s="198" t="s">
        <v>1924</v>
      </c>
      <c r="S283" s="198" t="s">
        <v>1924</v>
      </c>
      <c r="T283" s="198" t="s">
        <v>1924</v>
      </c>
      <c r="U283" s="198" t="s">
        <v>1924</v>
      </c>
      <c r="V283" s="198" t="s">
        <v>2838</v>
      </c>
      <c r="W283" s="198" t="s">
        <v>1924</v>
      </c>
      <c r="X283" s="198" t="s">
        <v>2839</v>
      </c>
      <c r="Y283" s="890" t="s">
        <v>2840</v>
      </c>
      <c r="Z283" s="890"/>
      <c r="AA283" s="890"/>
      <c r="AB283" s="890"/>
      <c r="AC283" s="890"/>
      <c r="AD283" s="890"/>
      <c r="AE283" s="890"/>
      <c r="AF283" s="890"/>
      <c r="AG283" s="890"/>
      <c r="AH283" s="198" t="s">
        <v>2841</v>
      </c>
      <c r="AI283" s="198" t="s">
        <v>2841</v>
      </c>
      <c r="AJ283" s="198" t="s">
        <v>477</v>
      </c>
      <c r="AK283" s="198" t="s">
        <v>2842</v>
      </c>
      <c r="AL283" s="580">
        <f t="shared" si="26"/>
        <v>364.20558846000006</v>
      </c>
      <c r="AM283" s="504">
        <v>364.20558846000006</v>
      </c>
      <c r="AN283" s="516">
        <v>261.46567191000003</v>
      </c>
      <c r="AO283" s="137">
        <v>0.71789999999999998</v>
      </c>
      <c r="AP283" s="137">
        <v>2.8838725899999998E-3</v>
      </c>
      <c r="AQ283" s="1018">
        <v>52.632916549999997</v>
      </c>
      <c r="AR283" s="137">
        <v>0.14449999999999999</v>
      </c>
      <c r="AS283" s="137"/>
      <c r="AT283" s="520"/>
      <c r="AU283" s="137"/>
      <c r="AV283" s="520"/>
      <c r="AW283" s="137"/>
      <c r="AX283" s="520">
        <v>50.106999999999999</v>
      </c>
      <c r="AY283" s="137">
        <v>0.1376</v>
      </c>
      <c r="AZ283" s="580">
        <v>0</v>
      </c>
      <c r="BA283" s="137">
        <v>0</v>
      </c>
      <c r="BB283" s="198" t="s">
        <v>1924</v>
      </c>
      <c r="BC283" s="198" t="s">
        <v>1924</v>
      </c>
      <c r="BD283" s="198" t="s">
        <v>1924</v>
      </c>
      <c r="BE283" s="198" t="s">
        <v>470</v>
      </c>
      <c r="BF283" s="198" t="s">
        <v>1924</v>
      </c>
      <c r="BG283" s="198" t="s">
        <v>1924</v>
      </c>
      <c r="BH283" s="198" t="s">
        <v>1924</v>
      </c>
      <c r="BI283" s="1019">
        <v>327.45</v>
      </c>
      <c r="BJ283" s="137">
        <v>3.6570995200000001E-3</v>
      </c>
      <c r="BK283" s="83">
        <v>0</v>
      </c>
      <c r="BL283" s="83">
        <v>275</v>
      </c>
      <c r="BM283" s="83">
        <v>256</v>
      </c>
      <c r="BN283" s="83">
        <v>12</v>
      </c>
      <c r="BO283" s="83">
        <v>21</v>
      </c>
      <c r="BP283" s="83">
        <v>3</v>
      </c>
      <c r="BQ283" s="83">
        <v>2</v>
      </c>
      <c r="BR283" s="83">
        <v>0</v>
      </c>
      <c r="BS283" s="83">
        <v>0</v>
      </c>
      <c r="BT283" s="83">
        <v>0</v>
      </c>
      <c r="BU283" s="83">
        <v>8</v>
      </c>
      <c r="BV283" s="83">
        <v>30</v>
      </c>
      <c r="BW283" s="83">
        <v>16</v>
      </c>
      <c r="BX283" s="83">
        <v>31</v>
      </c>
      <c r="BY283" s="83">
        <v>75</v>
      </c>
      <c r="BZ283" s="83">
        <v>41</v>
      </c>
      <c r="CA283" s="83">
        <v>16</v>
      </c>
      <c r="CB283" s="83">
        <v>0</v>
      </c>
      <c r="CC283" s="83">
        <v>0</v>
      </c>
      <c r="CD283" s="83">
        <v>0</v>
      </c>
      <c r="CE283" s="83">
        <v>0</v>
      </c>
      <c r="CF283" s="83">
        <v>0</v>
      </c>
      <c r="CG283" s="83">
        <v>0</v>
      </c>
      <c r="CH283" s="83">
        <v>0</v>
      </c>
      <c r="CI283" s="83">
        <v>0</v>
      </c>
      <c r="CJ283" s="83">
        <v>0</v>
      </c>
      <c r="CK283" s="83">
        <v>1</v>
      </c>
      <c r="CL283" s="824">
        <f t="shared" si="28"/>
        <v>256</v>
      </c>
      <c r="CM283" s="824">
        <f t="shared" si="27"/>
        <v>0</v>
      </c>
      <c r="CN283" s="586">
        <v>510</v>
      </c>
      <c r="CO283" s="198" t="s">
        <v>2843</v>
      </c>
      <c r="CP283" s="198" t="s">
        <v>1924</v>
      </c>
      <c r="CQ283" s="137">
        <v>0.47</v>
      </c>
      <c r="CR283" s="586">
        <v>1085.152</v>
      </c>
      <c r="CS283" s="834" t="s">
        <v>2844</v>
      </c>
      <c r="CT283" s="198" t="s">
        <v>470</v>
      </c>
      <c r="CU283" s="198" t="s">
        <v>1924</v>
      </c>
      <c r="CV283" s="198" t="s">
        <v>1924</v>
      </c>
      <c r="CW283" s="198" t="s">
        <v>1924</v>
      </c>
      <c r="CX283" s="83">
        <v>0</v>
      </c>
      <c r="CY283" s="83">
        <v>0</v>
      </c>
      <c r="CZ283" s="83">
        <v>5</v>
      </c>
      <c r="DA283" s="198" t="s">
        <v>470</v>
      </c>
      <c r="DB283" s="198" t="s">
        <v>1924</v>
      </c>
      <c r="DC283" s="83">
        <v>0</v>
      </c>
      <c r="DD283" s="198" t="s">
        <v>470</v>
      </c>
      <c r="DE283" s="198" t="s">
        <v>1924</v>
      </c>
      <c r="DF283" s="83">
        <v>0</v>
      </c>
      <c r="DG283" s="83" t="s">
        <v>479</v>
      </c>
      <c r="DH283" s="83" t="s">
        <v>2845</v>
      </c>
      <c r="DI283" s="83">
        <v>21</v>
      </c>
      <c r="DJ283" s="83" t="s">
        <v>479</v>
      </c>
      <c r="DK283" s="83" t="s">
        <v>2846</v>
      </c>
      <c r="DL283" s="83">
        <v>115</v>
      </c>
      <c r="DM283" s="198" t="s">
        <v>470</v>
      </c>
      <c r="DN283" s="198" t="s">
        <v>1924</v>
      </c>
      <c r="DO283" s="83">
        <v>0</v>
      </c>
      <c r="DP283" s="198" t="s">
        <v>470</v>
      </c>
      <c r="DQ283" s="198" t="s">
        <v>1924</v>
      </c>
      <c r="DR283" s="83">
        <v>0</v>
      </c>
      <c r="DS283" s="198" t="s">
        <v>470</v>
      </c>
      <c r="DT283" s="198" t="s">
        <v>1924</v>
      </c>
      <c r="DU283" s="83">
        <v>0</v>
      </c>
      <c r="DV283" s="198" t="s">
        <v>470</v>
      </c>
      <c r="DW283" s="198" t="s">
        <v>1924</v>
      </c>
      <c r="DX283" s="83">
        <v>0</v>
      </c>
      <c r="DY283" s="198" t="s">
        <v>470</v>
      </c>
      <c r="DZ283" s="198" t="s">
        <v>1924</v>
      </c>
      <c r="EA283" s="83">
        <v>0</v>
      </c>
      <c r="EB283" s="198" t="s">
        <v>479</v>
      </c>
      <c r="EC283" s="198" t="s">
        <v>2846</v>
      </c>
      <c r="ED283" s="83">
        <v>6100</v>
      </c>
      <c r="EE283" s="198" t="s">
        <v>470</v>
      </c>
      <c r="EF283" s="198" t="s">
        <v>1924</v>
      </c>
      <c r="EG283" s="83">
        <v>0</v>
      </c>
      <c r="EH283" s="198" t="s">
        <v>470</v>
      </c>
      <c r="EI283" s="198" t="s">
        <v>1924</v>
      </c>
      <c r="EJ283" s="83">
        <v>0</v>
      </c>
      <c r="EK283" s="198" t="s">
        <v>470</v>
      </c>
      <c r="EL283" s="198" t="s">
        <v>1924</v>
      </c>
      <c r="EM283" s="83">
        <v>0</v>
      </c>
      <c r="EN283" s="198" t="s">
        <v>470</v>
      </c>
      <c r="EO283" s="198" t="s">
        <v>1924</v>
      </c>
      <c r="EP283" s="83">
        <v>0</v>
      </c>
      <c r="EQ283" s="83" t="s">
        <v>479</v>
      </c>
      <c r="ER283" s="83" t="s">
        <v>2847</v>
      </c>
      <c r="ES283" s="83">
        <v>14</v>
      </c>
      <c r="ET283" s="198" t="s">
        <v>470</v>
      </c>
      <c r="EU283" s="198" t="s">
        <v>1924</v>
      </c>
      <c r="EV283" s="83">
        <v>0</v>
      </c>
      <c r="EW283" s="837">
        <v>1</v>
      </c>
      <c r="EX283" s="198" t="s">
        <v>1924</v>
      </c>
      <c r="EY283" s="586">
        <v>177</v>
      </c>
      <c r="EZ283" s="198" t="s">
        <v>470</v>
      </c>
      <c r="FA283" s="198" t="s">
        <v>1924</v>
      </c>
      <c r="FB283" s="549" t="s">
        <v>2848</v>
      </c>
      <c r="FC283" s="890" t="s">
        <v>2849</v>
      </c>
      <c r="FD283" s="198"/>
      <c r="FE283" s="1020" t="s">
        <v>2850</v>
      </c>
      <c r="FF283" s="891" t="s">
        <v>2851</v>
      </c>
      <c r="FG283" s="198" t="s">
        <v>2852</v>
      </c>
      <c r="FH283" s="198">
        <v>20</v>
      </c>
      <c r="FI283" s="198">
        <v>570</v>
      </c>
      <c r="FJ283" s="198" t="s">
        <v>2853</v>
      </c>
      <c r="FK283" s="198" t="s">
        <v>2854</v>
      </c>
      <c r="FL283" s="549" t="s">
        <v>2855</v>
      </c>
      <c r="FM283" s="198"/>
      <c r="FN283" s="198"/>
      <c r="FO283" s="198"/>
    </row>
    <row r="284" spans="5:171" ht="104" customHeight="1" x14ac:dyDescent="0.2">
      <c r="E284" s="94" t="s">
        <v>9304</v>
      </c>
      <c r="F284" s="94" t="s">
        <v>9120</v>
      </c>
      <c r="G284" s="198" t="s">
        <v>347</v>
      </c>
      <c r="H284" s="198" t="s">
        <v>432</v>
      </c>
      <c r="I284" s="198"/>
      <c r="J284" s="198" t="s">
        <v>3634</v>
      </c>
      <c r="K284" s="198" t="s">
        <v>3634</v>
      </c>
      <c r="L284" s="578">
        <v>2018</v>
      </c>
      <c r="M284" s="822"/>
      <c r="N284" s="822"/>
      <c r="O284" s="198" t="s">
        <v>3635</v>
      </c>
      <c r="P284" s="198" t="s">
        <v>3636</v>
      </c>
      <c r="Q284" s="198" t="s">
        <v>656</v>
      </c>
      <c r="R284" s="198" t="s">
        <v>656</v>
      </c>
      <c r="S284" s="198" t="s">
        <v>656</v>
      </c>
      <c r="T284" s="198" t="s">
        <v>656</v>
      </c>
      <c r="U284" s="198" t="s">
        <v>656</v>
      </c>
      <c r="V284" s="198" t="s">
        <v>656</v>
      </c>
      <c r="W284" s="198" t="s">
        <v>656</v>
      </c>
      <c r="X284" s="198" t="s">
        <v>656</v>
      </c>
      <c r="Y284" s="198" t="s">
        <v>656</v>
      </c>
      <c r="Z284" s="198"/>
      <c r="AA284" s="198"/>
      <c r="AB284" s="198"/>
      <c r="AC284" s="198"/>
      <c r="AD284" s="198"/>
      <c r="AE284" s="198"/>
      <c r="AF284" s="198"/>
      <c r="AG284" s="198"/>
      <c r="AH284" s="198" t="s">
        <v>3637</v>
      </c>
      <c r="AI284" s="198" t="s">
        <v>3637</v>
      </c>
      <c r="AJ284" s="198" t="s">
        <v>477</v>
      </c>
      <c r="AK284" s="198" t="s">
        <v>3638</v>
      </c>
      <c r="AL284" s="580">
        <f t="shared" si="26"/>
        <v>335.60190847000001</v>
      </c>
      <c r="AM284" s="504">
        <v>335.60190847000001</v>
      </c>
      <c r="AN284" s="516">
        <v>29.11941856</v>
      </c>
      <c r="AO284" s="137">
        <v>8.6800000000000002E-2</v>
      </c>
      <c r="AP284" s="137">
        <v>3.7000000000000002E-3</v>
      </c>
      <c r="AQ284" s="1021">
        <v>21.321289910000001</v>
      </c>
      <c r="AR284" s="137">
        <v>6.2700000000000006E-2</v>
      </c>
      <c r="AS284" s="137"/>
      <c r="AT284" s="520">
        <v>0</v>
      </c>
      <c r="AU284" s="137">
        <v>0</v>
      </c>
      <c r="AV284" s="520">
        <v>0</v>
      </c>
      <c r="AW284" s="137">
        <v>0</v>
      </c>
      <c r="AX284" s="520"/>
      <c r="AY284" s="137">
        <v>0</v>
      </c>
      <c r="AZ284" s="1022">
        <v>285.16120000000001</v>
      </c>
      <c r="BA284" s="137">
        <v>0.85050000000000003</v>
      </c>
      <c r="BB284" s="198" t="s">
        <v>3639</v>
      </c>
      <c r="BC284" s="198" t="s">
        <v>3640</v>
      </c>
      <c r="BD284" s="198" t="s">
        <v>3637</v>
      </c>
      <c r="BE284" s="198" t="s">
        <v>470</v>
      </c>
      <c r="BF284" s="198" t="s">
        <v>656</v>
      </c>
      <c r="BG284" s="198" t="s">
        <v>656</v>
      </c>
      <c r="BH284" s="198" t="s">
        <v>656</v>
      </c>
      <c r="BI284" s="1022">
        <v>8.8193999999999999</v>
      </c>
      <c r="BJ284" s="137">
        <v>1E-4</v>
      </c>
      <c r="BK284" s="83">
        <v>56</v>
      </c>
      <c r="BL284" s="83">
        <v>24</v>
      </c>
      <c r="BM284" s="83">
        <v>24</v>
      </c>
      <c r="BN284" s="83"/>
      <c r="BO284" s="83"/>
      <c r="BP284" s="83"/>
      <c r="BQ284" s="83"/>
      <c r="BR284" s="83"/>
      <c r="BS284" s="83"/>
      <c r="BT284" s="83"/>
      <c r="BU284" s="83"/>
      <c r="BV284" s="83"/>
      <c r="BW284" s="83"/>
      <c r="BX284" s="83"/>
      <c r="BY284" s="83">
        <v>24</v>
      </c>
      <c r="BZ284" s="83"/>
      <c r="CA284" s="83"/>
      <c r="CB284" s="83"/>
      <c r="CC284" s="83"/>
      <c r="CD284" s="83"/>
      <c r="CE284" s="83"/>
      <c r="CF284" s="83"/>
      <c r="CG284" s="83"/>
      <c r="CH284" s="83"/>
      <c r="CI284" s="83"/>
      <c r="CJ284" s="83"/>
      <c r="CK284" s="83"/>
      <c r="CL284" s="824">
        <f t="shared" si="28"/>
        <v>24</v>
      </c>
      <c r="CM284" s="824">
        <f t="shared" si="27"/>
        <v>0</v>
      </c>
      <c r="CN284" s="580" t="s">
        <v>656</v>
      </c>
      <c r="CO284" s="198" t="s">
        <v>656</v>
      </c>
      <c r="CP284" s="198" t="s">
        <v>656</v>
      </c>
      <c r="CQ284" s="137" t="s">
        <v>656</v>
      </c>
      <c r="CR284" s="580" t="s">
        <v>656</v>
      </c>
      <c r="CS284" s="137" t="s">
        <v>656</v>
      </c>
      <c r="CT284" s="198" t="s">
        <v>470</v>
      </c>
      <c r="CU284" s="198" t="s">
        <v>656</v>
      </c>
      <c r="CV284" s="198" t="s">
        <v>656</v>
      </c>
      <c r="CW284" s="198" t="s">
        <v>656</v>
      </c>
      <c r="CX284" s="83" t="s">
        <v>656</v>
      </c>
      <c r="CY284" s="83" t="s">
        <v>656</v>
      </c>
      <c r="CZ284" s="83" t="s">
        <v>656</v>
      </c>
      <c r="DA284" s="198" t="s">
        <v>656</v>
      </c>
      <c r="DB284" s="198" t="s">
        <v>656</v>
      </c>
      <c r="DC284" s="83" t="s">
        <v>656</v>
      </c>
      <c r="DD284" s="198" t="s">
        <v>656</v>
      </c>
      <c r="DE284" s="198" t="s">
        <v>656</v>
      </c>
      <c r="DF284" s="83" t="s">
        <v>656</v>
      </c>
      <c r="DG284" s="83" t="s">
        <v>656</v>
      </c>
      <c r="DH284" s="83" t="s">
        <v>656</v>
      </c>
      <c r="DI284" s="83" t="s">
        <v>656</v>
      </c>
      <c r="DJ284" s="83" t="s">
        <v>656</v>
      </c>
      <c r="DK284" s="83" t="s">
        <v>656</v>
      </c>
      <c r="DL284" s="83" t="s">
        <v>656</v>
      </c>
      <c r="DM284" s="198" t="s">
        <v>656</v>
      </c>
      <c r="DN284" s="198" t="s">
        <v>656</v>
      </c>
      <c r="DO284" s="83" t="s">
        <v>656</v>
      </c>
      <c r="DP284" s="198" t="s">
        <v>656</v>
      </c>
      <c r="DQ284" s="198" t="s">
        <v>656</v>
      </c>
      <c r="DR284" s="83" t="s">
        <v>656</v>
      </c>
      <c r="DS284" s="198" t="s">
        <v>656</v>
      </c>
      <c r="DT284" s="198" t="s">
        <v>656</v>
      </c>
      <c r="DU284" s="83" t="s">
        <v>656</v>
      </c>
      <c r="DV284" s="198" t="s">
        <v>656</v>
      </c>
      <c r="DW284" s="198" t="s">
        <v>656</v>
      </c>
      <c r="DX284" s="83" t="s">
        <v>656</v>
      </c>
      <c r="DY284" s="198" t="s">
        <v>479</v>
      </c>
      <c r="DZ284" s="198"/>
      <c r="EA284" s="83"/>
      <c r="EB284" s="198" t="s">
        <v>656</v>
      </c>
      <c r="EC284" s="198" t="s">
        <v>656</v>
      </c>
      <c r="ED284" s="83" t="s">
        <v>656</v>
      </c>
      <c r="EE284" s="83" t="s">
        <v>656</v>
      </c>
      <c r="EF284" s="83" t="s">
        <v>656</v>
      </c>
      <c r="EG284" s="83" t="s">
        <v>656</v>
      </c>
      <c r="EH284" s="198" t="s">
        <v>656</v>
      </c>
      <c r="EI284" s="198" t="s">
        <v>656</v>
      </c>
      <c r="EJ284" s="83" t="s">
        <v>656</v>
      </c>
      <c r="EK284" s="198" t="s">
        <v>656</v>
      </c>
      <c r="EL284" s="198" t="s">
        <v>656</v>
      </c>
      <c r="EM284" s="83" t="s">
        <v>656</v>
      </c>
      <c r="EN284" s="198" t="s">
        <v>656</v>
      </c>
      <c r="EO284" s="198" t="s">
        <v>656</v>
      </c>
      <c r="EP284" s="83" t="s">
        <v>656</v>
      </c>
      <c r="EQ284" s="83" t="s">
        <v>656</v>
      </c>
      <c r="ER284" s="83" t="s">
        <v>656</v>
      </c>
      <c r="ES284" s="83" t="s">
        <v>656</v>
      </c>
      <c r="ET284" s="598" t="s">
        <v>656</v>
      </c>
      <c r="EU284" s="198" t="s">
        <v>656</v>
      </c>
      <c r="EV284" s="83" t="s">
        <v>656</v>
      </c>
      <c r="EW284" s="198" t="s">
        <v>656</v>
      </c>
      <c r="EX284" s="198" t="s">
        <v>656</v>
      </c>
      <c r="EY284" s="505">
        <v>17</v>
      </c>
      <c r="EZ284" s="198" t="s">
        <v>470</v>
      </c>
      <c r="FA284" s="198" t="s">
        <v>656</v>
      </c>
      <c r="FB284" s="198" t="s">
        <v>656</v>
      </c>
      <c r="FC284" s="198" t="s">
        <v>656</v>
      </c>
      <c r="FD284" s="198" t="s">
        <v>656</v>
      </c>
      <c r="FE284" s="198" t="s">
        <v>656</v>
      </c>
      <c r="FF284" s="198" t="s">
        <v>656</v>
      </c>
      <c r="FG284" s="198" t="s">
        <v>656</v>
      </c>
      <c r="FH284" s="198" t="s">
        <v>656</v>
      </c>
      <c r="FI284" s="198" t="s">
        <v>656</v>
      </c>
      <c r="FJ284" s="198" t="s">
        <v>3641</v>
      </c>
      <c r="FK284" s="198" t="s">
        <v>3642</v>
      </c>
      <c r="FL284" s="549" t="s">
        <v>3643</v>
      </c>
      <c r="FM284" s="198" t="s">
        <v>656</v>
      </c>
      <c r="FN284" s="198" t="s">
        <v>656</v>
      </c>
      <c r="FO284" s="198" t="s">
        <v>656</v>
      </c>
    </row>
    <row r="285" spans="5:171" ht="104" customHeight="1" x14ac:dyDescent="0.2">
      <c r="E285" s="94" t="s">
        <v>9303</v>
      </c>
      <c r="F285" s="94" t="s">
        <v>9120</v>
      </c>
      <c r="G285" s="198" t="s">
        <v>347</v>
      </c>
      <c r="H285" s="198" t="s">
        <v>432</v>
      </c>
      <c r="I285" s="198"/>
      <c r="J285" s="198" t="s">
        <v>2856</v>
      </c>
      <c r="K285" s="198" t="s">
        <v>2856</v>
      </c>
      <c r="L285" s="578">
        <v>2017</v>
      </c>
      <c r="M285" s="822">
        <v>44474</v>
      </c>
      <c r="N285" s="822">
        <v>44926</v>
      </c>
      <c r="O285" s="198" t="s">
        <v>2857</v>
      </c>
      <c r="P285" s="198" t="s">
        <v>2858</v>
      </c>
      <c r="Q285" s="884" t="s">
        <v>2859</v>
      </c>
      <c r="R285" s="198" t="s">
        <v>2860</v>
      </c>
      <c r="S285" s="1023" t="s">
        <v>2861</v>
      </c>
      <c r="T285" s="198" t="s">
        <v>470</v>
      </c>
      <c r="U285" s="198" t="s">
        <v>470</v>
      </c>
      <c r="V285" s="198" t="s">
        <v>470</v>
      </c>
      <c r="W285" s="198" t="s">
        <v>470</v>
      </c>
      <c r="X285" s="198" t="s">
        <v>2862</v>
      </c>
      <c r="Y285" s="884" t="s">
        <v>2863</v>
      </c>
      <c r="Z285" s="884"/>
      <c r="AA285" s="884"/>
      <c r="AB285" s="884"/>
      <c r="AC285" s="884"/>
      <c r="AD285" s="884"/>
      <c r="AE285" s="884"/>
      <c r="AF285" s="884"/>
      <c r="AG285" s="884"/>
      <c r="AH285" s="198" t="s">
        <v>2864</v>
      </c>
      <c r="AI285" s="198" t="s">
        <v>2864</v>
      </c>
      <c r="AJ285" s="580" t="s">
        <v>504</v>
      </c>
      <c r="AK285" s="580" t="s">
        <v>2865</v>
      </c>
      <c r="AL285" s="580">
        <f t="shared" si="26"/>
        <v>6.0957172699999997</v>
      </c>
      <c r="AM285" s="504">
        <v>6.0957172699999997</v>
      </c>
      <c r="AN285" s="516">
        <v>1.9916927099999999</v>
      </c>
      <c r="AO285" s="137">
        <v>0.32650000000000001</v>
      </c>
      <c r="AP285" s="137">
        <v>2.2000000000000001E-4</v>
      </c>
      <c r="AQ285" s="1021">
        <v>1.2500783499999999</v>
      </c>
      <c r="AR285" s="137">
        <v>0.2051</v>
      </c>
      <c r="AS285" s="137"/>
      <c r="AT285" s="520"/>
      <c r="AU285" s="137"/>
      <c r="AV285" s="520"/>
      <c r="AW285" s="137"/>
      <c r="AX285" s="520">
        <v>0.47036475999999999</v>
      </c>
      <c r="AY285" s="137">
        <v>7.7100000000000002E-2</v>
      </c>
      <c r="AZ285" s="1022">
        <v>2.3835814499999999</v>
      </c>
      <c r="BA285" s="137">
        <v>0.3911</v>
      </c>
      <c r="BB285" s="198" t="s">
        <v>2866</v>
      </c>
      <c r="BC285" s="198" t="s">
        <v>875</v>
      </c>
      <c r="BD285" s="137" t="s">
        <v>2864</v>
      </c>
      <c r="BE285" s="580" t="s">
        <v>479</v>
      </c>
      <c r="BF285" s="137" t="s">
        <v>2867</v>
      </c>
      <c r="BG285" s="198" t="s">
        <v>656</v>
      </c>
      <c r="BH285" s="198">
        <v>0.15516904000000001</v>
      </c>
      <c r="BI285" s="1019">
        <v>2.73669524</v>
      </c>
      <c r="BJ285" s="137">
        <v>2.9999999999999997E-4</v>
      </c>
      <c r="BK285" s="83">
        <v>13</v>
      </c>
      <c r="BL285" s="83">
        <v>13</v>
      </c>
      <c r="BM285" s="83">
        <v>6</v>
      </c>
      <c r="BN285" s="83" t="s">
        <v>656</v>
      </c>
      <c r="BO285" s="83" t="s">
        <v>656</v>
      </c>
      <c r="BP285" s="83" t="s">
        <v>656</v>
      </c>
      <c r="BQ285" s="83" t="s">
        <v>656</v>
      </c>
      <c r="BR285" s="83" t="s">
        <v>656</v>
      </c>
      <c r="BS285" s="83" t="s">
        <v>656</v>
      </c>
      <c r="BT285" s="83" t="s">
        <v>656</v>
      </c>
      <c r="BU285" s="83" t="s">
        <v>656</v>
      </c>
      <c r="BV285" s="83">
        <v>1</v>
      </c>
      <c r="BW285" s="83" t="s">
        <v>656</v>
      </c>
      <c r="BX285" s="83" t="s">
        <v>656</v>
      </c>
      <c r="BY285" s="83">
        <v>1</v>
      </c>
      <c r="BZ285" s="83"/>
      <c r="CA285" s="83">
        <v>4</v>
      </c>
      <c r="CB285" s="83" t="s">
        <v>656</v>
      </c>
      <c r="CC285" s="83" t="s">
        <v>656</v>
      </c>
      <c r="CD285" s="83" t="s">
        <v>656</v>
      </c>
      <c r="CE285" s="83" t="s">
        <v>656</v>
      </c>
      <c r="CF285" s="83" t="s">
        <v>656</v>
      </c>
      <c r="CG285" s="83" t="s">
        <v>656</v>
      </c>
      <c r="CH285" s="83" t="s">
        <v>656</v>
      </c>
      <c r="CI285" s="83" t="s">
        <v>656</v>
      </c>
      <c r="CJ285" s="83" t="s">
        <v>656</v>
      </c>
      <c r="CK285" s="83" t="s">
        <v>656</v>
      </c>
      <c r="CL285" s="824">
        <f t="shared" si="28"/>
        <v>6</v>
      </c>
      <c r="CM285" s="824">
        <f t="shared" si="27"/>
        <v>0</v>
      </c>
      <c r="CN285" s="580">
        <v>3.5379999999999998</v>
      </c>
      <c r="CO285" s="198" t="s">
        <v>470</v>
      </c>
      <c r="CP285" s="198" t="s">
        <v>470</v>
      </c>
      <c r="CQ285" s="570">
        <v>0.32</v>
      </c>
      <c r="CR285" s="580">
        <v>1085.152</v>
      </c>
      <c r="CS285" s="137" t="s">
        <v>2868</v>
      </c>
      <c r="CT285" s="198" t="s">
        <v>470</v>
      </c>
      <c r="CU285" s="198" t="s">
        <v>470</v>
      </c>
      <c r="CV285" s="198" t="s">
        <v>470</v>
      </c>
      <c r="CW285" s="198" t="s">
        <v>470</v>
      </c>
      <c r="CX285" s="198" t="s">
        <v>470</v>
      </c>
      <c r="CY285" s="198" t="s">
        <v>470</v>
      </c>
      <c r="CZ285" s="83">
        <v>2</v>
      </c>
      <c r="DA285" s="198" t="s">
        <v>470</v>
      </c>
      <c r="DB285" s="198" t="s">
        <v>470</v>
      </c>
      <c r="DC285" s="198" t="s">
        <v>470</v>
      </c>
      <c r="DD285" s="198" t="s">
        <v>479</v>
      </c>
      <c r="DE285" s="198" t="s">
        <v>2869</v>
      </c>
      <c r="DF285" s="83">
        <v>184</v>
      </c>
      <c r="DG285" s="83" t="s">
        <v>470</v>
      </c>
      <c r="DH285" s="83" t="s">
        <v>470</v>
      </c>
      <c r="DI285" s="83" t="s">
        <v>470</v>
      </c>
      <c r="DJ285" s="83" t="s">
        <v>470</v>
      </c>
      <c r="DK285" s="83" t="s">
        <v>470</v>
      </c>
      <c r="DL285" s="83" t="s">
        <v>470</v>
      </c>
      <c r="DM285" s="198" t="s">
        <v>470</v>
      </c>
      <c r="DN285" s="198" t="s">
        <v>470</v>
      </c>
      <c r="DO285" s="83" t="s">
        <v>470</v>
      </c>
      <c r="DP285" s="198" t="s">
        <v>470</v>
      </c>
      <c r="DQ285" s="198" t="s">
        <v>470</v>
      </c>
      <c r="DR285" s="83" t="s">
        <v>470</v>
      </c>
      <c r="DS285" s="198" t="s">
        <v>470</v>
      </c>
      <c r="DT285" s="198" t="s">
        <v>470</v>
      </c>
      <c r="DU285" s="83" t="s">
        <v>470</v>
      </c>
      <c r="DV285" s="198" t="s">
        <v>470</v>
      </c>
      <c r="DW285" s="198" t="s">
        <v>470</v>
      </c>
      <c r="DX285" s="83" t="s">
        <v>470</v>
      </c>
      <c r="DY285" s="198" t="s">
        <v>470</v>
      </c>
      <c r="DZ285" s="198" t="s">
        <v>470</v>
      </c>
      <c r="EA285" s="83" t="s">
        <v>470</v>
      </c>
      <c r="EB285" s="198" t="s">
        <v>479</v>
      </c>
      <c r="EC285" s="198" t="s">
        <v>2870</v>
      </c>
      <c r="ED285" s="83">
        <v>184</v>
      </c>
      <c r="EE285" s="83" t="s">
        <v>470</v>
      </c>
      <c r="EF285" s="83" t="s">
        <v>470</v>
      </c>
      <c r="EG285" s="83" t="s">
        <v>470</v>
      </c>
      <c r="EH285" s="198" t="s">
        <v>470</v>
      </c>
      <c r="EI285" s="198" t="s">
        <v>470</v>
      </c>
      <c r="EJ285" s="83" t="s">
        <v>470</v>
      </c>
      <c r="EK285" s="198" t="s">
        <v>470</v>
      </c>
      <c r="EL285" s="198" t="s">
        <v>470</v>
      </c>
      <c r="EM285" s="83" t="s">
        <v>470</v>
      </c>
      <c r="EN285" s="198" t="s">
        <v>479</v>
      </c>
      <c r="EO285" s="198" t="s">
        <v>2871</v>
      </c>
      <c r="EP285" s="198">
        <v>6</v>
      </c>
      <c r="EQ285" s="198" t="s">
        <v>470</v>
      </c>
      <c r="ER285" s="198" t="s">
        <v>470</v>
      </c>
      <c r="ES285" s="198" t="s">
        <v>470</v>
      </c>
      <c r="ET285" s="198" t="s">
        <v>470</v>
      </c>
      <c r="EU285" s="198" t="s">
        <v>470</v>
      </c>
      <c r="EV285" s="198" t="s">
        <v>470</v>
      </c>
      <c r="EW285" s="198" t="s">
        <v>2872</v>
      </c>
      <c r="EX285" s="198" t="s">
        <v>2873</v>
      </c>
      <c r="EY285" s="505">
        <v>11</v>
      </c>
      <c r="EZ285" s="198" t="s">
        <v>470</v>
      </c>
      <c r="FA285" s="198" t="s">
        <v>470</v>
      </c>
      <c r="FB285" s="549" t="s">
        <v>2874</v>
      </c>
      <c r="FC285" s="198" t="s">
        <v>470</v>
      </c>
      <c r="FD285" s="198" t="s">
        <v>470</v>
      </c>
      <c r="FE285" s="198" t="s">
        <v>470</v>
      </c>
      <c r="FF285" s="198" t="s">
        <v>470</v>
      </c>
      <c r="FG285" s="198" t="s">
        <v>656</v>
      </c>
      <c r="FH285" s="198" t="s">
        <v>656</v>
      </c>
      <c r="FI285" s="198" t="s">
        <v>656</v>
      </c>
      <c r="FJ285" s="198" t="s">
        <v>2875</v>
      </c>
      <c r="FK285" s="570" t="s">
        <v>2876</v>
      </c>
      <c r="FL285" s="549" t="s">
        <v>2877</v>
      </c>
      <c r="FM285" s="198"/>
      <c r="FN285" s="198"/>
      <c r="FO285" s="198"/>
    </row>
    <row r="286" spans="5:171" ht="104" customHeight="1" x14ac:dyDescent="0.2">
      <c r="E286" s="94" t="s">
        <v>9302</v>
      </c>
      <c r="F286" s="94" t="s">
        <v>9120</v>
      </c>
      <c r="G286" s="198" t="s">
        <v>348</v>
      </c>
      <c r="H286" s="198" t="s">
        <v>433</v>
      </c>
      <c r="I286" s="198"/>
      <c r="J286" s="198" t="s">
        <v>2600</v>
      </c>
      <c r="K286" s="198" t="s">
        <v>2601</v>
      </c>
      <c r="L286" s="578">
        <v>2017</v>
      </c>
      <c r="M286" s="822">
        <v>44440</v>
      </c>
      <c r="N286" s="822">
        <v>44926</v>
      </c>
      <c r="O286" s="198" t="s">
        <v>2602</v>
      </c>
      <c r="P286" s="198" t="s">
        <v>2603</v>
      </c>
      <c r="Q286" s="549" t="s">
        <v>2604</v>
      </c>
      <c r="R286" s="198" t="s">
        <v>2605</v>
      </c>
      <c r="S286" s="549" t="s">
        <v>2606</v>
      </c>
      <c r="T286" s="198" t="s">
        <v>2607</v>
      </c>
      <c r="U286" s="549" t="s">
        <v>2608</v>
      </c>
      <c r="V286" s="198" t="s">
        <v>2609</v>
      </c>
      <c r="W286" s="549" t="s">
        <v>2610</v>
      </c>
      <c r="X286" s="198" t="s">
        <v>2611</v>
      </c>
      <c r="Y286" s="549" t="s">
        <v>2612</v>
      </c>
      <c r="Z286" s="549"/>
      <c r="AA286" s="549"/>
      <c r="AB286" s="549"/>
      <c r="AC286" s="549"/>
      <c r="AD286" s="549"/>
      <c r="AE286" s="549"/>
      <c r="AF286" s="549"/>
      <c r="AG286" s="549"/>
      <c r="AH286" s="198" t="s">
        <v>2613</v>
      </c>
      <c r="AI286" s="198" t="s">
        <v>2614</v>
      </c>
      <c r="AJ286" s="198" t="s">
        <v>504</v>
      </c>
      <c r="AK286" s="198" t="s">
        <v>2615</v>
      </c>
      <c r="AL286" s="580">
        <f t="shared" si="26"/>
        <v>340.75000000000006</v>
      </c>
      <c r="AM286" s="504">
        <v>340.75000000000006</v>
      </c>
      <c r="AN286" s="516">
        <v>231.5</v>
      </c>
      <c r="AO286" s="137">
        <f>AN286/$AN$6</f>
        <v>17.340823970037455</v>
      </c>
      <c r="AP286" s="137">
        <f>AN286/333467.979</f>
        <v>6.9421957902590702E-4</v>
      </c>
      <c r="AQ286" s="504">
        <v>59.3</v>
      </c>
      <c r="AR286" s="137">
        <f>AQ286/$AN$6</f>
        <v>4.4419475655430709</v>
      </c>
      <c r="AS286" s="137"/>
      <c r="AT286" s="520">
        <v>23.85</v>
      </c>
      <c r="AU286" s="137">
        <f>AT286/$AN$6</f>
        <v>1.7865168539325844</v>
      </c>
      <c r="AV286" s="520">
        <v>26.1</v>
      </c>
      <c r="AW286" s="137">
        <f>AV286/$AN$6</f>
        <v>1.955056179775281</v>
      </c>
      <c r="AX286" s="520"/>
      <c r="AY286" s="137" t="s">
        <v>470</v>
      </c>
      <c r="AZ286" s="580"/>
      <c r="BA286" s="137" t="s">
        <v>470</v>
      </c>
      <c r="BB286" s="137" t="s">
        <v>470</v>
      </c>
      <c r="BC286" s="137" t="s">
        <v>470</v>
      </c>
      <c r="BD286" s="137" t="s">
        <v>470</v>
      </c>
      <c r="BE286" s="198" t="s">
        <v>540</v>
      </c>
      <c r="BF286" s="198" t="s">
        <v>2616</v>
      </c>
      <c r="BG286" s="549" t="s">
        <v>2617</v>
      </c>
      <c r="BH286" s="198" t="s">
        <v>470</v>
      </c>
      <c r="BI286" s="520">
        <v>250</v>
      </c>
      <c r="BJ286" s="137">
        <f>BI286/296527.127</f>
        <v>8.4309318519785884E-4</v>
      </c>
      <c r="BK286" s="83">
        <v>217</v>
      </c>
      <c r="BL286" s="83">
        <v>403</v>
      </c>
      <c r="BM286" s="83">
        <v>190</v>
      </c>
      <c r="BN286" s="83">
        <v>25</v>
      </c>
      <c r="BO286" s="83">
        <v>41</v>
      </c>
      <c r="BP286" s="83">
        <v>3</v>
      </c>
      <c r="BQ286" s="83">
        <v>1</v>
      </c>
      <c r="BR286" s="83">
        <v>0</v>
      </c>
      <c r="BS286" s="83">
        <v>10</v>
      </c>
      <c r="BT286" s="83">
        <v>0</v>
      </c>
      <c r="BU286" s="83">
        <v>9</v>
      </c>
      <c r="BV286" s="83">
        <v>21</v>
      </c>
      <c r="BW286" s="83">
        <v>7</v>
      </c>
      <c r="BX286" s="83">
        <v>24</v>
      </c>
      <c r="BY286" s="83">
        <v>20</v>
      </c>
      <c r="BZ286" s="83">
        <v>20</v>
      </c>
      <c r="CA286" s="83">
        <v>8</v>
      </c>
      <c r="CB286" s="83">
        <v>0</v>
      </c>
      <c r="CC286" s="83">
        <v>0</v>
      </c>
      <c r="CD286" s="83">
        <v>0</v>
      </c>
      <c r="CE286" s="83">
        <v>0</v>
      </c>
      <c r="CF286" s="83">
        <v>0</v>
      </c>
      <c r="CG286" s="83">
        <v>0</v>
      </c>
      <c r="CH286" s="83">
        <v>0</v>
      </c>
      <c r="CI286" s="83">
        <v>0</v>
      </c>
      <c r="CJ286" s="83">
        <v>0</v>
      </c>
      <c r="CK286" s="83">
        <v>1</v>
      </c>
      <c r="CL286" s="824">
        <f t="shared" si="28"/>
        <v>190</v>
      </c>
      <c r="CM286" s="824">
        <f t="shared" si="27"/>
        <v>0</v>
      </c>
      <c r="CN286" s="580">
        <v>418.30500000000001</v>
      </c>
      <c r="CO286" s="198" t="s">
        <v>2618</v>
      </c>
      <c r="CP286" s="549" t="s">
        <v>2619</v>
      </c>
      <c r="CQ286" s="137">
        <f>CN286/CR286</f>
        <v>9.7999755882082137E-2</v>
      </c>
      <c r="CR286" s="580">
        <v>4268.4290000000001</v>
      </c>
      <c r="CS286" s="137" t="s">
        <v>2620</v>
      </c>
      <c r="CT286" s="198" t="s">
        <v>539</v>
      </c>
      <c r="CU286" s="198" t="s">
        <v>2621</v>
      </c>
      <c r="CV286" s="198" t="s">
        <v>2622</v>
      </c>
      <c r="CW286" s="198" t="s">
        <v>2613</v>
      </c>
      <c r="CX286" s="83" t="s">
        <v>470</v>
      </c>
      <c r="CY286" s="83" t="s">
        <v>470</v>
      </c>
      <c r="CZ286" s="83">
        <v>10</v>
      </c>
      <c r="DA286" s="198" t="s">
        <v>479</v>
      </c>
      <c r="DB286" s="198" t="s">
        <v>2623</v>
      </c>
      <c r="DC286" s="83">
        <v>1500</v>
      </c>
      <c r="DD286" s="198" t="s">
        <v>540</v>
      </c>
      <c r="DE286" s="198" t="s">
        <v>2624</v>
      </c>
      <c r="DF286" s="83">
        <v>14000</v>
      </c>
      <c r="DG286" s="83" t="s">
        <v>540</v>
      </c>
      <c r="DH286" s="83" t="s">
        <v>2625</v>
      </c>
      <c r="DI286" s="83">
        <v>2382</v>
      </c>
      <c r="DJ286" s="83" t="s">
        <v>470</v>
      </c>
      <c r="DK286" s="83" t="s">
        <v>470</v>
      </c>
      <c r="DL286" s="83" t="s">
        <v>470</v>
      </c>
      <c r="DM286" s="198" t="s">
        <v>479</v>
      </c>
      <c r="DN286" s="198" t="s">
        <v>2626</v>
      </c>
      <c r="DO286" s="83">
        <v>1200</v>
      </c>
      <c r="DP286" s="198" t="s">
        <v>540</v>
      </c>
      <c r="DQ286" s="198" t="s">
        <v>2627</v>
      </c>
      <c r="DR286" s="83">
        <v>5000</v>
      </c>
      <c r="DS286" s="198" t="s">
        <v>540</v>
      </c>
      <c r="DT286" s="198" t="s">
        <v>2628</v>
      </c>
      <c r="DU286" s="83" t="s">
        <v>2629</v>
      </c>
      <c r="DV286" s="198" t="s">
        <v>2630</v>
      </c>
      <c r="DW286" s="198" t="s">
        <v>2631</v>
      </c>
      <c r="DX286" s="83">
        <v>352</v>
      </c>
      <c r="DY286" s="198" t="s">
        <v>470</v>
      </c>
      <c r="DZ286" s="198" t="s">
        <v>470</v>
      </c>
      <c r="EA286" s="198" t="s">
        <v>470</v>
      </c>
      <c r="EB286" s="198" t="s">
        <v>540</v>
      </c>
      <c r="EC286" s="198" t="s">
        <v>2632</v>
      </c>
      <c r="ED286" s="83">
        <v>45756</v>
      </c>
      <c r="EE286" s="83" t="s">
        <v>540</v>
      </c>
      <c r="EF286" s="83" t="s">
        <v>2625</v>
      </c>
      <c r="EG286" s="83">
        <v>2382</v>
      </c>
      <c r="EH286" s="198" t="s">
        <v>470</v>
      </c>
      <c r="EI286" s="198" t="s">
        <v>470</v>
      </c>
      <c r="EJ286" s="83" t="s">
        <v>470</v>
      </c>
      <c r="EK286" s="198" t="s">
        <v>470</v>
      </c>
      <c r="EL286" s="198" t="s">
        <v>470</v>
      </c>
      <c r="EM286" s="83" t="s">
        <v>470</v>
      </c>
      <c r="EN286" s="198" t="s">
        <v>540</v>
      </c>
      <c r="EO286" s="198" t="s">
        <v>2633</v>
      </c>
      <c r="EP286" s="83">
        <v>25</v>
      </c>
      <c r="EQ286" s="198" t="s">
        <v>470</v>
      </c>
      <c r="ER286" s="198" t="s">
        <v>470</v>
      </c>
      <c r="ES286" s="83" t="s">
        <v>470</v>
      </c>
      <c r="ET286" s="198" t="s">
        <v>470</v>
      </c>
      <c r="EU286" s="198" t="s">
        <v>470</v>
      </c>
      <c r="EV286" s="83" t="s">
        <v>470</v>
      </c>
      <c r="EW286" s="837">
        <v>1</v>
      </c>
      <c r="EX286" s="198" t="s">
        <v>2634</v>
      </c>
      <c r="EY286" s="505">
        <v>173</v>
      </c>
      <c r="EZ286" s="198" t="s">
        <v>539</v>
      </c>
      <c r="FA286" s="198" t="s">
        <v>2635</v>
      </c>
      <c r="FB286" s="549" t="s">
        <v>2636</v>
      </c>
      <c r="FC286" s="549" t="s">
        <v>2637</v>
      </c>
      <c r="FD286" s="549" t="s">
        <v>2638</v>
      </c>
      <c r="FE286" s="198" t="s">
        <v>9638</v>
      </c>
      <c r="FF286" s="198" t="s">
        <v>2639</v>
      </c>
      <c r="FG286" s="198" t="s">
        <v>2640</v>
      </c>
      <c r="FH286" s="198">
        <v>2</v>
      </c>
      <c r="FI286" s="198">
        <v>1700</v>
      </c>
      <c r="FJ286" s="198" t="s">
        <v>2641</v>
      </c>
      <c r="FK286" s="198" t="s">
        <v>2642</v>
      </c>
      <c r="FL286" s="549" t="s">
        <v>2643</v>
      </c>
      <c r="FM286" s="198" t="s">
        <v>470</v>
      </c>
      <c r="FN286" s="198" t="s">
        <v>470</v>
      </c>
      <c r="FO286" s="198" t="s">
        <v>470</v>
      </c>
    </row>
    <row r="287" spans="5:171" ht="104" customHeight="1" x14ac:dyDescent="0.2">
      <c r="E287" s="94" t="s">
        <v>9303</v>
      </c>
      <c r="F287" s="94" t="s">
        <v>9120</v>
      </c>
      <c r="G287" s="198" t="s">
        <v>348</v>
      </c>
      <c r="H287" s="198" t="s">
        <v>433</v>
      </c>
      <c r="I287" s="198"/>
      <c r="J287" s="198" t="s">
        <v>3312</v>
      </c>
      <c r="K287" s="198" t="s">
        <v>3312</v>
      </c>
      <c r="L287" s="578">
        <v>2020</v>
      </c>
      <c r="M287" s="1024">
        <v>44835</v>
      </c>
      <c r="N287" s="1024">
        <v>44866</v>
      </c>
      <c r="O287" s="198" t="s">
        <v>3313</v>
      </c>
      <c r="P287" s="198" t="s">
        <v>3314</v>
      </c>
      <c r="Q287" s="198" t="s">
        <v>3315</v>
      </c>
      <c r="R287" s="198"/>
      <c r="S287" s="198"/>
      <c r="T287" s="198"/>
      <c r="U287" s="198"/>
      <c r="V287" s="198"/>
      <c r="W287" s="198"/>
      <c r="X287" s="198"/>
      <c r="Y287" s="198"/>
      <c r="Z287" s="198"/>
      <c r="AA287" s="198"/>
      <c r="AB287" s="198"/>
      <c r="AC287" s="198"/>
      <c r="AD287" s="198"/>
      <c r="AE287" s="198"/>
      <c r="AF287" s="198"/>
      <c r="AG287" s="198"/>
      <c r="AH287" s="198" t="s">
        <v>3316</v>
      </c>
      <c r="AI287" s="198" t="s">
        <v>3316</v>
      </c>
      <c r="AJ287" s="198" t="s">
        <v>477</v>
      </c>
      <c r="AK287" s="198" t="s">
        <v>3317</v>
      </c>
      <c r="AL287" s="580">
        <f t="shared" si="26"/>
        <v>76.11777201000001</v>
      </c>
      <c r="AM287" s="504">
        <v>76.11777201000001</v>
      </c>
      <c r="AN287" s="516">
        <f>(5409274.42+11584624.66)/1000000</f>
        <v>16.993899079999998</v>
      </c>
      <c r="AO287" s="137">
        <f>(AN287/((59568308.21+16549463.8)/1000000))</f>
        <v>0.22325796763688008</v>
      </c>
      <c r="AP287" s="825">
        <f>AN287/322607.16</f>
        <v>5.2676757329254567E-5</v>
      </c>
      <c r="AQ287" s="504">
        <f>(627010.67+165494.64)/1000000</f>
        <v>0.79250531000000002</v>
      </c>
      <c r="AR287" s="137">
        <f>AQ287/((59568308.21+16549463.8)/1000000)</f>
        <v>1.0411567352442794E-2</v>
      </c>
      <c r="AS287" s="137"/>
      <c r="AT287" s="520"/>
      <c r="AU287" s="137"/>
      <c r="AV287" s="520"/>
      <c r="AW287" s="137"/>
      <c r="AX287" s="520">
        <f>(20303623.12+4799344.5)/1000000</f>
        <v>25.102967620000001</v>
      </c>
      <c r="AY287" s="137">
        <f>AX287/((59568308.21+16549463.8)/1000000)</f>
        <v>0.32979115070133802</v>
      </c>
      <c r="AZ287" s="198">
        <v>33.228400000000001</v>
      </c>
      <c r="BA287" s="137">
        <f>AZ287/((59568308.21+16549463.8)/1000000)</f>
        <v>0.43653931430933901</v>
      </c>
      <c r="BB287" s="198" t="s">
        <v>3318</v>
      </c>
      <c r="BC287" s="198" t="s">
        <v>875</v>
      </c>
      <c r="BD287" s="198" t="s">
        <v>3316</v>
      </c>
      <c r="BE287" s="198" t="s">
        <v>479</v>
      </c>
      <c r="BF287" s="198" t="s">
        <v>3319</v>
      </c>
      <c r="BG287" s="198" t="s">
        <v>3315</v>
      </c>
      <c r="BH287" s="198"/>
      <c r="BI287" s="198">
        <f>6049530.23/1000000</f>
        <v>6.0495302300000002</v>
      </c>
      <c r="BJ287" s="825">
        <f>BI287/295516.347</f>
        <v>2.0471051065070183E-5</v>
      </c>
      <c r="BK287" s="83"/>
      <c r="BL287" s="83">
        <v>28</v>
      </c>
      <c r="BM287" s="83">
        <v>28</v>
      </c>
      <c r="BN287" s="83" t="s">
        <v>656</v>
      </c>
      <c r="BO287" s="83">
        <v>7</v>
      </c>
      <c r="BP287" s="83">
        <v>2</v>
      </c>
      <c r="BQ287" s="83"/>
      <c r="BR287" s="83">
        <v>1</v>
      </c>
      <c r="BS287" s="83">
        <v>1</v>
      </c>
      <c r="BT287" s="83"/>
      <c r="BU287" s="83"/>
      <c r="BV287" s="83">
        <v>2</v>
      </c>
      <c r="BW287" s="83"/>
      <c r="BX287" s="83">
        <v>2</v>
      </c>
      <c r="BY287" s="83">
        <v>9</v>
      </c>
      <c r="BZ287" s="83"/>
      <c r="CA287" s="83">
        <v>1</v>
      </c>
      <c r="CB287" s="83"/>
      <c r="CC287" s="83">
        <v>2</v>
      </c>
      <c r="CD287" s="83"/>
      <c r="CE287" s="83" t="s">
        <v>656</v>
      </c>
      <c r="CF287" s="83">
        <v>0</v>
      </c>
      <c r="CG287" s="83" t="s">
        <v>656</v>
      </c>
      <c r="CH287" s="83" t="s">
        <v>656</v>
      </c>
      <c r="CI287" s="83" t="s">
        <v>656</v>
      </c>
      <c r="CJ287" s="83" t="s">
        <v>656</v>
      </c>
      <c r="CK287" s="83">
        <v>1</v>
      </c>
      <c r="CL287" s="824">
        <f t="shared" si="28"/>
        <v>28</v>
      </c>
      <c r="CM287" s="824">
        <f t="shared" si="27"/>
        <v>0</v>
      </c>
      <c r="CN287" s="580">
        <v>80.361999999999995</v>
      </c>
      <c r="CO287" s="198" t="s">
        <v>3320</v>
      </c>
      <c r="CP287" s="198"/>
      <c r="CQ287" s="137">
        <f>CN287/CR287</f>
        <v>2.5395780031753412E-2</v>
      </c>
      <c r="CR287" s="580">
        <v>3164.384</v>
      </c>
      <c r="CS287" s="137" t="s">
        <v>3321</v>
      </c>
      <c r="CT287" s="198" t="s">
        <v>470</v>
      </c>
      <c r="CU287" s="198"/>
      <c r="CV287" s="198"/>
      <c r="CW287" s="198"/>
      <c r="CX287" s="83"/>
      <c r="CY287" s="83"/>
      <c r="CZ287" s="83"/>
      <c r="DA287" s="198" t="s">
        <v>470</v>
      </c>
      <c r="DB287" s="198"/>
      <c r="DC287" s="83"/>
      <c r="DD287" s="198" t="s">
        <v>470</v>
      </c>
      <c r="DE287" s="198"/>
      <c r="DF287" s="83"/>
      <c r="DG287" s="198" t="s">
        <v>470</v>
      </c>
      <c r="DH287" s="83"/>
      <c r="DI287" s="83"/>
      <c r="DJ287" s="198" t="s">
        <v>470</v>
      </c>
      <c r="DK287" s="83"/>
      <c r="DL287" s="83"/>
      <c r="DM287" s="198" t="s">
        <v>470</v>
      </c>
      <c r="DN287" s="198"/>
      <c r="DO287" s="83"/>
      <c r="DP287" s="198" t="s">
        <v>470</v>
      </c>
      <c r="DQ287" s="198"/>
      <c r="DR287" s="83"/>
      <c r="DS287" s="198" t="s">
        <v>470</v>
      </c>
      <c r="DT287" s="198"/>
      <c r="DU287" s="83"/>
      <c r="DV287" s="198"/>
      <c r="DW287" s="198"/>
      <c r="DX287" s="83"/>
      <c r="DY287" s="198" t="s">
        <v>470</v>
      </c>
      <c r="DZ287" s="198"/>
      <c r="EA287" s="83"/>
      <c r="EB287" s="198" t="s">
        <v>479</v>
      </c>
      <c r="EC287" s="198" t="s">
        <v>3322</v>
      </c>
      <c r="ED287" s="83" t="s">
        <v>3323</v>
      </c>
      <c r="EE287" s="83" t="s">
        <v>479</v>
      </c>
      <c r="EF287" s="83" t="s">
        <v>3324</v>
      </c>
      <c r="EG287" s="83" t="s">
        <v>3323</v>
      </c>
      <c r="EH287" s="198" t="s">
        <v>470</v>
      </c>
      <c r="EI287" s="198"/>
      <c r="EJ287" s="83"/>
      <c r="EK287" s="198" t="s">
        <v>470</v>
      </c>
      <c r="EL287" s="198"/>
      <c r="EM287" s="83"/>
      <c r="EN287" s="198" t="s">
        <v>470</v>
      </c>
      <c r="EO287" s="198"/>
      <c r="EP287" s="83"/>
      <c r="EQ287" s="83" t="s">
        <v>470</v>
      </c>
      <c r="ER287" s="83"/>
      <c r="ES287" s="83"/>
      <c r="ET287" s="198" t="s">
        <v>3325</v>
      </c>
      <c r="EU287" s="198" t="s">
        <v>3326</v>
      </c>
      <c r="EV287" s="83"/>
      <c r="EW287" s="198" t="s">
        <v>3327</v>
      </c>
      <c r="EX287" s="198" t="s">
        <v>3328</v>
      </c>
      <c r="EY287" s="505">
        <v>22</v>
      </c>
      <c r="EZ287" s="198" t="s">
        <v>470</v>
      </c>
      <c r="FA287" s="198"/>
      <c r="FB287" s="198" t="s">
        <v>3329</v>
      </c>
      <c r="FC287" s="198"/>
      <c r="FD287" s="198"/>
      <c r="FE287" s="198" t="s">
        <v>3330</v>
      </c>
      <c r="FF287" s="198"/>
      <c r="FG287" s="198"/>
      <c r="FH287" s="198"/>
      <c r="FI287" s="198"/>
      <c r="FJ287" s="198" t="s">
        <v>3331</v>
      </c>
      <c r="FK287" s="198" t="s">
        <v>3332</v>
      </c>
      <c r="FL287" s="198" t="s">
        <v>3333</v>
      </c>
      <c r="FM287" s="198"/>
      <c r="FN287" s="198"/>
      <c r="FO287" s="198"/>
    </row>
    <row r="288" spans="5:171" ht="30" customHeight="1" x14ac:dyDescent="0.2">
      <c r="E288" s="94" t="s">
        <v>9302</v>
      </c>
      <c r="F288" s="94" t="s">
        <v>9121</v>
      </c>
      <c r="G288" s="97" t="s">
        <v>348</v>
      </c>
      <c r="H288" s="97" t="s">
        <v>433</v>
      </c>
      <c r="I288" s="97" t="s">
        <v>8716</v>
      </c>
      <c r="J288" s="97" t="s">
        <v>8380</v>
      </c>
      <c r="K288" s="97" t="s">
        <v>8380</v>
      </c>
      <c r="L288" s="502">
        <v>2013</v>
      </c>
      <c r="M288" s="841">
        <v>44734</v>
      </c>
      <c r="N288" s="841">
        <v>44926</v>
      </c>
      <c r="O288" s="841"/>
      <c r="P288" s="841"/>
      <c r="Q288" s="841"/>
      <c r="R288" s="841"/>
      <c r="S288" s="841"/>
      <c r="T288" s="841"/>
      <c r="U288" s="841"/>
      <c r="V288" s="841"/>
      <c r="W288" s="841"/>
      <c r="X288" s="841"/>
      <c r="Y288" s="841"/>
      <c r="Z288" s="97" t="s">
        <v>8066</v>
      </c>
      <c r="AA288" s="842" t="s">
        <v>7930</v>
      </c>
      <c r="AB288" s="97" t="s">
        <v>7789</v>
      </c>
      <c r="AC288" s="842" t="s">
        <v>7629</v>
      </c>
      <c r="AD288" s="97" t="s">
        <v>7438</v>
      </c>
      <c r="AE288" s="842" t="s">
        <v>7258</v>
      </c>
      <c r="AF288" s="97" t="s">
        <v>7141</v>
      </c>
      <c r="AG288" s="842" t="s">
        <v>7072</v>
      </c>
      <c r="AH288" s="97" t="s">
        <v>6975</v>
      </c>
      <c r="AI288" s="97" t="s">
        <v>6814</v>
      </c>
      <c r="AJ288" s="97" t="s">
        <v>6683</v>
      </c>
      <c r="AK288" s="97" t="s">
        <v>6461</v>
      </c>
      <c r="AL288" s="580">
        <f t="shared" si="26"/>
        <v>1.8440000000000001</v>
      </c>
      <c r="AM288" s="504">
        <v>1.8440000000000001</v>
      </c>
      <c r="AN288" s="516"/>
      <c r="AO288" s="97"/>
      <c r="AP288" s="97"/>
      <c r="AQ288" s="504">
        <v>1.8440000000000001</v>
      </c>
      <c r="AR288" s="507">
        <f t="shared" ref="AR288:AR298" si="29">AQ288/AL288</f>
        <v>1</v>
      </c>
      <c r="AS288" s="507">
        <v>2.8E-3</v>
      </c>
      <c r="AT288" s="516">
        <v>0</v>
      </c>
      <c r="AU288" s="507">
        <f t="shared" ref="AU288:AU298" si="30">AT288/AL288</f>
        <v>0</v>
      </c>
      <c r="AV288" s="516">
        <v>0</v>
      </c>
      <c r="AW288" s="507">
        <f t="shared" ref="AW288:AW298" si="31">AV288/AL288</f>
        <v>0</v>
      </c>
      <c r="AX288" s="516">
        <v>0</v>
      </c>
      <c r="AY288" s="507">
        <f t="shared" ref="AY288:AY298" si="32">AX288/AL288</f>
        <v>0</v>
      </c>
      <c r="AZ288" s="507"/>
      <c r="BA288" s="507"/>
      <c r="BB288" s="507"/>
      <c r="BC288" s="507"/>
      <c r="BD288" s="507"/>
      <c r="BE288" s="507" t="s">
        <v>470</v>
      </c>
      <c r="BF288" s="507"/>
      <c r="BG288" s="507"/>
      <c r="BH288" s="852"/>
      <c r="BI288" s="504">
        <v>1.02</v>
      </c>
      <c r="BJ288" s="507">
        <v>1.5E-3</v>
      </c>
      <c r="BK288" s="96">
        <v>32</v>
      </c>
      <c r="BL288" s="96">
        <v>32</v>
      </c>
      <c r="BM288" s="96">
        <v>22</v>
      </c>
      <c r="BN288" s="96">
        <v>0</v>
      </c>
      <c r="BO288" s="96">
        <v>0</v>
      </c>
      <c r="BP288" s="96">
        <v>0</v>
      </c>
      <c r="BQ288" s="96">
        <v>0</v>
      </c>
      <c r="BR288" s="96">
        <v>0</v>
      </c>
      <c r="BS288" s="96">
        <v>3</v>
      </c>
      <c r="BT288" s="96">
        <v>0</v>
      </c>
      <c r="BU288" s="96">
        <v>0</v>
      </c>
      <c r="BV288" s="96">
        <v>3</v>
      </c>
      <c r="BW288" s="96">
        <v>2</v>
      </c>
      <c r="BX288" s="96">
        <v>2</v>
      </c>
      <c r="BY288" s="96">
        <v>0</v>
      </c>
      <c r="BZ288" s="96">
        <v>0</v>
      </c>
      <c r="CA288" s="96">
        <v>1</v>
      </c>
      <c r="CB288" s="96">
        <v>1</v>
      </c>
      <c r="CC288" s="96">
        <v>0</v>
      </c>
      <c r="CD288" s="96">
        <v>0</v>
      </c>
      <c r="CE288" s="96">
        <v>0</v>
      </c>
      <c r="CF288" s="96">
        <v>4</v>
      </c>
      <c r="CG288" s="96">
        <v>0</v>
      </c>
      <c r="CH288" s="96">
        <v>4</v>
      </c>
      <c r="CI288" s="96">
        <v>0</v>
      </c>
      <c r="CJ288" s="96">
        <v>2</v>
      </c>
      <c r="CK288" s="96"/>
      <c r="CL288" s="815">
        <f t="shared" si="28"/>
        <v>22</v>
      </c>
      <c r="CM288" s="824">
        <f t="shared" si="27"/>
        <v>0</v>
      </c>
      <c r="CN288" s="504">
        <v>4.2</v>
      </c>
      <c r="CO288" s="97" t="s">
        <v>6080</v>
      </c>
      <c r="CP288" s="97"/>
      <c r="CQ288" s="97">
        <v>8.9441629000000002</v>
      </c>
      <c r="CR288" s="504">
        <v>46.957999999999998</v>
      </c>
      <c r="CS288" s="887" t="s">
        <v>5854</v>
      </c>
      <c r="CT288" s="97" t="s">
        <v>479</v>
      </c>
      <c r="CU288" s="97" t="s">
        <v>5795</v>
      </c>
      <c r="CV288" s="97"/>
      <c r="CW288" s="97" t="s">
        <v>5760</v>
      </c>
      <c r="CX288" s="96">
        <v>1</v>
      </c>
      <c r="CY288" s="96">
        <v>0</v>
      </c>
      <c r="CZ288" s="96">
        <v>0</v>
      </c>
      <c r="DA288" s="97" t="s">
        <v>470</v>
      </c>
      <c r="DB288" s="97"/>
      <c r="DC288" s="96"/>
      <c r="DD288" s="97" t="s">
        <v>470</v>
      </c>
      <c r="DE288" s="97"/>
      <c r="DF288" s="96"/>
      <c r="DG288" s="96" t="s">
        <v>470</v>
      </c>
      <c r="DH288" s="96"/>
      <c r="DI288" s="96"/>
      <c r="DJ288" s="96" t="s">
        <v>470</v>
      </c>
      <c r="DK288" s="96"/>
      <c r="DL288" s="96"/>
      <c r="DM288" s="97" t="s">
        <v>470</v>
      </c>
      <c r="DN288" s="97"/>
      <c r="DO288" s="96"/>
      <c r="DP288" s="97" t="s">
        <v>470</v>
      </c>
      <c r="DQ288" s="97"/>
      <c r="DR288" s="96"/>
      <c r="DS288" s="97" t="s">
        <v>470</v>
      </c>
      <c r="DT288" s="97"/>
      <c r="DU288" s="96"/>
      <c r="DV288" s="97"/>
      <c r="DW288" s="97" t="s">
        <v>5477</v>
      </c>
      <c r="DX288" s="96">
        <v>32</v>
      </c>
      <c r="DY288" s="97" t="s">
        <v>470</v>
      </c>
      <c r="DZ288" s="97"/>
      <c r="EA288" s="96"/>
      <c r="EB288" s="97" t="s">
        <v>470</v>
      </c>
      <c r="EC288" s="97"/>
      <c r="ED288" s="96"/>
      <c r="EE288" s="96" t="s">
        <v>470</v>
      </c>
      <c r="EF288" s="96"/>
      <c r="EG288" s="96"/>
      <c r="EH288" s="97" t="s">
        <v>470</v>
      </c>
      <c r="EI288" s="97"/>
      <c r="EJ288" s="96"/>
      <c r="EK288" s="97" t="s">
        <v>470</v>
      </c>
      <c r="EL288" s="97"/>
      <c r="EM288" s="96"/>
      <c r="EN288" s="97" t="s">
        <v>479</v>
      </c>
      <c r="EO288" s="842" t="s">
        <v>5337</v>
      </c>
      <c r="EP288" s="96">
        <v>32</v>
      </c>
      <c r="EQ288" s="96" t="s">
        <v>470</v>
      </c>
      <c r="ER288" s="96"/>
      <c r="ES288" s="96"/>
      <c r="ET288" s="97"/>
      <c r="EU288" s="97"/>
      <c r="EV288" s="96"/>
      <c r="EW288" s="96"/>
      <c r="EX288" s="96"/>
      <c r="EY288" s="96"/>
      <c r="EZ288" s="97" t="s">
        <v>470</v>
      </c>
      <c r="FA288" s="97"/>
      <c r="FB288" s="97" t="s">
        <v>470</v>
      </c>
      <c r="FC288" s="97"/>
      <c r="FD288" s="97" t="s">
        <v>470</v>
      </c>
      <c r="FE288" s="97" t="s">
        <v>4782</v>
      </c>
      <c r="FF288" s="97" t="s">
        <v>470</v>
      </c>
      <c r="FG288" s="97" t="s">
        <v>4617</v>
      </c>
      <c r="FH288" s="97">
        <v>5</v>
      </c>
      <c r="FI288" s="97">
        <v>123</v>
      </c>
      <c r="FJ288" s="97" t="s">
        <v>4421</v>
      </c>
      <c r="FK288" s="97" t="s">
        <v>4216</v>
      </c>
      <c r="FL288" s="842" t="s">
        <v>4018</v>
      </c>
      <c r="FM288" s="97" t="s">
        <v>3868</v>
      </c>
      <c r="FN288" s="97" t="s">
        <v>3799</v>
      </c>
      <c r="FO288" s="842" t="s">
        <v>3721</v>
      </c>
    </row>
    <row r="289" spans="5:171" ht="34" customHeight="1" x14ac:dyDescent="0.2">
      <c r="E289" s="94" t="s">
        <v>9305</v>
      </c>
      <c r="F289" s="94" t="s">
        <v>9121</v>
      </c>
      <c r="G289" s="97" t="s">
        <v>348</v>
      </c>
      <c r="H289" s="97" t="s">
        <v>433</v>
      </c>
      <c r="I289" s="97" t="s">
        <v>8715</v>
      </c>
      <c r="J289" s="97" t="s">
        <v>8517</v>
      </c>
      <c r="K289" s="97" t="s">
        <v>8379</v>
      </c>
      <c r="L289" s="502">
        <v>2021</v>
      </c>
      <c r="M289" s="841">
        <v>44732</v>
      </c>
      <c r="N289" s="841">
        <v>44920</v>
      </c>
      <c r="O289" s="841"/>
      <c r="P289" s="841"/>
      <c r="Q289" s="841"/>
      <c r="R289" s="841"/>
      <c r="S289" s="841"/>
      <c r="T289" s="841"/>
      <c r="U289" s="841"/>
      <c r="V289" s="841"/>
      <c r="W289" s="841"/>
      <c r="X289" s="841"/>
      <c r="Y289" s="841"/>
      <c r="Z289" s="97" t="s">
        <v>8065</v>
      </c>
      <c r="AA289" s="872" t="s">
        <v>7929</v>
      </c>
      <c r="AB289" s="97" t="s">
        <v>7788</v>
      </c>
      <c r="AC289" s="872" t="s">
        <v>7628</v>
      </c>
      <c r="AD289" s="97" t="s">
        <v>7437</v>
      </c>
      <c r="AE289" s="872" t="s">
        <v>7257</v>
      </c>
      <c r="AF289" s="97" t="s">
        <v>7140</v>
      </c>
      <c r="AG289" s="872" t="s">
        <v>6226</v>
      </c>
      <c r="AH289" s="97" t="s">
        <v>6974</v>
      </c>
      <c r="AI289" s="97" t="s">
        <v>6813</v>
      </c>
      <c r="AJ289" s="97" t="s">
        <v>504</v>
      </c>
      <c r="AK289" s="97" t="s">
        <v>6460</v>
      </c>
      <c r="AL289" s="580">
        <f t="shared" si="26"/>
        <v>0.53383999999999998</v>
      </c>
      <c r="AM289" s="504">
        <v>0.53383999999999998</v>
      </c>
      <c r="AN289" s="516"/>
      <c r="AO289" s="97"/>
      <c r="AP289" s="97"/>
      <c r="AQ289" s="504">
        <v>0.372</v>
      </c>
      <c r="AR289" s="507">
        <f t="shared" si="29"/>
        <v>0.69683800389629857</v>
      </c>
      <c r="AS289" s="507">
        <v>4.4999999999999999E-4</v>
      </c>
      <c r="AT289" s="516">
        <v>0</v>
      </c>
      <c r="AU289" s="507">
        <f t="shared" si="30"/>
        <v>0</v>
      </c>
      <c r="AV289" s="516">
        <v>3.8400000000000001E-3</v>
      </c>
      <c r="AW289" s="507">
        <f t="shared" si="31"/>
        <v>7.1931664918327594E-3</v>
      </c>
      <c r="AX289" s="516">
        <v>0.158</v>
      </c>
      <c r="AY289" s="507">
        <f t="shared" si="32"/>
        <v>0.29596882961186871</v>
      </c>
      <c r="AZ289" s="507"/>
      <c r="BA289" s="507"/>
      <c r="BB289" s="507"/>
      <c r="BC289" s="507"/>
      <c r="BD289" s="507"/>
      <c r="BE289" s="507" t="s">
        <v>479</v>
      </c>
      <c r="BF289" s="507" t="s">
        <v>6290</v>
      </c>
      <c r="BG289" s="888" t="s">
        <v>6226</v>
      </c>
      <c r="BH289" s="507" t="s">
        <v>3154</v>
      </c>
      <c r="BI289" s="504">
        <v>0.35</v>
      </c>
      <c r="BJ289" s="507">
        <v>6.0999999999999997E-4</v>
      </c>
      <c r="BK289" s="96">
        <v>6</v>
      </c>
      <c r="BL289" s="96">
        <v>4</v>
      </c>
      <c r="BM289" s="96">
        <v>4</v>
      </c>
      <c r="BN289" s="96"/>
      <c r="BO289" s="96"/>
      <c r="BP289" s="96"/>
      <c r="BQ289" s="96"/>
      <c r="BR289" s="96"/>
      <c r="BS289" s="96"/>
      <c r="BT289" s="96"/>
      <c r="BU289" s="96"/>
      <c r="BV289" s="96">
        <v>3</v>
      </c>
      <c r="BW289" s="96"/>
      <c r="BX289" s="96"/>
      <c r="BY289" s="96"/>
      <c r="BZ289" s="96"/>
      <c r="CA289" s="96"/>
      <c r="CB289" s="96"/>
      <c r="CC289" s="96"/>
      <c r="CD289" s="96"/>
      <c r="CE289" s="96"/>
      <c r="CF289" s="96">
        <v>2</v>
      </c>
      <c r="CG289" s="96"/>
      <c r="CH289" s="96"/>
      <c r="CI289" s="96">
        <v>1</v>
      </c>
      <c r="CJ289" s="96"/>
      <c r="CK289" s="96"/>
      <c r="CL289" s="815">
        <f t="shared" si="28"/>
        <v>6</v>
      </c>
      <c r="CM289" s="824">
        <f t="shared" si="27"/>
        <v>0</v>
      </c>
      <c r="CN289" s="504">
        <v>0.41199999999999998</v>
      </c>
      <c r="CO289" s="97" t="s">
        <v>6079</v>
      </c>
      <c r="CP289" s="97" t="s">
        <v>1924</v>
      </c>
      <c r="CQ289" s="507">
        <f>CN289/CR289</f>
        <v>1.4593886153519179E-2</v>
      </c>
      <c r="CR289" s="504">
        <v>28.231000000000002</v>
      </c>
      <c r="CS289" s="888" t="s">
        <v>5853</v>
      </c>
      <c r="CT289" s="97" t="s">
        <v>470</v>
      </c>
      <c r="CU289" s="97"/>
      <c r="CV289" s="97"/>
      <c r="CW289" s="97"/>
      <c r="CX289" s="96"/>
      <c r="CY289" s="96"/>
      <c r="CZ289" s="96">
        <v>2</v>
      </c>
      <c r="DA289" s="97" t="s">
        <v>470</v>
      </c>
      <c r="DB289" s="97"/>
      <c r="DC289" s="96"/>
      <c r="DD289" s="97" t="s">
        <v>479</v>
      </c>
      <c r="DE289" s="97" t="s">
        <v>5621</v>
      </c>
      <c r="DF289" s="96" t="s">
        <v>5580</v>
      </c>
      <c r="DG289" s="96" t="s">
        <v>470</v>
      </c>
      <c r="DH289" s="96"/>
      <c r="DI289" s="96"/>
      <c r="DJ289" s="96" t="s">
        <v>470</v>
      </c>
      <c r="DK289" s="96"/>
      <c r="DL289" s="96"/>
      <c r="DM289" s="97" t="s">
        <v>470</v>
      </c>
      <c r="DN289" s="97"/>
      <c r="DO289" s="96"/>
      <c r="DP289" s="97" t="s">
        <v>470</v>
      </c>
      <c r="DQ289" s="97"/>
      <c r="DR289" s="96"/>
      <c r="DS289" s="97" t="s">
        <v>470</v>
      </c>
      <c r="DT289" s="97"/>
      <c r="DU289" s="96"/>
      <c r="DV289" s="97" t="s">
        <v>470</v>
      </c>
      <c r="DW289" s="97"/>
      <c r="DX289" s="96"/>
      <c r="DY289" s="97" t="s">
        <v>470</v>
      </c>
      <c r="DZ289" s="97"/>
      <c r="EA289" s="96"/>
      <c r="EB289" s="97" t="s">
        <v>470</v>
      </c>
      <c r="EC289" s="97"/>
      <c r="ED289" s="96"/>
      <c r="EE289" s="96" t="s">
        <v>470</v>
      </c>
      <c r="EF289" s="96"/>
      <c r="EG289" s="96"/>
      <c r="EH289" s="97" t="s">
        <v>470</v>
      </c>
      <c r="EI289" s="97"/>
      <c r="EJ289" s="96"/>
      <c r="EK289" s="97" t="s">
        <v>470</v>
      </c>
      <c r="EL289" s="97"/>
      <c r="EM289" s="96"/>
      <c r="EN289" s="97" t="s">
        <v>470</v>
      </c>
      <c r="EO289" s="97"/>
      <c r="EP289" s="96"/>
      <c r="EQ289" s="97" t="s">
        <v>479</v>
      </c>
      <c r="ER289" s="97" t="s">
        <v>5290</v>
      </c>
      <c r="ES289" s="96">
        <v>9</v>
      </c>
      <c r="ET289" s="97" t="s">
        <v>470</v>
      </c>
      <c r="EU289" s="97"/>
      <c r="EV289" s="96"/>
      <c r="EW289" s="96"/>
      <c r="EX289" s="96"/>
      <c r="EY289" s="96"/>
      <c r="EZ289" s="97" t="s">
        <v>470</v>
      </c>
      <c r="FA289" s="97"/>
      <c r="FB289" s="872" t="s">
        <v>4900</v>
      </c>
      <c r="FC289" s="872" t="s">
        <v>4961</v>
      </c>
      <c r="FD289" s="872" t="s">
        <v>4900</v>
      </c>
      <c r="FE289" s="97" t="s">
        <v>4781</v>
      </c>
      <c r="FF289" s="97" t="s">
        <v>539</v>
      </c>
      <c r="FG289" s="97" t="s">
        <v>4616</v>
      </c>
      <c r="FH289" s="97">
        <v>32</v>
      </c>
      <c r="FI289" s="97">
        <v>32</v>
      </c>
      <c r="FJ289" s="97" t="s">
        <v>4420</v>
      </c>
      <c r="FK289" s="97" t="s">
        <v>4215</v>
      </c>
      <c r="FL289" s="97" t="s">
        <v>4017</v>
      </c>
      <c r="FM289" s="97" t="s">
        <v>3867</v>
      </c>
      <c r="FN289" s="97" t="s">
        <v>3798</v>
      </c>
      <c r="FO289" s="97" t="s">
        <v>3720</v>
      </c>
    </row>
    <row r="290" spans="5:171" ht="34" customHeight="1" x14ac:dyDescent="0.2">
      <c r="E290" s="94" t="s">
        <v>9302</v>
      </c>
      <c r="F290" s="94" t="s">
        <v>9121</v>
      </c>
      <c r="G290" s="97" t="s">
        <v>348</v>
      </c>
      <c r="H290" s="97" t="s">
        <v>433</v>
      </c>
      <c r="I290" s="97" t="s">
        <v>8714</v>
      </c>
      <c r="J290" s="97" t="s">
        <v>8516</v>
      </c>
      <c r="K290" s="97" t="s">
        <v>8375</v>
      </c>
      <c r="L290" s="502">
        <v>2021</v>
      </c>
      <c r="M290" s="841">
        <v>44525</v>
      </c>
      <c r="N290" s="841">
        <v>44526</v>
      </c>
      <c r="O290" s="841"/>
      <c r="P290" s="841"/>
      <c r="Q290" s="841"/>
      <c r="R290" s="841"/>
      <c r="S290" s="841"/>
      <c r="T290" s="841"/>
      <c r="U290" s="841"/>
      <c r="V290" s="841"/>
      <c r="W290" s="841"/>
      <c r="X290" s="841"/>
      <c r="Y290" s="841"/>
      <c r="Z290" s="97" t="s">
        <v>7139</v>
      </c>
      <c r="AA290" s="842" t="s">
        <v>7071</v>
      </c>
      <c r="AB290" s="97" t="s">
        <v>7787</v>
      </c>
      <c r="AC290" s="97"/>
      <c r="AD290" s="97" t="s">
        <v>7436</v>
      </c>
      <c r="AE290" s="1017" t="s">
        <v>7256</v>
      </c>
      <c r="AF290" s="97" t="s">
        <v>7139</v>
      </c>
      <c r="AG290" s="842" t="s">
        <v>7071</v>
      </c>
      <c r="AH290" s="97" t="s">
        <v>6973</v>
      </c>
      <c r="AI290" s="97" t="s">
        <v>6812</v>
      </c>
      <c r="AJ290" s="97" t="s">
        <v>6682</v>
      </c>
      <c r="AK290" s="97"/>
      <c r="AL290" s="580">
        <f t="shared" si="26"/>
        <v>2.6</v>
      </c>
      <c r="AM290" s="504">
        <v>2.6</v>
      </c>
      <c r="AN290" s="516"/>
      <c r="AO290" s="97"/>
      <c r="AP290" s="97"/>
      <c r="AQ290" s="504">
        <v>2.6</v>
      </c>
      <c r="AR290" s="507">
        <f t="shared" si="29"/>
        <v>1</v>
      </c>
      <c r="AS290" s="507">
        <v>7.0000000000000001E-3</v>
      </c>
      <c r="AT290" s="516">
        <v>0</v>
      </c>
      <c r="AU290" s="507">
        <f t="shared" si="30"/>
        <v>0</v>
      </c>
      <c r="AV290" s="516"/>
      <c r="AW290" s="507">
        <f t="shared" si="31"/>
        <v>0</v>
      </c>
      <c r="AX290" s="516"/>
      <c r="AY290" s="507">
        <f t="shared" si="32"/>
        <v>0</v>
      </c>
      <c r="AZ290" s="507"/>
      <c r="BA290" s="507"/>
      <c r="BB290" s="507"/>
      <c r="BC290" s="507"/>
      <c r="BD290" s="507"/>
      <c r="BE290" s="507"/>
      <c r="BF290" s="507"/>
      <c r="BG290" s="507"/>
      <c r="BH290" s="852"/>
      <c r="BI290" s="504">
        <v>5</v>
      </c>
      <c r="BJ290" s="507">
        <v>1.2999999999999999E-2</v>
      </c>
      <c r="BK290" s="96">
        <v>56</v>
      </c>
      <c r="BL290" s="96">
        <v>56</v>
      </c>
      <c r="BM290" s="96">
        <v>25</v>
      </c>
      <c r="BN290" s="96"/>
      <c r="BO290" s="96"/>
      <c r="BP290" s="96"/>
      <c r="BQ290" s="96"/>
      <c r="BR290" s="96"/>
      <c r="BS290" s="96"/>
      <c r="BT290" s="96"/>
      <c r="BU290" s="96"/>
      <c r="BV290" s="96">
        <v>1</v>
      </c>
      <c r="BW290" s="96"/>
      <c r="BX290" s="96">
        <v>2</v>
      </c>
      <c r="BY290" s="96">
        <v>22</v>
      </c>
      <c r="BZ290" s="96"/>
      <c r="CA290" s="96"/>
      <c r="CB290" s="96"/>
      <c r="CC290" s="96"/>
      <c r="CD290" s="96"/>
      <c r="CE290" s="96"/>
      <c r="CF290" s="96"/>
      <c r="CG290" s="96"/>
      <c r="CH290" s="96"/>
      <c r="CI290" s="96"/>
      <c r="CJ290" s="96"/>
      <c r="CK290" s="96"/>
      <c r="CL290" s="815">
        <f t="shared" si="28"/>
        <v>25</v>
      </c>
      <c r="CM290" s="824">
        <f t="shared" si="27"/>
        <v>0</v>
      </c>
      <c r="CN290" s="504">
        <v>2.1619999999999999</v>
      </c>
      <c r="CO290" s="97" t="s">
        <v>6078</v>
      </c>
      <c r="CP290" s="97"/>
      <c r="CQ290" s="97" t="e">
        <f>CN290/CS290</f>
        <v>#VALUE!</v>
      </c>
      <c r="CR290" s="504">
        <v>220.59</v>
      </c>
      <c r="CS290" s="887" t="s">
        <v>5843</v>
      </c>
      <c r="CT290" s="97" t="s">
        <v>873</v>
      </c>
      <c r="CU290" s="97"/>
      <c r="CV290" s="97"/>
      <c r="CW290" s="97"/>
      <c r="CX290" s="96"/>
      <c r="CY290" s="96"/>
      <c r="CZ290" s="96"/>
      <c r="DA290" s="97" t="s">
        <v>873</v>
      </c>
      <c r="DB290" s="97"/>
      <c r="DC290" s="96"/>
      <c r="DD290" s="97" t="s">
        <v>689</v>
      </c>
      <c r="DE290" s="97" t="s">
        <v>5268</v>
      </c>
      <c r="DF290" s="96">
        <v>2162</v>
      </c>
      <c r="DG290" s="96" t="s">
        <v>873</v>
      </c>
      <c r="DH290" s="96"/>
      <c r="DI290" s="96"/>
      <c r="DJ290" s="96" t="s">
        <v>873</v>
      </c>
      <c r="DK290" s="96"/>
      <c r="DL290" s="96"/>
      <c r="DM290" s="97" t="s">
        <v>873</v>
      </c>
      <c r="DN290" s="97"/>
      <c r="DO290" s="96"/>
      <c r="DP290" s="97" t="s">
        <v>873</v>
      </c>
      <c r="DQ290" s="97"/>
      <c r="DR290" s="96"/>
      <c r="DS290" s="97" t="s">
        <v>873</v>
      </c>
      <c r="DT290" s="97"/>
      <c r="DU290" s="96"/>
      <c r="DV290" s="97" t="s">
        <v>873</v>
      </c>
      <c r="DW290" s="97"/>
      <c r="DX290" s="96"/>
      <c r="DY290" s="97" t="s">
        <v>873</v>
      </c>
      <c r="DZ290" s="97"/>
      <c r="EA290" s="96"/>
      <c r="EB290" s="97" t="s">
        <v>689</v>
      </c>
      <c r="EC290" s="97" t="s">
        <v>5403</v>
      </c>
      <c r="ED290" s="96"/>
      <c r="EE290" s="96" t="s">
        <v>873</v>
      </c>
      <c r="EF290" s="96"/>
      <c r="EG290" s="96"/>
      <c r="EH290" s="97" t="s">
        <v>873</v>
      </c>
      <c r="EI290" s="97"/>
      <c r="EJ290" s="96"/>
      <c r="EK290" s="97" t="s">
        <v>873</v>
      </c>
      <c r="EL290" s="97"/>
      <c r="EM290" s="96"/>
      <c r="EN290" s="97" t="s">
        <v>873</v>
      </c>
      <c r="EO290" s="97"/>
      <c r="EP290" s="96"/>
      <c r="EQ290" s="96" t="s">
        <v>873</v>
      </c>
      <c r="ER290" s="96"/>
      <c r="ES290" s="96"/>
      <c r="ET290" s="97" t="s">
        <v>873</v>
      </c>
      <c r="EU290" s="97"/>
      <c r="EV290" s="96"/>
      <c r="EW290" s="96"/>
      <c r="EX290" s="96"/>
      <c r="EY290" s="96"/>
      <c r="EZ290" s="97" t="s">
        <v>873</v>
      </c>
      <c r="FA290" s="97"/>
      <c r="FB290" s="97" t="s">
        <v>873</v>
      </c>
      <c r="FC290" s="97"/>
      <c r="FD290" s="97"/>
      <c r="FE290" s="97"/>
      <c r="FF290" s="97"/>
      <c r="FG290" s="97" t="s">
        <v>873</v>
      </c>
      <c r="FH290" s="97"/>
      <c r="FI290" s="97"/>
      <c r="FJ290" s="97" t="s">
        <v>4419</v>
      </c>
      <c r="FK290" s="97">
        <v>9331517</v>
      </c>
      <c r="FL290" s="842" t="s">
        <v>4016</v>
      </c>
      <c r="FM290" s="97" t="s">
        <v>3866</v>
      </c>
      <c r="FN290" s="97" t="s">
        <v>3797</v>
      </c>
      <c r="FO290" s="842" t="s">
        <v>3719</v>
      </c>
    </row>
    <row r="291" spans="5:171" ht="33" customHeight="1" x14ac:dyDescent="0.2">
      <c r="E291" s="94" t="s">
        <v>9305</v>
      </c>
      <c r="F291" s="94" t="s">
        <v>9121</v>
      </c>
      <c r="G291" s="97" t="s">
        <v>348</v>
      </c>
      <c r="H291" s="97" t="s">
        <v>433</v>
      </c>
      <c r="I291" s="97" t="s">
        <v>8714</v>
      </c>
      <c r="J291" s="97" t="s">
        <v>8515</v>
      </c>
      <c r="K291" s="97" t="s">
        <v>8378</v>
      </c>
      <c r="L291" s="502">
        <v>2022</v>
      </c>
      <c r="M291" s="841">
        <v>44739</v>
      </c>
      <c r="N291" s="841">
        <v>44792</v>
      </c>
      <c r="O291" s="841"/>
      <c r="P291" s="841"/>
      <c r="Q291" s="841"/>
      <c r="R291" s="841"/>
      <c r="S291" s="841"/>
      <c r="T291" s="841"/>
      <c r="U291" s="841"/>
      <c r="V291" s="841"/>
      <c r="W291" s="841"/>
      <c r="X291" s="841"/>
      <c r="Y291" s="841"/>
      <c r="Z291" s="97" t="s">
        <v>7138</v>
      </c>
      <c r="AA291" s="842" t="s">
        <v>7071</v>
      </c>
      <c r="AB291" s="97" t="s">
        <v>7786</v>
      </c>
      <c r="AC291" s="842" t="s">
        <v>7627</v>
      </c>
      <c r="AD291" s="97" t="s">
        <v>7138</v>
      </c>
      <c r="AE291" s="842" t="s">
        <v>7071</v>
      </c>
      <c r="AF291" s="97" t="s">
        <v>7138</v>
      </c>
      <c r="AG291" s="842" t="s">
        <v>7071</v>
      </c>
      <c r="AH291" s="97" t="s">
        <v>6812</v>
      </c>
      <c r="AI291" s="97" t="s">
        <v>6812</v>
      </c>
      <c r="AJ291" s="97" t="s">
        <v>6682</v>
      </c>
      <c r="AK291" s="97"/>
      <c r="AL291" s="580">
        <f t="shared" si="26"/>
        <v>2.1</v>
      </c>
      <c r="AM291" s="504">
        <v>2.1</v>
      </c>
      <c r="AN291" s="516"/>
      <c r="AO291" s="97"/>
      <c r="AP291" s="97"/>
      <c r="AQ291" s="504">
        <v>2.1</v>
      </c>
      <c r="AR291" s="507">
        <f t="shared" si="29"/>
        <v>1</v>
      </c>
      <c r="AS291" s="507">
        <v>6.0000000000000001E-3</v>
      </c>
      <c r="AT291" s="516">
        <v>0</v>
      </c>
      <c r="AU291" s="507">
        <f t="shared" si="30"/>
        <v>0</v>
      </c>
      <c r="AV291" s="516"/>
      <c r="AW291" s="507">
        <f t="shared" si="31"/>
        <v>0</v>
      </c>
      <c r="AX291" s="516"/>
      <c r="AY291" s="507">
        <f t="shared" si="32"/>
        <v>0</v>
      </c>
      <c r="AZ291" s="507"/>
      <c r="BA291" s="507"/>
      <c r="BB291" s="507"/>
      <c r="BC291" s="507"/>
      <c r="BD291" s="507"/>
      <c r="BE291" s="507"/>
      <c r="BF291" s="507"/>
      <c r="BG291" s="507"/>
      <c r="BH291" s="852"/>
      <c r="BI291" s="504">
        <v>2.8</v>
      </c>
      <c r="BJ291" s="507">
        <v>7.0000000000000001E-3</v>
      </c>
      <c r="BK291" s="96">
        <v>1</v>
      </c>
      <c r="BL291" s="96">
        <v>1</v>
      </c>
      <c r="BM291" s="96">
        <v>1</v>
      </c>
      <c r="BN291" s="96"/>
      <c r="BO291" s="96">
        <v>1</v>
      </c>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815">
        <f t="shared" si="28"/>
        <v>1</v>
      </c>
      <c r="CM291" s="824">
        <f t="shared" si="27"/>
        <v>0</v>
      </c>
      <c r="CN291" s="504">
        <v>0.253</v>
      </c>
      <c r="CO291" s="97" t="s">
        <v>6077</v>
      </c>
      <c r="CP291" s="97"/>
      <c r="CQ291" s="886">
        <f>CN291/CR291</f>
        <v>1.1469241579400698E-3</v>
      </c>
      <c r="CR291" s="504">
        <v>220.59</v>
      </c>
      <c r="CS291" s="507" t="s">
        <v>5852</v>
      </c>
      <c r="CT291" s="97" t="s">
        <v>873</v>
      </c>
      <c r="CU291" s="97"/>
      <c r="CV291" s="97"/>
      <c r="CW291" s="97"/>
      <c r="CX291" s="96"/>
      <c r="CY291" s="96"/>
      <c r="CZ291" s="96"/>
      <c r="DA291" s="97" t="s">
        <v>873</v>
      </c>
      <c r="DB291" s="97"/>
      <c r="DC291" s="96"/>
      <c r="DD291" s="97" t="s">
        <v>873</v>
      </c>
      <c r="DE291" s="97"/>
      <c r="DF291" s="96"/>
      <c r="DG291" s="96" t="s">
        <v>689</v>
      </c>
      <c r="DH291" s="97" t="s">
        <v>5268</v>
      </c>
      <c r="DI291" s="96">
        <v>253</v>
      </c>
      <c r="DJ291" s="96" t="s">
        <v>873</v>
      </c>
      <c r="DK291" s="96"/>
      <c r="DL291" s="96"/>
      <c r="DM291" s="97" t="s">
        <v>873</v>
      </c>
      <c r="DN291" s="97"/>
      <c r="DO291" s="96"/>
      <c r="DP291" s="97" t="s">
        <v>873</v>
      </c>
      <c r="DQ291" s="97"/>
      <c r="DR291" s="96"/>
      <c r="DS291" s="97" t="s">
        <v>873</v>
      </c>
      <c r="DT291" s="97"/>
      <c r="DU291" s="96"/>
      <c r="DV291" s="97"/>
      <c r="DW291" s="97"/>
      <c r="DX291" s="96"/>
      <c r="DY291" s="97" t="s">
        <v>873</v>
      </c>
      <c r="DZ291" s="97"/>
      <c r="EA291" s="96"/>
      <c r="EB291" s="97" t="s">
        <v>689</v>
      </c>
      <c r="EC291" s="97" t="s">
        <v>5403</v>
      </c>
      <c r="ED291" s="96">
        <v>253</v>
      </c>
      <c r="EE291" s="96" t="s">
        <v>873</v>
      </c>
      <c r="EF291" s="96"/>
      <c r="EG291" s="96"/>
      <c r="EH291" s="97" t="s">
        <v>873</v>
      </c>
      <c r="EI291" s="97"/>
      <c r="EJ291" s="96"/>
      <c r="EK291" s="97" t="s">
        <v>873</v>
      </c>
      <c r="EL291" s="97"/>
      <c r="EM291" s="96"/>
      <c r="EN291" s="97" t="s">
        <v>873</v>
      </c>
      <c r="EO291" s="97"/>
      <c r="EP291" s="96"/>
      <c r="EQ291" s="96" t="s">
        <v>873</v>
      </c>
      <c r="ER291" s="96"/>
      <c r="ES291" s="96"/>
      <c r="ET291" s="97"/>
      <c r="EU291" s="97"/>
      <c r="EV291" s="96"/>
      <c r="EW291" s="96"/>
      <c r="EX291" s="96"/>
      <c r="EY291" s="96"/>
      <c r="EZ291" s="97" t="s">
        <v>873</v>
      </c>
      <c r="FA291" s="97"/>
      <c r="FB291" s="97" t="s">
        <v>873</v>
      </c>
      <c r="FC291" s="97"/>
      <c r="FD291" s="97"/>
      <c r="FE291" s="97"/>
      <c r="FF291" s="97"/>
      <c r="FG291" s="97" t="s">
        <v>873</v>
      </c>
      <c r="FH291" s="97"/>
      <c r="FI291" s="97"/>
      <c r="FJ291" s="97" t="s">
        <v>4419</v>
      </c>
      <c r="FK291" s="97">
        <v>9331517</v>
      </c>
      <c r="FL291" s="842" t="s">
        <v>4016</v>
      </c>
      <c r="FM291" s="97" t="s">
        <v>3866</v>
      </c>
      <c r="FN291" s="97" t="s">
        <v>3797</v>
      </c>
      <c r="FO291" s="842" t="s">
        <v>3719</v>
      </c>
    </row>
    <row r="292" spans="5:171" ht="25" customHeight="1" x14ac:dyDescent="0.2">
      <c r="E292" s="94" t="s">
        <v>9305</v>
      </c>
      <c r="F292" s="94" t="s">
        <v>9121</v>
      </c>
      <c r="G292" s="97" t="s">
        <v>348</v>
      </c>
      <c r="H292" s="97" t="s">
        <v>433</v>
      </c>
      <c r="I292" s="97" t="s">
        <v>8713</v>
      </c>
      <c r="J292" s="97" t="s">
        <v>8514</v>
      </c>
      <c r="K292" s="97" t="s">
        <v>8377</v>
      </c>
      <c r="L292" s="502">
        <v>2022</v>
      </c>
      <c r="M292" s="98" t="s">
        <v>8290</v>
      </c>
      <c r="N292" s="841" t="s">
        <v>8220</v>
      </c>
      <c r="O292" s="841"/>
      <c r="P292" s="841"/>
      <c r="Q292" s="841"/>
      <c r="R292" s="841"/>
      <c r="S292" s="841"/>
      <c r="T292" s="841"/>
      <c r="U292" s="841"/>
      <c r="V292" s="841"/>
      <c r="W292" s="841"/>
      <c r="X292" s="841"/>
      <c r="Y292" s="841"/>
      <c r="Z292" s="98" t="s">
        <v>8064</v>
      </c>
      <c r="AA292" s="97"/>
      <c r="AB292" s="97" t="s">
        <v>470</v>
      </c>
      <c r="AC292" s="97"/>
      <c r="AD292" s="97" t="s">
        <v>470</v>
      </c>
      <c r="AE292" s="97"/>
      <c r="AF292" s="97" t="s">
        <v>470</v>
      </c>
      <c r="AG292" s="97"/>
      <c r="AH292" s="97" t="s">
        <v>6811</v>
      </c>
      <c r="AI292" s="97" t="s">
        <v>6811</v>
      </c>
      <c r="AJ292" s="97" t="s">
        <v>477</v>
      </c>
      <c r="AK292" s="97" t="s">
        <v>6459</v>
      </c>
      <c r="AL292" s="580">
        <f t="shared" si="26"/>
        <v>0.435</v>
      </c>
      <c r="AM292" s="504">
        <v>0.435</v>
      </c>
      <c r="AN292" s="516"/>
      <c r="AO292" s="97"/>
      <c r="AP292" s="97"/>
      <c r="AQ292" s="504">
        <v>0.435</v>
      </c>
      <c r="AR292" s="507">
        <f t="shared" si="29"/>
        <v>1</v>
      </c>
      <c r="AS292" s="507">
        <v>2.3400000000000001E-3</v>
      </c>
      <c r="AT292" s="516">
        <v>0</v>
      </c>
      <c r="AU292" s="507">
        <f t="shared" si="30"/>
        <v>0</v>
      </c>
      <c r="AV292" s="516">
        <v>0</v>
      </c>
      <c r="AW292" s="507">
        <f t="shared" si="31"/>
        <v>0</v>
      </c>
      <c r="AX292" s="516">
        <v>0</v>
      </c>
      <c r="AY292" s="507">
        <f t="shared" si="32"/>
        <v>0</v>
      </c>
      <c r="AZ292" s="507"/>
      <c r="BA292" s="507"/>
      <c r="BB292" s="507"/>
      <c r="BC292" s="507"/>
      <c r="BD292" s="507"/>
      <c r="BE292" s="507" t="s">
        <v>470</v>
      </c>
      <c r="BF292" s="507"/>
      <c r="BG292" s="507"/>
      <c r="BH292" s="852"/>
      <c r="BI292" s="504">
        <v>1</v>
      </c>
      <c r="BJ292" s="507">
        <v>3.8999999999999998E-3</v>
      </c>
      <c r="BK292" s="96">
        <v>1</v>
      </c>
      <c r="BL292" s="96">
        <v>1</v>
      </c>
      <c r="BM292" s="96">
        <v>1</v>
      </c>
      <c r="BN292" s="96"/>
      <c r="BO292" s="96"/>
      <c r="BP292" s="96"/>
      <c r="BQ292" s="96"/>
      <c r="BR292" s="96"/>
      <c r="BS292" s="96"/>
      <c r="BT292" s="96"/>
      <c r="BU292" s="96"/>
      <c r="BV292" s="96"/>
      <c r="BW292" s="96"/>
      <c r="BX292" s="96"/>
      <c r="BY292" s="96">
        <v>1</v>
      </c>
      <c r="BZ292" s="96"/>
      <c r="CA292" s="96"/>
      <c r="CB292" s="96"/>
      <c r="CC292" s="96"/>
      <c r="CD292" s="96"/>
      <c r="CE292" s="96"/>
      <c r="CF292" s="96"/>
      <c r="CG292" s="96"/>
      <c r="CH292" s="96"/>
      <c r="CI292" s="96"/>
      <c r="CJ292" s="96"/>
      <c r="CK292" s="96"/>
      <c r="CL292" s="815">
        <f t="shared" si="28"/>
        <v>1</v>
      </c>
      <c r="CM292" s="824">
        <f t="shared" si="27"/>
        <v>0</v>
      </c>
      <c r="CN292" s="504">
        <v>0.5</v>
      </c>
      <c r="CO292" s="97" t="s">
        <v>6076</v>
      </c>
      <c r="CP292" s="97"/>
      <c r="CQ292" s="97">
        <v>0.5</v>
      </c>
      <c r="CR292" s="504">
        <v>104.252</v>
      </c>
      <c r="CS292" s="507" t="s">
        <v>5851</v>
      </c>
      <c r="CT292" s="97" t="s">
        <v>470</v>
      </c>
      <c r="CU292" s="97" t="s">
        <v>470</v>
      </c>
      <c r="CV292" s="97" t="s">
        <v>470</v>
      </c>
      <c r="CW292" s="97" t="s">
        <v>470</v>
      </c>
      <c r="CX292" s="97" t="s">
        <v>470</v>
      </c>
      <c r="CY292" s="97" t="s">
        <v>470</v>
      </c>
      <c r="CZ292" s="96">
        <v>35</v>
      </c>
      <c r="DA292" s="97" t="s">
        <v>479</v>
      </c>
      <c r="DB292" s="97" t="s">
        <v>1876</v>
      </c>
      <c r="DC292" s="96">
        <v>179</v>
      </c>
      <c r="DD292" s="97" t="s">
        <v>479</v>
      </c>
      <c r="DE292" s="96" t="s">
        <v>1243</v>
      </c>
      <c r="DF292" s="96">
        <v>179</v>
      </c>
      <c r="DG292" s="96" t="s">
        <v>479</v>
      </c>
      <c r="DH292" s="96" t="s">
        <v>1243</v>
      </c>
      <c r="DI292" s="96">
        <v>179</v>
      </c>
      <c r="DJ292" s="96" t="s">
        <v>470</v>
      </c>
      <c r="DK292" s="96"/>
      <c r="DL292" s="96"/>
      <c r="DM292" s="97" t="s">
        <v>470</v>
      </c>
      <c r="DN292" s="97"/>
      <c r="DO292" s="96"/>
      <c r="DP292" s="97" t="s">
        <v>470</v>
      </c>
      <c r="DQ292" s="97"/>
      <c r="DR292" s="96"/>
      <c r="DS292" s="97" t="s">
        <v>470</v>
      </c>
      <c r="DT292" s="97"/>
      <c r="DU292" s="96"/>
      <c r="DV292" s="97" t="s">
        <v>470</v>
      </c>
      <c r="DW292" s="97"/>
      <c r="DX292" s="96"/>
      <c r="DY292" s="97" t="s">
        <v>470</v>
      </c>
      <c r="DZ292" s="97"/>
      <c r="EA292" s="96"/>
      <c r="EB292" s="97" t="s">
        <v>479</v>
      </c>
      <c r="EC292" s="97" t="s">
        <v>1243</v>
      </c>
      <c r="ED292" s="96">
        <v>179</v>
      </c>
      <c r="EE292" s="96" t="s">
        <v>479</v>
      </c>
      <c r="EF292" s="96" t="s">
        <v>1243</v>
      </c>
      <c r="EG292" s="96">
        <v>179</v>
      </c>
      <c r="EH292" s="97" t="s">
        <v>470</v>
      </c>
      <c r="EI292" s="97"/>
      <c r="EJ292" s="96"/>
      <c r="EK292" s="97" t="s">
        <v>470</v>
      </c>
      <c r="EL292" s="97"/>
      <c r="EM292" s="96"/>
      <c r="EN292" s="97" t="s">
        <v>479</v>
      </c>
      <c r="EO292" s="98" t="s">
        <v>5336</v>
      </c>
      <c r="EP292" s="96">
        <v>8</v>
      </c>
      <c r="EQ292" s="97" t="s">
        <v>470</v>
      </c>
      <c r="ER292" s="96"/>
      <c r="ES292" s="96"/>
      <c r="ET292" s="97" t="s">
        <v>470</v>
      </c>
      <c r="EU292" s="97"/>
      <c r="EV292" s="96"/>
      <c r="EW292" s="96"/>
      <c r="EX292" s="96"/>
      <c r="EY292" s="96"/>
      <c r="EZ292" s="97" t="s">
        <v>470</v>
      </c>
      <c r="FA292" s="97" t="s">
        <v>470</v>
      </c>
      <c r="FB292" s="97"/>
      <c r="FC292" s="97"/>
      <c r="FD292" s="97"/>
      <c r="FE292" s="97" t="s">
        <v>4780</v>
      </c>
      <c r="FF292" s="97"/>
      <c r="FG292" s="97" t="s">
        <v>470</v>
      </c>
      <c r="FH292" s="97"/>
      <c r="FI292" s="97"/>
      <c r="FJ292" s="97" t="s">
        <v>4418</v>
      </c>
      <c r="FK292" s="97" t="s">
        <v>4214</v>
      </c>
      <c r="FL292" s="842" t="s">
        <v>4015</v>
      </c>
      <c r="FM292" s="97" t="s">
        <v>3865</v>
      </c>
      <c r="FN292" s="97" t="s">
        <v>3796</v>
      </c>
      <c r="FO292" s="842" t="s">
        <v>3718</v>
      </c>
    </row>
    <row r="293" spans="5:171" ht="39" customHeight="1" x14ac:dyDescent="0.2">
      <c r="E293" s="94" t="s">
        <v>9302</v>
      </c>
      <c r="F293" s="94" t="s">
        <v>9121</v>
      </c>
      <c r="G293" s="97" t="s">
        <v>348</v>
      </c>
      <c r="H293" s="97" t="s">
        <v>433</v>
      </c>
      <c r="I293" s="97" t="s">
        <v>8712</v>
      </c>
      <c r="J293" s="97" t="s">
        <v>8513</v>
      </c>
      <c r="K293" s="97" t="s">
        <v>8376</v>
      </c>
      <c r="L293" s="502">
        <v>2022</v>
      </c>
      <c r="M293" s="98" t="s">
        <v>8289</v>
      </c>
      <c r="N293" s="841" t="s">
        <v>8219</v>
      </c>
      <c r="O293" s="841"/>
      <c r="P293" s="841"/>
      <c r="Q293" s="841"/>
      <c r="R293" s="841"/>
      <c r="S293" s="841"/>
      <c r="T293" s="841"/>
      <c r="U293" s="841"/>
      <c r="V293" s="841"/>
      <c r="W293" s="841"/>
      <c r="X293" s="841"/>
      <c r="Y293" s="841"/>
      <c r="Z293" s="98" t="s">
        <v>8063</v>
      </c>
      <c r="AA293" s="842" t="s">
        <v>7928</v>
      </c>
      <c r="AB293" s="97"/>
      <c r="AC293" s="97"/>
      <c r="AD293" s="97"/>
      <c r="AE293" s="97"/>
      <c r="AF293" s="97"/>
      <c r="AG293" s="97"/>
      <c r="AH293" s="97" t="s">
        <v>6811</v>
      </c>
      <c r="AI293" s="97" t="s">
        <v>6811</v>
      </c>
      <c r="AJ293" s="97" t="s">
        <v>477</v>
      </c>
      <c r="AK293" s="97" t="s">
        <v>6458</v>
      </c>
      <c r="AL293" s="580">
        <f t="shared" si="26"/>
        <v>5.0777000000000001</v>
      </c>
      <c r="AM293" s="504">
        <v>5.0777000000000001</v>
      </c>
      <c r="AN293" s="516"/>
      <c r="AO293" s="97"/>
      <c r="AP293" s="97"/>
      <c r="AQ293" s="504">
        <v>5.0777000000000001</v>
      </c>
      <c r="AR293" s="507">
        <f t="shared" si="29"/>
        <v>1</v>
      </c>
      <c r="AS293" s="507">
        <v>2.7789999999999999E-2</v>
      </c>
      <c r="AT293" s="516">
        <v>0</v>
      </c>
      <c r="AU293" s="507">
        <f t="shared" si="30"/>
        <v>0</v>
      </c>
      <c r="AV293" s="516">
        <v>0</v>
      </c>
      <c r="AW293" s="507">
        <f t="shared" si="31"/>
        <v>0</v>
      </c>
      <c r="AX293" s="516">
        <v>0</v>
      </c>
      <c r="AY293" s="507">
        <f t="shared" si="32"/>
        <v>0</v>
      </c>
      <c r="AZ293" s="507"/>
      <c r="BA293" s="507"/>
      <c r="BB293" s="507"/>
      <c r="BC293" s="507"/>
      <c r="BD293" s="507"/>
      <c r="BE293" s="507" t="s">
        <v>470</v>
      </c>
      <c r="BF293" s="507"/>
      <c r="BG293" s="507"/>
      <c r="BH293" s="852"/>
      <c r="BI293" s="504">
        <v>3.5648970000000002</v>
      </c>
      <c r="BJ293" s="507">
        <v>1.3729999999999999E-2</v>
      </c>
      <c r="BK293" s="96">
        <v>16</v>
      </c>
      <c r="BL293" s="96">
        <v>16</v>
      </c>
      <c r="BM293" s="96">
        <v>2</v>
      </c>
      <c r="BN293" s="96"/>
      <c r="BO293" s="96"/>
      <c r="BP293" s="96"/>
      <c r="BQ293" s="96"/>
      <c r="BR293" s="96"/>
      <c r="BS293" s="96"/>
      <c r="BT293" s="96"/>
      <c r="BU293" s="96"/>
      <c r="BV293" s="96"/>
      <c r="BW293" s="96">
        <v>2</v>
      </c>
      <c r="BX293" s="96"/>
      <c r="BY293" s="96"/>
      <c r="BZ293" s="96"/>
      <c r="CA293" s="96"/>
      <c r="CB293" s="96"/>
      <c r="CC293" s="96"/>
      <c r="CD293" s="96"/>
      <c r="CE293" s="96"/>
      <c r="CF293" s="96"/>
      <c r="CG293" s="96"/>
      <c r="CH293" s="96"/>
      <c r="CI293" s="96"/>
      <c r="CJ293" s="96"/>
      <c r="CK293" s="96"/>
      <c r="CL293" s="815">
        <f t="shared" si="28"/>
        <v>2</v>
      </c>
      <c r="CM293" s="824">
        <f t="shared" si="27"/>
        <v>0</v>
      </c>
      <c r="CN293" s="504">
        <v>1</v>
      </c>
      <c r="CO293" s="97" t="s">
        <v>6076</v>
      </c>
      <c r="CP293" s="97"/>
      <c r="CQ293" s="97">
        <v>1</v>
      </c>
      <c r="CR293" s="504">
        <v>104.252</v>
      </c>
      <c r="CS293" s="507" t="s">
        <v>5851</v>
      </c>
      <c r="CT293" s="97" t="s">
        <v>470</v>
      </c>
      <c r="CU293" s="97" t="s">
        <v>470</v>
      </c>
      <c r="CV293" s="97" t="s">
        <v>470</v>
      </c>
      <c r="CW293" s="96" t="s">
        <v>470</v>
      </c>
      <c r="CX293" s="96" t="s">
        <v>470</v>
      </c>
      <c r="CY293" s="96" t="s">
        <v>470</v>
      </c>
      <c r="CZ293" s="96">
        <v>35</v>
      </c>
      <c r="DA293" s="97"/>
      <c r="DB293" s="97"/>
      <c r="DC293" s="96"/>
      <c r="DD293" s="97" t="s">
        <v>479</v>
      </c>
      <c r="DE293" s="97" t="s">
        <v>5620</v>
      </c>
      <c r="DF293" s="96">
        <v>16</v>
      </c>
      <c r="DG293" s="504" t="s">
        <v>470</v>
      </c>
      <c r="DH293" s="96"/>
      <c r="DI293" s="96"/>
      <c r="DJ293" s="504" t="s">
        <v>470</v>
      </c>
      <c r="DK293" s="96"/>
      <c r="DL293" s="96"/>
      <c r="DM293" s="504" t="s">
        <v>470</v>
      </c>
      <c r="DN293" s="97"/>
      <c r="DO293" s="96"/>
      <c r="DP293" s="504" t="s">
        <v>470</v>
      </c>
      <c r="DQ293" s="97"/>
      <c r="DR293" s="96"/>
      <c r="DS293" s="504" t="s">
        <v>470</v>
      </c>
      <c r="DT293" s="97"/>
      <c r="DU293" s="96"/>
      <c r="DV293" s="504" t="s">
        <v>470</v>
      </c>
      <c r="DW293" s="97"/>
      <c r="DX293" s="96"/>
      <c r="DY293" s="97" t="s">
        <v>479</v>
      </c>
      <c r="DZ293" s="97" t="s">
        <v>5454</v>
      </c>
      <c r="EA293" s="96">
        <v>1642</v>
      </c>
      <c r="EB293" s="504" t="s">
        <v>470</v>
      </c>
      <c r="EC293" s="97"/>
      <c r="ED293" s="96"/>
      <c r="EE293" s="504" t="s">
        <v>470</v>
      </c>
      <c r="EF293" s="96"/>
      <c r="EG293" s="96"/>
      <c r="EH293" s="504" t="s">
        <v>470</v>
      </c>
      <c r="EI293" s="97"/>
      <c r="EJ293" s="96"/>
      <c r="EK293" s="504" t="s">
        <v>470</v>
      </c>
      <c r="EL293" s="97"/>
      <c r="EM293" s="96"/>
      <c r="EN293" s="97" t="s">
        <v>479</v>
      </c>
      <c r="EO293" s="98" t="s">
        <v>5335</v>
      </c>
      <c r="EP293" s="96">
        <v>9</v>
      </c>
      <c r="EQ293" s="504" t="s">
        <v>470</v>
      </c>
      <c r="ER293" s="96"/>
      <c r="ES293" s="96"/>
      <c r="ET293" s="504" t="s">
        <v>470</v>
      </c>
      <c r="EU293" s="97"/>
      <c r="EV293" s="96"/>
      <c r="EW293" s="96"/>
      <c r="EX293" s="96"/>
      <c r="EY293" s="96"/>
      <c r="EZ293" s="97" t="s">
        <v>470</v>
      </c>
      <c r="FA293" s="97" t="s">
        <v>470</v>
      </c>
      <c r="FB293" s="504" t="s">
        <v>470</v>
      </c>
      <c r="FC293" s="504" t="s">
        <v>470</v>
      </c>
      <c r="FD293" s="842" t="s">
        <v>4899</v>
      </c>
      <c r="FE293" s="97" t="s">
        <v>4779</v>
      </c>
      <c r="FF293" s="504" t="s">
        <v>470</v>
      </c>
      <c r="FG293" s="504" t="s">
        <v>470</v>
      </c>
      <c r="FH293" s="97"/>
      <c r="FI293" s="97"/>
      <c r="FJ293" s="97" t="s">
        <v>4418</v>
      </c>
      <c r="FK293" s="97" t="s">
        <v>4214</v>
      </c>
      <c r="FL293" s="842" t="s">
        <v>4015</v>
      </c>
      <c r="FM293" s="97" t="s">
        <v>3865</v>
      </c>
      <c r="FN293" s="97" t="s">
        <v>3796</v>
      </c>
      <c r="FO293" s="842" t="s">
        <v>3718</v>
      </c>
    </row>
    <row r="294" spans="5:171" ht="39" customHeight="1" x14ac:dyDescent="0.2">
      <c r="E294" s="94" t="s">
        <v>9305</v>
      </c>
      <c r="F294" s="94" t="s">
        <v>9121</v>
      </c>
      <c r="G294" s="97" t="s">
        <v>348</v>
      </c>
      <c r="H294" s="97" t="s">
        <v>433</v>
      </c>
      <c r="I294" s="97" t="s">
        <v>8711</v>
      </c>
      <c r="J294" s="97" t="s">
        <v>8512</v>
      </c>
      <c r="K294" s="97" t="s">
        <v>1414</v>
      </c>
      <c r="L294" s="502">
        <v>2021</v>
      </c>
      <c r="M294" s="841">
        <v>44694</v>
      </c>
      <c r="N294" s="841">
        <v>44880</v>
      </c>
      <c r="O294" s="841"/>
      <c r="P294" s="841"/>
      <c r="Q294" s="841"/>
      <c r="R294" s="841"/>
      <c r="S294" s="841"/>
      <c r="T294" s="841"/>
      <c r="U294" s="841"/>
      <c r="V294" s="841"/>
      <c r="W294" s="841"/>
      <c r="X294" s="841"/>
      <c r="Y294" s="841"/>
      <c r="Z294" s="97" t="s">
        <v>470</v>
      </c>
      <c r="AA294" s="97"/>
      <c r="AB294" s="97" t="s">
        <v>7785</v>
      </c>
      <c r="AC294" s="842" t="s">
        <v>6225</v>
      </c>
      <c r="AD294" s="97" t="s">
        <v>470</v>
      </c>
      <c r="AE294" s="97"/>
      <c r="AF294" s="97" t="s">
        <v>470</v>
      </c>
      <c r="AG294" s="97"/>
      <c r="AH294" s="97" t="s">
        <v>6972</v>
      </c>
      <c r="AI294" s="97" t="s">
        <v>6457</v>
      </c>
      <c r="AJ294" s="97" t="s">
        <v>6681</v>
      </c>
      <c r="AK294" s="97" t="s">
        <v>6457</v>
      </c>
      <c r="AL294" s="580">
        <f t="shared" si="26"/>
        <v>2.1959113299999999</v>
      </c>
      <c r="AM294" s="504">
        <v>2.1959113299999999</v>
      </c>
      <c r="AN294" s="516"/>
      <c r="AO294" s="97"/>
      <c r="AP294" s="97"/>
      <c r="AQ294" s="504">
        <v>2.1959113299999999</v>
      </c>
      <c r="AR294" s="507">
        <f t="shared" si="29"/>
        <v>1</v>
      </c>
      <c r="AS294" s="507">
        <v>1.1386945567708317E-2</v>
      </c>
      <c r="AT294" s="516">
        <v>0</v>
      </c>
      <c r="AU294" s="507">
        <f t="shared" si="30"/>
        <v>0</v>
      </c>
      <c r="AV294" s="516">
        <v>0</v>
      </c>
      <c r="AW294" s="507">
        <f t="shared" si="31"/>
        <v>0</v>
      </c>
      <c r="AX294" s="516">
        <v>0</v>
      </c>
      <c r="AY294" s="507">
        <f t="shared" si="32"/>
        <v>0</v>
      </c>
      <c r="AZ294" s="507"/>
      <c r="BA294" s="507"/>
      <c r="BB294" s="507"/>
      <c r="BC294" s="507"/>
      <c r="BD294" s="507"/>
      <c r="BE294" s="507" t="s">
        <v>479</v>
      </c>
      <c r="BF294" s="507" t="s">
        <v>1111</v>
      </c>
      <c r="BG294" s="887" t="s">
        <v>6225</v>
      </c>
      <c r="BH294" s="852" t="s">
        <v>489</v>
      </c>
      <c r="BI294" s="504">
        <v>3.4536799999999999</v>
      </c>
      <c r="BJ294" s="507">
        <v>1.7000000000000001E-2</v>
      </c>
      <c r="BK294" s="96">
        <v>1</v>
      </c>
      <c r="BL294" s="96">
        <v>1</v>
      </c>
      <c r="BM294" s="96">
        <v>1</v>
      </c>
      <c r="BN294" s="96"/>
      <c r="BO294" s="96"/>
      <c r="BP294" s="96"/>
      <c r="BQ294" s="96"/>
      <c r="BR294" s="96"/>
      <c r="BS294" s="96"/>
      <c r="BT294" s="96"/>
      <c r="BU294" s="96"/>
      <c r="BV294" s="96"/>
      <c r="BW294" s="96"/>
      <c r="BX294" s="96">
        <v>1</v>
      </c>
      <c r="BY294" s="96"/>
      <c r="BZ294" s="96"/>
      <c r="CA294" s="96"/>
      <c r="CB294" s="96"/>
      <c r="CC294" s="96"/>
      <c r="CD294" s="96"/>
      <c r="CE294" s="96"/>
      <c r="CF294" s="96"/>
      <c r="CG294" s="96"/>
      <c r="CH294" s="96"/>
      <c r="CI294" s="96"/>
      <c r="CJ294" s="96"/>
      <c r="CK294" s="96"/>
      <c r="CL294" s="815">
        <f t="shared" si="28"/>
        <v>1</v>
      </c>
      <c r="CM294" s="824">
        <f t="shared" si="27"/>
        <v>0</v>
      </c>
      <c r="CN294" s="504">
        <v>0.24</v>
      </c>
      <c r="CO294" s="97" t="s">
        <v>6075</v>
      </c>
      <c r="CP294" s="97"/>
      <c r="CQ294" s="507">
        <f>CN294/CR294</f>
        <v>2.7088953350564919E-3</v>
      </c>
      <c r="CR294" s="504">
        <v>88.596999999999994</v>
      </c>
      <c r="CS294" s="507" t="s">
        <v>5850</v>
      </c>
      <c r="CT294" s="97" t="s">
        <v>470</v>
      </c>
      <c r="CU294" s="97" t="s">
        <v>470</v>
      </c>
      <c r="CV294" s="97" t="s">
        <v>470</v>
      </c>
      <c r="CW294" s="97" t="s">
        <v>470</v>
      </c>
      <c r="CX294" s="97" t="s">
        <v>470</v>
      </c>
      <c r="CY294" s="97" t="s">
        <v>470</v>
      </c>
      <c r="CZ294" s="96">
        <v>3</v>
      </c>
      <c r="DA294" s="97" t="s">
        <v>470</v>
      </c>
      <c r="DB294" s="97"/>
      <c r="DC294" s="96"/>
      <c r="DD294" s="97" t="s">
        <v>470</v>
      </c>
      <c r="DE294" s="97"/>
      <c r="DF294" s="96"/>
      <c r="DG294" s="96" t="s">
        <v>479</v>
      </c>
      <c r="DH294" s="96" t="s">
        <v>5557</v>
      </c>
      <c r="DI294" s="96">
        <v>84</v>
      </c>
      <c r="DJ294" s="96" t="s">
        <v>470</v>
      </c>
      <c r="DK294" s="96"/>
      <c r="DL294" s="96"/>
      <c r="DM294" s="97" t="s">
        <v>470</v>
      </c>
      <c r="DN294" s="97"/>
      <c r="DO294" s="96"/>
      <c r="DP294" s="97" t="s">
        <v>470</v>
      </c>
      <c r="DQ294" s="97"/>
      <c r="DR294" s="96"/>
      <c r="DS294" s="97" t="s">
        <v>470</v>
      </c>
      <c r="DT294" s="97"/>
      <c r="DU294" s="96"/>
      <c r="DV294" s="97" t="s">
        <v>470</v>
      </c>
      <c r="DW294" s="97"/>
      <c r="DX294" s="96"/>
      <c r="DY294" s="97" t="s">
        <v>470</v>
      </c>
      <c r="DZ294" s="97"/>
      <c r="EA294" s="96"/>
      <c r="EB294" s="97" t="s">
        <v>470</v>
      </c>
      <c r="EC294" s="97"/>
      <c r="ED294" s="96"/>
      <c r="EE294" s="96" t="s">
        <v>479</v>
      </c>
      <c r="EF294" s="96" t="s">
        <v>5374</v>
      </c>
      <c r="EG294" s="96">
        <v>84</v>
      </c>
      <c r="EH294" s="97" t="s">
        <v>470</v>
      </c>
      <c r="EI294" s="97"/>
      <c r="EJ294" s="96"/>
      <c r="EK294" s="97" t="s">
        <v>470</v>
      </c>
      <c r="EL294" s="97"/>
      <c r="EM294" s="96"/>
      <c r="EN294" s="97" t="s">
        <v>470</v>
      </c>
      <c r="EO294" s="97"/>
      <c r="EP294" s="96"/>
      <c r="EQ294" s="96" t="s">
        <v>470</v>
      </c>
      <c r="ER294" s="96"/>
      <c r="ES294" s="96"/>
      <c r="ET294" s="97" t="s">
        <v>470</v>
      </c>
      <c r="EU294" s="97"/>
      <c r="EV294" s="96"/>
      <c r="EW294" s="96"/>
      <c r="EX294" s="96"/>
      <c r="EY294" s="96"/>
      <c r="EZ294" s="97" t="s">
        <v>470</v>
      </c>
      <c r="FA294" s="97"/>
      <c r="FB294" s="842" t="s">
        <v>5102</v>
      </c>
      <c r="FC294" s="97" t="s">
        <v>470</v>
      </c>
      <c r="FD294" s="97" t="s">
        <v>470</v>
      </c>
      <c r="FE294" s="97" t="s">
        <v>470</v>
      </c>
      <c r="FF294" s="97" t="s">
        <v>470</v>
      </c>
      <c r="FG294" s="97" t="s">
        <v>470</v>
      </c>
      <c r="FH294" s="97"/>
      <c r="FI294" s="97"/>
      <c r="FJ294" s="97" t="s">
        <v>4417</v>
      </c>
      <c r="FK294" s="97" t="s">
        <v>4213</v>
      </c>
      <c r="FL294" s="842" t="s">
        <v>4014</v>
      </c>
      <c r="FM294" s="97"/>
      <c r="FN294" s="97"/>
      <c r="FO294" s="97"/>
    </row>
    <row r="295" spans="5:171" ht="31" customHeight="1" x14ac:dyDescent="0.2">
      <c r="E295" s="94" t="s">
        <v>9305</v>
      </c>
      <c r="F295" s="94" t="s">
        <v>9121</v>
      </c>
      <c r="G295" s="97" t="s">
        <v>348</v>
      </c>
      <c r="H295" s="97" t="s">
        <v>433</v>
      </c>
      <c r="I295" s="97" t="s">
        <v>8710</v>
      </c>
      <c r="J295" s="97" t="s">
        <v>7784</v>
      </c>
      <c r="K295" s="97" t="s">
        <v>1414</v>
      </c>
      <c r="L295" s="502">
        <v>2022</v>
      </c>
      <c r="M295" s="841" t="s">
        <v>8288</v>
      </c>
      <c r="N295" s="841" t="s">
        <v>8218</v>
      </c>
      <c r="O295" s="841"/>
      <c r="P295" s="841"/>
      <c r="Q295" s="841"/>
      <c r="R295" s="841"/>
      <c r="S295" s="841"/>
      <c r="T295" s="841"/>
      <c r="U295" s="841"/>
      <c r="V295" s="841"/>
      <c r="W295" s="841"/>
      <c r="X295" s="841"/>
      <c r="Y295" s="841"/>
      <c r="Z295" s="97" t="s">
        <v>8062</v>
      </c>
      <c r="AA295" s="842" t="s">
        <v>7927</v>
      </c>
      <c r="AB295" s="97" t="s">
        <v>7784</v>
      </c>
      <c r="AC295" s="842" t="s">
        <v>7626</v>
      </c>
      <c r="AD295" s="97"/>
      <c r="AE295" s="97"/>
      <c r="AF295" s="97"/>
      <c r="AG295" s="97"/>
      <c r="AH295" s="97" t="s">
        <v>6810</v>
      </c>
      <c r="AI295" s="97" t="s">
        <v>6810</v>
      </c>
      <c r="AJ295" s="97" t="s">
        <v>6680</v>
      </c>
      <c r="AK295" s="97" t="s">
        <v>6456</v>
      </c>
      <c r="AL295" s="580">
        <f t="shared" si="26"/>
        <v>8.8000000000000007</v>
      </c>
      <c r="AM295" s="504">
        <v>8.8000000000000007</v>
      </c>
      <c r="AN295" s="516"/>
      <c r="AO295" s="97"/>
      <c r="AP295" s="97"/>
      <c r="AQ295" s="504">
        <v>8.8000000000000007</v>
      </c>
      <c r="AR295" s="507">
        <f t="shared" si="29"/>
        <v>1</v>
      </c>
      <c r="AS295" s="507">
        <f>AQ295/392.8</f>
        <v>2.2403258655804482E-2</v>
      </c>
      <c r="AT295" s="516">
        <v>0</v>
      </c>
      <c r="AU295" s="507">
        <f t="shared" si="30"/>
        <v>0</v>
      </c>
      <c r="AV295" s="516">
        <v>0</v>
      </c>
      <c r="AW295" s="507">
        <f t="shared" si="31"/>
        <v>0</v>
      </c>
      <c r="AX295" s="516">
        <v>0</v>
      </c>
      <c r="AY295" s="507">
        <f t="shared" si="32"/>
        <v>0</v>
      </c>
      <c r="AZ295" s="507"/>
      <c r="BA295" s="507"/>
      <c r="BB295" s="507"/>
      <c r="BC295" s="507"/>
      <c r="BD295" s="507"/>
      <c r="BE295" s="507" t="s">
        <v>470</v>
      </c>
      <c r="BF295" s="507" t="s">
        <v>1111</v>
      </c>
      <c r="BG295" s="507"/>
      <c r="BH295" s="852">
        <v>0</v>
      </c>
      <c r="BI295" s="504">
        <v>9</v>
      </c>
      <c r="BJ295" s="507">
        <f>9/287</f>
        <v>3.1358885017421602E-2</v>
      </c>
      <c r="BK295" s="96">
        <v>8</v>
      </c>
      <c r="BL295" s="96">
        <v>8</v>
      </c>
      <c r="BM295" s="96">
        <v>8</v>
      </c>
      <c r="BN295" s="96"/>
      <c r="BO295" s="96"/>
      <c r="BP295" s="96"/>
      <c r="BQ295" s="96"/>
      <c r="BR295" s="96"/>
      <c r="BS295" s="96"/>
      <c r="BT295" s="96"/>
      <c r="BU295" s="96"/>
      <c r="BV295" s="96">
        <v>2</v>
      </c>
      <c r="BW295" s="96">
        <v>1</v>
      </c>
      <c r="BX295" s="96">
        <v>3</v>
      </c>
      <c r="BY295" s="96"/>
      <c r="BZ295" s="96"/>
      <c r="CA295" s="96"/>
      <c r="CB295" s="96"/>
      <c r="CC295" s="96"/>
      <c r="CD295" s="96"/>
      <c r="CE295" s="96"/>
      <c r="CF295" s="96"/>
      <c r="CG295" s="96"/>
      <c r="CH295" s="96"/>
      <c r="CI295" s="96"/>
      <c r="CJ295" s="96"/>
      <c r="CK295" s="96">
        <v>2</v>
      </c>
      <c r="CL295" s="815">
        <f t="shared" si="28"/>
        <v>8</v>
      </c>
      <c r="CM295" s="824">
        <f t="shared" si="27"/>
        <v>0</v>
      </c>
      <c r="CN295" s="504">
        <v>8.1</v>
      </c>
      <c r="CO295" s="97" t="s">
        <v>6074</v>
      </c>
      <c r="CP295" s="97"/>
      <c r="CQ295" s="97">
        <v>3</v>
      </c>
      <c r="CR295" s="504">
        <v>268.13299999999998</v>
      </c>
      <c r="CS295" s="507" t="s">
        <v>5843</v>
      </c>
      <c r="CT295" s="97" t="s">
        <v>470</v>
      </c>
      <c r="CU295" s="97"/>
      <c r="CV295" s="97"/>
      <c r="CW295" s="97"/>
      <c r="CX295" s="96"/>
      <c r="CY295" s="96"/>
      <c r="CZ295" s="96"/>
      <c r="DA295" s="97" t="s">
        <v>479</v>
      </c>
      <c r="DB295" s="97" t="s">
        <v>5696</v>
      </c>
      <c r="DC295" s="96">
        <v>949</v>
      </c>
      <c r="DD295" s="97" t="s">
        <v>470</v>
      </c>
      <c r="DE295" s="97"/>
      <c r="DF295" s="96"/>
      <c r="DG295" s="97" t="s">
        <v>479</v>
      </c>
      <c r="DH295" s="96" t="s">
        <v>5373</v>
      </c>
      <c r="DI295" s="96">
        <v>226</v>
      </c>
      <c r="DJ295" s="97" t="s">
        <v>470</v>
      </c>
      <c r="DK295" s="96"/>
      <c r="DL295" s="96"/>
      <c r="DM295" s="97" t="s">
        <v>470</v>
      </c>
      <c r="DN295" s="97"/>
      <c r="DO295" s="96"/>
      <c r="DP295" s="97" t="s">
        <v>470</v>
      </c>
      <c r="DQ295" s="97"/>
      <c r="DR295" s="96"/>
      <c r="DS295" s="97" t="s">
        <v>470</v>
      </c>
      <c r="DT295" s="97"/>
      <c r="DU295" s="96"/>
      <c r="DV295" s="97" t="s">
        <v>470</v>
      </c>
      <c r="DW295" s="97"/>
      <c r="DX295" s="96"/>
      <c r="DY295" s="97" t="s">
        <v>470</v>
      </c>
      <c r="DZ295" s="97"/>
      <c r="EA295" s="96"/>
      <c r="EB295" s="97" t="s">
        <v>470</v>
      </c>
      <c r="EC295" s="97"/>
      <c r="ED295" s="96"/>
      <c r="EE295" s="96" t="s">
        <v>479</v>
      </c>
      <c r="EF295" s="96" t="s">
        <v>5373</v>
      </c>
      <c r="EG295" s="96">
        <v>226</v>
      </c>
      <c r="EH295" s="97" t="s">
        <v>470</v>
      </c>
      <c r="EI295" s="97"/>
      <c r="EJ295" s="96"/>
      <c r="EK295" s="97" t="s">
        <v>470</v>
      </c>
      <c r="EL295" s="97"/>
      <c r="EM295" s="96"/>
      <c r="EN295" s="97" t="s">
        <v>479</v>
      </c>
      <c r="EO295" s="96" t="s">
        <v>5334</v>
      </c>
      <c r="EP295" s="96"/>
      <c r="EQ295" s="97" t="s">
        <v>470</v>
      </c>
      <c r="ER295" s="96"/>
      <c r="ES295" s="96"/>
      <c r="ET295" s="97"/>
      <c r="EU295" s="97"/>
      <c r="EV295" s="96"/>
      <c r="EW295" s="96"/>
      <c r="EX295" s="96"/>
      <c r="EY295" s="96"/>
      <c r="EZ295" s="97" t="s">
        <v>470</v>
      </c>
      <c r="FA295" s="97"/>
      <c r="FB295" s="97"/>
      <c r="FC295" s="842" t="s">
        <v>4960</v>
      </c>
      <c r="FD295" s="97"/>
      <c r="FE295" s="97" t="s">
        <v>489</v>
      </c>
      <c r="FF295" s="97"/>
      <c r="FG295" s="97" t="s">
        <v>4615</v>
      </c>
      <c r="FH295" s="97">
        <v>2</v>
      </c>
      <c r="FI295" s="97">
        <v>32</v>
      </c>
      <c r="FJ295" s="97" t="s">
        <v>4416</v>
      </c>
      <c r="FK295" s="97" t="s">
        <v>4212</v>
      </c>
      <c r="FL295" s="842" t="s">
        <v>4013</v>
      </c>
      <c r="FM295" s="97"/>
      <c r="FN295" s="97"/>
      <c r="FO295" s="97"/>
    </row>
    <row r="296" spans="5:171" ht="45" customHeight="1" x14ac:dyDescent="0.2">
      <c r="E296" s="94" t="s">
        <v>9302</v>
      </c>
      <c r="F296" s="94" t="s">
        <v>9121</v>
      </c>
      <c r="G296" s="97" t="s">
        <v>348</v>
      </c>
      <c r="H296" s="97" t="s">
        <v>433</v>
      </c>
      <c r="I296" s="97" t="s">
        <v>8709</v>
      </c>
      <c r="J296" s="97" t="s">
        <v>8511</v>
      </c>
      <c r="K296" s="97" t="s">
        <v>470</v>
      </c>
      <c r="L296" s="502">
        <v>2019</v>
      </c>
      <c r="M296" s="841">
        <v>44333</v>
      </c>
      <c r="N296" s="841">
        <v>44846</v>
      </c>
      <c r="O296" s="841"/>
      <c r="P296" s="841"/>
      <c r="Q296" s="841"/>
      <c r="R296" s="841"/>
      <c r="S296" s="841"/>
      <c r="T296" s="841"/>
      <c r="U296" s="841"/>
      <c r="V296" s="841"/>
      <c r="W296" s="841"/>
      <c r="X296" s="841"/>
      <c r="Y296" s="841"/>
      <c r="Z296" s="97" t="s">
        <v>8061</v>
      </c>
      <c r="AA296" s="97" t="s">
        <v>7926</v>
      </c>
      <c r="AB296" s="97" t="s">
        <v>470</v>
      </c>
      <c r="AC296" s="97"/>
      <c r="AD296" s="97" t="s">
        <v>470</v>
      </c>
      <c r="AE296" s="97"/>
      <c r="AF296" s="97" t="s">
        <v>470</v>
      </c>
      <c r="AG296" s="97"/>
      <c r="AH296" s="97" t="s">
        <v>6455</v>
      </c>
      <c r="AI296" s="97" t="s">
        <v>6455</v>
      </c>
      <c r="AJ296" s="97" t="s">
        <v>6644</v>
      </c>
      <c r="AK296" s="97" t="s">
        <v>6455</v>
      </c>
      <c r="AL296" s="580">
        <f t="shared" si="26"/>
        <v>0.6</v>
      </c>
      <c r="AM296" s="504">
        <v>0.6</v>
      </c>
      <c r="AN296" s="516"/>
      <c r="AO296" s="97"/>
      <c r="AP296" s="97"/>
      <c r="AQ296" s="504">
        <v>0.6</v>
      </c>
      <c r="AR296" s="507">
        <f t="shared" si="29"/>
        <v>1</v>
      </c>
      <c r="AS296" s="507">
        <v>4.0000000000000001E-3</v>
      </c>
      <c r="AT296" s="516">
        <v>0</v>
      </c>
      <c r="AU296" s="507">
        <f t="shared" si="30"/>
        <v>0</v>
      </c>
      <c r="AV296" s="516">
        <v>0</v>
      </c>
      <c r="AW296" s="507">
        <f t="shared" si="31"/>
        <v>0</v>
      </c>
      <c r="AX296" s="516">
        <v>0</v>
      </c>
      <c r="AY296" s="507">
        <f t="shared" si="32"/>
        <v>0</v>
      </c>
      <c r="AZ296" s="507"/>
      <c r="BA296" s="507"/>
      <c r="BB296" s="507"/>
      <c r="BC296" s="507"/>
      <c r="BD296" s="507"/>
      <c r="BE296" s="507" t="s">
        <v>470</v>
      </c>
      <c r="BF296" s="507"/>
      <c r="BG296" s="507"/>
      <c r="BH296" s="852">
        <v>0</v>
      </c>
      <c r="BI296" s="504">
        <v>0.6</v>
      </c>
      <c r="BJ296" s="507">
        <v>4.0000000000000001E-3</v>
      </c>
      <c r="BK296" s="96">
        <v>24</v>
      </c>
      <c r="BL296" s="96">
        <v>24</v>
      </c>
      <c r="BM296" s="96">
        <v>3</v>
      </c>
      <c r="BN296" s="96">
        <v>0</v>
      </c>
      <c r="BO296" s="96">
        <v>0</v>
      </c>
      <c r="BP296" s="96">
        <v>0</v>
      </c>
      <c r="BQ296" s="96">
        <v>0</v>
      </c>
      <c r="BR296" s="96">
        <v>0</v>
      </c>
      <c r="BS296" s="96">
        <v>0</v>
      </c>
      <c r="BT296" s="96">
        <v>0</v>
      </c>
      <c r="BU296" s="96">
        <v>0</v>
      </c>
      <c r="BV296" s="96">
        <v>0</v>
      </c>
      <c r="BW296" s="96">
        <v>3</v>
      </c>
      <c r="BX296" s="96">
        <v>0</v>
      </c>
      <c r="BY296" s="96">
        <v>0</v>
      </c>
      <c r="BZ296" s="96">
        <v>0</v>
      </c>
      <c r="CA296" s="96">
        <v>0</v>
      </c>
      <c r="CB296" s="96">
        <v>0</v>
      </c>
      <c r="CC296" s="96">
        <v>0</v>
      </c>
      <c r="CD296" s="96">
        <v>0</v>
      </c>
      <c r="CE296" s="96">
        <v>0</v>
      </c>
      <c r="CF296" s="96">
        <v>0</v>
      </c>
      <c r="CG296" s="96">
        <v>0</v>
      </c>
      <c r="CH296" s="96">
        <v>0</v>
      </c>
      <c r="CI296" s="96">
        <v>0</v>
      </c>
      <c r="CJ296" s="96">
        <v>0</v>
      </c>
      <c r="CK296" s="96">
        <v>0</v>
      </c>
      <c r="CL296" s="815">
        <f t="shared" si="28"/>
        <v>3</v>
      </c>
      <c r="CM296" s="824">
        <f t="shared" si="27"/>
        <v>0</v>
      </c>
      <c r="CN296" s="504">
        <v>0</v>
      </c>
      <c r="CO296" s="97" t="s">
        <v>470</v>
      </c>
      <c r="CP296" s="97"/>
      <c r="CQ296" s="886">
        <f>CN296/CR296</f>
        <v>0</v>
      </c>
      <c r="CR296" s="504">
        <v>29.428000000000001</v>
      </c>
      <c r="CS296" s="887" t="s">
        <v>5843</v>
      </c>
      <c r="CT296" s="97" t="s">
        <v>470</v>
      </c>
      <c r="CU296" s="97" t="s">
        <v>470</v>
      </c>
      <c r="CV296" s="97"/>
      <c r="CW296" s="97" t="s">
        <v>470</v>
      </c>
      <c r="CX296" s="96">
        <v>0</v>
      </c>
      <c r="CY296" s="96">
        <v>0</v>
      </c>
      <c r="CZ296" s="96">
        <v>3</v>
      </c>
      <c r="DA296" s="97" t="s">
        <v>470</v>
      </c>
      <c r="DB296" s="97"/>
      <c r="DC296" s="96"/>
      <c r="DD296" s="97" t="s">
        <v>479</v>
      </c>
      <c r="DE296" s="97" t="s">
        <v>5619</v>
      </c>
      <c r="DF296" s="96">
        <v>24</v>
      </c>
      <c r="DG296" s="96" t="s">
        <v>470</v>
      </c>
      <c r="DH296" s="96"/>
      <c r="DI296" s="96"/>
      <c r="DJ296" s="96" t="s">
        <v>470</v>
      </c>
      <c r="DK296" s="96"/>
      <c r="DL296" s="96"/>
      <c r="DM296" s="97" t="s">
        <v>470</v>
      </c>
      <c r="DN296" s="97"/>
      <c r="DO296" s="96"/>
      <c r="DP296" s="97" t="s">
        <v>470</v>
      </c>
      <c r="DQ296" s="97"/>
      <c r="DR296" s="96"/>
      <c r="DS296" s="97" t="s">
        <v>470</v>
      </c>
      <c r="DT296" s="97"/>
      <c r="DU296" s="96"/>
      <c r="DV296" s="97" t="s">
        <v>5504</v>
      </c>
      <c r="DW296" s="97" t="s">
        <v>640</v>
      </c>
      <c r="DX296" s="96">
        <v>13</v>
      </c>
      <c r="DY296" s="97" t="s">
        <v>479</v>
      </c>
      <c r="DZ296" s="97" t="s">
        <v>640</v>
      </c>
      <c r="EA296" s="96">
        <v>24</v>
      </c>
      <c r="EB296" s="97" t="s">
        <v>479</v>
      </c>
      <c r="EC296" s="97" t="s">
        <v>640</v>
      </c>
      <c r="ED296" s="96">
        <v>24</v>
      </c>
      <c r="EE296" s="96" t="s">
        <v>470</v>
      </c>
      <c r="EF296" s="96"/>
      <c r="EG296" s="96"/>
      <c r="EH296" s="97" t="s">
        <v>470</v>
      </c>
      <c r="EI296" s="97"/>
      <c r="EJ296" s="96"/>
      <c r="EK296" s="97" t="s">
        <v>470</v>
      </c>
      <c r="EL296" s="97"/>
      <c r="EM296" s="96"/>
      <c r="EN296" s="97" t="s">
        <v>479</v>
      </c>
      <c r="EO296" s="97" t="s">
        <v>640</v>
      </c>
      <c r="EP296" s="96">
        <v>24</v>
      </c>
      <c r="EQ296" s="96" t="s">
        <v>470</v>
      </c>
      <c r="ER296" s="96"/>
      <c r="ES296" s="96"/>
      <c r="ET296" s="97" t="s">
        <v>470</v>
      </c>
      <c r="EU296" s="97"/>
      <c r="EV296" s="96"/>
      <c r="EW296" s="96"/>
      <c r="EX296" s="96"/>
      <c r="EY296" s="96"/>
      <c r="EZ296" s="97" t="s">
        <v>470</v>
      </c>
      <c r="FA296" s="97" t="s">
        <v>470</v>
      </c>
      <c r="FB296" s="97" t="s">
        <v>470</v>
      </c>
      <c r="FC296" s="97" t="s">
        <v>470</v>
      </c>
      <c r="FD296" s="97" t="s">
        <v>470</v>
      </c>
      <c r="FE296" s="97" t="s">
        <v>470</v>
      </c>
      <c r="FF296" s="97" t="s">
        <v>470</v>
      </c>
      <c r="FG296" s="97" t="s">
        <v>470</v>
      </c>
      <c r="FH296" s="97" t="s">
        <v>470</v>
      </c>
      <c r="FI296" s="97" t="s">
        <v>470</v>
      </c>
      <c r="FJ296" s="97" t="s">
        <v>4415</v>
      </c>
      <c r="FK296" s="97" t="s">
        <v>4211</v>
      </c>
      <c r="FL296" s="97" t="s">
        <v>4012</v>
      </c>
      <c r="FM296" s="97"/>
      <c r="FN296" s="97"/>
      <c r="FO296" s="97"/>
    </row>
    <row r="297" spans="5:171" ht="42" customHeight="1" x14ac:dyDescent="0.2">
      <c r="E297" s="94" t="s">
        <v>9302</v>
      </c>
      <c r="F297" s="94" t="s">
        <v>9121</v>
      </c>
      <c r="G297" s="97" t="s">
        <v>348</v>
      </c>
      <c r="H297" s="97" t="s">
        <v>433</v>
      </c>
      <c r="I297" s="97" t="s">
        <v>8708</v>
      </c>
      <c r="J297" s="97" t="s">
        <v>8510</v>
      </c>
      <c r="K297" s="97" t="s">
        <v>8375</v>
      </c>
      <c r="L297" s="502">
        <v>2019</v>
      </c>
      <c r="M297" s="841" t="s">
        <v>8287</v>
      </c>
      <c r="N297" s="841" t="s">
        <v>8217</v>
      </c>
      <c r="O297" s="841"/>
      <c r="P297" s="841"/>
      <c r="Q297" s="841"/>
      <c r="R297" s="841"/>
      <c r="S297" s="841"/>
      <c r="T297" s="841"/>
      <c r="U297" s="841"/>
      <c r="V297" s="841"/>
      <c r="W297" s="841"/>
      <c r="X297" s="841"/>
      <c r="Y297" s="841"/>
      <c r="Z297" s="97" t="s">
        <v>8060</v>
      </c>
      <c r="AA297" s="842" t="s">
        <v>7925</v>
      </c>
      <c r="AB297" s="97" t="s">
        <v>7783</v>
      </c>
      <c r="AC297" s="842" t="s">
        <v>7625</v>
      </c>
      <c r="AD297" s="97"/>
      <c r="AE297" s="97"/>
      <c r="AF297" s="97"/>
      <c r="AG297" s="97"/>
      <c r="AH297" s="97" t="s">
        <v>6809</v>
      </c>
      <c r="AI297" s="97" t="s">
        <v>6809</v>
      </c>
      <c r="AJ297" s="97" t="s">
        <v>477</v>
      </c>
      <c r="AK297" s="97" t="s">
        <v>6454</v>
      </c>
      <c r="AL297" s="580">
        <f t="shared" si="26"/>
        <v>2.4</v>
      </c>
      <c r="AM297" s="504">
        <v>2.4</v>
      </c>
      <c r="AN297" s="516"/>
      <c r="AO297" s="97"/>
      <c r="AP297" s="97"/>
      <c r="AQ297" s="504">
        <v>2.4</v>
      </c>
      <c r="AR297" s="507">
        <f t="shared" si="29"/>
        <v>1</v>
      </c>
      <c r="AS297" s="507">
        <v>1.06E-2</v>
      </c>
      <c r="AT297" s="516">
        <v>0</v>
      </c>
      <c r="AU297" s="507">
        <f t="shared" si="30"/>
        <v>0</v>
      </c>
      <c r="AV297" s="516">
        <v>0</v>
      </c>
      <c r="AW297" s="507">
        <f t="shared" si="31"/>
        <v>0</v>
      </c>
      <c r="AX297" s="516">
        <v>0</v>
      </c>
      <c r="AY297" s="507">
        <f t="shared" si="32"/>
        <v>0</v>
      </c>
      <c r="AZ297" s="507"/>
      <c r="BA297" s="507"/>
      <c r="BB297" s="507"/>
      <c r="BC297" s="507"/>
      <c r="BD297" s="507"/>
      <c r="BE297" s="507" t="s">
        <v>470</v>
      </c>
      <c r="BF297" s="507"/>
      <c r="BG297" s="507"/>
      <c r="BH297" s="852"/>
      <c r="BI297" s="504">
        <v>2.5</v>
      </c>
      <c r="BJ297" s="507">
        <v>9.5999999999999992E-3</v>
      </c>
      <c r="BK297" s="96">
        <v>75</v>
      </c>
      <c r="BL297" s="96">
        <v>75</v>
      </c>
      <c r="BM297" s="96">
        <v>25</v>
      </c>
      <c r="BN297" s="96"/>
      <c r="BO297" s="96"/>
      <c r="BP297" s="96"/>
      <c r="BQ297" s="96"/>
      <c r="BR297" s="96"/>
      <c r="BS297" s="96"/>
      <c r="BT297" s="96"/>
      <c r="BU297" s="96"/>
      <c r="BV297" s="96">
        <v>3</v>
      </c>
      <c r="BW297" s="96">
        <v>16</v>
      </c>
      <c r="BX297" s="96">
        <v>6</v>
      </c>
      <c r="BY297" s="96"/>
      <c r="BZ297" s="96"/>
      <c r="CA297" s="96"/>
      <c r="CB297" s="96"/>
      <c r="CC297" s="96"/>
      <c r="CD297" s="96"/>
      <c r="CE297" s="96"/>
      <c r="CF297" s="96"/>
      <c r="CG297" s="96"/>
      <c r="CH297" s="96"/>
      <c r="CI297" s="96"/>
      <c r="CJ297" s="96"/>
      <c r="CK297" s="96"/>
      <c r="CL297" s="815">
        <f t="shared" si="28"/>
        <v>25</v>
      </c>
      <c r="CM297" s="824">
        <f t="shared" si="27"/>
        <v>0</v>
      </c>
      <c r="CN297" s="97">
        <v>4.2770000000000001</v>
      </c>
      <c r="CO297" s="97" t="s">
        <v>6073</v>
      </c>
      <c r="CP297" s="97"/>
      <c r="CQ297" s="963">
        <f>CN297/CR297</f>
        <v>2.5728482398517771E-2</v>
      </c>
      <c r="CR297" s="504">
        <v>166.23599999999999</v>
      </c>
      <c r="CS297" s="887" t="s">
        <v>5843</v>
      </c>
      <c r="CT297" s="97" t="s">
        <v>470</v>
      </c>
      <c r="CU297" s="97"/>
      <c r="CV297" s="97"/>
      <c r="CW297" s="97"/>
      <c r="CX297" s="96"/>
      <c r="CY297" s="96"/>
      <c r="CZ297" s="96">
        <v>27</v>
      </c>
      <c r="DA297" s="97" t="s">
        <v>470</v>
      </c>
      <c r="DB297" s="97"/>
      <c r="DC297" s="96"/>
      <c r="DD297" s="97" t="s">
        <v>479</v>
      </c>
      <c r="DE297" s="97" t="s">
        <v>5618</v>
      </c>
      <c r="DF297" s="96">
        <v>4743</v>
      </c>
      <c r="DG297" s="96" t="s">
        <v>470</v>
      </c>
      <c r="DH297" s="96"/>
      <c r="DI297" s="96"/>
      <c r="DJ297" s="96" t="s">
        <v>470</v>
      </c>
      <c r="DK297" s="96"/>
      <c r="DL297" s="96"/>
      <c r="DM297" s="97" t="s">
        <v>470</v>
      </c>
      <c r="DN297" s="97"/>
      <c r="DO297" s="96"/>
      <c r="DP297" s="97" t="s">
        <v>470</v>
      </c>
      <c r="DQ297" s="97"/>
      <c r="DR297" s="96"/>
      <c r="DS297" s="97" t="s">
        <v>470</v>
      </c>
      <c r="DT297" s="97"/>
      <c r="DU297" s="96"/>
      <c r="DV297" s="97" t="s">
        <v>470</v>
      </c>
      <c r="DW297" s="97"/>
      <c r="DX297" s="96"/>
      <c r="DY297" s="97" t="s">
        <v>470</v>
      </c>
      <c r="DZ297" s="97"/>
      <c r="EA297" s="96"/>
      <c r="EB297" s="97" t="s">
        <v>470</v>
      </c>
      <c r="EC297" s="97"/>
      <c r="ED297" s="96"/>
      <c r="EE297" s="96" t="s">
        <v>470</v>
      </c>
      <c r="EF297" s="96"/>
      <c r="EG297" s="96"/>
      <c r="EH297" s="97" t="s">
        <v>470</v>
      </c>
      <c r="EI297" s="97"/>
      <c r="EJ297" s="96"/>
      <c r="EK297" s="97" t="s">
        <v>470</v>
      </c>
      <c r="EL297" s="97"/>
      <c r="EM297" s="96"/>
      <c r="EN297" s="97" t="s">
        <v>479</v>
      </c>
      <c r="EO297" s="97" t="s">
        <v>5333</v>
      </c>
      <c r="EP297" s="96">
        <v>11</v>
      </c>
      <c r="EQ297" s="96" t="s">
        <v>470</v>
      </c>
      <c r="ER297" s="96"/>
      <c r="ES297" s="96"/>
      <c r="ET297" s="97" t="s">
        <v>470</v>
      </c>
      <c r="EU297" s="97"/>
      <c r="EV297" s="96"/>
      <c r="EW297" s="96"/>
      <c r="EX297" s="96"/>
      <c r="EY297" s="96"/>
      <c r="EZ297" s="97" t="s">
        <v>470</v>
      </c>
      <c r="FA297" s="97" t="s">
        <v>5203</v>
      </c>
      <c r="FB297" s="842" t="s">
        <v>5101</v>
      </c>
      <c r="FC297" s="97" t="s">
        <v>2234</v>
      </c>
      <c r="FD297" s="97" t="s">
        <v>2234</v>
      </c>
      <c r="FE297" s="97" t="s">
        <v>2234</v>
      </c>
      <c r="FF297" s="97" t="s">
        <v>2234</v>
      </c>
      <c r="FG297" s="97" t="s">
        <v>2234</v>
      </c>
      <c r="FH297" s="97" t="s">
        <v>2234</v>
      </c>
      <c r="FI297" s="97" t="s">
        <v>2234</v>
      </c>
      <c r="FJ297" s="97" t="s">
        <v>4414</v>
      </c>
      <c r="FK297" s="97" t="s">
        <v>4210</v>
      </c>
      <c r="FL297" s="97" t="s">
        <v>4011</v>
      </c>
      <c r="FM297" s="97"/>
      <c r="FN297" s="97"/>
      <c r="FO297" s="97"/>
    </row>
    <row r="298" spans="5:171" ht="46" customHeight="1" x14ac:dyDescent="0.2">
      <c r="E298" s="94" t="s">
        <v>9305</v>
      </c>
      <c r="F298" s="94" t="s">
        <v>9121</v>
      </c>
      <c r="G298" s="97" t="s">
        <v>348</v>
      </c>
      <c r="H298" s="97" t="s">
        <v>433</v>
      </c>
      <c r="I298" s="97" t="s">
        <v>8707</v>
      </c>
      <c r="J298" s="97" t="s">
        <v>7782</v>
      </c>
      <c r="K298" s="97" t="s">
        <v>5242</v>
      </c>
      <c r="L298" s="502">
        <v>2021</v>
      </c>
      <c r="M298" s="841" t="s">
        <v>8286</v>
      </c>
      <c r="N298" s="841" t="s">
        <v>8216</v>
      </c>
      <c r="O298" s="841"/>
      <c r="P298" s="841"/>
      <c r="Q298" s="841"/>
      <c r="R298" s="841"/>
      <c r="S298" s="841"/>
      <c r="T298" s="841"/>
      <c r="U298" s="841"/>
      <c r="V298" s="841"/>
      <c r="W298" s="841"/>
      <c r="X298" s="841"/>
      <c r="Y298" s="841"/>
      <c r="Z298" s="97" t="s">
        <v>8059</v>
      </c>
      <c r="AA298" s="843" t="s">
        <v>7924</v>
      </c>
      <c r="AB298" s="97" t="s">
        <v>7782</v>
      </c>
      <c r="AC298" s="843" t="s">
        <v>5289</v>
      </c>
      <c r="AD298" s="97" t="s">
        <v>7435</v>
      </c>
      <c r="AE298" s="97" t="s">
        <v>7255</v>
      </c>
      <c r="AF298" s="97" t="s">
        <v>7137</v>
      </c>
      <c r="AG298" s="843" t="s">
        <v>7070</v>
      </c>
      <c r="AH298" s="97" t="s">
        <v>6971</v>
      </c>
      <c r="AI298" s="97" t="s">
        <v>6808</v>
      </c>
      <c r="AJ298" s="97" t="s">
        <v>6679</v>
      </c>
      <c r="AK298" s="97" t="s">
        <v>6453</v>
      </c>
      <c r="AL298" s="580">
        <f t="shared" si="26"/>
        <v>9.7839999999999989</v>
      </c>
      <c r="AM298" s="504">
        <v>9.7839999999999989</v>
      </c>
      <c r="AN298" s="516"/>
      <c r="AO298" s="97"/>
      <c r="AP298" s="97"/>
      <c r="AQ298" s="504">
        <v>8.6029999999999998</v>
      </c>
      <c r="AR298" s="507">
        <f t="shared" si="29"/>
        <v>0.87929272281275561</v>
      </c>
      <c r="AS298" s="507"/>
      <c r="AT298" s="516"/>
      <c r="AU298" s="507">
        <f t="shared" si="30"/>
        <v>0</v>
      </c>
      <c r="AV298" s="516"/>
      <c r="AW298" s="507">
        <f t="shared" si="31"/>
        <v>0</v>
      </c>
      <c r="AX298" s="516">
        <v>1.181</v>
      </c>
      <c r="AY298" s="507">
        <f t="shared" si="32"/>
        <v>0.1207072771872445</v>
      </c>
      <c r="AZ298" s="507"/>
      <c r="BA298" s="507"/>
      <c r="BB298" s="507"/>
      <c r="BC298" s="507"/>
      <c r="BD298" s="507"/>
      <c r="BE298" s="507" t="s">
        <v>479</v>
      </c>
      <c r="BF298" s="507" t="s">
        <v>6289</v>
      </c>
      <c r="BG298" s="843" t="s">
        <v>5289</v>
      </c>
      <c r="BH298" s="852"/>
      <c r="BI298" s="504">
        <v>8</v>
      </c>
      <c r="BJ298" s="507">
        <v>8.0000000000000004E-4</v>
      </c>
      <c r="BK298" s="96">
        <v>5</v>
      </c>
      <c r="BL298" s="96">
        <v>5</v>
      </c>
      <c r="BM298" s="96">
        <v>2</v>
      </c>
      <c r="BN298" s="96"/>
      <c r="BO298" s="96"/>
      <c r="BP298" s="96"/>
      <c r="BQ298" s="96"/>
      <c r="BR298" s="96"/>
      <c r="BS298" s="96"/>
      <c r="BT298" s="96"/>
      <c r="BU298" s="96">
        <v>1</v>
      </c>
      <c r="BV298" s="96"/>
      <c r="BW298" s="96">
        <v>1</v>
      </c>
      <c r="BX298" s="96"/>
      <c r="BY298" s="96"/>
      <c r="BZ298" s="96"/>
      <c r="CA298" s="96"/>
      <c r="CB298" s="96"/>
      <c r="CC298" s="96"/>
      <c r="CD298" s="96"/>
      <c r="CE298" s="96"/>
      <c r="CF298" s="96"/>
      <c r="CG298" s="96"/>
      <c r="CH298" s="96"/>
      <c r="CI298" s="96"/>
      <c r="CJ298" s="96"/>
      <c r="CK298" s="96"/>
      <c r="CL298" s="502">
        <f t="shared" si="28"/>
        <v>2</v>
      </c>
      <c r="CM298" s="824">
        <f t="shared" si="27"/>
        <v>0</v>
      </c>
      <c r="CN298" s="504">
        <v>102.5</v>
      </c>
      <c r="CO298" s="97"/>
      <c r="CP298" s="97"/>
      <c r="CQ298" s="97">
        <v>14.95</v>
      </c>
      <c r="CR298" s="504">
        <v>685.61900000000003</v>
      </c>
      <c r="CS298" s="896" t="s">
        <v>5822</v>
      </c>
      <c r="CT298" s="97" t="s">
        <v>470</v>
      </c>
      <c r="CU298" s="97"/>
      <c r="CV298" s="97"/>
      <c r="CW298" s="97"/>
      <c r="CX298" s="96"/>
      <c r="CY298" s="96"/>
      <c r="CZ298" s="96">
        <v>23</v>
      </c>
      <c r="DA298" s="97" t="s">
        <v>479</v>
      </c>
      <c r="DB298" s="97" t="s">
        <v>5695</v>
      </c>
      <c r="DC298" s="96">
        <v>2236</v>
      </c>
      <c r="DD298" s="97" t="s">
        <v>479</v>
      </c>
      <c r="DE298" s="843" t="s">
        <v>5289</v>
      </c>
      <c r="DF298" s="96">
        <v>30</v>
      </c>
      <c r="DG298" s="96" t="s">
        <v>479</v>
      </c>
      <c r="DH298" s="843" t="s">
        <v>5289</v>
      </c>
      <c r="DI298" s="96">
        <v>1</v>
      </c>
      <c r="DJ298" s="96"/>
      <c r="DK298" s="96"/>
      <c r="DL298" s="96"/>
      <c r="DM298" s="97"/>
      <c r="DN298" s="97"/>
      <c r="DO298" s="96"/>
      <c r="DP298" s="97"/>
      <c r="DQ298" s="97"/>
      <c r="DR298" s="96"/>
      <c r="DS298" s="97" t="s">
        <v>479</v>
      </c>
      <c r="DT298" s="843" t="s">
        <v>5289</v>
      </c>
      <c r="DU298" s="96">
        <v>30</v>
      </c>
      <c r="DV298" s="97" t="s">
        <v>5503</v>
      </c>
      <c r="DW298" s="843" t="s">
        <v>5289</v>
      </c>
      <c r="DX298" s="96">
        <v>1</v>
      </c>
      <c r="DY298" s="97" t="s">
        <v>470</v>
      </c>
      <c r="DZ298" s="97"/>
      <c r="EA298" s="96"/>
      <c r="EB298" s="97" t="s">
        <v>470</v>
      </c>
      <c r="EC298" s="97"/>
      <c r="ED298" s="96"/>
      <c r="EE298" s="96" t="s">
        <v>470</v>
      </c>
      <c r="EF298" s="96"/>
      <c r="EG298" s="96"/>
      <c r="EH298" s="97" t="s">
        <v>470</v>
      </c>
      <c r="EI298" s="97"/>
      <c r="EJ298" s="96"/>
      <c r="EK298" s="97" t="s">
        <v>470</v>
      </c>
      <c r="EL298" s="97"/>
      <c r="EM298" s="96"/>
      <c r="EN298" s="97" t="s">
        <v>470</v>
      </c>
      <c r="EO298" s="97"/>
      <c r="EP298" s="96"/>
      <c r="EQ298" s="96" t="s">
        <v>479</v>
      </c>
      <c r="ER298" s="843" t="s">
        <v>5289</v>
      </c>
      <c r="ES298" s="96">
        <v>1</v>
      </c>
      <c r="ET298" s="97"/>
      <c r="EU298" s="97"/>
      <c r="EV298" s="96"/>
      <c r="EW298" s="96"/>
      <c r="EX298" s="96"/>
      <c r="EY298" s="96"/>
      <c r="EZ298" s="97" t="s">
        <v>470</v>
      </c>
      <c r="FA298" s="97"/>
      <c r="FB298" s="97" t="s">
        <v>5100</v>
      </c>
      <c r="FC298" s="97"/>
      <c r="FD298" s="97"/>
      <c r="FE298" s="97"/>
      <c r="FF298" s="97"/>
      <c r="FG298" s="97" t="s">
        <v>4614</v>
      </c>
      <c r="FH298" s="97">
        <v>2</v>
      </c>
      <c r="FI298" s="97"/>
      <c r="FJ298" s="97" t="s">
        <v>4413</v>
      </c>
      <c r="FK298" s="97" t="s">
        <v>4209</v>
      </c>
      <c r="FL298" s="843" t="s">
        <v>4010</v>
      </c>
      <c r="FM298" s="97" t="s">
        <v>3864</v>
      </c>
      <c r="FN298" s="97">
        <v>88482543554</v>
      </c>
      <c r="FO298" s="97" t="s">
        <v>3717</v>
      </c>
    </row>
    <row r="299" spans="5:171" ht="52" customHeight="1" x14ac:dyDescent="0.2">
      <c r="E299" s="94" t="s">
        <v>9305</v>
      </c>
      <c r="F299" s="94" t="s">
        <v>9121</v>
      </c>
      <c r="G299" s="97" t="s">
        <v>348</v>
      </c>
      <c r="H299" s="97" t="s">
        <v>433</v>
      </c>
      <c r="I299" s="97" t="s">
        <v>8705</v>
      </c>
      <c r="J299" s="97" t="s">
        <v>8374</v>
      </c>
      <c r="K299" s="97" t="s">
        <v>8374</v>
      </c>
      <c r="L299" s="502">
        <v>2022</v>
      </c>
      <c r="M299" s="841" t="s">
        <v>8285</v>
      </c>
      <c r="N299" s="841" t="s">
        <v>8215</v>
      </c>
      <c r="O299" s="841"/>
      <c r="P299" s="841"/>
      <c r="Q299" s="841"/>
      <c r="R299" s="841"/>
      <c r="S299" s="841"/>
      <c r="T299" s="841"/>
      <c r="U299" s="841"/>
      <c r="V299" s="841"/>
      <c r="W299" s="841"/>
      <c r="X299" s="841"/>
      <c r="Y299" s="841"/>
      <c r="Z299" s="97"/>
      <c r="AA299" s="97"/>
      <c r="AB299" s="97" t="s">
        <v>7781</v>
      </c>
      <c r="AC299" s="842" t="s">
        <v>7624</v>
      </c>
      <c r="AD299" s="97"/>
      <c r="AE299" s="97"/>
      <c r="AF299" s="97"/>
      <c r="AG299" s="97"/>
      <c r="AH299" s="97" t="s">
        <v>6451</v>
      </c>
      <c r="AI299" s="97" t="s">
        <v>6807</v>
      </c>
      <c r="AJ299" s="97" t="s">
        <v>633</v>
      </c>
      <c r="AK299" s="97" t="s">
        <v>6451</v>
      </c>
      <c r="AL299" s="580">
        <f t="shared" si="26"/>
        <v>0.21000000000000002</v>
      </c>
      <c r="AM299" s="504">
        <v>0.21000000000000002</v>
      </c>
      <c r="AN299" s="516"/>
      <c r="AO299" s="97"/>
      <c r="AP299" s="97"/>
      <c r="AQ299" s="504">
        <v>0.01</v>
      </c>
      <c r="AR299" s="507">
        <f t="shared" ref="AR299:AR321" si="33">AQ299/AL299</f>
        <v>4.7619047619047616E-2</v>
      </c>
      <c r="AS299" s="507"/>
      <c r="AT299" s="516"/>
      <c r="AU299" s="507">
        <f>AT299/AL299</f>
        <v>0</v>
      </c>
      <c r="AV299" s="516"/>
      <c r="AW299" s="507">
        <f t="shared" ref="AW299:AW304" si="34">AV299/AL299</f>
        <v>0</v>
      </c>
      <c r="AX299" s="516">
        <v>0.2</v>
      </c>
      <c r="AY299" s="507">
        <f t="shared" ref="AY299:AY321" si="35">AX299/AL299</f>
        <v>0.95238095238095233</v>
      </c>
      <c r="AZ299" s="507"/>
      <c r="BA299" s="507"/>
      <c r="BB299" s="507"/>
      <c r="BC299" s="507"/>
      <c r="BD299" s="507"/>
      <c r="BE299" s="507" t="s">
        <v>479</v>
      </c>
      <c r="BF299" s="507" t="s">
        <v>6288</v>
      </c>
      <c r="BG299" s="507"/>
      <c r="BH299" s="852"/>
      <c r="BI299" s="504"/>
      <c r="BJ299" s="507"/>
      <c r="BK299" s="96"/>
      <c r="BL299" s="96"/>
      <c r="BM299" s="96"/>
      <c r="BN299" s="96"/>
      <c r="BO299" s="96"/>
      <c r="BP299" s="96"/>
      <c r="BQ299" s="96"/>
      <c r="BR299" s="96"/>
      <c r="BS299" s="96"/>
      <c r="BT299" s="96"/>
      <c r="BU299" s="96"/>
      <c r="BV299" s="96"/>
      <c r="BW299" s="96"/>
      <c r="BX299" s="96">
        <v>1</v>
      </c>
      <c r="BY299" s="96"/>
      <c r="BZ299" s="96"/>
      <c r="CA299" s="96"/>
      <c r="CB299" s="96"/>
      <c r="CC299" s="96"/>
      <c r="CD299" s="96"/>
      <c r="CE299" s="96"/>
      <c r="CF299" s="96"/>
      <c r="CG299" s="96"/>
      <c r="CH299" s="96"/>
      <c r="CI299" s="96"/>
      <c r="CJ299" s="96"/>
      <c r="CK299" s="96"/>
      <c r="CL299" s="815">
        <f t="shared" ref="CL299:CL329" si="36">SUM(BN299:CK299)</f>
        <v>1</v>
      </c>
      <c r="CM299" s="824">
        <f t="shared" si="27"/>
        <v>0</v>
      </c>
      <c r="CN299" s="504">
        <v>0.1</v>
      </c>
      <c r="CO299" s="97"/>
      <c r="CP299" s="97"/>
      <c r="CQ299" s="963">
        <f>CN299/CR299</f>
        <v>6.1274509803921573E-2</v>
      </c>
      <c r="CR299" s="504">
        <v>1.6319999999999999</v>
      </c>
      <c r="CS299" s="507"/>
      <c r="CT299" s="97" t="s">
        <v>470</v>
      </c>
      <c r="CU299" s="97"/>
      <c r="CV299" s="97"/>
      <c r="CW299" s="97"/>
      <c r="CX299" s="96"/>
      <c r="CY299" s="96"/>
      <c r="CZ299" s="96">
        <v>1</v>
      </c>
      <c r="DA299" s="97" t="s">
        <v>470</v>
      </c>
      <c r="DB299" s="97"/>
      <c r="DC299" s="96"/>
      <c r="DD299" s="97" t="s">
        <v>470</v>
      </c>
      <c r="DE299" s="97"/>
      <c r="DF299" s="96"/>
      <c r="DG299" s="96" t="s">
        <v>470</v>
      </c>
      <c r="DH299" s="96"/>
      <c r="DI299" s="96"/>
      <c r="DJ299" s="96" t="s">
        <v>470</v>
      </c>
      <c r="DK299" s="96"/>
      <c r="DL299" s="96"/>
      <c r="DM299" s="97" t="s">
        <v>470</v>
      </c>
      <c r="DN299" s="97"/>
      <c r="DO299" s="96"/>
      <c r="DP299" s="97" t="s">
        <v>470</v>
      </c>
      <c r="DQ299" s="97"/>
      <c r="DR299" s="96"/>
      <c r="DS299" s="97" t="s">
        <v>470</v>
      </c>
      <c r="DT299" s="97"/>
      <c r="DU299" s="96"/>
      <c r="DV299" s="97" t="s">
        <v>5502</v>
      </c>
      <c r="DW299" s="97"/>
      <c r="DX299" s="96"/>
      <c r="DY299" s="97"/>
      <c r="DZ299" s="97"/>
      <c r="EA299" s="96"/>
      <c r="EB299" s="97" t="s">
        <v>479</v>
      </c>
      <c r="EC299" s="97" t="s">
        <v>5402</v>
      </c>
      <c r="ED299" s="96"/>
      <c r="EE299" s="96"/>
      <c r="EF299" s="96"/>
      <c r="EG299" s="96"/>
      <c r="EH299" s="97"/>
      <c r="EI299" s="97"/>
      <c r="EJ299" s="96"/>
      <c r="EK299" s="97"/>
      <c r="EL299" s="97"/>
      <c r="EM299" s="96"/>
      <c r="EN299" s="97"/>
      <c r="EO299" s="97"/>
      <c r="EP299" s="96"/>
      <c r="EQ299" s="96"/>
      <c r="ER299" s="96"/>
      <c r="ES299" s="96"/>
      <c r="ET299" s="97"/>
      <c r="EU299" s="97"/>
      <c r="EV299" s="96"/>
      <c r="EW299" s="96"/>
      <c r="EX299" s="96"/>
      <c r="EY299" s="96"/>
      <c r="EZ299" s="97" t="s">
        <v>470</v>
      </c>
      <c r="FA299" s="97"/>
      <c r="FB299" s="97"/>
      <c r="FC299" s="97"/>
      <c r="FD299" s="97"/>
      <c r="FE299" s="97"/>
      <c r="FF299" s="97"/>
      <c r="FG299" s="97"/>
      <c r="FH299" s="97"/>
      <c r="FI299" s="97"/>
      <c r="FJ299" s="97" t="s">
        <v>4411</v>
      </c>
      <c r="FK299" s="97">
        <v>89277738122</v>
      </c>
      <c r="FL299" s="842" t="s">
        <v>4008</v>
      </c>
      <c r="FM299" s="97"/>
      <c r="FN299" s="97"/>
      <c r="FO299" s="97"/>
    </row>
    <row r="300" spans="5:171" ht="32" customHeight="1" x14ac:dyDescent="0.2">
      <c r="E300" s="94" t="s">
        <v>9305</v>
      </c>
      <c r="F300" s="94" t="s">
        <v>9121</v>
      </c>
      <c r="G300" s="97" t="s">
        <v>348</v>
      </c>
      <c r="H300" s="97" t="s">
        <v>433</v>
      </c>
      <c r="I300" s="97" t="s">
        <v>8704</v>
      </c>
      <c r="J300" s="97" t="s">
        <v>8508</v>
      </c>
      <c r="K300" s="97"/>
      <c r="L300" s="502">
        <v>2022</v>
      </c>
      <c r="M300" s="841" t="s">
        <v>8284</v>
      </c>
      <c r="N300" s="841" t="s">
        <v>472</v>
      </c>
      <c r="O300" s="841"/>
      <c r="P300" s="841"/>
      <c r="Q300" s="841"/>
      <c r="R300" s="841"/>
      <c r="S300" s="841"/>
      <c r="T300" s="841"/>
      <c r="U300" s="841"/>
      <c r="V300" s="841"/>
      <c r="W300" s="841"/>
      <c r="X300" s="841"/>
      <c r="Y300" s="841"/>
      <c r="Z300" s="97" t="s">
        <v>470</v>
      </c>
      <c r="AA300" s="97"/>
      <c r="AB300" s="97" t="s">
        <v>7780</v>
      </c>
      <c r="AC300" s="842" t="s">
        <v>7623</v>
      </c>
      <c r="AD300" s="97" t="s">
        <v>7434</v>
      </c>
      <c r="AE300" s="842" t="s">
        <v>7254</v>
      </c>
      <c r="AF300" s="97" t="s">
        <v>470</v>
      </c>
      <c r="AG300" s="97"/>
      <c r="AH300" s="97" t="s">
        <v>6969</v>
      </c>
      <c r="AI300" s="97" t="s">
        <v>6806</v>
      </c>
      <c r="AJ300" s="97" t="s">
        <v>6678</v>
      </c>
      <c r="AK300" s="97" t="s">
        <v>6450</v>
      </c>
      <c r="AL300" s="580">
        <f t="shared" si="26"/>
        <v>0.35399999999999998</v>
      </c>
      <c r="AM300" s="504">
        <v>0.35399999999999998</v>
      </c>
      <c r="AN300" s="516"/>
      <c r="AO300" s="97"/>
      <c r="AP300" s="97"/>
      <c r="AQ300" s="504">
        <v>4.0000000000000001E-3</v>
      </c>
      <c r="AR300" s="507">
        <f t="shared" si="33"/>
        <v>1.1299435028248589E-2</v>
      </c>
      <c r="AS300" s="1025">
        <v>3.0000000000000001E-6</v>
      </c>
      <c r="AT300" s="516">
        <v>0</v>
      </c>
      <c r="AU300" s="507">
        <f>AT300/AL300</f>
        <v>0</v>
      </c>
      <c r="AV300" s="516">
        <v>0.35</v>
      </c>
      <c r="AW300" s="507">
        <f t="shared" si="34"/>
        <v>0.98870056497175141</v>
      </c>
      <c r="AX300" s="516">
        <v>0</v>
      </c>
      <c r="AY300" s="507">
        <f t="shared" si="35"/>
        <v>0</v>
      </c>
      <c r="AZ300" s="507"/>
      <c r="BA300" s="507"/>
      <c r="BB300" s="507"/>
      <c r="BC300" s="507"/>
      <c r="BD300" s="507"/>
      <c r="BE300" s="507" t="s">
        <v>470</v>
      </c>
      <c r="BF300" s="507"/>
      <c r="BG300" s="507"/>
      <c r="BH300" s="852"/>
      <c r="BI300" s="504">
        <v>0</v>
      </c>
      <c r="BJ300" s="507">
        <v>0</v>
      </c>
      <c r="BK300" s="96">
        <v>1</v>
      </c>
      <c r="BL300" s="96">
        <v>1</v>
      </c>
      <c r="BM300" s="96">
        <v>1</v>
      </c>
      <c r="BN300" s="96"/>
      <c r="BO300" s="96"/>
      <c r="BP300" s="96"/>
      <c r="BQ300" s="96"/>
      <c r="BR300" s="96"/>
      <c r="BS300" s="96"/>
      <c r="BT300" s="96"/>
      <c r="BU300" s="96"/>
      <c r="BV300" s="96"/>
      <c r="BW300" s="96"/>
      <c r="BX300" s="96"/>
      <c r="BY300" s="96">
        <v>1</v>
      </c>
      <c r="BZ300" s="96"/>
      <c r="CA300" s="96"/>
      <c r="CB300" s="96"/>
      <c r="CC300" s="96"/>
      <c r="CD300" s="96"/>
      <c r="CE300" s="96"/>
      <c r="CF300" s="96"/>
      <c r="CG300" s="96"/>
      <c r="CH300" s="96"/>
      <c r="CI300" s="96"/>
      <c r="CJ300" s="96"/>
      <c r="CK300" s="96"/>
      <c r="CL300" s="815">
        <f t="shared" si="36"/>
        <v>1</v>
      </c>
      <c r="CM300" s="824">
        <f t="shared" si="27"/>
        <v>0</v>
      </c>
      <c r="CN300" s="504">
        <v>4.4589999999999996</v>
      </c>
      <c r="CO300" s="97" t="s">
        <v>9639</v>
      </c>
      <c r="CP300" s="97"/>
      <c r="CQ300" s="97">
        <v>22.7</v>
      </c>
      <c r="CR300" s="504">
        <v>4.4589999999999996</v>
      </c>
      <c r="CS300" s="887" t="s">
        <v>5849</v>
      </c>
      <c r="CT300" s="97" t="s">
        <v>470</v>
      </c>
      <c r="CU300" s="97"/>
      <c r="CV300" s="97"/>
      <c r="CW300" s="97"/>
      <c r="CX300" s="96"/>
      <c r="CY300" s="96"/>
      <c r="CZ300" s="96"/>
      <c r="DA300" s="97"/>
      <c r="DB300" s="97"/>
      <c r="DC300" s="96"/>
      <c r="DD300" s="97" t="s">
        <v>479</v>
      </c>
      <c r="DE300" s="97" t="s">
        <v>5616</v>
      </c>
      <c r="DF300" s="96" t="s">
        <v>5381</v>
      </c>
      <c r="DG300" s="96"/>
      <c r="DH300" s="96"/>
      <c r="DI300" s="96"/>
      <c r="DJ300" s="96"/>
      <c r="DK300" s="96"/>
      <c r="DL300" s="96"/>
      <c r="DM300" s="97"/>
      <c r="DN300" s="97"/>
      <c r="DO300" s="96"/>
      <c r="DP300" s="97"/>
      <c r="DQ300" s="97"/>
      <c r="DR300" s="96"/>
      <c r="DS300" s="97"/>
      <c r="DT300" s="97"/>
      <c r="DU300" s="96"/>
      <c r="DV300" s="97"/>
      <c r="DW300" s="97"/>
      <c r="DX300" s="96"/>
      <c r="DY300" s="97"/>
      <c r="DZ300" s="97"/>
      <c r="EA300" s="96"/>
      <c r="EB300" s="97" t="s">
        <v>479</v>
      </c>
      <c r="EC300" s="97" t="s">
        <v>5401</v>
      </c>
      <c r="ED300" s="96" t="s">
        <v>5381</v>
      </c>
      <c r="EE300" s="96"/>
      <c r="EF300" s="96"/>
      <c r="EG300" s="96"/>
      <c r="EH300" s="97"/>
      <c r="EI300" s="97"/>
      <c r="EJ300" s="96"/>
      <c r="EK300" s="97"/>
      <c r="EL300" s="97"/>
      <c r="EM300" s="96"/>
      <c r="EN300" s="97"/>
      <c r="EO300" s="97"/>
      <c r="EP300" s="96"/>
      <c r="EQ300" s="96"/>
      <c r="ER300" s="96"/>
      <c r="ES300" s="96"/>
      <c r="ET300" s="97"/>
      <c r="EU300" s="97"/>
      <c r="EV300" s="96"/>
      <c r="EW300" s="96"/>
      <c r="EX300" s="96"/>
      <c r="EY300" s="96"/>
      <c r="EZ300" s="97" t="s">
        <v>470</v>
      </c>
      <c r="FA300" s="97"/>
      <c r="FB300" s="842" t="s">
        <v>5099</v>
      </c>
      <c r="FC300" s="97" t="s">
        <v>470</v>
      </c>
      <c r="FD300" s="97" t="s">
        <v>470</v>
      </c>
      <c r="FE300" s="97"/>
      <c r="FF300" s="97" t="s">
        <v>470</v>
      </c>
      <c r="FG300" s="97" t="s">
        <v>470</v>
      </c>
      <c r="FH300" s="97" t="s">
        <v>470</v>
      </c>
      <c r="FI300" s="97" t="s">
        <v>470</v>
      </c>
      <c r="FJ300" s="97" t="s">
        <v>4410</v>
      </c>
      <c r="FK300" s="97">
        <v>88465422082</v>
      </c>
      <c r="FL300" s="842" t="s">
        <v>3715</v>
      </c>
      <c r="FM300" s="97" t="s">
        <v>3862</v>
      </c>
      <c r="FN300" s="97" t="s">
        <v>3794</v>
      </c>
      <c r="FO300" s="842" t="s">
        <v>3715</v>
      </c>
    </row>
    <row r="301" spans="5:171" ht="52" customHeight="1" x14ac:dyDescent="0.2">
      <c r="E301" s="94" t="s">
        <v>9305</v>
      </c>
      <c r="F301" s="94" t="s">
        <v>9121</v>
      </c>
      <c r="G301" s="97" t="s">
        <v>348</v>
      </c>
      <c r="H301" s="97" t="s">
        <v>433</v>
      </c>
      <c r="I301" s="97" t="s">
        <v>8704</v>
      </c>
      <c r="J301" s="97" t="s">
        <v>8507</v>
      </c>
      <c r="K301" s="97"/>
      <c r="L301" s="502">
        <v>2022</v>
      </c>
      <c r="M301" s="841">
        <v>44562</v>
      </c>
      <c r="N301" s="841">
        <v>44926</v>
      </c>
      <c r="O301" s="841"/>
      <c r="P301" s="841"/>
      <c r="Q301" s="841"/>
      <c r="R301" s="841"/>
      <c r="S301" s="841"/>
      <c r="T301" s="841"/>
      <c r="U301" s="841"/>
      <c r="V301" s="841"/>
      <c r="W301" s="841"/>
      <c r="X301" s="841"/>
      <c r="Y301" s="841"/>
      <c r="Z301" s="97"/>
      <c r="AA301" s="97"/>
      <c r="AB301" s="97" t="s">
        <v>7780</v>
      </c>
      <c r="AC301" s="842" t="s">
        <v>7622</v>
      </c>
      <c r="AD301" s="97" t="s">
        <v>7434</v>
      </c>
      <c r="AE301" s="842" t="s">
        <v>7253</v>
      </c>
      <c r="AF301" s="97" t="s">
        <v>470</v>
      </c>
      <c r="AG301" s="97"/>
      <c r="AH301" s="97" t="s">
        <v>6969</v>
      </c>
      <c r="AI301" s="97" t="s">
        <v>6805</v>
      </c>
      <c r="AJ301" s="97" t="s">
        <v>6677</v>
      </c>
      <c r="AK301" s="97" t="s">
        <v>6449</v>
      </c>
      <c r="AL301" s="580">
        <f t="shared" si="26"/>
        <v>0.30000000000000004</v>
      </c>
      <c r="AM301" s="504">
        <v>0.30000000000000004</v>
      </c>
      <c r="AN301" s="516"/>
      <c r="AO301" s="97"/>
      <c r="AP301" s="97"/>
      <c r="AQ301" s="504">
        <v>0.1</v>
      </c>
      <c r="AR301" s="507">
        <f t="shared" si="33"/>
        <v>0.33333333333333331</v>
      </c>
      <c r="AS301" s="507"/>
      <c r="AT301" s="516">
        <v>0</v>
      </c>
      <c r="AU301" s="507">
        <f>AT301/AL301</f>
        <v>0</v>
      </c>
      <c r="AV301" s="516">
        <v>0.2</v>
      </c>
      <c r="AW301" s="507">
        <f t="shared" si="34"/>
        <v>0.66666666666666663</v>
      </c>
      <c r="AX301" s="516">
        <v>0</v>
      </c>
      <c r="AY301" s="507">
        <f t="shared" si="35"/>
        <v>0</v>
      </c>
      <c r="AZ301" s="507"/>
      <c r="BA301" s="507"/>
      <c r="BB301" s="507"/>
      <c r="BC301" s="507"/>
      <c r="BD301" s="507"/>
      <c r="BE301" s="507" t="s">
        <v>470</v>
      </c>
      <c r="BF301" s="507"/>
      <c r="BG301" s="507"/>
      <c r="BH301" s="852"/>
      <c r="BI301" s="504">
        <v>0</v>
      </c>
      <c r="BJ301" s="507">
        <v>0</v>
      </c>
      <c r="BK301" s="96">
        <v>1</v>
      </c>
      <c r="BL301" s="96">
        <v>1</v>
      </c>
      <c r="BM301" s="96">
        <v>1</v>
      </c>
      <c r="BN301" s="96"/>
      <c r="BO301" s="96"/>
      <c r="BP301" s="96"/>
      <c r="BQ301" s="96"/>
      <c r="BR301" s="96"/>
      <c r="BS301" s="96"/>
      <c r="BT301" s="96"/>
      <c r="BU301" s="96"/>
      <c r="BV301" s="96"/>
      <c r="BW301" s="96"/>
      <c r="BX301" s="96"/>
      <c r="BY301" s="96"/>
      <c r="BZ301" s="96"/>
      <c r="CA301" s="96">
        <v>1</v>
      </c>
      <c r="CB301" s="96"/>
      <c r="CC301" s="96"/>
      <c r="CD301" s="96"/>
      <c r="CE301" s="96"/>
      <c r="CF301" s="96"/>
      <c r="CG301" s="96"/>
      <c r="CH301" s="96"/>
      <c r="CI301" s="96"/>
      <c r="CJ301" s="96"/>
      <c r="CK301" s="96"/>
      <c r="CL301" s="815">
        <f t="shared" si="36"/>
        <v>1</v>
      </c>
      <c r="CM301" s="824">
        <f t="shared" si="27"/>
        <v>0</v>
      </c>
      <c r="CN301" s="504">
        <v>4.4589999999999996</v>
      </c>
      <c r="CO301" s="97" t="s">
        <v>6072</v>
      </c>
      <c r="CP301" s="887"/>
      <c r="CQ301" s="97">
        <v>100</v>
      </c>
      <c r="CR301" s="504">
        <v>4.4589999999999996</v>
      </c>
      <c r="CS301" s="887" t="s">
        <v>5849</v>
      </c>
      <c r="CT301" s="97" t="s">
        <v>470</v>
      </c>
      <c r="CU301" s="97"/>
      <c r="CV301" s="97"/>
      <c r="CW301" s="97"/>
      <c r="CX301" s="96"/>
      <c r="CY301" s="96"/>
      <c r="CZ301" s="96"/>
      <c r="DA301" s="97"/>
      <c r="DB301" s="97"/>
      <c r="DC301" s="96"/>
      <c r="DD301" s="97" t="s">
        <v>479</v>
      </c>
      <c r="DE301" s="97" t="s">
        <v>5615</v>
      </c>
      <c r="DF301" s="96">
        <v>55</v>
      </c>
      <c r="DG301" s="96"/>
      <c r="DH301" s="96"/>
      <c r="DI301" s="96"/>
      <c r="DJ301" s="96"/>
      <c r="DK301" s="96"/>
      <c r="DL301" s="96"/>
      <c r="DM301" s="97"/>
      <c r="DN301" s="97"/>
      <c r="DO301" s="96"/>
      <c r="DP301" s="97"/>
      <c r="DQ301" s="97"/>
      <c r="DR301" s="96"/>
      <c r="DS301" s="97"/>
      <c r="DT301" s="97"/>
      <c r="DU301" s="96"/>
      <c r="DV301" s="97"/>
      <c r="DW301" s="97"/>
      <c r="DX301" s="96"/>
      <c r="DY301" s="97"/>
      <c r="DZ301" s="97"/>
      <c r="EA301" s="96"/>
      <c r="EB301" s="97" t="s">
        <v>479</v>
      </c>
      <c r="EC301" s="97" t="s">
        <v>5400</v>
      </c>
      <c r="ED301" s="96">
        <v>55</v>
      </c>
      <c r="EE301" s="96"/>
      <c r="EF301" s="96"/>
      <c r="EG301" s="96"/>
      <c r="EH301" s="97"/>
      <c r="EI301" s="97"/>
      <c r="EJ301" s="96"/>
      <c r="EK301" s="97"/>
      <c r="EL301" s="97"/>
      <c r="EM301" s="96"/>
      <c r="EN301" s="97"/>
      <c r="EO301" s="97"/>
      <c r="EP301" s="96"/>
      <c r="EQ301" s="96"/>
      <c r="ER301" s="96"/>
      <c r="ES301" s="96"/>
      <c r="ET301" s="97"/>
      <c r="EU301" s="97"/>
      <c r="EV301" s="96"/>
      <c r="EW301" s="96"/>
      <c r="EX301" s="96"/>
      <c r="EY301" s="96"/>
      <c r="EZ301" s="97" t="s">
        <v>470</v>
      </c>
      <c r="FA301" s="97"/>
      <c r="FB301" s="97" t="s">
        <v>5098</v>
      </c>
      <c r="FC301" s="97" t="s">
        <v>470</v>
      </c>
      <c r="FD301" s="97" t="s">
        <v>470</v>
      </c>
      <c r="FE301" s="97" t="s">
        <v>470</v>
      </c>
      <c r="FF301" s="97" t="s">
        <v>470</v>
      </c>
      <c r="FG301" s="97" t="s">
        <v>470</v>
      </c>
      <c r="FH301" s="97" t="s">
        <v>470</v>
      </c>
      <c r="FI301" s="97" t="s">
        <v>470</v>
      </c>
      <c r="FJ301" s="97" t="s">
        <v>4410</v>
      </c>
      <c r="FK301" s="97">
        <v>88465422082</v>
      </c>
      <c r="FL301" s="842" t="s">
        <v>3715</v>
      </c>
      <c r="FM301" s="97" t="s">
        <v>3862</v>
      </c>
      <c r="FN301" s="97" t="s">
        <v>3794</v>
      </c>
      <c r="FO301" s="842" t="s">
        <v>3715</v>
      </c>
    </row>
    <row r="302" spans="5:171" ht="32" customHeight="1" x14ac:dyDescent="0.2">
      <c r="E302" s="94" t="s">
        <v>9305</v>
      </c>
      <c r="F302" s="94" t="s">
        <v>9121</v>
      </c>
      <c r="G302" s="97" t="s">
        <v>348</v>
      </c>
      <c r="H302" s="97" t="s">
        <v>433</v>
      </c>
      <c r="I302" s="97" t="s">
        <v>8703</v>
      </c>
      <c r="J302" s="97" t="s">
        <v>8506</v>
      </c>
      <c r="K302" s="97"/>
      <c r="L302" s="502">
        <v>2022</v>
      </c>
      <c r="M302" s="841">
        <v>44711</v>
      </c>
      <c r="N302" s="841">
        <v>44925</v>
      </c>
      <c r="O302" s="841"/>
      <c r="P302" s="841"/>
      <c r="Q302" s="841"/>
      <c r="R302" s="841"/>
      <c r="S302" s="841"/>
      <c r="T302" s="841"/>
      <c r="U302" s="841"/>
      <c r="V302" s="841"/>
      <c r="W302" s="841"/>
      <c r="X302" s="841"/>
      <c r="Y302" s="841"/>
      <c r="Z302" s="97"/>
      <c r="AA302" s="1026"/>
      <c r="AB302" s="97" t="s">
        <v>7779</v>
      </c>
      <c r="AC302" s="1026" t="s">
        <v>5989</v>
      </c>
      <c r="AD302" s="97" t="s">
        <v>7433</v>
      </c>
      <c r="AE302" s="842" t="s">
        <v>7252</v>
      </c>
      <c r="AF302" s="97"/>
      <c r="AG302" s="842"/>
      <c r="AH302" s="97" t="s">
        <v>6447</v>
      </c>
      <c r="AI302" s="97" t="s">
        <v>6804</v>
      </c>
      <c r="AJ302" s="97" t="s">
        <v>6676</v>
      </c>
      <c r="AK302" s="97" t="s">
        <v>6448</v>
      </c>
      <c r="AL302" s="580">
        <f t="shared" si="26"/>
        <v>0.11700000000000001</v>
      </c>
      <c r="AM302" s="504">
        <v>0.11700000000000001</v>
      </c>
      <c r="AN302" s="516"/>
      <c r="AO302" s="97"/>
      <c r="AP302" s="97"/>
      <c r="AQ302" s="504">
        <v>0.114</v>
      </c>
      <c r="AR302" s="507">
        <f t="shared" si="33"/>
        <v>0.97435897435897434</v>
      </c>
      <c r="AS302" s="908">
        <f>AQ302/862.1</f>
        <v>1.3223523953137688E-4</v>
      </c>
      <c r="AT302" s="516"/>
      <c r="AU302" s="507">
        <f>AT302/AL302</f>
        <v>0</v>
      </c>
      <c r="AV302" s="516">
        <v>0</v>
      </c>
      <c r="AW302" s="507">
        <f t="shared" si="34"/>
        <v>0</v>
      </c>
      <c r="AX302" s="516">
        <v>3.0000000000000001E-3</v>
      </c>
      <c r="AY302" s="507">
        <f t="shared" si="35"/>
        <v>2.564102564102564E-2</v>
      </c>
      <c r="AZ302" s="507"/>
      <c r="BA302" s="507"/>
      <c r="BB302" s="507"/>
      <c r="BC302" s="507"/>
      <c r="BD302" s="507"/>
      <c r="BE302" s="507" t="s">
        <v>470</v>
      </c>
      <c r="BF302" s="507"/>
      <c r="BG302" s="507"/>
      <c r="BH302" s="852"/>
      <c r="BI302" s="504">
        <v>0</v>
      </c>
      <c r="BJ302" s="507"/>
      <c r="BK302" s="96">
        <v>1</v>
      </c>
      <c r="BL302" s="96">
        <v>1</v>
      </c>
      <c r="BM302" s="96">
        <v>1</v>
      </c>
      <c r="BN302" s="96"/>
      <c r="BO302" s="96"/>
      <c r="BP302" s="96"/>
      <c r="BQ302" s="96"/>
      <c r="BR302" s="96"/>
      <c r="BS302" s="96"/>
      <c r="BT302" s="96"/>
      <c r="BU302" s="96">
        <v>1</v>
      </c>
      <c r="BV302" s="96"/>
      <c r="BW302" s="96"/>
      <c r="BX302" s="96"/>
      <c r="BY302" s="96"/>
      <c r="BZ302" s="96"/>
      <c r="CA302" s="96"/>
      <c r="CB302" s="96"/>
      <c r="CC302" s="96"/>
      <c r="CD302" s="96"/>
      <c r="CE302" s="96"/>
      <c r="CF302" s="96"/>
      <c r="CG302" s="96"/>
      <c r="CH302" s="96"/>
      <c r="CI302" s="96"/>
      <c r="CJ302" s="96"/>
      <c r="CK302" s="96"/>
      <c r="CL302" s="815">
        <f t="shared" si="36"/>
        <v>1</v>
      </c>
      <c r="CM302" s="824">
        <f t="shared" si="27"/>
        <v>0</v>
      </c>
      <c r="CN302" s="611">
        <v>5</v>
      </c>
      <c r="CO302" s="97" t="s">
        <v>6071</v>
      </c>
      <c r="CP302" s="842" t="s">
        <v>5989</v>
      </c>
      <c r="CQ302" s="619">
        <f>CN302/CR302*100</f>
        <v>12.112109687265328</v>
      </c>
      <c r="CR302" s="611">
        <v>41.280999999999999</v>
      </c>
      <c r="CS302" s="887" t="s">
        <v>5848</v>
      </c>
      <c r="CT302" s="97" t="s">
        <v>470</v>
      </c>
      <c r="CU302" s="97"/>
      <c r="CV302" s="97"/>
      <c r="CW302" s="97"/>
      <c r="CX302" s="96"/>
      <c r="CY302" s="96"/>
      <c r="CZ302" s="96"/>
      <c r="DA302" s="96" t="s">
        <v>470</v>
      </c>
      <c r="DB302" s="97"/>
      <c r="DC302" s="96"/>
      <c r="DD302" s="97" t="s">
        <v>479</v>
      </c>
      <c r="DE302" s="97" t="s">
        <v>5614</v>
      </c>
      <c r="DF302" s="96">
        <v>263</v>
      </c>
      <c r="DG302" s="96" t="s">
        <v>470</v>
      </c>
      <c r="DH302" s="96"/>
      <c r="DI302" s="96"/>
      <c r="DJ302" s="96" t="s">
        <v>470</v>
      </c>
      <c r="DK302" s="96"/>
      <c r="DL302" s="96"/>
      <c r="DM302" s="96" t="s">
        <v>470</v>
      </c>
      <c r="DN302" s="97"/>
      <c r="DO302" s="96"/>
      <c r="DP302" s="96" t="s">
        <v>470</v>
      </c>
      <c r="DQ302" s="97"/>
      <c r="DR302" s="96"/>
      <c r="DS302" s="96" t="s">
        <v>470</v>
      </c>
      <c r="DT302" s="97"/>
      <c r="DU302" s="96"/>
      <c r="DV302" s="97"/>
      <c r="DW302" s="97"/>
      <c r="DX302" s="96"/>
      <c r="DY302" s="96" t="s">
        <v>470</v>
      </c>
      <c r="DZ302" s="97"/>
      <c r="EA302" s="96"/>
      <c r="EB302" s="96" t="s">
        <v>470</v>
      </c>
      <c r="EC302" s="97"/>
      <c r="ED302" s="96"/>
      <c r="EE302" s="96" t="s">
        <v>470</v>
      </c>
      <c r="EF302" s="96"/>
      <c r="EG302" s="96"/>
      <c r="EH302" s="96" t="s">
        <v>470</v>
      </c>
      <c r="EI302" s="97"/>
      <c r="EJ302" s="96"/>
      <c r="EK302" s="96" t="s">
        <v>470</v>
      </c>
      <c r="EL302" s="97"/>
      <c r="EM302" s="96"/>
      <c r="EN302" s="96" t="s">
        <v>470</v>
      </c>
      <c r="EO302" s="97"/>
      <c r="EP302" s="96"/>
      <c r="EQ302" s="96" t="s">
        <v>470</v>
      </c>
      <c r="ER302" s="96"/>
      <c r="ES302" s="96"/>
      <c r="ET302" s="96"/>
      <c r="EU302" s="97"/>
      <c r="EV302" s="96"/>
      <c r="EW302" s="96"/>
      <c r="EX302" s="96"/>
      <c r="EY302" s="96"/>
      <c r="EZ302" s="97" t="s">
        <v>470</v>
      </c>
      <c r="FA302" s="97"/>
      <c r="FB302" s="842" t="s">
        <v>5093</v>
      </c>
      <c r="FC302" s="97"/>
      <c r="FD302" s="97"/>
      <c r="FE302" s="97"/>
      <c r="FF302" s="97"/>
      <c r="FG302" s="97"/>
      <c r="FH302" s="97"/>
      <c r="FI302" s="97"/>
      <c r="FJ302" s="97" t="s">
        <v>4409</v>
      </c>
      <c r="FK302" s="97">
        <v>88466040281</v>
      </c>
      <c r="FL302" s="842" t="s">
        <v>4007</v>
      </c>
      <c r="FM302" s="97"/>
      <c r="FN302" s="97"/>
      <c r="FO302" s="97"/>
    </row>
    <row r="303" spans="5:171" ht="52" customHeight="1" x14ac:dyDescent="0.2">
      <c r="E303" s="94" t="s">
        <v>9305</v>
      </c>
      <c r="F303" s="94" t="s">
        <v>9121</v>
      </c>
      <c r="G303" s="97" t="s">
        <v>348</v>
      </c>
      <c r="H303" s="97" t="s">
        <v>433</v>
      </c>
      <c r="I303" s="97" t="s">
        <v>8703</v>
      </c>
      <c r="J303" s="97" t="s">
        <v>8505</v>
      </c>
      <c r="K303" s="97"/>
      <c r="L303" s="502">
        <v>2022</v>
      </c>
      <c r="M303" s="841">
        <v>44713</v>
      </c>
      <c r="N303" s="841">
        <v>44849</v>
      </c>
      <c r="O303" s="841"/>
      <c r="P303" s="841"/>
      <c r="Q303" s="841"/>
      <c r="R303" s="841"/>
      <c r="S303" s="841"/>
      <c r="T303" s="841"/>
      <c r="U303" s="841"/>
      <c r="V303" s="841"/>
      <c r="W303" s="841"/>
      <c r="X303" s="841"/>
      <c r="Y303" s="841"/>
      <c r="Z303" s="97"/>
      <c r="AA303" s="872"/>
      <c r="AB303" s="97" t="s">
        <v>7778</v>
      </c>
      <c r="AC303" s="872" t="s">
        <v>5989</v>
      </c>
      <c r="AD303" s="97" t="s">
        <v>7432</v>
      </c>
      <c r="AE303" s="872" t="s">
        <v>7251</v>
      </c>
      <c r="AF303" s="97"/>
      <c r="AG303" s="97"/>
      <c r="AH303" s="97" t="s">
        <v>6447</v>
      </c>
      <c r="AI303" s="97" t="s">
        <v>6447</v>
      </c>
      <c r="AJ303" s="97" t="s">
        <v>6673</v>
      </c>
      <c r="AK303" s="97" t="s">
        <v>6447</v>
      </c>
      <c r="AL303" s="580">
        <f t="shared" si="26"/>
        <v>0.06</v>
      </c>
      <c r="AM303" s="504">
        <v>0.06</v>
      </c>
      <c r="AN303" s="516"/>
      <c r="AO303" s="97"/>
      <c r="AP303" s="97"/>
      <c r="AQ303" s="504">
        <v>5.5E-2</v>
      </c>
      <c r="AR303" s="507">
        <f t="shared" si="33"/>
        <v>0.91666666666666674</v>
      </c>
      <c r="AS303" s="908">
        <f>AQ303/862.1</f>
        <v>6.3797703282681819E-5</v>
      </c>
      <c r="AT303" s="516"/>
      <c r="AU303" s="507"/>
      <c r="AV303" s="516"/>
      <c r="AW303" s="507">
        <f t="shared" si="34"/>
        <v>0</v>
      </c>
      <c r="AX303" s="516">
        <v>5.0000000000000001E-3</v>
      </c>
      <c r="AY303" s="507">
        <f t="shared" si="35"/>
        <v>8.3333333333333343E-2</v>
      </c>
      <c r="AZ303" s="507"/>
      <c r="BA303" s="507"/>
      <c r="BB303" s="507"/>
      <c r="BC303" s="507"/>
      <c r="BD303" s="507"/>
      <c r="BE303" s="507" t="s">
        <v>470</v>
      </c>
      <c r="BF303" s="507"/>
      <c r="BG303" s="507"/>
      <c r="BH303" s="852"/>
      <c r="BI303" s="504">
        <v>0</v>
      </c>
      <c r="BJ303" s="507"/>
      <c r="BK303" s="96">
        <v>1</v>
      </c>
      <c r="BL303" s="96">
        <v>1</v>
      </c>
      <c r="BM303" s="96">
        <v>1</v>
      </c>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v>1</v>
      </c>
      <c r="CL303" s="815">
        <f t="shared" si="36"/>
        <v>1</v>
      </c>
      <c r="CM303" s="824">
        <f t="shared" si="27"/>
        <v>0</v>
      </c>
      <c r="CN303" s="504">
        <v>10</v>
      </c>
      <c r="CO303" s="97" t="s">
        <v>6071</v>
      </c>
      <c r="CP303" s="872" t="s">
        <v>5989</v>
      </c>
      <c r="CQ303" s="516">
        <f>CN303/CR303*100</f>
        <v>24.224219374530655</v>
      </c>
      <c r="CR303" s="611">
        <v>41.280999999999999</v>
      </c>
      <c r="CS303" s="888" t="s">
        <v>5843</v>
      </c>
      <c r="CT303" s="97" t="s">
        <v>470</v>
      </c>
      <c r="CU303" s="97"/>
      <c r="CV303" s="97"/>
      <c r="CW303" s="97"/>
      <c r="CX303" s="96"/>
      <c r="CY303" s="96"/>
      <c r="CZ303" s="96"/>
      <c r="DA303" s="97" t="s">
        <v>470</v>
      </c>
      <c r="DB303" s="97"/>
      <c r="DC303" s="96"/>
      <c r="DD303" s="97" t="s">
        <v>479</v>
      </c>
      <c r="DE303" s="97" t="s">
        <v>5614</v>
      </c>
      <c r="DF303" s="96">
        <v>17</v>
      </c>
      <c r="DG303" s="96" t="s">
        <v>470</v>
      </c>
      <c r="DH303" s="96"/>
      <c r="DI303" s="96"/>
      <c r="DJ303" s="97" t="s">
        <v>470</v>
      </c>
      <c r="DK303" s="96"/>
      <c r="DL303" s="96"/>
      <c r="DM303" s="97" t="s">
        <v>470</v>
      </c>
      <c r="DN303" s="97"/>
      <c r="DO303" s="96"/>
      <c r="DP303" s="97" t="s">
        <v>470</v>
      </c>
      <c r="DQ303" s="97"/>
      <c r="DR303" s="96"/>
      <c r="DS303" s="97" t="s">
        <v>470</v>
      </c>
      <c r="DT303" s="97"/>
      <c r="DU303" s="96"/>
      <c r="DV303" s="872"/>
      <c r="DW303" s="872"/>
      <c r="DX303" s="96"/>
      <c r="DY303" s="97" t="s">
        <v>470</v>
      </c>
      <c r="DZ303" s="97"/>
      <c r="EA303" s="96"/>
      <c r="EB303" s="97" t="s">
        <v>470</v>
      </c>
      <c r="EC303" s="97"/>
      <c r="ED303" s="96"/>
      <c r="EE303" s="97" t="s">
        <v>470</v>
      </c>
      <c r="EF303" s="96"/>
      <c r="EG303" s="96"/>
      <c r="EH303" s="97" t="s">
        <v>470</v>
      </c>
      <c r="EI303" s="97"/>
      <c r="EJ303" s="96"/>
      <c r="EK303" s="97" t="s">
        <v>470</v>
      </c>
      <c r="EL303" s="97"/>
      <c r="EM303" s="96"/>
      <c r="EN303" s="97" t="s">
        <v>470</v>
      </c>
      <c r="EO303" s="97"/>
      <c r="EP303" s="96"/>
      <c r="EQ303" s="97" t="s">
        <v>470</v>
      </c>
      <c r="ER303" s="96"/>
      <c r="ES303" s="96"/>
      <c r="ET303" s="97"/>
      <c r="EU303" s="97"/>
      <c r="EV303" s="96"/>
      <c r="EW303" s="96"/>
      <c r="EX303" s="96"/>
      <c r="EY303" s="96"/>
      <c r="EZ303" s="97" t="s">
        <v>470</v>
      </c>
      <c r="FA303" s="97"/>
      <c r="FB303" s="872" t="s">
        <v>5093</v>
      </c>
      <c r="FC303" s="97"/>
      <c r="FD303" s="97"/>
      <c r="FE303" s="97"/>
      <c r="FF303" s="97"/>
      <c r="FG303" s="97"/>
      <c r="FH303" s="97"/>
      <c r="FI303" s="97"/>
      <c r="FJ303" s="97" t="s">
        <v>4408</v>
      </c>
      <c r="FK303" s="97">
        <v>88466047232</v>
      </c>
      <c r="FL303" s="872" t="s">
        <v>4006</v>
      </c>
      <c r="FM303" s="97"/>
      <c r="FN303" s="97"/>
      <c r="FO303" s="97"/>
    </row>
    <row r="304" spans="5:171" ht="32" customHeight="1" x14ac:dyDescent="0.2">
      <c r="E304" s="94" t="s">
        <v>9305</v>
      </c>
      <c r="F304" s="94" t="s">
        <v>9121</v>
      </c>
      <c r="G304" s="97" t="s">
        <v>348</v>
      </c>
      <c r="H304" s="97" t="s">
        <v>433</v>
      </c>
      <c r="I304" s="97" t="s">
        <v>8703</v>
      </c>
      <c r="J304" s="97" t="s">
        <v>8504</v>
      </c>
      <c r="K304" s="97" t="s">
        <v>5242</v>
      </c>
      <c r="L304" s="502">
        <v>2022</v>
      </c>
      <c r="M304" s="841">
        <v>44743</v>
      </c>
      <c r="N304" s="841">
        <v>44866</v>
      </c>
      <c r="O304" s="841"/>
      <c r="P304" s="841"/>
      <c r="Q304" s="841"/>
      <c r="R304" s="841"/>
      <c r="S304" s="841"/>
      <c r="T304" s="841"/>
      <c r="U304" s="841"/>
      <c r="V304" s="841"/>
      <c r="W304" s="841"/>
      <c r="X304" s="841"/>
      <c r="Y304" s="841"/>
      <c r="Z304" s="97"/>
      <c r="AA304" s="842"/>
      <c r="AB304" s="97" t="s">
        <v>7778</v>
      </c>
      <c r="AC304" s="842" t="s">
        <v>5989</v>
      </c>
      <c r="AD304" s="97" t="s">
        <v>7431</v>
      </c>
      <c r="AE304" s="842" t="s">
        <v>7250</v>
      </c>
      <c r="AF304" s="97"/>
      <c r="AG304" s="97"/>
      <c r="AH304" s="97" t="s">
        <v>6447</v>
      </c>
      <c r="AI304" s="97" t="s">
        <v>6447</v>
      </c>
      <c r="AJ304" s="97" t="s">
        <v>6673</v>
      </c>
      <c r="AK304" s="97" t="s">
        <v>6447</v>
      </c>
      <c r="AL304" s="580">
        <f t="shared" si="26"/>
        <v>0.15</v>
      </c>
      <c r="AM304" s="504">
        <v>0.15</v>
      </c>
      <c r="AN304" s="516"/>
      <c r="AO304" s="97"/>
      <c r="AP304" s="97"/>
      <c r="AQ304" s="504">
        <v>0.14499999999999999</v>
      </c>
      <c r="AR304" s="507">
        <f t="shared" si="33"/>
        <v>0.96666666666666667</v>
      </c>
      <c r="AS304" s="908">
        <f>AQ304/862.1</f>
        <v>1.6819394501797934E-4</v>
      </c>
      <c r="AT304" s="516"/>
      <c r="AU304" s="507">
        <f>AT304/AL304</f>
        <v>0</v>
      </c>
      <c r="AV304" s="516"/>
      <c r="AW304" s="507">
        <f t="shared" si="34"/>
        <v>0</v>
      </c>
      <c r="AX304" s="516">
        <v>5.0000000000000001E-3</v>
      </c>
      <c r="AY304" s="507">
        <f t="shared" si="35"/>
        <v>3.3333333333333333E-2</v>
      </c>
      <c r="AZ304" s="507"/>
      <c r="BA304" s="507"/>
      <c r="BB304" s="507"/>
      <c r="BC304" s="507"/>
      <c r="BD304" s="507"/>
      <c r="BE304" s="507" t="s">
        <v>470</v>
      </c>
      <c r="BF304" s="507"/>
      <c r="BG304" s="507"/>
      <c r="BH304" s="852"/>
      <c r="BI304" s="504">
        <v>0</v>
      </c>
      <c r="BJ304" s="507"/>
      <c r="BK304" s="96">
        <v>1</v>
      </c>
      <c r="BL304" s="96">
        <v>1</v>
      </c>
      <c r="BM304" s="96">
        <v>1</v>
      </c>
      <c r="BN304" s="96"/>
      <c r="BO304" s="96"/>
      <c r="BP304" s="96"/>
      <c r="BQ304" s="96"/>
      <c r="BR304" s="96"/>
      <c r="BS304" s="96"/>
      <c r="BT304" s="96"/>
      <c r="BU304" s="96"/>
      <c r="BV304" s="96"/>
      <c r="BW304" s="96"/>
      <c r="BX304" s="96"/>
      <c r="BY304" s="96">
        <v>1</v>
      </c>
      <c r="BZ304" s="96"/>
      <c r="CA304" s="96"/>
      <c r="CB304" s="96"/>
      <c r="CC304" s="96"/>
      <c r="CD304" s="96"/>
      <c r="CE304" s="96"/>
      <c r="CF304" s="96"/>
      <c r="CG304" s="96"/>
      <c r="CH304" s="96"/>
      <c r="CI304" s="96"/>
      <c r="CJ304" s="96"/>
      <c r="CK304" s="96"/>
      <c r="CL304" s="815">
        <f t="shared" si="36"/>
        <v>1</v>
      </c>
      <c r="CM304" s="824">
        <f t="shared" si="27"/>
        <v>0</v>
      </c>
      <c r="CN304" s="611">
        <v>14</v>
      </c>
      <c r="CO304" s="97" t="s">
        <v>6071</v>
      </c>
      <c r="CP304" s="842" t="s">
        <v>5989</v>
      </c>
      <c r="CQ304" s="619">
        <f>CN304/CR304*100</f>
        <v>33.91390712434292</v>
      </c>
      <c r="CR304" s="611">
        <v>41.280999999999999</v>
      </c>
      <c r="CS304" s="887" t="s">
        <v>5843</v>
      </c>
      <c r="CT304" s="97" t="s">
        <v>470</v>
      </c>
      <c r="CU304" s="97"/>
      <c r="CV304" s="97"/>
      <c r="CW304" s="97"/>
      <c r="CX304" s="96"/>
      <c r="CY304" s="96"/>
      <c r="CZ304" s="96"/>
      <c r="DA304" s="97" t="s">
        <v>470</v>
      </c>
      <c r="DB304" s="97"/>
      <c r="DC304" s="96"/>
      <c r="DD304" s="97" t="s">
        <v>479</v>
      </c>
      <c r="DE304" s="97" t="s">
        <v>5614</v>
      </c>
      <c r="DF304" s="96">
        <v>14</v>
      </c>
      <c r="DG304" s="96" t="s">
        <v>470</v>
      </c>
      <c r="DH304" s="96"/>
      <c r="DI304" s="96"/>
      <c r="DJ304" s="96" t="s">
        <v>470</v>
      </c>
      <c r="DK304" s="96"/>
      <c r="DL304" s="96"/>
      <c r="DM304" s="96" t="s">
        <v>470</v>
      </c>
      <c r="DN304" s="97"/>
      <c r="DO304" s="96"/>
      <c r="DP304" s="96" t="s">
        <v>470</v>
      </c>
      <c r="DQ304" s="97"/>
      <c r="DR304" s="96"/>
      <c r="DS304" s="96" t="s">
        <v>470</v>
      </c>
      <c r="DT304" s="97"/>
      <c r="DU304" s="96"/>
      <c r="DV304" s="97"/>
      <c r="DW304" s="97"/>
      <c r="DX304" s="96"/>
      <c r="DY304" s="96" t="s">
        <v>470</v>
      </c>
      <c r="DZ304" s="97"/>
      <c r="EA304" s="96"/>
      <c r="EB304" s="96" t="s">
        <v>470</v>
      </c>
      <c r="EC304" s="97"/>
      <c r="ED304" s="96"/>
      <c r="EE304" s="96" t="s">
        <v>470</v>
      </c>
      <c r="EF304" s="96"/>
      <c r="EG304" s="96"/>
      <c r="EH304" s="96" t="s">
        <v>470</v>
      </c>
      <c r="EI304" s="97"/>
      <c r="EJ304" s="96"/>
      <c r="EK304" s="96" t="s">
        <v>470</v>
      </c>
      <c r="EL304" s="97"/>
      <c r="EM304" s="96"/>
      <c r="EN304" s="96" t="s">
        <v>470</v>
      </c>
      <c r="EO304" s="97"/>
      <c r="EP304" s="96"/>
      <c r="EQ304" s="96" t="s">
        <v>470</v>
      </c>
      <c r="ER304" s="96"/>
      <c r="ES304" s="96"/>
      <c r="ET304" s="97"/>
      <c r="EU304" s="97"/>
      <c r="EV304" s="96"/>
      <c r="EW304" s="96"/>
      <c r="EX304" s="96"/>
      <c r="EY304" s="96"/>
      <c r="EZ304" s="97" t="s">
        <v>470</v>
      </c>
      <c r="FA304" s="97"/>
      <c r="FB304" s="842" t="s">
        <v>5093</v>
      </c>
      <c r="FC304" s="97"/>
      <c r="FD304" s="97"/>
      <c r="FE304" s="97"/>
      <c r="FF304" s="97"/>
      <c r="FG304" s="97"/>
      <c r="FH304" s="97"/>
      <c r="FI304" s="97"/>
      <c r="FJ304" s="97" t="s">
        <v>4407</v>
      </c>
      <c r="FK304" s="97">
        <v>88466042035</v>
      </c>
      <c r="FL304" s="842" t="s">
        <v>4005</v>
      </c>
      <c r="FM304" s="97"/>
      <c r="FN304" s="97"/>
      <c r="FO304" s="97"/>
    </row>
    <row r="305" spans="5:171" ht="52" customHeight="1" x14ac:dyDescent="0.2">
      <c r="E305" s="94" t="s">
        <v>9305</v>
      </c>
      <c r="F305" s="94" t="s">
        <v>9121</v>
      </c>
      <c r="G305" s="97" t="s">
        <v>348</v>
      </c>
      <c r="H305" s="97" t="s">
        <v>433</v>
      </c>
      <c r="I305" s="97" t="s">
        <v>8702</v>
      </c>
      <c r="J305" s="97" t="s">
        <v>8503</v>
      </c>
      <c r="K305" s="97" t="s">
        <v>5242</v>
      </c>
      <c r="L305" s="502">
        <v>2022</v>
      </c>
      <c r="M305" s="1027">
        <v>44774</v>
      </c>
      <c r="N305" s="1027">
        <v>44895</v>
      </c>
      <c r="O305" s="1027"/>
      <c r="P305" s="1027"/>
      <c r="Q305" s="1027"/>
      <c r="R305" s="1027"/>
      <c r="S305" s="1027"/>
      <c r="T305" s="1027"/>
      <c r="U305" s="1027"/>
      <c r="V305" s="1027"/>
      <c r="W305" s="1027"/>
      <c r="X305" s="1027"/>
      <c r="Y305" s="1027"/>
      <c r="Z305" s="97"/>
      <c r="AA305" s="97"/>
      <c r="AB305" s="97" t="s">
        <v>7777</v>
      </c>
      <c r="AC305" s="842" t="s">
        <v>4400</v>
      </c>
      <c r="AD305" s="97" t="s">
        <v>7430</v>
      </c>
      <c r="AE305" s="842" t="s">
        <v>7249</v>
      </c>
      <c r="AF305" s="97"/>
      <c r="AG305" s="97"/>
      <c r="AH305" s="97" t="s">
        <v>6446</v>
      </c>
      <c r="AI305" s="97" t="s">
        <v>6446</v>
      </c>
      <c r="AJ305" s="97" t="s">
        <v>6674</v>
      </c>
      <c r="AK305" s="97" t="s">
        <v>6446</v>
      </c>
      <c r="AL305" s="580">
        <f t="shared" si="26"/>
        <v>9.4E-2</v>
      </c>
      <c r="AM305" s="504">
        <v>9.4E-2</v>
      </c>
      <c r="AN305" s="516"/>
      <c r="AO305" s="97"/>
      <c r="AP305" s="97"/>
      <c r="AQ305" s="504">
        <v>0.05</v>
      </c>
      <c r="AR305" s="507">
        <f t="shared" si="33"/>
        <v>0.53191489361702127</v>
      </c>
      <c r="AS305" s="507">
        <f>AQ305/8.816436</f>
        <v>5.6712258785749717E-3</v>
      </c>
      <c r="AT305" s="516"/>
      <c r="AU305" s="507"/>
      <c r="AV305" s="516"/>
      <c r="AW305" s="507"/>
      <c r="AX305" s="516">
        <v>4.3999999999999997E-2</v>
      </c>
      <c r="AY305" s="507">
        <f t="shared" si="35"/>
        <v>0.46808510638297868</v>
      </c>
      <c r="AZ305" s="507"/>
      <c r="BA305" s="507"/>
      <c r="BB305" s="507"/>
      <c r="BC305" s="507"/>
      <c r="BD305" s="507"/>
      <c r="BE305" s="507" t="s">
        <v>470</v>
      </c>
      <c r="BF305" s="507"/>
      <c r="BG305" s="507"/>
      <c r="BH305" s="852"/>
      <c r="BI305" s="504">
        <v>6.0000000000000001E-3</v>
      </c>
      <c r="BJ305" s="507">
        <f>BI305/8.393</f>
        <v>7.1488144882640291E-4</v>
      </c>
      <c r="BK305" s="96">
        <v>1</v>
      </c>
      <c r="BL305" s="96">
        <v>1</v>
      </c>
      <c r="BM305" s="96">
        <v>1</v>
      </c>
      <c r="BN305" s="96"/>
      <c r="BO305" s="96"/>
      <c r="BP305" s="96"/>
      <c r="BQ305" s="96"/>
      <c r="BR305" s="96"/>
      <c r="BS305" s="96"/>
      <c r="BT305" s="96"/>
      <c r="BU305" s="96"/>
      <c r="BV305" s="96"/>
      <c r="BW305" s="96"/>
      <c r="BX305" s="96"/>
      <c r="BY305" s="96">
        <v>1</v>
      </c>
      <c r="BZ305" s="96"/>
      <c r="CA305" s="96"/>
      <c r="CB305" s="96"/>
      <c r="CC305" s="96"/>
      <c r="CD305" s="96"/>
      <c r="CE305" s="96"/>
      <c r="CF305" s="96"/>
      <c r="CG305" s="96"/>
      <c r="CH305" s="96"/>
      <c r="CI305" s="96"/>
      <c r="CJ305" s="96"/>
      <c r="CK305" s="96"/>
      <c r="CL305" s="815">
        <f t="shared" si="36"/>
        <v>1</v>
      </c>
      <c r="CM305" s="824">
        <f t="shared" si="27"/>
        <v>0</v>
      </c>
      <c r="CN305" s="611">
        <v>0.5</v>
      </c>
      <c r="CO305" s="97" t="s">
        <v>6070</v>
      </c>
      <c r="CP305" s="842" t="s">
        <v>4400</v>
      </c>
      <c r="CQ305" s="876">
        <f t="shared" ref="CQ305:CQ310" si="37">CN305/CR305</f>
        <v>0.55555555555555558</v>
      </c>
      <c r="CR305" s="611">
        <v>0.9</v>
      </c>
      <c r="CS305" s="887" t="s">
        <v>5843</v>
      </c>
      <c r="CT305" s="97" t="s">
        <v>470</v>
      </c>
      <c r="CU305" s="97"/>
      <c r="CV305" s="97"/>
      <c r="CW305" s="97"/>
      <c r="CX305" s="96"/>
      <c r="CY305" s="96"/>
      <c r="CZ305" s="96"/>
      <c r="DA305" s="97" t="s">
        <v>470</v>
      </c>
      <c r="DB305" s="97"/>
      <c r="DC305" s="96"/>
      <c r="DD305" s="97" t="s">
        <v>479</v>
      </c>
      <c r="DE305" s="97" t="s">
        <v>5613</v>
      </c>
      <c r="DF305" s="96">
        <v>27</v>
      </c>
      <c r="DG305" s="96" t="s">
        <v>470</v>
      </c>
      <c r="DH305" s="96"/>
      <c r="DI305" s="96"/>
      <c r="DJ305" s="96" t="s">
        <v>470</v>
      </c>
      <c r="DK305" s="96"/>
      <c r="DL305" s="96"/>
      <c r="DM305" s="97" t="s">
        <v>470</v>
      </c>
      <c r="DN305" s="97"/>
      <c r="DO305" s="96"/>
      <c r="DP305" s="97" t="s">
        <v>470</v>
      </c>
      <c r="DQ305" s="97"/>
      <c r="DR305" s="96"/>
      <c r="DS305" s="97" t="s">
        <v>470</v>
      </c>
      <c r="DT305" s="97"/>
      <c r="DU305" s="96"/>
      <c r="DV305" s="97"/>
      <c r="DW305" s="97"/>
      <c r="DX305" s="96"/>
      <c r="DY305" s="97" t="s">
        <v>470</v>
      </c>
      <c r="DZ305" s="97"/>
      <c r="EA305" s="96"/>
      <c r="EB305" s="97" t="s">
        <v>470</v>
      </c>
      <c r="EC305" s="97"/>
      <c r="ED305" s="96"/>
      <c r="EE305" s="96" t="s">
        <v>470</v>
      </c>
      <c r="EF305" s="96"/>
      <c r="EG305" s="96"/>
      <c r="EH305" s="97" t="s">
        <v>470</v>
      </c>
      <c r="EI305" s="97"/>
      <c r="EJ305" s="96"/>
      <c r="EK305" s="97" t="s">
        <v>470</v>
      </c>
      <c r="EL305" s="97"/>
      <c r="EM305" s="96"/>
      <c r="EN305" s="97" t="s">
        <v>470</v>
      </c>
      <c r="EO305" s="97"/>
      <c r="EP305" s="96"/>
      <c r="EQ305" s="96" t="s">
        <v>470</v>
      </c>
      <c r="ER305" s="96"/>
      <c r="ES305" s="96"/>
      <c r="ET305" s="97"/>
      <c r="EU305" s="97"/>
      <c r="EV305" s="96"/>
      <c r="EW305" s="96"/>
      <c r="EX305" s="96"/>
      <c r="EY305" s="96"/>
      <c r="EZ305" s="97" t="s">
        <v>470</v>
      </c>
      <c r="FA305" s="97"/>
      <c r="FB305" s="97" t="s">
        <v>5097</v>
      </c>
      <c r="FC305" s="97"/>
      <c r="FD305" s="97"/>
      <c r="FE305" s="1017"/>
      <c r="FF305" s="97"/>
      <c r="FG305" s="842"/>
      <c r="FH305" s="97"/>
      <c r="FI305" s="97"/>
      <c r="FJ305" s="97" t="s">
        <v>4406</v>
      </c>
      <c r="FK305" s="97" t="s">
        <v>4207</v>
      </c>
      <c r="FL305" s="97" t="s">
        <v>4004</v>
      </c>
      <c r="FM305" s="97"/>
      <c r="FN305" s="97"/>
      <c r="FO305" s="97"/>
    </row>
    <row r="306" spans="5:171" ht="32" customHeight="1" x14ac:dyDescent="0.2">
      <c r="E306" s="94" t="s">
        <v>9305</v>
      </c>
      <c r="F306" s="94" t="s">
        <v>9121</v>
      </c>
      <c r="G306" s="97" t="s">
        <v>348</v>
      </c>
      <c r="H306" s="97" t="s">
        <v>433</v>
      </c>
      <c r="I306" s="535" t="s">
        <v>8701</v>
      </c>
      <c r="J306" s="535" t="s">
        <v>8502</v>
      </c>
      <c r="K306" s="535"/>
      <c r="L306" s="536">
        <v>2022</v>
      </c>
      <c r="M306" s="537">
        <v>44774</v>
      </c>
      <c r="N306" s="537">
        <v>44804</v>
      </c>
      <c r="O306" s="537"/>
      <c r="P306" s="537"/>
      <c r="Q306" s="537"/>
      <c r="R306" s="537"/>
      <c r="S306" s="537"/>
      <c r="T306" s="537"/>
      <c r="U306" s="537"/>
      <c r="V306" s="537"/>
      <c r="W306" s="537"/>
      <c r="X306" s="537"/>
      <c r="Y306" s="537"/>
      <c r="Z306" s="535"/>
      <c r="AA306" s="535"/>
      <c r="AB306" s="535" t="s">
        <v>7776</v>
      </c>
      <c r="AC306" s="899" t="s">
        <v>7621</v>
      </c>
      <c r="AD306" s="535" t="s">
        <v>7429</v>
      </c>
      <c r="AE306" s="899" t="s">
        <v>7248</v>
      </c>
      <c r="AF306" s="535"/>
      <c r="AG306" s="535"/>
      <c r="AH306" s="535" t="s">
        <v>6445</v>
      </c>
      <c r="AI306" s="535" t="s">
        <v>6445</v>
      </c>
      <c r="AJ306" s="535" t="s">
        <v>6674</v>
      </c>
      <c r="AK306" s="535" t="s">
        <v>6445</v>
      </c>
      <c r="AL306" s="580">
        <f t="shared" si="26"/>
        <v>4.9999999999999996E-2</v>
      </c>
      <c r="AM306" s="504">
        <v>4.9999999999999996E-2</v>
      </c>
      <c r="AN306" s="516"/>
      <c r="AO306" s="97"/>
      <c r="AP306" s="97"/>
      <c r="AQ306" s="504">
        <v>4.4999999999999998E-2</v>
      </c>
      <c r="AR306" s="507">
        <f t="shared" si="33"/>
        <v>0.9</v>
      </c>
      <c r="AS306" s="507">
        <f>AQ306/7.946</f>
        <v>5.6632267807701989E-3</v>
      </c>
      <c r="AT306" s="516"/>
      <c r="AU306" s="507"/>
      <c r="AV306" s="516"/>
      <c r="AW306" s="507"/>
      <c r="AX306" s="516">
        <v>5.0000000000000001E-3</v>
      </c>
      <c r="AY306" s="507">
        <f t="shared" si="35"/>
        <v>0.1</v>
      </c>
      <c r="AZ306" s="507"/>
      <c r="BA306" s="1028"/>
      <c r="BB306" s="1028"/>
      <c r="BC306" s="1028"/>
      <c r="BD306" s="1028"/>
      <c r="BE306" s="539" t="s">
        <v>470</v>
      </c>
      <c r="BF306" s="539"/>
      <c r="BG306" s="539"/>
      <c r="BH306" s="540"/>
      <c r="BI306" s="541">
        <v>0.05</v>
      </c>
      <c r="BJ306" s="539">
        <f>BI306/8.788</f>
        <v>5.6895766954938552E-3</v>
      </c>
      <c r="BK306" s="542">
        <v>1</v>
      </c>
      <c r="BL306" s="542">
        <v>1</v>
      </c>
      <c r="BM306" s="542">
        <v>1</v>
      </c>
      <c r="BN306" s="542"/>
      <c r="BO306" s="542"/>
      <c r="BP306" s="542"/>
      <c r="BQ306" s="542"/>
      <c r="BR306" s="542"/>
      <c r="BS306" s="542">
        <v>1</v>
      </c>
      <c r="BT306" s="542"/>
      <c r="BU306" s="542"/>
      <c r="BV306" s="542"/>
      <c r="BW306" s="542"/>
      <c r="BX306" s="542"/>
      <c r="BY306" s="542"/>
      <c r="BZ306" s="542"/>
      <c r="CA306" s="542"/>
      <c r="CB306" s="542"/>
      <c r="CC306" s="542"/>
      <c r="CD306" s="542"/>
      <c r="CE306" s="542"/>
      <c r="CF306" s="542"/>
      <c r="CG306" s="542"/>
      <c r="CH306" s="542"/>
      <c r="CI306" s="542"/>
      <c r="CJ306" s="542"/>
      <c r="CK306" s="542"/>
      <c r="CL306" s="1029">
        <f t="shared" si="36"/>
        <v>1</v>
      </c>
      <c r="CM306" s="824">
        <f t="shared" si="27"/>
        <v>0</v>
      </c>
      <c r="CN306" s="1030">
        <v>0.9</v>
      </c>
      <c r="CO306" s="535" t="s">
        <v>6069</v>
      </c>
      <c r="CP306" s="899" t="s">
        <v>5988</v>
      </c>
      <c r="CQ306" s="1028">
        <f t="shared" si="37"/>
        <v>0.9</v>
      </c>
      <c r="CR306" s="1030">
        <v>1</v>
      </c>
      <c r="CS306" s="539" t="s">
        <v>5843</v>
      </c>
      <c r="CT306" s="535" t="s">
        <v>470</v>
      </c>
      <c r="CU306" s="535"/>
      <c r="CV306" s="535"/>
      <c r="CW306" s="535"/>
      <c r="CX306" s="542"/>
      <c r="CY306" s="542"/>
      <c r="CZ306" s="542"/>
      <c r="DA306" s="535" t="s">
        <v>470</v>
      </c>
      <c r="DB306" s="535"/>
      <c r="DC306" s="542"/>
      <c r="DD306" s="535" t="s">
        <v>479</v>
      </c>
      <c r="DE306" s="535" t="s">
        <v>5612</v>
      </c>
      <c r="DF306" s="542">
        <v>15</v>
      </c>
      <c r="DG306" s="542" t="s">
        <v>470</v>
      </c>
      <c r="DH306" s="542"/>
      <c r="DI306" s="542"/>
      <c r="DJ306" s="542" t="s">
        <v>470</v>
      </c>
      <c r="DK306" s="542"/>
      <c r="DL306" s="542"/>
      <c r="DM306" s="535" t="s">
        <v>470</v>
      </c>
      <c r="DN306" s="535"/>
      <c r="DO306" s="542"/>
      <c r="DP306" s="535" t="s">
        <v>470</v>
      </c>
      <c r="DQ306" s="535"/>
      <c r="DR306" s="542"/>
      <c r="DS306" s="535" t="s">
        <v>470</v>
      </c>
      <c r="DT306" s="535"/>
      <c r="DU306" s="542"/>
      <c r="DV306" s="535"/>
      <c r="DW306" s="535"/>
      <c r="DX306" s="542"/>
      <c r="DY306" s="535" t="s">
        <v>470</v>
      </c>
      <c r="DZ306" s="535"/>
      <c r="EA306" s="542"/>
      <c r="EB306" s="535" t="s">
        <v>470</v>
      </c>
      <c r="EC306" s="535"/>
      <c r="ED306" s="542"/>
      <c r="EE306" s="542" t="s">
        <v>470</v>
      </c>
      <c r="EF306" s="542"/>
      <c r="EG306" s="542"/>
      <c r="EH306" s="535" t="s">
        <v>470</v>
      </c>
      <c r="EI306" s="535"/>
      <c r="EJ306" s="542"/>
      <c r="EK306" s="535" t="s">
        <v>470</v>
      </c>
      <c r="EL306" s="535"/>
      <c r="EM306" s="542"/>
      <c r="EN306" s="535" t="s">
        <v>470</v>
      </c>
      <c r="EO306" s="535"/>
      <c r="EP306" s="542"/>
      <c r="EQ306" s="542" t="s">
        <v>470</v>
      </c>
      <c r="ER306" s="542"/>
      <c r="ES306" s="542"/>
      <c r="ET306" s="535"/>
      <c r="EU306" s="535"/>
      <c r="EV306" s="542"/>
      <c r="EW306" s="542"/>
      <c r="EX306" s="542"/>
      <c r="EY306" s="542"/>
      <c r="EZ306" s="535" t="s">
        <v>470</v>
      </c>
      <c r="FA306" s="535"/>
      <c r="FB306" s="899" t="s">
        <v>5096</v>
      </c>
      <c r="FC306" s="535"/>
      <c r="FD306" s="535"/>
      <c r="FE306" s="535"/>
      <c r="FF306" s="535"/>
      <c r="FG306" s="535"/>
      <c r="FH306" s="535"/>
      <c r="FI306" s="535"/>
      <c r="FJ306" s="535" t="s">
        <v>4405</v>
      </c>
      <c r="FK306" s="535">
        <v>88466039139</v>
      </c>
      <c r="FL306" s="842" t="s">
        <v>4003</v>
      </c>
      <c r="FM306" s="535"/>
      <c r="FN306" s="535"/>
      <c r="FO306" s="842"/>
    </row>
    <row r="307" spans="5:171" ht="52" customHeight="1" x14ac:dyDescent="0.2">
      <c r="E307" s="94" t="s">
        <v>9305</v>
      </c>
      <c r="F307" s="94" t="s">
        <v>9121</v>
      </c>
      <c r="G307" s="97" t="s">
        <v>348</v>
      </c>
      <c r="H307" s="97" t="s">
        <v>433</v>
      </c>
      <c r="I307" s="97" t="s">
        <v>8700</v>
      </c>
      <c r="J307" s="97" t="s">
        <v>8501</v>
      </c>
      <c r="K307" s="97"/>
      <c r="L307" s="502">
        <v>2022</v>
      </c>
      <c r="M307" s="98">
        <v>44743</v>
      </c>
      <c r="N307" s="98">
        <v>44804</v>
      </c>
      <c r="O307" s="98"/>
      <c r="P307" s="98"/>
      <c r="Q307" s="98"/>
      <c r="R307" s="98"/>
      <c r="S307" s="98"/>
      <c r="T307" s="98"/>
      <c r="U307" s="98"/>
      <c r="V307" s="98"/>
      <c r="W307" s="98"/>
      <c r="X307" s="98"/>
      <c r="Y307" s="98"/>
      <c r="Z307" s="97"/>
      <c r="AA307" s="97"/>
      <c r="AB307" s="97" t="s">
        <v>7775</v>
      </c>
      <c r="AC307" s="842" t="s">
        <v>5987</v>
      </c>
      <c r="AD307" s="97" t="s">
        <v>7428</v>
      </c>
      <c r="AE307" s="842" t="s">
        <v>7247</v>
      </c>
      <c r="AF307" s="97"/>
      <c r="AG307" s="97"/>
      <c r="AH307" s="97" t="s">
        <v>6444</v>
      </c>
      <c r="AI307" s="97" t="s">
        <v>6444</v>
      </c>
      <c r="AJ307" s="97" t="s">
        <v>6674</v>
      </c>
      <c r="AK307" s="97" t="s">
        <v>6444</v>
      </c>
      <c r="AL307" s="580">
        <f t="shared" si="26"/>
        <v>1.9999999999999997E-2</v>
      </c>
      <c r="AM307" s="504">
        <v>1.9999999999999997E-2</v>
      </c>
      <c r="AN307" s="516"/>
      <c r="AO307" s="97"/>
      <c r="AP307" s="97"/>
      <c r="AQ307" s="504">
        <v>1.7999999999999999E-2</v>
      </c>
      <c r="AR307" s="507">
        <f t="shared" si="33"/>
        <v>0.9</v>
      </c>
      <c r="AS307" s="507">
        <f>AQ307/9.853</f>
        <v>1.8268547650461787E-3</v>
      </c>
      <c r="AT307" s="516"/>
      <c r="AU307" s="507"/>
      <c r="AV307" s="516"/>
      <c r="AW307" s="507"/>
      <c r="AX307" s="516">
        <v>2E-3</v>
      </c>
      <c r="AY307" s="507">
        <f t="shared" si="35"/>
        <v>0.10000000000000002</v>
      </c>
      <c r="AZ307" s="507"/>
      <c r="BA307" s="507"/>
      <c r="BB307" s="507"/>
      <c r="BC307" s="507"/>
      <c r="BD307" s="507"/>
      <c r="BE307" s="507" t="s">
        <v>470</v>
      </c>
      <c r="BF307" s="97"/>
      <c r="BG307" s="97"/>
      <c r="BH307" s="852"/>
      <c r="BI307" s="504">
        <v>0.1</v>
      </c>
      <c r="BJ307" s="507">
        <f>BI307/13.653</f>
        <v>7.3243975683000076E-3</v>
      </c>
      <c r="BK307" s="96">
        <v>1</v>
      </c>
      <c r="BL307" s="96">
        <v>1</v>
      </c>
      <c r="BM307" s="96">
        <v>1</v>
      </c>
      <c r="BN307" s="96"/>
      <c r="BO307" s="96"/>
      <c r="BP307" s="96"/>
      <c r="BQ307" s="96"/>
      <c r="BR307" s="96"/>
      <c r="BS307" s="96"/>
      <c r="BT307" s="96"/>
      <c r="BU307" s="96"/>
      <c r="BV307" s="96"/>
      <c r="BW307" s="96"/>
      <c r="BX307" s="96"/>
      <c r="BY307" s="96">
        <v>1</v>
      </c>
      <c r="BZ307" s="96"/>
      <c r="CA307" s="96"/>
      <c r="CB307" s="96"/>
      <c r="CC307" s="96"/>
      <c r="CD307" s="96"/>
      <c r="CE307" s="96"/>
      <c r="CF307" s="96"/>
      <c r="CG307" s="96"/>
      <c r="CH307" s="96"/>
      <c r="CI307" s="96"/>
      <c r="CJ307" s="96"/>
      <c r="CK307" s="96"/>
      <c r="CL307" s="815">
        <f t="shared" si="36"/>
        <v>1</v>
      </c>
      <c r="CM307" s="824">
        <f t="shared" si="27"/>
        <v>0</v>
      </c>
      <c r="CN307" s="611">
        <v>1</v>
      </c>
      <c r="CO307" s="97" t="s">
        <v>6068</v>
      </c>
      <c r="CP307" s="842" t="s">
        <v>5987</v>
      </c>
      <c r="CQ307" s="507">
        <f t="shared" si="37"/>
        <v>0.83333333333333337</v>
      </c>
      <c r="CR307" s="611">
        <v>1.2</v>
      </c>
      <c r="CS307" s="887" t="s">
        <v>5843</v>
      </c>
      <c r="CT307" s="97" t="s">
        <v>470</v>
      </c>
      <c r="CU307" s="97"/>
      <c r="CV307" s="97"/>
      <c r="CW307" s="97"/>
      <c r="CX307" s="96"/>
      <c r="CY307" s="96"/>
      <c r="CZ307" s="96"/>
      <c r="DA307" s="97" t="s">
        <v>470</v>
      </c>
      <c r="DB307" s="97"/>
      <c r="DC307" s="96"/>
      <c r="DD307" s="97" t="s">
        <v>479</v>
      </c>
      <c r="DE307" s="97" t="s">
        <v>5610</v>
      </c>
      <c r="DF307" s="96">
        <v>141</v>
      </c>
      <c r="DG307" s="96" t="s">
        <v>470</v>
      </c>
      <c r="DH307" s="96"/>
      <c r="DI307" s="96"/>
      <c r="DJ307" s="96" t="s">
        <v>470</v>
      </c>
      <c r="DK307" s="96"/>
      <c r="DL307" s="96"/>
      <c r="DM307" s="97" t="s">
        <v>470</v>
      </c>
      <c r="DN307" s="97"/>
      <c r="DO307" s="96"/>
      <c r="DP307" s="97" t="s">
        <v>470</v>
      </c>
      <c r="DQ307" s="97"/>
      <c r="DR307" s="96"/>
      <c r="DS307" s="97" t="s">
        <v>470</v>
      </c>
      <c r="DT307" s="97"/>
      <c r="DU307" s="96"/>
      <c r="DV307" s="97"/>
      <c r="DW307" s="97"/>
      <c r="DX307" s="96"/>
      <c r="DY307" s="97" t="s">
        <v>470</v>
      </c>
      <c r="DZ307" s="97"/>
      <c r="EA307" s="96"/>
      <c r="EB307" s="97" t="s">
        <v>470</v>
      </c>
      <c r="EC307" s="97"/>
      <c r="ED307" s="96"/>
      <c r="EE307" s="96" t="s">
        <v>470</v>
      </c>
      <c r="EF307" s="96"/>
      <c r="EG307" s="96"/>
      <c r="EH307" s="97" t="s">
        <v>470</v>
      </c>
      <c r="EI307" s="97"/>
      <c r="EJ307" s="96"/>
      <c r="EK307" s="97" t="s">
        <v>470</v>
      </c>
      <c r="EL307" s="97"/>
      <c r="EM307" s="96"/>
      <c r="EN307" s="97" t="s">
        <v>470</v>
      </c>
      <c r="EO307" s="97"/>
      <c r="EP307" s="96"/>
      <c r="EQ307" s="96" t="s">
        <v>470</v>
      </c>
      <c r="ER307" s="96"/>
      <c r="ES307" s="96"/>
      <c r="ET307" s="97"/>
      <c r="EU307" s="97"/>
      <c r="EV307" s="96"/>
      <c r="EW307" s="96"/>
      <c r="EX307" s="96"/>
      <c r="EY307" s="96"/>
      <c r="EZ307" s="97" t="s">
        <v>470</v>
      </c>
      <c r="FA307" s="97"/>
      <c r="FB307" s="842" t="s">
        <v>5095</v>
      </c>
      <c r="FC307" s="97"/>
      <c r="FD307" s="97"/>
      <c r="FE307" s="97"/>
      <c r="FF307" s="97"/>
      <c r="FG307" s="97"/>
      <c r="FH307" s="97"/>
      <c r="FI307" s="97"/>
      <c r="FJ307" s="97" t="s">
        <v>4404</v>
      </c>
      <c r="FK307" s="97">
        <v>89376532777</v>
      </c>
      <c r="FL307" s="842" t="s">
        <v>4002</v>
      </c>
      <c r="FM307" s="97"/>
      <c r="FN307" s="97"/>
      <c r="FO307" s="97"/>
    </row>
    <row r="308" spans="5:171" ht="32" customHeight="1" x14ac:dyDescent="0.2">
      <c r="E308" s="94" t="s">
        <v>9305</v>
      </c>
      <c r="F308" s="94" t="s">
        <v>9121</v>
      </c>
      <c r="G308" s="97" t="s">
        <v>348</v>
      </c>
      <c r="H308" s="97" t="s">
        <v>433</v>
      </c>
      <c r="I308" s="97" t="s">
        <v>8699</v>
      </c>
      <c r="J308" s="97" t="s">
        <v>8500</v>
      </c>
      <c r="K308" s="97"/>
      <c r="L308" s="502">
        <v>2022</v>
      </c>
      <c r="M308" s="1027">
        <v>44774</v>
      </c>
      <c r="N308" s="1027">
        <v>44804</v>
      </c>
      <c r="O308" s="1027"/>
      <c r="P308" s="1027"/>
      <c r="Q308" s="1027"/>
      <c r="R308" s="1027"/>
      <c r="S308" s="1027"/>
      <c r="T308" s="1027"/>
      <c r="U308" s="1027"/>
      <c r="V308" s="1027"/>
      <c r="W308" s="1027"/>
      <c r="X308" s="1027"/>
      <c r="Y308" s="1027"/>
      <c r="Z308" s="97"/>
      <c r="AA308" s="97"/>
      <c r="AB308" s="97" t="s">
        <v>7774</v>
      </c>
      <c r="AC308" s="842" t="s">
        <v>5986</v>
      </c>
      <c r="AD308" s="97" t="s">
        <v>7427</v>
      </c>
      <c r="AE308" s="842" t="s">
        <v>7246</v>
      </c>
      <c r="AF308" s="97"/>
      <c r="AG308" s="97"/>
      <c r="AH308" s="97" t="s">
        <v>6443</v>
      </c>
      <c r="AI308" s="97" t="s">
        <v>6443</v>
      </c>
      <c r="AJ308" s="97" t="s">
        <v>6673</v>
      </c>
      <c r="AK308" s="97" t="s">
        <v>6443</v>
      </c>
      <c r="AL308" s="580">
        <f t="shared" si="26"/>
        <v>1.0999999999999999E-2</v>
      </c>
      <c r="AM308" s="504">
        <v>1.0999999999999999E-2</v>
      </c>
      <c r="AN308" s="516"/>
      <c r="AO308" s="97"/>
      <c r="AP308" s="97"/>
      <c r="AQ308" s="504">
        <v>0.01</v>
      </c>
      <c r="AR308" s="507">
        <f t="shared" si="33"/>
        <v>0.90909090909090917</v>
      </c>
      <c r="AS308" s="507">
        <f>AL308/13.467</f>
        <v>8.1681146506274588E-4</v>
      </c>
      <c r="AT308" s="516"/>
      <c r="AU308" s="507"/>
      <c r="AV308" s="516"/>
      <c r="AW308" s="507"/>
      <c r="AX308" s="516">
        <v>1E-3</v>
      </c>
      <c r="AY308" s="507">
        <f t="shared" si="35"/>
        <v>9.0909090909090912E-2</v>
      </c>
      <c r="AZ308" s="507"/>
      <c r="BA308" s="507"/>
      <c r="BB308" s="507"/>
      <c r="BC308" s="507"/>
      <c r="BD308" s="507"/>
      <c r="BE308" s="507" t="s">
        <v>470</v>
      </c>
      <c r="BF308" s="507"/>
      <c r="BG308" s="507"/>
      <c r="BH308" s="852"/>
      <c r="BI308" s="504">
        <v>0.02</v>
      </c>
      <c r="BJ308" s="507">
        <f>BI308/14.295</f>
        <v>1.3990905911157748E-3</v>
      </c>
      <c r="BK308" s="96">
        <v>1</v>
      </c>
      <c r="BL308" s="96">
        <v>1</v>
      </c>
      <c r="BM308" s="96">
        <v>1</v>
      </c>
      <c r="BN308" s="96"/>
      <c r="BO308" s="96"/>
      <c r="BP308" s="96"/>
      <c r="BQ308" s="96"/>
      <c r="BR308" s="96"/>
      <c r="BS308" s="96"/>
      <c r="BT308" s="96"/>
      <c r="BU308" s="96"/>
      <c r="BV308" s="96"/>
      <c r="BW308" s="96"/>
      <c r="BX308" s="96"/>
      <c r="BY308" s="96"/>
      <c r="BZ308" s="96">
        <v>1</v>
      </c>
      <c r="CA308" s="96"/>
      <c r="CB308" s="96"/>
      <c r="CC308" s="96"/>
      <c r="CD308" s="96"/>
      <c r="CE308" s="96"/>
      <c r="CF308" s="96"/>
      <c r="CG308" s="96"/>
      <c r="CH308" s="96"/>
      <c r="CI308" s="96"/>
      <c r="CJ308" s="96"/>
      <c r="CK308" s="96"/>
      <c r="CL308" s="815">
        <f t="shared" si="36"/>
        <v>1</v>
      </c>
      <c r="CM308" s="824">
        <f t="shared" si="27"/>
        <v>0</v>
      </c>
      <c r="CN308" s="611">
        <v>1</v>
      </c>
      <c r="CO308" s="97" t="s">
        <v>6067</v>
      </c>
      <c r="CP308" s="842" t="s">
        <v>5986</v>
      </c>
      <c r="CQ308" s="507">
        <f t="shared" si="37"/>
        <v>0.52631578947368418</v>
      </c>
      <c r="CR308" s="611">
        <v>1.9</v>
      </c>
      <c r="CS308" s="887" t="s">
        <v>5843</v>
      </c>
      <c r="CT308" s="97" t="s">
        <v>470</v>
      </c>
      <c r="CU308" s="97"/>
      <c r="CV308" s="97"/>
      <c r="CW308" s="97"/>
      <c r="CX308" s="96"/>
      <c r="CY308" s="96"/>
      <c r="CZ308" s="96"/>
      <c r="DA308" s="97" t="s">
        <v>470</v>
      </c>
      <c r="DB308" s="97"/>
      <c r="DC308" s="96"/>
      <c r="DD308" s="97" t="s">
        <v>479</v>
      </c>
      <c r="DE308" s="97" t="s">
        <v>5611</v>
      </c>
      <c r="DF308" s="96">
        <v>10</v>
      </c>
      <c r="DG308" s="96" t="s">
        <v>470</v>
      </c>
      <c r="DH308" s="96"/>
      <c r="DI308" s="96"/>
      <c r="DJ308" s="96" t="s">
        <v>470</v>
      </c>
      <c r="DK308" s="96"/>
      <c r="DL308" s="96"/>
      <c r="DM308" s="97" t="s">
        <v>470</v>
      </c>
      <c r="DN308" s="97"/>
      <c r="DO308" s="96"/>
      <c r="DP308" s="97" t="s">
        <v>470</v>
      </c>
      <c r="DQ308" s="97"/>
      <c r="DR308" s="96"/>
      <c r="DS308" s="97" t="s">
        <v>470</v>
      </c>
      <c r="DT308" s="97"/>
      <c r="DU308" s="96"/>
      <c r="DV308" s="97"/>
      <c r="DW308" s="97"/>
      <c r="DX308" s="96"/>
      <c r="DY308" s="97" t="s">
        <v>470</v>
      </c>
      <c r="DZ308" s="97"/>
      <c r="EA308" s="96"/>
      <c r="EB308" s="97" t="s">
        <v>470</v>
      </c>
      <c r="EC308" s="97"/>
      <c r="ED308" s="96"/>
      <c r="EE308" s="96" t="s">
        <v>470</v>
      </c>
      <c r="EF308" s="96"/>
      <c r="EG308" s="96"/>
      <c r="EH308" s="97" t="s">
        <v>470</v>
      </c>
      <c r="EI308" s="97"/>
      <c r="EJ308" s="96"/>
      <c r="EK308" s="97" t="s">
        <v>470</v>
      </c>
      <c r="EL308" s="97"/>
      <c r="EM308" s="96"/>
      <c r="EN308" s="97" t="s">
        <v>470</v>
      </c>
      <c r="EO308" s="97"/>
      <c r="EP308" s="96"/>
      <c r="EQ308" s="96" t="s">
        <v>470</v>
      </c>
      <c r="ER308" s="96"/>
      <c r="ES308" s="96"/>
      <c r="ET308" s="97"/>
      <c r="EU308" s="97"/>
      <c r="EV308" s="96"/>
      <c r="EW308" s="96"/>
      <c r="EX308" s="96"/>
      <c r="EY308" s="96"/>
      <c r="EZ308" s="97" t="s">
        <v>470</v>
      </c>
      <c r="FA308" s="97"/>
      <c r="FB308" s="97" t="s">
        <v>5094</v>
      </c>
      <c r="FC308" s="97"/>
      <c r="FD308" s="97"/>
      <c r="FE308" s="97"/>
      <c r="FF308" s="97"/>
      <c r="FG308" s="97"/>
      <c r="FH308" s="97"/>
      <c r="FI308" s="97"/>
      <c r="FJ308" s="97" t="s">
        <v>4403</v>
      </c>
      <c r="FK308" s="97">
        <v>88466031543</v>
      </c>
      <c r="FL308" s="842" t="s">
        <v>4001</v>
      </c>
      <c r="FM308" s="97"/>
      <c r="FN308" s="97"/>
      <c r="FO308" s="97"/>
    </row>
    <row r="309" spans="5:171" ht="52" customHeight="1" x14ac:dyDescent="0.2">
      <c r="E309" s="94" t="s">
        <v>9305</v>
      </c>
      <c r="F309" s="94" t="s">
        <v>9121</v>
      </c>
      <c r="G309" s="97" t="s">
        <v>348</v>
      </c>
      <c r="H309" s="97" t="s">
        <v>433</v>
      </c>
      <c r="I309" s="97" t="s">
        <v>8699</v>
      </c>
      <c r="J309" s="97" t="s">
        <v>8499</v>
      </c>
      <c r="K309" s="97"/>
      <c r="L309" s="502">
        <v>2022</v>
      </c>
      <c r="M309" s="1027">
        <v>44805</v>
      </c>
      <c r="N309" s="1027">
        <v>44834</v>
      </c>
      <c r="O309" s="1027"/>
      <c r="P309" s="1027"/>
      <c r="Q309" s="1027"/>
      <c r="R309" s="1027"/>
      <c r="S309" s="1027"/>
      <c r="T309" s="1027"/>
      <c r="U309" s="1027"/>
      <c r="V309" s="1027"/>
      <c r="W309" s="1027"/>
      <c r="X309" s="1027"/>
      <c r="Y309" s="1027"/>
      <c r="Z309" s="97"/>
      <c r="AA309" s="97"/>
      <c r="AB309" s="97" t="s">
        <v>7774</v>
      </c>
      <c r="AC309" s="842" t="s">
        <v>5986</v>
      </c>
      <c r="AD309" s="97" t="s">
        <v>7427</v>
      </c>
      <c r="AE309" s="842" t="s">
        <v>7246</v>
      </c>
      <c r="AF309" s="97"/>
      <c r="AG309" s="97"/>
      <c r="AH309" s="97" t="s">
        <v>6443</v>
      </c>
      <c r="AI309" s="97" t="s">
        <v>6443</v>
      </c>
      <c r="AJ309" s="97" t="s">
        <v>6674</v>
      </c>
      <c r="AK309" s="97" t="s">
        <v>6443</v>
      </c>
      <c r="AL309" s="580">
        <f t="shared" si="26"/>
        <v>1.3000000000000001E-2</v>
      </c>
      <c r="AM309" s="504">
        <v>1.3000000000000001E-2</v>
      </c>
      <c r="AN309" s="516"/>
      <c r="AO309" s="97"/>
      <c r="AP309" s="97"/>
      <c r="AQ309" s="504">
        <v>1.2E-2</v>
      </c>
      <c r="AR309" s="507">
        <f t="shared" si="33"/>
        <v>0.92307692307692302</v>
      </c>
      <c r="AS309" s="507">
        <f>AQ309/13.467</f>
        <v>8.9106705279572282E-4</v>
      </c>
      <c r="AT309" s="516"/>
      <c r="AU309" s="507"/>
      <c r="AV309" s="516"/>
      <c r="AW309" s="507"/>
      <c r="AX309" s="516">
        <v>1E-3</v>
      </c>
      <c r="AY309" s="507">
        <f t="shared" si="35"/>
        <v>7.6923076923076913E-2</v>
      </c>
      <c r="AZ309" s="507"/>
      <c r="BA309" s="507"/>
      <c r="BB309" s="507"/>
      <c r="BC309" s="507"/>
      <c r="BD309" s="507"/>
      <c r="BE309" s="507" t="s">
        <v>470</v>
      </c>
      <c r="BF309" s="507"/>
      <c r="BG309" s="507"/>
      <c r="BH309" s="852"/>
      <c r="BI309" s="504">
        <v>0.02</v>
      </c>
      <c r="BJ309" s="507">
        <f>BI309/14.295</f>
        <v>1.3990905911157748E-3</v>
      </c>
      <c r="BK309" s="96">
        <v>1</v>
      </c>
      <c r="BL309" s="96">
        <v>1</v>
      </c>
      <c r="BM309" s="96">
        <v>1</v>
      </c>
      <c r="BN309" s="96"/>
      <c r="BO309" s="96"/>
      <c r="BP309" s="96"/>
      <c r="BQ309" s="96"/>
      <c r="BR309" s="96"/>
      <c r="BS309" s="96"/>
      <c r="BT309" s="96"/>
      <c r="BU309" s="96"/>
      <c r="BV309" s="96"/>
      <c r="BW309" s="96"/>
      <c r="BX309" s="96"/>
      <c r="BY309" s="96">
        <v>1</v>
      </c>
      <c r="BZ309" s="96"/>
      <c r="CA309" s="96"/>
      <c r="CB309" s="96"/>
      <c r="CC309" s="96"/>
      <c r="CD309" s="96"/>
      <c r="CE309" s="96"/>
      <c r="CF309" s="96"/>
      <c r="CG309" s="96"/>
      <c r="CH309" s="96"/>
      <c r="CI309" s="96"/>
      <c r="CJ309" s="96"/>
      <c r="CK309" s="96"/>
      <c r="CL309" s="815">
        <f t="shared" si="36"/>
        <v>1</v>
      </c>
      <c r="CM309" s="824">
        <f t="shared" si="27"/>
        <v>0</v>
      </c>
      <c r="CN309" s="611">
        <v>1.5</v>
      </c>
      <c r="CO309" s="97" t="s">
        <v>6067</v>
      </c>
      <c r="CP309" s="842" t="s">
        <v>5986</v>
      </c>
      <c r="CQ309" s="507">
        <f t="shared" si="37"/>
        <v>0.78947368421052633</v>
      </c>
      <c r="CR309" s="611">
        <v>1.9</v>
      </c>
      <c r="CS309" s="887" t="s">
        <v>5843</v>
      </c>
      <c r="CT309" s="97" t="s">
        <v>470</v>
      </c>
      <c r="CU309" s="97"/>
      <c r="CV309" s="97"/>
      <c r="CW309" s="97"/>
      <c r="CX309" s="96"/>
      <c r="CY309" s="96"/>
      <c r="CZ309" s="96"/>
      <c r="DA309" s="97" t="s">
        <v>470</v>
      </c>
      <c r="DB309" s="97"/>
      <c r="DC309" s="96"/>
      <c r="DD309" s="97" t="s">
        <v>479</v>
      </c>
      <c r="DE309" s="97" t="s">
        <v>5611</v>
      </c>
      <c r="DF309" s="96">
        <v>24</v>
      </c>
      <c r="DG309" s="96" t="s">
        <v>470</v>
      </c>
      <c r="DH309" s="96"/>
      <c r="DI309" s="96"/>
      <c r="DJ309" s="96" t="s">
        <v>470</v>
      </c>
      <c r="DK309" s="96"/>
      <c r="DL309" s="96"/>
      <c r="DM309" s="97" t="s">
        <v>470</v>
      </c>
      <c r="DN309" s="97"/>
      <c r="DO309" s="96"/>
      <c r="DP309" s="97" t="s">
        <v>470</v>
      </c>
      <c r="DQ309" s="97"/>
      <c r="DR309" s="96"/>
      <c r="DS309" s="97" t="s">
        <v>470</v>
      </c>
      <c r="DT309" s="97"/>
      <c r="DU309" s="96"/>
      <c r="DV309" s="97"/>
      <c r="DW309" s="97"/>
      <c r="DX309" s="96"/>
      <c r="DY309" s="97" t="s">
        <v>470</v>
      </c>
      <c r="DZ309" s="97"/>
      <c r="EA309" s="96"/>
      <c r="EB309" s="97" t="s">
        <v>470</v>
      </c>
      <c r="EC309" s="97"/>
      <c r="ED309" s="96"/>
      <c r="EE309" s="96" t="s">
        <v>470</v>
      </c>
      <c r="EF309" s="96"/>
      <c r="EG309" s="96"/>
      <c r="EH309" s="97" t="s">
        <v>470</v>
      </c>
      <c r="EI309" s="97"/>
      <c r="EJ309" s="96"/>
      <c r="EK309" s="97" t="s">
        <v>470</v>
      </c>
      <c r="EL309" s="97"/>
      <c r="EM309" s="96"/>
      <c r="EN309" s="97" t="s">
        <v>470</v>
      </c>
      <c r="EO309" s="97"/>
      <c r="EP309" s="96"/>
      <c r="EQ309" s="96" t="s">
        <v>470</v>
      </c>
      <c r="ER309" s="96"/>
      <c r="ES309" s="96"/>
      <c r="ET309" s="97"/>
      <c r="EU309" s="97"/>
      <c r="EV309" s="96"/>
      <c r="EW309" s="96"/>
      <c r="EX309" s="96"/>
      <c r="EY309" s="96"/>
      <c r="EZ309" s="97" t="s">
        <v>470</v>
      </c>
      <c r="FA309" s="97"/>
      <c r="FB309" s="97" t="s">
        <v>5094</v>
      </c>
      <c r="FC309" s="97"/>
      <c r="FD309" s="97"/>
      <c r="FE309" s="97"/>
      <c r="FF309" s="97"/>
      <c r="FG309" s="97"/>
      <c r="FH309" s="97"/>
      <c r="FI309" s="97"/>
      <c r="FJ309" s="97" t="s">
        <v>4403</v>
      </c>
      <c r="FK309" s="97">
        <v>88466031543</v>
      </c>
      <c r="FL309" s="842" t="s">
        <v>4001</v>
      </c>
      <c r="FM309" s="97"/>
      <c r="FN309" s="97"/>
      <c r="FO309" s="97"/>
    </row>
    <row r="310" spans="5:171" ht="32" customHeight="1" x14ac:dyDescent="0.2">
      <c r="E310" s="94" t="s">
        <v>9305</v>
      </c>
      <c r="F310" s="94" t="s">
        <v>9121</v>
      </c>
      <c r="G310" s="97" t="s">
        <v>348</v>
      </c>
      <c r="H310" s="97" t="s">
        <v>433</v>
      </c>
      <c r="I310" s="97" t="s">
        <v>8698</v>
      </c>
      <c r="J310" s="97" t="s">
        <v>8498</v>
      </c>
      <c r="K310" s="97"/>
      <c r="L310" s="502">
        <v>2022</v>
      </c>
      <c r="M310" s="98">
        <v>44743</v>
      </c>
      <c r="N310" s="98">
        <v>44926</v>
      </c>
      <c r="O310" s="98"/>
      <c r="P310" s="98"/>
      <c r="Q310" s="98"/>
      <c r="R310" s="98"/>
      <c r="S310" s="98"/>
      <c r="T310" s="98"/>
      <c r="U310" s="98"/>
      <c r="V310" s="98"/>
      <c r="W310" s="98"/>
      <c r="X310" s="98"/>
      <c r="Y310" s="98"/>
      <c r="Z310" s="97"/>
      <c r="AA310" s="842"/>
      <c r="AB310" s="97" t="s">
        <v>7773</v>
      </c>
      <c r="AC310" s="842" t="s">
        <v>5985</v>
      </c>
      <c r="AD310" s="97" t="s">
        <v>7426</v>
      </c>
      <c r="AE310" s="842" t="s">
        <v>7245</v>
      </c>
      <c r="AF310" s="97"/>
      <c r="AG310" s="842"/>
      <c r="AH310" s="97" t="s">
        <v>6442</v>
      </c>
      <c r="AI310" s="97" t="s">
        <v>6447</v>
      </c>
      <c r="AJ310" s="97" t="s">
        <v>6673</v>
      </c>
      <c r="AK310" s="97" t="s">
        <v>6442</v>
      </c>
      <c r="AL310" s="580">
        <f t="shared" si="26"/>
        <v>0.1</v>
      </c>
      <c r="AM310" s="504">
        <v>0.1</v>
      </c>
      <c r="AN310" s="516"/>
      <c r="AO310" s="97"/>
      <c r="AP310" s="97"/>
      <c r="AQ310" s="504">
        <v>0.08</v>
      </c>
      <c r="AR310" s="507">
        <f t="shared" si="33"/>
        <v>0.79999999999999993</v>
      </c>
      <c r="AS310" s="507">
        <f>AL310/218.249</f>
        <v>4.5819224830354326E-4</v>
      </c>
      <c r="AT310" s="516"/>
      <c r="AU310" s="507"/>
      <c r="AV310" s="516"/>
      <c r="AW310" s="507"/>
      <c r="AX310" s="516">
        <v>0.02</v>
      </c>
      <c r="AY310" s="507">
        <f t="shared" si="35"/>
        <v>0.19999999999999998</v>
      </c>
      <c r="AZ310" s="507"/>
      <c r="BA310" s="507"/>
      <c r="BB310" s="507"/>
      <c r="BC310" s="507"/>
      <c r="BD310" s="507"/>
      <c r="BE310" s="507" t="s">
        <v>539</v>
      </c>
      <c r="BF310" s="507"/>
      <c r="BG310" s="507"/>
      <c r="BH310" s="852"/>
      <c r="BI310" s="504">
        <v>3.5000000000000003E-2</v>
      </c>
      <c r="BJ310" s="507">
        <f>BI310/258.563</f>
        <v>1.3536352842440723E-4</v>
      </c>
      <c r="BK310" s="96">
        <v>1</v>
      </c>
      <c r="BL310" s="96">
        <v>1</v>
      </c>
      <c r="BM310" s="96">
        <v>1</v>
      </c>
      <c r="BN310" s="96"/>
      <c r="BO310" s="96"/>
      <c r="BP310" s="96"/>
      <c r="BQ310" s="96"/>
      <c r="BR310" s="96"/>
      <c r="BS310" s="96"/>
      <c r="BT310" s="96"/>
      <c r="BU310" s="96"/>
      <c r="BV310" s="96"/>
      <c r="BW310" s="96"/>
      <c r="BX310" s="96"/>
      <c r="BY310" s="96">
        <v>1</v>
      </c>
      <c r="BZ310" s="96"/>
      <c r="CA310" s="96"/>
      <c r="CB310" s="96"/>
      <c r="CC310" s="96"/>
      <c r="CD310" s="96"/>
      <c r="CE310" s="96"/>
      <c r="CF310" s="96"/>
      <c r="CG310" s="96"/>
      <c r="CH310" s="96"/>
      <c r="CI310" s="96"/>
      <c r="CJ310" s="96"/>
      <c r="CK310" s="96"/>
      <c r="CL310" s="502">
        <f t="shared" si="36"/>
        <v>1</v>
      </c>
      <c r="CM310" s="824">
        <f t="shared" si="27"/>
        <v>0</v>
      </c>
      <c r="CN310" s="611">
        <v>6.1</v>
      </c>
      <c r="CO310" s="97" t="s">
        <v>6066</v>
      </c>
      <c r="CP310" s="97" t="s">
        <v>5985</v>
      </c>
      <c r="CQ310" s="1031">
        <f t="shared" si="37"/>
        <v>0.3652694610778443</v>
      </c>
      <c r="CR310" s="611">
        <v>16.7</v>
      </c>
      <c r="CS310" s="887" t="s">
        <v>5843</v>
      </c>
      <c r="CT310" s="97" t="s">
        <v>470</v>
      </c>
      <c r="CU310" s="97"/>
      <c r="CV310" s="97"/>
      <c r="CW310" s="97"/>
      <c r="CX310" s="97"/>
      <c r="CY310" s="97"/>
      <c r="CZ310" s="97"/>
      <c r="DA310" s="97" t="s">
        <v>539</v>
      </c>
      <c r="DB310" s="97"/>
      <c r="DC310" s="96"/>
      <c r="DD310" s="97" t="s">
        <v>479</v>
      </c>
      <c r="DE310" s="97" t="s">
        <v>5611</v>
      </c>
      <c r="DF310" s="96">
        <v>38</v>
      </c>
      <c r="DG310" s="96" t="s">
        <v>539</v>
      </c>
      <c r="DH310" s="96"/>
      <c r="DI310" s="96"/>
      <c r="DJ310" s="96" t="s">
        <v>539</v>
      </c>
      <c r="DK310" s="96"/>
      <c r="DL310" s="96"/>
      <c r="DM310" s="97" t="s">
        <v>539</v>
      </c>
      <c r="DN310" s="97"/>
      <c r="DO310" s="96"/>
      <c r="DP310" s="97" t="s">
        <v>539</v>
      </c>
      <c r="DQ310" s="97"/>
      <c r="DR310" s="96"/>
      <c r="DS310" s="97" t="s">
        <v>539</v>
      </c>
      <c r="DT310" s="97"/>
      <c r="DU310" s="96"/>
      <c r="DV310" s="97"/>
      <c r="DW310" s="97"/>
      <c r="DX310" s="96"/>
      <c r="DY310" s="97" t="s">
        <v>539</v>
      </c>
      <c r="DZ310" s="97"/>
      <c r="EA310" s="96"/>
      <c r="EB310" s="97" t="s">
        <v>539</v>
      </c>
      <c r="EC310" s="97"/>
      <c r="ED310" s="96"/>
      <c r="EE310" s="97" t="s">
        <v>539</v>
      </c>
      <c r="EF310" s="97"/>
      <c r="EG310" s="96"/>
      <c r="EH310" s="97" t="s">
        <v>539</v>
      </c>
      <c r="EI310" s="97"/>
      <c r="EJ310" s="96"/>
      <c r="EK310" s="97" t="s">
        <v>539</v>
      </c>
      <c r="EL310" s="97"/>
      <c r="EM310" s="96"/>
      <c r="EN310" s="97" t="s">
        <v>539</v>
      </c>
      <c r="EO310" s="97"/>
      <c r="EP310" s="96"/>
      <c r="EQ310" s="97" t="s">
        <v>539</v>
      </c>
      <c r="ER310" s="97"/>
      <c r="ES310" s="96"/>
      <c r="ET310" s="97"/>
      <c r="EU310" s="97"/>
      <c r="EV310" s="96"/>
      <c r="EW310" s="96"/>
      <c r="EX310" s="96"/>
      <c r="EY310" s="96"/>
      <c r="EZ310" s="97" t="s">
        <v>539</v>
      </c>
      <c r="FA310" s="97"/>
      <c r="FB310" s="842" t="s">
        <v>5093</v>
      </c>
      <c r="FC310" s="97"/>
      <c r="FD310" s="97"/>
      <c r="FE310" s="97"/>
      <c r="FF310" s="97"/>
      <c r="FG310" s="97"/>
      <c r="FH310" s="97"/>
      <c r="FI310" s="97"/>
      <c r="FJ310" s="97" t="s">
        <v>4402</v>
      </c>
      <c r="FK310" s="97" t="s">
        <v>4206</v>
      </c>
      <c r="FL310" s="842" t="s">
        <v>4000</v>
      </c>
      <c r="FM310" s="97"/>
      <c r="FN310" s="97"/>
      <c r="FO310" s="842"/>
    </row>
    <row r="311" spans="5:171" ht="52" customHeight="1" x14ac:dyDescent="0.2">
      <c r="E311" s="94" t="s">
        <v>9305</v>
      </c>
      <c r="F311" s="94" t="s">
        <v>9121</v>
      </c>
      <c r="G311" s="97" t="s">
        <v>348</v>
      </c>
      <c r="H311" s="97" t="s">
        <v>433</v>
      </c>
      <c r="I311" s="97" t="s">
        <v>8697</v>
      </c>
      <c r="J311" s="97" t="s">
        <v>8497</v>
      </c>
      <c r="K311" s="97"/>
      <c r="L311" s="502">
        <v>2022</v>
      </c>
      <c r="M311" s="1027">
        <v>44743</v>
      </c>
      <c r="N311" s="1027">
        <v>44926</v>
      </c>
      <c r="O311" s="1027"/>
      <c r="P311" s="1027"/>
      <c r="Q311" s="1027"/>
      <c r="R311" s="1027"/>
      <c r="S311" s="1027"/>
      <c r="T311" s="1027"/>
      <c r="U311" s="1027"/>
      <c r="V311" s="1027"/>
      <c r="W311" s="1027"/>
      <c r="X311" s="1027"/>
      <c r="Y311" s="1027"/>
      <c r="Z311" s="97"/>
      <c r="AA311" s="842"/>
      <c r="AB311" s="97" t="s">
        <v>7773</v>
      </c>
      <c r="AC311" s="842" t="s">
        <v>5985</v>
      </c>
      <c r="AD311" s="97" t="s">
        <v>7425</v>
      </c>
      <c r="AE311" s="842" t="s">
        <v>7244</v>
      </c>
      <c r="AF311" s="97"/>
      <c r="AG311" s="842"/>
      <c r="AH311" s="97" t="s">
        <v>6968</v>
      </c>
      <c r="AI311" s="97" t="s">
        <v>6447</v>
      </c>
      <c r="AJ311" s="97" t="s">
        <v>6676</v>
      </c>
      <c r="AK311" s="97" t="s">
        <v>6441</v>
      </c>
      <c r="AL311" s="580">
        <f t="shared" si="26"/>
        <v>3.5000000000000003E-2</v>
      </c>
      <c r="AM311" s="504">
        <v>3.5000000000000003E-2</v>
      </c>
      <c r="AN311" s="516"/>
      <c r="AO311" s="97"/>
      <c r="AP311" s="97"/>
      <c r="AQ311" s="504">
        <v>3.2000000000000001E-2</v>
      </c>
      <c r="AR311" s="507">
        <f t="shared" si="33"/>
        <v>0.91428571428571426</v>
      </c>
      <c r="AS311" s="908">
        <f>AQ311/218.249</f>
        <v>1.4662151945713382E-4</v>
      </c>
      <c r="AT311" s="516"/>
      <c r="AU311" s="507"/>
      <c r="AV311" s="516"/>
      <c r="AW311" s="507"/>
      <c r="AX311" s="516">
        <v>3.0000000000000001E-3</v>
      </c>
      <c r="AY311" s="507">
        <f t="shared" si="35"/>
        <v>8.5714285714285701E-2</v>
      </c>
      <c r="AZ311" s="507"/>
      <c r="BA311" s="507"/>
      <c r="BB311" s="507"/>
      <c r="BC311" s="507"/>
      <c r="BD311" s="507"/>
      <c r="BE311" s="507" t="s">
        <v>539</v>
      </c>
      <c r="BF311" s="507" t="s">
        <v>656</v>
      </c>
      <c r="BG311" s="507" t="s">
        <v>656</v>
      </c>
      <c r="BH311" s="852" t="s">
        <v>656</v>
      </c>
      <c r="BI311" s="504">
        <v>3.5000000000000003E-2</v>
      </c>
      <c r="BJ311" s="507">
        <f>BI311/258.563</f>
        <v>1.3536352842440723E-4</v>
      </c>
      <c r="BK311" s="96">
        <v>1</v>
      </c>
      <c r="BL311" s="96">
        <v>1</v>
      </c>
      <c r="BM311" s="96">
        <v>1</v>
      </c>
      <c r="BN311" s="96"/>
      <c r="BO311" s="96"/>
      <c r="BP311" s="96"/>
      <c r="BQ311" s="96"/>
      <c r="BR311" s="96"/>
      <c r="BS311" s="96"/>
      <c r="BT311" s="96"/>
      <c r="BU311" s="96">
        <v>1</v>
      </c>
      <c r="BV311" s="96"/>
      <c r="BW311" s="96"/>
      <c r="BX311" s="96"/>
      <c r="BY311" s="96"/>
      <c r="BZ311" s="96"/>
      <c r="CA311" s="96"/>
      <c r="CB311" s="96"/>
      <c r="CC311" s="96"/>
      <c r="CD311" s="96"/>
      <c r="CE311" s="96"/>
      <c r="CF311" s="96"/>
      <c r="CG311" s="96"/>
      <c r="CH311" s="96"/>
      <c r="CI311" s="96"/>
      <c r="CJ311" s="96"/>
      <c r="CK311" s="96"/>
      <c r="CL311" s="502">
        <f t="shared" si="36"/>
        <v>1</v>
      </c>
      <c r="CM311" s="824">
        <f t="shared" si="27"/>
        <v>0</v>
      </c>
      <c r="CN311" s="611">
        <v>0.7</v>
      </c>
      <c r="CO311" s="97" t="s">
        <v>6066</v>
      </c>
      <c r="CP311" s="97" t="s">
        <v>5985</v>
      </c>
      <c r="CQ311" s="1031">
        <v>3.7100000000000001E-2</v>
      </c>
      <c r="CR311" s="611">
        <v>16.7</v>
      </c>
      <c r="CS311" s="887" t="s">
        <v>5843</v>
      </c>
      <c r="CT311" s="97" t="s">
        <v>470</v>
      </c>
      <c r="CU311" s="97"/>
      <c r="CV311" s="97"/>
      <c r="CW311" s="97"/>
      <c r="CX311" s="97"/>
      <c r="CY311" s="97"/>
      <c r="CZ311" s="97"/>
      <c r="DA311" s="97" t="s">
        <v>539</v>
      </c>
      <c r="DB311" s="97"/>
      <c r="DC311" s="96"/>
      <c r="DD311" s="97" t="s">
        <v>479</v>
      </c>
      <c r="DE311" s="97" t="s">
        <v>5611</v>
      </c>
      <c r="DF311" s="96">
        <v>3</v>
      </c>
      <c r="DG311" s="96" t="s">
        <v>539</v>
      </c>
      <c r="DH311" s="96"/>
      <c r="DI311" s="96"/>
      <c r="DJ311" s="96" t="s">
        <v>539</v>
      </c>
      <c r="DK311" s="96"/>
      <c r="DL311" s="96"/>
      <c r="DM311" s="97" t="s">
        <v>539</v>
      </c>
      <c r="DN311" s="97"/>
      <c r="DO311" s="96"/>
      <c r="DP311" s="97" t="s">
        <v>539</v>
      </c>
      <c r="DQ311" s="97"/>
      <c r="DR311" s="96"/>
      <c r="DS311" s="97" t="s">
        <v>539</v>
      </c>
      <c r="DT311" s="97"/>
      <c r="DU311" s="96"/>
      <c r="DV311" s="97"/>
      <c r="DW311" s="97"/>
      <c r="DX311" s="96"/>
      <c r="DY311" s="97" t="s">
        <v>539</v>
      </c>
      <c r="DZ311" s="97"/>
      <c r="EA311" s="96"/>
      <c r="EB311" s="97" t="s">
        <v>539</v>
      </c>
      <c r="EC311" s="97"/>
      <c r="ED311" s="96"/>
      <c r="EE311" s="97" t="s">
        <v>539</v>
      </c>
      <c r="EF311" s="97"/>
      <c r="EG311" s="96"/>
      <c r="EH311" s="97" t="s">
        <v>539</v>
      </c>
      <c r="EI311" s="97"/>
      <c r="EJ311" s="96"/>
      <c r="EK311" s="97" t="s">
        <v>539</v>
      </c>
      <c r="EL311" s="97"/>
      <c r="EM311" s="96"/>
      <c r="EN311" s="97" t="s">
        <v>539</v>
      </c>
      <c r="EO311" s="97"/>
      <c r="EP311" s="96"/>
      <c r="EQ311" s="97" t="s">
        <v>539</v>
      </c>
      <c r="ER311" s="97"/>
      <c r="ES311" s="96"/>
      <c r="ET311" s="97"/>
      <c r="EU311" s="97"/>
      <c r="EV311" s="96"/>
      <c r="EW311" s="96"/>
      <c r="EX311" s="96"/>
      <c r="EY311" s="96"/>
      <c r="EZ311" s="97" t="s">
        <v>539</v>
      </c>
      <c r="FA311" s="97"/>
      <c r="FB311" s="842" t="s">
        <v>5093</v>
      </c>
      <c r="FC311" s="97"/>
      <c r="FD311" s="97"/>
      <c r="FE311" s="97"/>
      <c r="FF311" s="97"/>
      <c r="FG311" s="97"/>
      <c r="FH311" s="97"/>
      <c r="FI311" s="97"/>
      <c r="FJ311" s="97" t="s">
        <v>4401</v>
      </c>
      <c r="FK311" s="97" t="s">
        <v>4205</v>
      </c>
      <c r="FL311" s="842" t="s">
        <v>3999</v>
      </c>
      <c r="FM311" s="97"/>
      <c r="FN311" s="97"/>
      <c r="FO311" s="842" t="s">
        <v>2306</v>
      </c>
    </row>
    <row r="312" spans="5:171" ht="32" customHeight="1" x14ac:dyDescent="0.2">
      <c r="E312" s="94" t="s">
        <v>9305</v>
      </c>
      <c r="F312" s="94" t="s">
        <v>9121</v>
      </c>
      <c r="G312" s="97" t="s">
        <v>348</v>
      </c>
      <c r="H312" s="97" t="s">
        <v>433</v>
      </c>
      <c r="I312" s="97" t="s">
        <v>8696</v>
      </c>
      <c r="J312" s="97" t="s">
        <v>8496</v>
      </c>
      <c r="K312" s="97" t="s">
        <v>5242</v>
      </c>
      <c r="L312" s="502">
        <v>2022</v>
      </c>
      <c r="M312" s="841" t="s">
        <v>8283</v>
      </c>
      <c r="N312" s="841">
        <v>44711</v>
      </c>
      <c r="O312" s="841"/>
      <c r="P312" s="841"/>
      <c r="Q312" s="841"/>
      <c r="R312" s="841"/>
      <c r="S312" s="841"/>
      <c r="T312" s="841"/>
      <c r="U312" s="841"/>
      <c r="V312" s="841"/>
      <c r="W312" s="841"/>
      <c r="X312" s="841"/>
      <c r="Y312" s="841"/>
      <c r="Z312" s="97"/>
      <c r="AA312" s="97"/>
      <c r="AB312" s="97" t="s">
        <v>7772</v>
      </c>
      <c r="AC312" s="842" t="s">
        <v>5984</v>
      </c>
      <c r="AD312" s="97" t="s">
        <v>7424</v>
      </c>
      <c r="AE312" s="842" t="s">
        <v>7243</v>
      </c>
      <c r="AF312" s="97"/>
      <c r="AG312" s="97"/>
      <c r="AH312" s="97" t="s">
        <v>6440</v>
      </c>
      <c r="AI312" s="97" t="s">
        <v>6440</v>
      </c>
      <c r="AJ312" s="97" t="s">
        <v>6673</v>
      </c>
      <c r="AK312" s="97" t="s">
        <v>6440</v>
      </c>
      <c r="AL312" s="580">
        <f t="shared" si="26"/>
        <v>0.05</v>
      </c>
      <c r="AM312" s="504">
        <v>0.05</v>
      </c>
      <c r="AN312" s="516"/>
      <c r="AO312" s="97"/>
      <c r="AP312" s="97"/>
      <c r="AQ312" s="1032">
        <v>4.7500000000000001E-2</v>
      </c>
      <c r="AR312" s="507">
        <f t="shared" si="33"/>
        <v>0.95</v>
      </c>
      <c r="AS312" s="507">
        <v>6.1999999999999998E-3</v>
      </c>
      <c r="AT312" s="516"/>
      <c r="AU312" s="507">
        <f>AT312/AL312</f>
        <v>0</v>
      </c>
      <c r="AV312" s="516"/>
      <c r="AW312" s="507">
        <f>AV312/AL312</f>
        <v>0</v>
      </c>
      <c r="AX312" s="516">
        <v>2.5000000000000001E-3</v>
      </c>
      <c r="AY312" s="507">
        <f t="shared" si="35"/>
        <v>4.9999999999999996E-2</v>
      </c>
      <c r="AZ312" s="507"/>
      <c r="BA312" s="507"/>
      <c r="BB312" s="507"/>
      <c r="BC312" s="507"/>
      <c r="BD312" s="507"/>
      <c r="BE312" s="507" t="s">
        <v>470</v>
      </c>
      <c r="BF312" s="507"/>
      <c r="BG312" s="507"/>
      <c r="BH312" s="852"/>
      <c r="BI312" s="504">
        <v>0.05</v>
      </c>
      <c r="BJ312" s="507">
        <v>4.3E-3</v>
      </c>
      <c r="BK312" s="96">
        <v>1</v>
      </c>
      <c r="BL312" s="96">
        <v>1</v>
      </c>
      <c r="BM312" s="96">
        <v>1</v>
      </c>
      <c r="BN312" s="96"/>
      <c r="BO312" s="96"/>
      <c r="BP312" s="96"/>
      <c r="BQ312" s="96"/>
      <c r="BR312" s="96"/>
      <c r="BS312" s="96"/>
      <c r="BT312" s="96"/>
      <c r="BU312" s="96"/>
      <c r="BV312" s="96"/>
      <c r="BW312" s="96"/>
      <c r="BX312" s="96"/>
      <c r="BY312" s="96">
        <v>1</v>
      </c>
      <c r="BZ312" s="96"/>
      <c r="CA312" s="96"/>
      <c r="CB312" s="96"/>
      <c r="CC312" s="96"/>
      <c r="CD312" s="96"/>
      <c r="CE312" s="96"/>
      <c r="CF312" s="96"/>
      <c r="CG312" s="96"/>
      <c r="CH312" s="96"/>
      <c r="CI312" s="96"/>
      <c r="CJ312" s="96"/>
      <c r="CK312" s="96"/>
      <c r="CL312" s="815">
        <f t="shared" si="36"/>
        <v>1</v>
      </c>
      <c r="CM312" s="824">
        <f t="shared" si="27"/>
        <v>0</v>
      </c>
      <c r="CN312" s="504">
        <v>0.2</v>
      </c>
      <c r="CO312" s="97" t="s">
        <v>6065</v>
      </c>
      <c r="CP312" s="842" t="s">
        <v>5984</v>
      </c>
      <c r="CQ312" s="516">
        <f>CN312/CR312*100</f>
        <v>16.963528413910094</v>
      </c>
      <c r="CR312" s="504">
        <v>1.179</v>
      </c>
      <c r="CS312" s="842" t="s">
        <v>5843</v>
      </c>
      <c r="CT312" s="97" t="s">
        <v>470</v>
      </c>
      <c r="CU312" s="97"/>
      <c r="CV312" s="97"/>
      <c r="CW312" s="97"/>
      <c r="CX312" s="96"/>
      <c r="CY312" s="96"/>
      <c r="CZ312" s="96"/>
      <c r="DA312" s="97" t="s">
        <v>470</v>
      </c>
      <c r="DB312" s="97"/>
      <c r="DC312" s="96"/>
      <c r="DD312" s="97" t="s">
        <v>479</v>
      </c>
      <c r="DE312" s="97" t="s">
        <v>5610</v>
      </c>
      <c r="DF312" s="96">
        <v>10</v>
      </c>
      <c r="DG312" s="96" t="s">
        <v>470</v>
      </c>
      <c r="DH312" s="96"/>
      <c r="DI312" s="96"/>
      <c r="DJ312" s="96" t="s">
        <v>470</v>
      </c>
      <c r="DK312" s="96"/>
      <c r="DL312" s="96"/>
      <c r="DM312" s="97" t="s">
        <v>470</v>
      </c>
      <c r="DN312" s="97"/>
      <c r="DO312" s="96"/>
      <c r="DP312" s="97" t="s">
        <v>470</v>
      </c>
      <c r="DQ312" s="97"/>
      <c r="DR312" s="96"/>
      <c r="DS312" s="97" t="s">
        <v>470</v>
      </c>
      <c r="DT312" s="97"/>
      <c r="DU312" s="96"/>
      <c r="DV312" s="97"/>
      <c r="DW312" s="97"/>
      <c r="DX312" s="96"/>
      <c r="DY312" s="97" t="s">
        <v>470</v>
      </c>
      <c r="DZ312" s="97"/>
      <c r="EA312" s="96"/>
      <c r="EB312" s="97" t="s">
        <v>470</v>
      </c>
      <c r="EC312" s="97"/>
      <c r="ED312" s="96"/>
      <c r="EE312" s="96" t="s">
        <v>470</v>
      </c>
      <c r="EF312" s="96"/>
      <c r="EG312" s="96"/>
      <c r="EH312" s="97" t="s">
        <v>470</v>
      </c>
      <c r="EI312" s="97"/>
      <c r="EJ312" s="96"/>
      <c r="EK312" s="97" t="s">
        <v>470</v>
      </c>
      <c r="EL312" s="97"/>
      <c r="EM312" s="96"/>
      <c r="EN312" s="97" t="s">
        <v>470</v>
      </c>
      <c r="EO312" s="97"/>
      <c r="EP312" s="96"/>
      <c r="EQ312" s="96" t="s">
        <v>470</v>
      </c>
      <c r="ER312" s="96"/>
      <c r="ES312" s="96"/>
      <c r="ET312" s="97"/>
      <c r="EU312" s="97"/>
      <c r="EV312" s="96"/>
      <c r="EW312" s="96"/>
      <c r="EX312" s="96"/>
      <c r="EY312" s="96"/>
      <c r="EZ312" s="97" t="s">
        <v>470</v>
      </c>
      <c r="FA312" s="97"/>
      <c r="FB312" s="842" t="s">
        <v>5092</v>
      </c>
      <c r="FC312" s="97"/>
      <c r="FD312" s="97"/>
      <c r="FE312" s="97"/>
      <c r="FF312" s="97"/>
      <c r="FG312" s="97"/>
      <c r="FH312" s="97"/>
      <c r="FI312" s="97"/>
      <c r="FJ312" s="97" t="s">
        <v>4400</v>
      </c>
      <c r="FK312" s="96">
        <v>88466032516</v>
      </c>
      <c r="FL312" s="842" t="s">
        <v>3998</v>
      </c>
      <c r="FM312" s="97"/>
      <c r="FN312" s="97"/>
      <c r="FO312" s="97"/>
    </row>
    <row r="313" spans="5:171" ht="52" customHeight="1" x14ac:dyDescent="0.2">
      <c r="E313" s="94" t="s">
        <v>9305</v>
      </c>
      <c r="F313" s="94" t="s">
        <v>9121</v>
      </c>
      <c r="G313" s="97" t="s">
        <v>348</v>
      </c>
      <c r="H313" s="97" t="s">
        <v>433</v>
      </c>
      <c r="I313" s="97" t="s">
        <v>8695</v>
      </c>
      <c r="J313" s="97" t="s">
        <v>8495</v>
      </c>
      <c r="K313" s="97" t="s">
        <v>5242</v>
      </c>
      <c r="L313" s="502">
        <v>2022</v>
      </c>
      <c r="M313" s="841">
        <v>44733</v>
      </c>
      <c r="N313" s="841">
        <v>44798</v>
      </c>
      <c r="O313" s="841"/>
      <c r="P313" s="841"/>
      <c r="Q313" s="841"/>
      <c r="R313" s="841"/>
      <c r="S313" s="841"/>
      <c r="T313" s="841"/>
      <c r="U313" s="841"/>
      <c r="V313" s="841"/>
      <c r="W313" s="841"/>
      <c r="X313" s="841"/>
      <c r="Y313" s="841"/>
      <c r="Z313" s="97"/>
      <c r="AA313" s="97"/>
      <c r="AB313" s="97" t="s">
        <v>7770</v>
      </c>
      <c r="AC313" s="842" t="s">
        <v>5983</v>
      </c>
      <c r="AD313" s="97" t="s">
        <v>7423</v>
      </c>
      <c r="AE313" s="842" t="s">
        <v>7242</v>
      </c>
      <c r="AF313" s="97"/>
      <c r="AG313" s="97"/>
      <c r="AH313" s="97" t="s">
        <v>6439</v>
      </c>
      <c r="AI313" s="97" t="s">
        <v>6439</v>
      </c>
      <c r="AJ313" s="97" t="s">
        <v>6673</v>
      </c>
      <c r="AK313" s="97" t="s">
        <v>6439</v>
      </c>
      <c r="AL313" s="580">
        <f t="shared" si="26"/>
        <v>0.05</v>
      </c>
      <c r="AM313" s="504">
        <v>0.05</v>
      </c>
      <c r="AN313" s="516"/>
      <c r="AO313" s="97"/>
      <c r="AP313" s="97"/>
      <c r="AQ313" s="504">
        <v>4.7500000000000001E-2</v>
      </c>
      <c r="AR313" s="507">
        <f t="shared" si="33"/>
        <v>0.95</v>
      </c>
      <c r="AS313" s="507">
        <v>1.9E-3</v>
      </c>
      <c r="AT313" s="516"/>
      <c r="AU313" s="507">
        <f>AT313/AL313</f>
        <v>0</v>
      </c>
      <c r="AV313" s="516"/>
      <c r="AW313" s="507">
        <f>AV313/AL313</f>
        <v>0</v>
      </c>
      <c r="AX313" s="516">
        <v>2.5000000000000001E-3</v>
      </c>
      <c r="AY313" s="507">
        <f t="shared" si="35"/>
        <v>4.9999999999999996E-2</v>
      </c>
      <c r="AZ313" s="507"/>
      <c r="BA313" s="507"/>
      <c r="BB313" s="507"/>
      <c r="BC313" s="507"/>
      <c r="BD313" s="507"/>
      <c r="BE313" s="507" t="s">
        <v>470</v>
      </c>
      <c r="BF313" s="507"/>
      <c r="BG313" s="507"/>
      <c r="BH313" s="852"/>
      <c r="BI313" s="504">
        <v>0.2</v>
      </c>
      <c r="BJ313" s="507">
        <v>5.7000000000000002E-3</v>
      </c>
      <c r="BK313" s="96">
        <v>1</v>
      </c>
      <c r="BL313" s="96">
        <v>1</v>
      </c>
      <c r="BM313" s="96">
        <v>1</v>
      </c>
      <c r="BN313" s="96"/>
      <c r="BO313" s="96"/>
      <c r="BP313" s="96"/>
      <c r="BQ313" s="96"/>
      <c r="BR313" s="96"/>
      <c r="BS313" s="96"/>
      <c r="BT313" s="96"/>
      <c r="BU313" s="96"/>
      <c r="BV313" s="96"/>
      <c r="BW313" s="96"/>
      <c r="BX313" s="96">
        <v>1</v>
      </c>
      <c r="BY313" s="96"/>
      <c r="BZ313" s="96"/>
      <c r="CA313" s="96"/>
      <c r="CB313" s="96"/>
      <c r="CC313" s="96"/>
      <c r="CD313" s="96"/>
      <c r="CE313" s="96"/>
      <c r="CF313" s="96"/>
      <c r="CG313" s="96"/>
      <c r="CH313" s="96"/>
      <c r="CI313" s="96"/>
      <c r="CJ313" s="96"/>
      <c r="CK313" s="96"/>
      <c r="CL313" s="815">
        <f t="shared" si="36"/>
        <v>1</v>
      </c>
      <c r="CM313" s="824">
        <f t="shared" si="27"/>
        <v>0</v>
      </c>
      <c r="CN313" s="611">
        <v>5.1589999999999998</v>
      </c>
      <c r="CO313" s="97" t="s">
        <v>6064</v>
      </c>
      <c r="CP313" s="842" t="s">
        <v>5983</v>
      </c>
      <c r="CQ313" s="516">
        <f>CN313/CR313*100</f>
        <v>100</v>
      </c>
      <c r="CR313" s="619">
        <v>5.1589999999999998</v>
      </c>
      <c r="CS313" s="842" t="s">
        <v>5848</v>
      </c>
      <c r="CT313" s="97" t="s">
        <v>470</v>
      </c>
      <c r="CU313" s="97"/>
      <c r="CV313" s="97"/>
      <c r="CW313" s="97"/>
      <c r="CX313" s="96"/>
      <c r="CY313" s="96"/>
      <c r="CZ313" s="96"/>
      <c r="DA313" s="97" t="s">
        <v>470</v>
      </c>
      <c r="DB313" s="97"/>
      <c r="DC313" s="96"/>
      <c r="DD313" s="97" t="s">
        <v>479</v>
      </c>
      <c r="DE313" s="97" t="s">
        <v>5610</v>
      </c>
      <c r="DF313" s="96">
        <v>11</v>
      </c>
      <c r="DG313" s="96" t="s">
        <v>470</v>
      </c>
      <c r="DH313" s="96"/>
      <c r="DI313" s="96"/>
      <c r="DJ313" s="96" t="s">
        <v>470</v>
      </c>
      <c r="DK313" s="96"/>
      <c r="DL313" s="96"/>
      <c r="DM313" s="97" t="s">
        <v>470</v>
      </c>
      <c r="DN313" s="97"/>
      <c r="DO313" s="96"/>
      <c r="DP313" s="97" t="s">
        <v>470</v>
      </c>
      <c r="DQ313" s="97"/>
      <c r="DR313" s="96"/>
      <c r="DS313" s="97" t="s">
        <v>470</v>
      </c>
      <c r="DT313" s="97"/>
      <c r="DU313" s="96"/>
      <c r="DV313" s="97"/>
      <c r="DW313" s="97"/>
      <c r="DX313" s="96"/>
      <c r="DY313" s="97" t="s">
        <v>470</v>
      </c>
      <c r="DZ313" s="97"/>
      <c r="EA313" s="96"/>
      <c r="EB313" s="97" t="s">
        <v>470</v>
      </c>
      <c r="EC313" s="97"/>
      <c r="ED313" s="96"/>
      <c r="EE313" s="96" t="s">
        <v>470</v>
      </c>
      <c r="EF313" s="96"/>
      <c r="EG313" s="96"/>
      <c r="EH313" s="97" t="s">
        <v>470</v>
      </c>
      <c r="EI313" s="97"/>
      <c r="EJ313" s="96"/>
      <c r="EK313" s="97" t="s">
        <v>470</v>
      </c>
      <c r="EL313" s="97"/>
      <c r="EM313" s="96"/>
      <c r="EN313" s="97" t="s">
        <v>470</v>
      </c>
      <c r="EO313" s="97"/>
      <c r="EP313" s="96"/>
      <c r="EQ313" s="96" t="s">
        <v>470</v>
      </c>
      <c r="ER313" s="96"/>
      <c r="ES313" s="96"/>
      <c r="ET313" s="97"/>
      <c r="EU313" s="97"/>
      <c r="EV313" s="96"/>
      <c r="EW313" s="96"/>
      <c r="EX313" s="96"/>
      <c r="EY313" s="96"/>
      <c r="EZ313" s="97" t="s">
        <v>470</v>
      </c>
      <c r="FA313" s="97"/>
      <c r="FB313" s="842" t="s">
        <v>5091</v>
      </c>
      <c r="FC313" s="97"/>
      <c r="FD313" s="97"/>
      <c r="FE313" s="97"/>
      <c r="FF313" s="97"/>
      <c r="FG313" s="97"/>
      <c r="FH313" s="97"/>
      <c r="FI313" s="97"/>
      <c r="FJ313" s="97" t="s">
        <v>4399</v>
      </c>
      <c r="FK313" s="97">
        <v>88466022334</v>
      </c>
      <c r="FL313" s="842" t="s">
        <v>3997</v>
      </c>
      <c r="FM313" s="97"/>
      <c r="FN313" s="97"/>
      <c r="FO313" s="97"/>
    </row>
    <row r="314" spans="5:171" ht="32" customHeight="1" x14ac:dyDescent="0.2">
      <c r="E314" s="94" t="s">
        <v>9305</v>
      </c>
      <c r="F314" s="94" t="s">
        <v>9121</v>
      </c>
      <c r="G314" s="97" t="s">
        <v>348</v>
      </c>
      <c r="H314" s="97" t="s">
        <v>433</v>
      </c>
      <c r="I314" s="97" t="s">
        <v>8695</v>
      </c>
      <c r="J314" s="97" t="s">
        <v>8494</v>
      </c>
      <c r="K314" s="97" t="s">
        <v>5242</v>
      </c>
      <c r="L314" s="502">
        <v>2022</v>
      </c>
      <c r="M314" s="841">
        <v>44775</v>
      </c>
      <c r="N314" s="841">
        <v>44798</v>
      </c>
      <c r="O314" s="841"/>
      <c r="P314" s="841"/>
      <c r="Q314" s="841"/>
      <c r="R314" s="841"/>
      <c r="S314" s="841"/>
      <c r="T314" s="841"/>
      <c r="U314" s="841"/>
      <c r="V314" s="841"/>
      <c r="W314" s="841"/>
      <c r="X314" s="841"/>
      <c r="Y314" s="841"/>
      <c r="Z314" s="97"/>
      <c r="AA314" s="97"/>
      <c r="AB314" s="97" t="s">
        <v>7771</v>
      </c>
      <c r="AC314" s="842" t="s">
        <v>5983</v>
      </c>
      <c r="AD314" s="97" t="s">
        <v>7423</v>
      </c>
      <c r="AE314" s="842" t="s">
        <v>7242</v>
      </c>
      <c r="AF314" s="97"/>
      <c r="AG314" s="97"/>
      <c r="AH314" s="97" t="s">
        <v>6439</v>
      </c>
      <c r="AI314" s="97" t="s">
        <v>6439</v>
      </c>
      <c r="AJ314" s="97" t="s">
        <v>6673</v>
      </c>
      <c r="AK314" s="97" t="s">
        <v>6439</v>
      </c>
      <c r="AL314" s="580">
        <f t="shared" si="26"/>
        <v>0.05</v>
      </c>
      <c r="AM314" s="504">
        <v>0.05</v>
      </c>
      <c r="AN314" s="516"/>
      <c r="AO314" s="97"/>
      <c r="AP314" s="97"/>
      <c r="AQ314" s="504">
        <v>4.7500000000000001E-2</v>
      </c>
      <c r="AR314" s="507">
        <f t="shared" si="33"/>
        <v>0.95</v>
      </c>
      <c r="AS314" s="507">
        <v>1.9E-3</v>
      </c>
      <c r="AT314" s="516"/>
      <c r="AU314" s="507">
        <f>AT314/AL314</f>
        <v>0</v>
      </c>
      <c r="AV314" s="516"/>
      <c r="AW314" s="507">
        <f>AV314/AL314</f>
        <v>0</v>
      </c>
      <c r="AX314" s="516">
        <v>2.5000000000000001E-3</v>
      </c>
      <c r="AY314" s="507">
        <f t="shared" si="35"/>
        <v>4.9999999999999996E-2</v>
      </c>
      <c r="AZ314" s="507"/>
      <c r="BA314" s="507"/>
      <c r="BB314" s="507"/>
      <c r="BC314" s="507"/>
      <c r="BD314" s="507"/>
      <c r="BE314" s="507" t="s">
        <v>470</v>
      </c>
      <c r="BF314" s="507"/>
      <c r="BG314" s="507"/>
      <c r="BH314" s="852"/>
      <c r="BI314" s="504">
        <v>0.2</v>
      </c>
      <c r="BJ314" s="507">
        <v>5.7000000000000002E-3</v>
      </c>
      <c r="BK314" s="96">
        <v>1</v>
      </c>
      <c r="BL314" s="96">
        <v>1</v>
      </c>
      <c r="BM314" s="96">
        <v>1</v>
      </c>
      <c r="BN314" s="96"/>
      <c r="BO314" s="96"/>
      <c r="BP314" s="96"/>
      <c r="BQ314" s="96"/>
      <c r="BR314" s="96"/>
      <c r="BS314" s="96"/>
      <c r="BT314" s="96"/>
      <c r="BU314" s="96"/>
      <c r="BV314" s="96"/>
      <c r="BW314" s="96">
        <v>1</v>
      </c>
      <c r="BX314" s="96"/>
      <c r="BY314" s="96"/>
      <c r="BZ314" s="96"/>
      <c r="CA314" s="96"/>
      <c r="CB314" s="96"/>
      <c r="CC314" s="96"/>
      <c r="CD314" s="96"/>
      <c r="CE314" s="96"/>
      <c r="CF314" s="96"/>
      <c r="CG314" s="96"/>
      <c r="CH314" s="96"/>
      <c r="CI314" s="96"/>
      <c r="CJ314" s="96"/>
      <c r="CK314" s="96"/>
      <c r="CL314" s="815">
        <f t="shared" si="36"/>
        <v>1</v>
      </c>
      <c r="CM314" s="824">
        <f t="shared" si="27"/>
        <v>0</v>
      </c>
      <c r="CN314" s="611">
        <v>5.1589999999999998</v>
      </c>
      <c r="CO314" s="97" t="s">
        <v>6064</v>
      </c>
      <c r="CP314" s="842" t="s">
        <v>5983</v>
      </c>
      <c r="CQ314" s="516">
        <f>CN314/CR314*100</f>
        <v>100</v>
      </c>
      <c r="CR314" s="619">
        <v>5.1589999999999998</v>
      </c>
      <c r="CS314" s="842" t="s">
        <v>5848</v>
      </c>
      <c r="CT314" s="97" t="s">
        <v>470</v>
      </c>
      <c r="CU314" s="97"/>
      <c r="CV314" s="97"/>
      <c r="CW314" s="97"/>
      <c r="CX314" s="96"/>
      <c r="CY314" s="96"/>
      <c r="CZ314" s="96"/>
      <c r="DA314" s="97" t="s">
        <v>470</v>
      </c>
      <c r="DB314" s="97"/>
      <c r="DC314" s="96"/>
      <c r="DD314" s="97" t="s">
        <v>479</v>
      </c>
      <c r="DE314" s="97" t="s">
        <v>5610</v>
      </c>
      <c r="DF314" s="96">
        <v>18</v>
      </c>
      <c r="DG314" s="96" t="s">
        <v>470</v>
      </c>
      <c r="DH314" s="96"/>
      <c r="DI314" s="96"/>
      <c r="DJ314" s="96" t="s">
        <v>470</v>
      </c>
      <c r="DK314" s="96"/>
      <c r="DL314" s="96"/>
      <c r="DM314" s="97" t="s">
        <v>470</v>
      </c>
      <c r="DN314" s="97"/>
      <c r="DO314" s="96"/>
      <c r="DP314" s="97" t="s">
        <v>470</v>
      </c>
      <c r="DQ314" s="97"/>
      <c r="DR314" s="96"/>
      <c r="DS314" s="97" t="s">
        <v>470</v>
      </c>
      <c r="DT314" s="97"/>
      <c r="DU314" s="96"/>
      <c r="DV314" s="97"/>
      <c r="DW314" s="97"/>
      <c r="DX314" s="96"/>
      <c r="DY314" s="97" t="s">
        <v>470</v>
      </c>
      <c r="DZ314" s="97"/>
      <c r="EA314" s="96"/>
      <c r="EB314" s="97" t="s">
        <v>470</v>
      </c>
      <c r="EC314" s="97"/>
      <c r="ED314" s="96"/>
      <c r="EE314" s="96" t="s">
        <v>470</v>
      </c>
      <c r="EF314" s="96"/>
      <c r="EG314" s="96"/>
      <c r="EH314" s="97" t="s">
        <v>470</v>
      </c>
      <c r="EI314" s="97"/>
      <c r="EJ314" s="96"/>
      <c r="EK314" s="97" t="s">
        <v>470</v>
      </c>
      <c r="EL314" s="97"/>
      <c r="EM314" s="96"/>
      <c r="EN314" s="97" t="s">
        <v>470</v>
      </c>
      <c r="EO314" s="97"/>
      <c r="EP314" s="96"/>
      <c r="EQ314" s="96" t="s">
        <v>470</v>
      </c>
      <c r="ER314" s="96"/>
      <c r="ES314" s="96"/>
      <c r="ET314" s="97"/>
      <c r="EU314" s="97"/>
      <c r="EV314" s="96"/>
      <c r="EW314" s="96"/>
      <c r="EX314" s="96"/>
      <c r="EY314" s="96"/>
      <c r="EZ314" s="97" t="s">
        <v>470</v>
      </c>
      <c r="FA314" s="97"/>
      <c r="FB314" s="842" t="s">
        <v>5091</v>
      </c>
      <c r="FC314" s="97"/>
      <c r="FD314" s="97"/>
      <c r="FE314" s="97"/>
      <c r="FF314" s="97"/>
      <c r="FG314" s="97"/>
      <c r="FH314" s="97"/>
      <c r="FI314" s="97"/>
      <c r="FJ314" s="97" t="s">
        <v>4399</v>
      </c>
      <c r="FK314" s="97">
        <v>88466022334</v>
      </c>
      <c r="FL314" s="842" t="s">
        <v>3997</v>
      </c>
      <c r="FM314" s="97"/>
      <c r="FN314" s="97"/>
      <c r="FO314" s="842"/>
    </row>
    <row r="315" spans="5:171" ht="52" customHeight="1" x14ac:dyDescent="0.2">
      <c r="E315" s="94" t="s">
        <v>9305</v>
      </c>
      <c r="F315" s="94" t="s">
        <v>9121</v>
      </c>
      <c r="G315" s="97" t="s">
        <v>348</v>
      </c>
      <c r="H315" s="97" t="s">
        <v>433</v>
      </c>
      <c r="I315" s="97" t="s">
        <v>8695</v>
      </c>
      <c r="J315" s="97" t="s">
        <v>8493</v>
      </c>
      <c r="K315" s="97" t="s">
        <v>5242</v>
      </c>
      <c r="L315" s="502">
        <v>2022</v>
      </c>
      <c r="M315" s="841">
        <v>44714</v>
      </c>
      <c r="N315" s="841">
        <v>44816</v>
      </c>
      <c r="O315" s="841"/>
      <c r="P315" s="841"/>
      <c r="Q315" s="841"/>
      <c r="R315" s="841"/>
      <c r="S315" s="841"/>
      <c r="T315" s="841"/>
      <c r="U315" s="841"/>
      <c r="V315" s="841"/>
      <c r="W315" s="841"/>
      <c r="X315" s="841"/>
      <c r="Y315" s="841"/>
      <c r="Z315" s="97"/>
      <c r="AA315" s="97"/>
      <c r="AB315" s="97" t="s">
        <v>7770</v>
      </c>
      <c r="AC315" s="842" t="s">
        <v>5983</v>
      </c>
      <c r="AD315" s="97" t="s">
        <v>7423</v>
      </c>
      <c r="AE315" s="842" t="s">
        <v>7242</v>
      </c>
      <c r="AF315" s="97"/>
      <c r="AG315" s="97"/>
      <c r="AH315" s="97" t="s">
        <v>6439</v>
      </c>
      <c r="AI315" s="97" t="s">
        <v>6439</v>
      </c>
      <c r="AJ315" s="97" t="s">
        <v>6673</v>
      </c>
      <c r="AK315" s="97" t="s">
        <v>6439</v>
      </c>
      <c r="AL315" s="580">
        <f t="shared" si="26"/>
        <v>5.5E-2</v>
      </c>
      <c r="AM315" s="504">
        <v>5.5E-2</v>
      </c>
      <c r="AN315" s="516"/>
      <c r="AO315" s="97"/>
      <c r="AP315" s="97"/>
      <c r="AQ315" s="504">
        <v>5.2249999999999998E-2</v>
      </c>
      <c r="AR315" s="507">
        <f t="shared" si="33"/>
        <v>0.95</v>
      </c>
      <c r="AS315" s="507">
        <v>1.9E-3</v>
      </c>
      <c r="AT315" s="516"/>
      <c r="AU315" s="507">
        <f>AT315/AL315</f>
        <v>0</v>
      </c>
      <c r="AV315" s="516"/>
      <c r="AW315" s="507">
        <f>AV315/AL315</f>
        <v>0</v>
      </c>
      <c r="AX315" s="516">
        <v>2.7499999999999998E-3</v>
      </c>
      <c r="AY315" s="507">
        <f t="shared" si="35"/>
        <v>4.9999999999999996E-2</v>
      </c>
      <c r="AZ315" s="507"/>
      <c r="BA315" s="507"/>
      <c r="BB315" s="507"/>
      <c r="BC315" s="507"/>
      <c r="BD315" s="507"/>
      <c r="BE315" s="507" t="s">
        <v>470</v>
      </c>
      <c r="BF315" s="507"/>
      <c r="BG315" s="507"/>
      <c r="BH315" s="852"/>
      <c r="BI315" s="504">
        <v>0.2</v>
      </c>
      <c r="BJ315" s="507">
        <v>5.7000000000000002E-3</v>
      </c>
      <c r="BK315" s="96">
        <v>1</v>
      </c>
      <c r="BL315" s="96">
        <v>1</v>
      </c>
      <c r="BM315" s="96">
        <v>1</v>
      </c>
      <c r="BN315" s="96"/>
      <c r="BO315" s="96"/>
      <c r="BP315" s="96"/>
      <c r="BQ315" s="96"/>
      <c r="BR315" s="96"/>
      <c r="BS315" s="96"/>
      <c r="BT315" s="96"/>
      <c r="BU315" s="96"/>
      <c r="BV315" s="96"/>
      <c r="BW315" s="96">
        <v>1</v>
      </c>
      <c r="BX315" s="96"/>
      <c r="BY315" s="96"/>
      <c r="BZ315" s="96"/>
      <c r="CA315" s="96"/>
      <c r="CB315" s="96"/>
      <c r="CC315" s="96"/>
      <c r="CD315" s="96"/>
      <c r="CE315" s="96"/>
      <c r="CF315" s="96"/>
      <c r="CG315" s="96"/>
      <c r="CH315" s="96"/>
      <c r="CI315" s="96"/>
      <c r="CJ315" s="96"/>
      <c r="CK315" s="96"/>
      <c r="CL315" s="815">
        <f t="shared" si="36"/>
        <v>1</v>
      </c>
      <c r="CM315" s="824">
        <f t="shared" si="27"/>
        <v>0</v>
      </c>
      <c r="CN315" s="611">
        <v>5.1589999999999998</v>
      </c>
      <c r="CO315" s="97" t="s">
        <v>6064</v>
      </c>
      <c r="CP315" s="842" t="s">
        <v>5983</v>
      </c>
      <c r="CQ315" s="516">
        <f>CN315/CR315*100</f>
        <v>100</v>
      </c>
      <c r="CR315" s="619">
        <v>5.1589999999999998</v>
      </c>
      <c r="CS315" s="842" t="s">
        <v>5848</v>
      </c>
      <c r="CT315" s="97" t="s">
        <v>470</v>
      </c>
      <c r="CU315" s="97"/>
      <c r="CV315" s="97"/>
      <c r="CW315" s="97"/>
      <c r="CX315" s="96"/>
      <c r="CY315" s="96"/>
      <c r="CZ315" s="96"/>
      <c r="DA315" s="97" t="s">
        <v>470</v>
      </c>
      <c r="DB315" s="97"/>
      <c r="DC315" s="96"/>
      <c r="DD315" s="97" t="s">
        <v>479</v>
      </c>
      <c r="DE315" s="97" t="s">
        <v>5610</v>
      </c>
      <c r="DF315" s="96">
        <v>45</v>
      </c>
      <c r="DG315" s="96" t="s">
        <v>470</v>
      </c>
      <c r="DH315" s="96"/>
      <c r="DI315" s="96"/>
      <c r="DJ315" s="96" t="s">
        <v>470</v>
      </c>
      <c r="DK315" s="96"/>
      <c r="DL315" s="96"/>
      <c r="DM315" s="97" t="s">
        <v>470</v>
      </c>
      <c r="DN315" s="97"/>
      <c r="DO315" s="96"/>
      <c r="DP315" s="97" t="s">
        <v>470</v>
      </c>
      <c r="DQ315" s="97"/>
      <c r="DR315" s="96"/>
      <c r="DS315" s="97" t="s">
        <v>470</v>
      </c>
      <c r="DT315" s="97"/>
      <c r="DU315" s="96"/>
      <c r="DV315" s="97"/>
      <c r="DW315" s="97"/>
      <c r="DX315" s="96"/>
      <c r="DY315" s="97" t="s">
        <v>470</v>
      </c>
      <c r="DZ315" s="97"/>
      <c r="EA315" s="96"/>
      <c r="EB315" s="97" t="s">
        <v>470</v>
      </c>
      <c r="EC315" s="97"/>
      <c r="ED315" s="96"/>
      <c r="EE315" s="96" t="s">
        <v>470</v>
      </c>
      <c r="EF315" s="96"/>
      <c r="EG315" s="96"/>
      <c r="EH315" s="97" t="s">
        <v>470</v>
      </c>
      <c r="EI315" s="97"/>
      <c r="EJ315" s="96"/>
      <c r="EK315" s="97" t="s">
        <v>470</v>
      </c>
      <c r="EL315" s="97"/>
      <c r="EM315" s="96"/>
      <c r="EN315" s="97" t="s">
        <v>470</v>
      </c>
      <c r="EO315" s="97"/>
      <c r="EP315" s="96"/>
      <c r="EQ315" s="96" t="s">
        <v>470</v>
      </c>
      <c r="ER315" s="96"/>
      <c r="ES315" s="96"/>
      <c r="ET315" s="97"/>
      <c r="EU315" s="97"/>
      <c r="EV315" s="96"/>
      <c r="EW315" s="96"/>
      <c r="EX315" s="96"/>
      <c r="EY315" s="96"/>
      <c r="EZ315" s="97" t="s">
        <v>470</v>
      </c>
      <c r="FA315" s="97"/>
      <c r="FB315" s="842" t="s">
        <v>5091</v>
      </c>
      <c r="FC315" s="97"/>
      <c r="FD315" s="97"/>
      <c r="FE315" s="97"/>
      <c r="FF315" s="97"/>
      <c r="FG315" s="97"/>
      <c r="FH315" s="97"/>
      <c r="FI315" s="97"/>
      <c r="FJ315" s="97" t="s">
        <v>4399</v>
      </c>
      <c r="FK315" s="97">
        <v>88466022334</v>
      </c>
      <c r="FL315" s="842" t="s">
        <v>3997</v>
      </c>
      <c r="FM315" s="97"/>
      <c r="FN315" s="97"/>
      <c r="FO315" s="97"/>
    </row>
    <row r="316" spans="5:171" ht="32" customHeight="1" x14ac:dyDescent="0.2">
      <c r="E316" s="94" t="s">
        <v>9305</v>
      </c>
      <c r="F316" s="94" t="s">
        <v>9121</v>
      </c>
      <c r="G316" s="97" t="s">
        <v>348</v>
      </c>
      <c r="H316" s="97" t="s">
        <v>433</v>
      </c>
      <c r="I316" s="97" t="s">
        <v>8694</v>
      </c>
      <c r="J316" s="97" t="s">
        <v>8492</v>
      </c>
      <c r="K316" s="97"/>
      <c r="L316" s="502">
        <v>2022</v>
      </c>
      <c r="M316" s="1027">
        <v>44743</v>
      </c>
      <c r="N316" s="1027">
        <v>44772</v>
      </c>
      <c r="O316" s="1027"/>
      <c r="P316" s="1027"/>
      <c r="Q316" s="1027"/>
      <c r="R316" s="1027"/>
      <c r="S316" s="1027"/>
      <c r="T316" s="1027"/>
      <c r="U316" s="1027"/>
      <c r="V316" s="1027"/>
      <c r="W316" s="1027"/>
      <c r="X316" s="1027"/>
      <c r="Y316" s="1027"/>
      <c r="Z316" s="97"/>
      <c r="AA316" s="97"/>
      <c r="AB316" s="97" t="s">
        <v>7769</v>
      </c>
      <c r="AC316" s="842" t="s">
        <v>5982</v>
      </c>
      <c r="AD316" s="97" t="s">
        <v>7422</v>
      </c>
      <c r="AE316" s="842" t="s">
        <v>7241</v>
      </c>
      <c r="AF316" s="97"/>
      <c r="AG316" s="97"/>
      <c r="AH316" s="97" t="s">
        <v>6438</v>
      </c>
      <c r="AI316" s="97" t="s">
        <v>6438</v>
      </c>
      <c r="AJ316" s="97" t="s">
        <v>6675</v>
      </c>
      <c r="AK316" s="97" t="s">
        <v>6438</v>
      </c>
      <c r="AL316" s="580">
        <f t="shared" si="26"/>
        <v>0.05</v>
      </c>
      <c r="AM316" s="504">
        <v>0.05</v>
      </c>
      <c r="AN316" s="516"/>
      <c r="AO316" s="97"/>
      <c r="AP316" s="97"/>
      <c r="AQ316" s="504">
        <v>0.05</v>
      </c>
      <c r="AR316" s="507">
        <f t="shared" si="33"/>
        <v>1</v>
      </c>
      <c r="AS316" s="507">
        <v>4.0000000000000001E-3</v>
      </c>
      <c r="AT316" s="516">
        <v>0</v>
      </c>
      <c r="AU316" s="507">
        <f>AT316/AL316</f>
        <v>0</v>
      </c>
      <c r="AV316" s="516">
        <v>0</v>
      </c>
      <c r="AW316" s="507">
        <f>AV316/AL316</f>
        <v>0</v>
      </c>
      <c r="AX316" s="516">
        <v>0</v>
      </c>
      <c r="AY316" s="507">
        <f t="shared" si="35"/>
        <v>0</v>
      </c>
      <c r="AZ316" s="507"/>
      <c r="BA316" s="507"/>
      <c r="BB316" s="507"/>
      <c r="BC316" s="507"/>
      <c r="BD316" s="507"/>
      <c r="BE316" s="507" t="s">
        <v>470</v>
      </c>
      <c r="BF316" s="507"/>
      <c r="BG316" s="507"/>
      <c r="BH316" s="852">
        <v>0</v>
      </c>
      <c r="BI316" s="504">
        <v>0.06</v>
      </c>
      <c r="BJ316" s="507">
        <v>5.1999999999999998E-3</v>
      </c>
      <c r="BK316" s="96">
        <v>1</v>
      </c>
      <c r="BL316" s="96">
        <v>1</v>
      </c>
      <c r="BM316" s="96">
        <v>1</v>
      </c>
      <c r="BN316" s="96">
        <v>0</v>
      </c>
      <c r="BO316" s="96">
        <v>0</v>
      </c>
      <c r="BP316" s="96">
        <v>0</v>
      </c>
      <c r="BQ316" s="96">
        <v>0</v>
      </c>
      <c r="BR316" s="96">
        <v>0</v>
      </c>
      <c r="BS316" s="96">
        <v>0</v>
      </c>
      <c r="BT316" s="96">
        <v>0</v>
      </c>
      <c r="BU316" s="96">
        <v>0</v>
      </c>
      <c r="BV316" s="96">
        <v>0</v>
      </c>
      <c r="BW316" s="96">
        <v>0</v>
      </c>
      <c r="BX316" s="96">
        <v>1</v>
      </c>
      <c r="BY316" s="96">
        <v>0</v>
      </c>
      <c r="BZ316" s="96">
        <v>0</v>
      </c>
      <c r="CA316" s="96">
        <v>0</v>
      </c>
      <c r="CB316" s="96">
        <v>0</v>
      </c>
      <c r="CC316" s="96">
        <v>0</v>
      </c>
      <c r="CD316" s="96">
        <v>0</v>
      </c>
      <c r="CE316" s="96">
        <v>0</v>
      </c>
      <c r="CF316" s="96">
        <v>0</v>
      </c>
      <c r="CG316" s="96">
        <v>0</v>
      </c>
      <c r="CH316" s="96">
        <v>0</v>
      </c>
      <c r="CI316" s="96">
        <v>0</v>
      </c>
      <c r="CJ316" s="96">
        <v>0</v>
      </c>
      <c r="CK316" s="96"/>
      <c r="CL316" s="815">
        <f t="shared" si="36"/>
        <v>1</v>
      </c>
      <c r="CM316" s="824">
        <f t="shared" si="27"/>
        <v>0</v>
      </c>
      <c r="CN316" s="612">
        <v>0.03</v>
      </c>
      <c r="CO316" s="97" t="s">
        <v>6063</v>
      </c>
      <c r="CP316" s="842" t="s">
        <v>5982</v>
      </c>
      <c r="CQ316" s="507">
        <f>CN316/CR316</f>
        <v>2.5974025974025972E-2</v>
      </c>
      <c r="CR316" s="611">
        <v>1.155</v>
      </c>
      <c r="CS316" s="887" t="s">
        <v>5848</v>
      </c>
      <c r="CT316" s="97" t="s">
        <v>470</v>
      </c>
      <c r="CU316" s="97"/>
      <c r="CV316" s="97"/>
      <c r="CW316" s="97"/>
      <c r="CX316" s="96"/>
      <c r="CY316" s="96"/>
      <c r="CZ316" s="96"/>
      <c r="DA316" s="97" t="s">
        <v>470</v>
      </c>
      <c r="DB316" s="97"/>
      <c r="DC316" s="96"/>
      <c r="DD316" s="97" t="s">
        <v>479</v>
      </c>
      <c r="DE316" s="97" t="s">
        <v>5610</v>
      </c>
      <c r="DF316" s="96">
        <v>27</v>
      </c>
      <c r="DG316" s="96" t="s">
        <v>470</v>
      </c>
      <c r="DH316" s="96"/>
      <c r="DI316" s="96"/>
      <c r="DJ316" s="96" t="s">
        <v>470</v>
      </c>
      <c r="DK316" s="96"/>
      <c r="DL316" s="96"/>
      <c r="DM316" s="97" t="s">
        <v>470</v>
      </c>
      <c r="DN316" s="97"/>
      <c r="DO316" s="96"/>
      <c r="DP316" s="97" t="s">
        <v>470</v>
      </c>
      <c r="DQ316" s="97"/>
      <c r="DR316" s="96"/>
      <c r="DS316" s="97" t="s">
        <v>470</v>
      </c>
      <c r="DT316" s="97"/>
      <c r="DU316" s="96"/>
      <c r="DV316" s="97" t="s">
        <v>470</v>
      </c>
      <c r="DW316" s="97"/>
      <c r="DX316" s="96"/>
      <c r="DY316" s="97" t="s">
        <v>470</v>
      </c>
      <c r="DZ316" s="97"/>
      <c r="EA316" s="96"/>
      <c r="EB316" s="97" t="s">
        <v>470</v>
      </c>
      <c r="EC316" s="97"/>
      <c r="ED316" s="96"/>
      <c r="EE316" s="96"/>
      <c r="EF316" s="96"/>
      <c r="EG316" s="96"/>
      <c r="EH316" s="97" t="s">
        <v>470</v>
      </c>
      <c r="EI316" s="97"/>
      <c r="EJ316" s="96"/>
      <c r="EK316" s="97" t="s">
        <v>470</v>
      </c>
      <c r="EL316" s="97"/>
      <c r="EM316" s="96"/>
      <c r="EN316" s="97" t="s">
        <v>470</v>
      </c>
      <c r="EO316" s="97"/>
      <c r="EP316" s="96"/>
      <c r="EQ316" s="96" t="s">
        <v>470</v>
      </c>
      <c r="ER316" s="96"/>
      <c r="ES316" s="96"/>
      <c r="ET316" s="97" t="s">
        <v>470</v>
      </c>
      <c r="EU316" s="97"/>
      <c r="EV316" s="96"/>
      <c r="EW316" s="96"/>
      <c r="EX316" s="96"/>
      <c r="EY316" s="96"/>
      <c r="EZ316" s="97" t="s">
        <v>470</v>
      </c>
      <c r="FA316" s="97"/>
      <c r="FB316" s="97" t="s">
        <v>5090</v>
      </c>
      <c r="FC316" s="97"/>
      <c r="FD316" s="97"/>
      <c r="FE316" s="97"/>
      <c r="FF316" s="97"/>
      <c r="FG316" s="97"/>
      <c r="FH316" s="97"/>
      <c r="FI316" s="97"/>
      <c r="FJ316" s="97" t="s">
        <v>4398</v>
      </c>
      <c r="FK316" s="97">
        <v>89608250958</v>
      </c>
      <c r="FL316" s="842" t="s">
        <v>3996</v>
      </c>
      <c r="FM316" s="97"/>
      <c r="FN316" s="97"/>
      <c r="FO316" s="97"/>
    </row>
    <row r="317" spans="5:171" ht="52" customHeight="1" x14ac:dyDescent="0.2">
      <c r="E317" s="94" t="s">
        <v>9305</v>
      </c>
      <c r="F317" s="94" t="s">
        <v>9121</v>
      </c>
      <c r="G317" s="97" t="s">
        <v>348</v>
      </c>
      <c r="H317" s="97" t="s">
        <v>433</v>
      </c>
      <c r="I317" s="97" t="s">
        <v>8693</v>
      </c>
      <c r="J317" s="97" t="s">
        <v>8491</v>
      </c>
      <c r="K317" s="97" t="s">
        <v>5242</v>
      </c>
      <c r="L317" s="502">
        <v>2022</v>
      </c>
      <c r="M317" s="98">
        <v>44711</v>
      </c>
      <c r="N317" s="98">
        <v>44835</v>
      </c>
      <c r="O317" s="98"/>
      <c r="P317" s="98"/>
      <c r="Q317" s="98"/>
      <c r="R317" s="98"/>
      <c r="S317" s="98"/>
      <c r="T317" s="98"/>
      <c r="U317" s="98"/>
      <c r="V317" s="98"/>
      <c r="W317" s="98"/>
      <c r="X317" s="98"/>
      <c r="Y317" s="98"/>
      <c r="Z317" s="97"/>
      <c r="AA317" s="97"/>
      <c r="AB317" s="97" t="s">
        <v>7768</v>
      </c>
      <c r="AC317" s="842" t="s">
        <v>5981</v>
      </c>
      <c r="AD317" s="97" t="s">
        <v>7421</v>
      </c>
      <c r="AE317" s="842" t="s">
        <v>7240</v>
      </c>
      <c r="AF317" s="97"/>
      <c r="AG317" s="97"/>
      <c r="AH317" s="97" t="s">
        <v>6437</v>
      </c>
      <c r="AI317" s="97" t="s">
        <v>6437</v>
      </c>
      <c r="AJ317" s="97" t="s">
        <v>6674</v>
      </c>
      <c r="AK317" s="97" t="s">
        <v>6437</v>
      </c>
      <c r="AL317" s="580">
        <f t="shared" si="26"/>
        <v>0.05</v>
      </c>
      <c r="AM317" s="504">
        <v>0.05</v>
      </c>
      <c r="AN317" s="516"/>
      <c r="AO317" s="97"/>
      <c r="AP317" s="97"/>
      <c r="AQ317" s="504">
        <v>0.05</v>
      </c>
      <c r="AR317" s="507">
        <f t="shared" si="33"/>
        <v>1</v>
      </c>
      <c r="AS317" s="507">
        <v>6.0000000000000001E-3</v>
      </c>
      <c r="AT317" s="516"/>
      <c r="AU317" s="507"/>
      <c r="AV317" s="516"/>
      <c r="AW317" s="507"/>
      <c r="AX317" s="516">
        <v>0</v>
      </c>
      <c r="AY317" s="507">
        <f t="shared" si="35"/>
        <v>0</v>
      </c>
      <c r="AZ317" s="507"/>
      <c r="BA317" s="507"/>
      <c r="BB317" s="507"/>
      <c r="BC317" s="507"/>
      <c r="BD317" s="507"/>
      <c r="BE317" s="507" t="s">
        <v>470</v>
      </c>
      <c r="BF317" s="507"/>
      <c r="BG317" s="842"/>
      <c r="BH317" s="852"/>
      <c r="BI317" s="504">
        <v>0.1</v>
      </c>
      <c r="BJ317" s="507">
        <f>BI317/10.805</f>
        <v>9.2549745488199921E-3</v>
      </c>
      <c r="BK317" s="96">
        <v>1</v>
      </c>
      <c r="BL317" s="96">
        <v>1</v>
      </c>
      <c r="BM317" s="96">
        <v>1</v>
      </c>
      <c r="BN317" s="96"/>
      <c r="BO317" s="96"/>
      <c r="BP317" s="96"/>
      <c r="BQ317" s="96"/>
      <c r="BR317" s="96"/>
      <c r="BS317" s="96"/>
      <c r="BT317" s="96"/>
      <c r="BU317" s="96"/>
      <c r="BV317" s="96"/>
      <c r="BW317" s="96"/>
      <c r="BX317" s="96"/>
      <c r="BY317" s="96">
        <v>1</v>
      </c>
      <c r="BZ317" s="96"/>
      <c r="CA317" s="96"/>
      <c r="CB317" s="96"/>
      <c r="CC317" s="96"/>
      <c r="CD317" s="96"/>
      <c r="CE317" s="96"/>
      <c r="CF317" s="96"/>
      <c r="CG317" s="96"/>
      <c r="CH317" s="96"/>
      <c r="CI317" s="96"/>
      <c r="CJ317" s="96"/>
      <c r="CK317" s="96"/>
      <c r="CL317" s="815">
        <f t="shared" si="36"/>
        <v>1</v>
      </c>
      <c r="CM317" s="824">
        <f t="shared" si="27"/>
        <v>0</v>
      </c>
      <c r="CN317" s="611">
        <v>0.83</v>
      </c>
      <c r="CO317" s="97" t="s">
        <v>6062</v>
      </c>
      <c r="CP317" s="842" t="s">
        <v>5981</v>
      </c>
      <c r="CQ317" s="516">
        <f>CN317/CR317*100</f>
        <v>93.785310734463266</v>
      </c>
      <c r="CR317" s="611">
        <v>0.88500000000000001</v>
      </c>
      <c r="CS317" s="887" t="s">
        <v>5847</v>
      </c>
      <c r="CT317" s="97" t="s">
        <v>470</v>
      </c>
      <c r="CU317" s="97"/>
      <c r="CV317" s="97"/>
      <c r="CW317" s="97"/>
      <c r="CX317" s="96"/>
      <c r="CY317" s="96"/>
      <c r="CZ317" s="96"/>
      <c r="DA317" s="97" t="s">
        <v>470</v>
      </c>
      <c r="DB317" s="97"/>
      <c r="DC317" s="96"/>
      <c r="DD317" s="97" t="s">
        <v>479</v>
      </c>
      <c r="DE317" s="97" t="s">
        <v>5610</v>
      </c>
      <c r="DF317" s="96">
        <v>20</v>
      </c>
      <c r="DG317" s="96" t="s">
        <v>470</v>
      </c>
      <c r="DH317" s="96"/>
      <c r="DI317" s="96"/>
      <c r="DJ317" s="96" t="s">
        <v>470</v>
      </c>
      <c r="DK317" s="96"/>
      <c r="DL317" s="96"/>
      <c r="DM317" s="97" t="s">
        <v>470</v>
      </c>
      <c r="DN317" s="97"/>
      <c r="DO317" s="96"/>
      <c r="DP317" s="97" t="s">
        <v>470</v>
      </c>
      <c r="DQ317" s="97"/>
      <c r="DR317" s="96"/>
      <c r="DS317" s="97" t="s">
        <v>470</v>
      </c>
      <c r="DT317" s="97"/>
      <c r="DU317" s="96"/>
      <c r="DV317" s="97" t="s">
        <v>470</v>
      </c>
      <c r="DW317" s="97"/>
      <c r="DX317" s="96"/>
      <c r="DY317" s="97" t="s">
        <v>470</v>
      </c>
      <c r="DZ317" s="97"/>
      <c r="EA317" s="96"/>
      <c r="EB317" s="97" t="s">
        <v>470</v>
      </c>
      <c r="EC317" s="97"/>
      <c r="ED317" s="96"/>
      <c r="EE317" s="96" t="s">
        <v>470</v>
      </c>
      <c r="EF317" s="96"/>
      <c r="EG317" s="96"/>
      <c r="EH317" s="97" t="s">
        <v>470</v>
      </c>
      <c r="EI317" s="97"/>
      <c r="EJ317" s="96"/>
      <c r="EK317" s="97" t="s">
        <v>470</v>
      </c>
      <c r="EL317" s="97"/>
      <c r="EM317" s="96"/>
      <c r="EN317" s="97" t="s">
        <v>470</v>
      </c>
      <c r="EO317" s="97"/>
      <c r="EP317" s="96"/>
      <c r="EQ317" s="96" t="s">
        <v>470</v>
      </c>
      <c r="ER317" s="96"/>
      <c r="ES317" s="96"/>
      <c r="ET317" s="97"/>
      <c r="EU317" s="97"/>
      <c r="EV317" s="96"/>
      <c r="EW317" s="96"/>
      <c r="EX317" s="96"/>
      <c r="EY317" s="96"/>
      <c r="EZ317" s="97" t="s">
        <v>470</v>
      </c>
      <c r="FA317" s="97"/>
      <c r="FB317" s="842" t="s">
        <v>5089</v>
      </c>
      <c r="FC317" s="97"/>
      <c r="FD317" s="97"/>
      <c r="FE317" s="97"/>
      <c r="FF317" s="97"/>
      <c r="FG317" s="97"/>
      <c r="FH317" s="97"/>
      <c r="FI317" s="97"/>
      <c r="FJ317" s="97" t="s">
        <v>4397</v>
      </c>
      <c r="FK317" s="97">
        <v>88466029517</v>
      </c>
      <c r="FL317" s="842" t="s">
        <v>3995</v>
      </c>
      <c r="FM317" s="97"/>
      <c r="FN317" s="97"/>
      <c r="FO317" s="842"/>
    </row>
    <row r="318" spans="5:171" ht="32" customHeight="1" x14ac:dyDescent="0.2">
      <c r="E318" s="94" t="s">
        <v>9305</v>
      </c>
      <c r="F318" s="94" t="s">
        <v>9121</v>
      </c>
      <c r="G318" s="97" t="s">
        <v>348</v>
      </c>
      <c r="H318" s="97" t="s">
        <v>433</v>
      </c>
      <c r="I318" s="97" t="s">
        <v>8692</v>
      </c>
      <c r="J318" s="97" t="s">
        <v>8490</v>
      </c>
      <c r="K318" s="97"/>
      <c r="L318" s="502">
        <v>2022</v>
      </c>
      <c r="M318" s="98">
        <v>44756</v>
      </c>
      <c r="N318" s="98">
        <v>44757</v>
      </c>
      <c r="O318" s="98"/>
      <c r="P318" s="98"/>
      <c r="Q318" s="98"/>
      <c r="R318" s="98"/>
      <c r="S318" s="98"/>
      <c r="T318" s="98"/>
      <c r="U318" s="98"/>
      <c r="V318" s="98"/>
      <c r="W318" s="98"/>
      <c r="X318" s="98"/>
      <c r="Y318" s="98"/>
      <c r="Z318" s="97"/>
      <c r="AA318" s="97"/>
      <c r="AB318" s="97" t="s">
        <v>7767</v>
      </c>
      <c r="AC318" s="842" t="s">
        <v>5980</v>
      </c>
      <c r="AD318" s="97" t="s">
        <v>7420</v>
      </c>
      <c r="AE318" s="842" t="s">
        <v>7239</v>
      </c>
      <c r="AF318" s="97"/>
      <c r="AG318" s="97"/>
      <c r="AH318" s="97" t="s">
        <v>6436</v>
      </c>
      <c r="AI318" s="97" t="s">
        <v>6436</v>
      </c>
      <c r="AJ318" s="97" t="s">
        <v>6673</v>
      </c>
      <c r="AK318" s="97" t="s">
        <v>6436</v>
      </c>
      <c r="AL318" s="580">
        <f t="shared" si="26"/>
        <v>0.05</v>
      </c>
      <c r="AM318" s="504">
        <v>0.05</v>
      </c>
      <c r="AN318" s="516"/>
      <c r="AO318" s="97"/>
      <c r="AP318" s="97"/>
      <c r="AQ318" s="504">
        <v>4.8000000000000001E-2</v>
      </c>
      <c r="AR318" s="507">
        <f t="shared" si="33"/>
        <v>0.96</v>
      </c>
      <c r="AS318" s="507">
        <f>AQ318/30.873</f>
        <v>1.5547565834224078E-3</v>
      </c>
      <c r="AT318" s="516"/>
      <c r="AU318" s="507">
        <f t="shared" ref="AU318:AU327" si="38">AT318/AL318</f>
        <v>0</v>
      </c>
      <c r="AV318" s="516"/>
      <c r="AW318" s="507">
        <f t="shared" ref="AW318:AW327" si="39">AV318/AL318</f>
        <v>0</v>
      </c>
      <c r="AX318" s="516">
        <v>2E-3</v>
      </c>
      <c r="AY318" s="507">
        <f t="shared" si="35"/>
        <v>0.04</v>
      </c>
      <c r="AZ318" s="507"/>
      <c r="BA318" s="507"/>
      <c r="BB318" s="507"/>
      <c r="BC318" s="507"/>
      <c r="BD318" s="507"/>
      <c r="BE318" s="507" t="s">
        <v>470</v>
      </c>
      <c r="BF318" s="507"/>
      <c r="BG318" s="507"/>
      <c r="BH318" s="852"/>
      <c r="BI318" s="504">
        <v>0.05</v>
      </c>
      <c r="BJ318" s="507">
        <f>BI318/34.656</f>
        <v>1.4427516158818099E-3</v>
      </c>
      <c r="BK318" s="96">
        <v>1</v>
      </c>
      <c r="BL318" s="96">
        <v>1</v>
      </c>
      <c r="BM318" s="96">
        <v>1</v>
      </c>
      <c r="BN318" s="96"/>
      <c r="BO318" s="96"/>
      <c r="BP318" s="96"/>
      <c r="BQ318" s="96"/>
      <c r="BR318" s="96"/>
      <c r="BS318" s="96">
        <v>1</v>
      </c>
      <c r="BT318" s="96"/>
      <c r="BU318" s="96"/>
      <c r="BV318" s="96"/>
      <c r="BW318" s="96"/>
      <c r="BX318" s="96"/>
      <c r="BY318" s="96"/>
      <c r="BZ318" s="96"/>
      <c r="CA318" s="96"/>
      <c r="CB318" s="96"/>
      <c r="CC318" s="96"/>
      <c r="CD318" s="96"/>
      <c r="CE318" s="96"/>
      <c r="CF318" s="96"/>
      <c r="CG318" s="96"/>
      <c r="CH318" s="96"/>
      <c r="CI318" s="96"/>
      <c r="CJ318" s="96"/>
      <c r="CK318" s="96"/>
      <c r="CL318" s="815">
        <f t="shared" si="36"/>
        <v>1</v>
      </c>
      <c r="CM318" s="824">
        <f t="shared" si="27"/>
        <v>0</v>
      </c>
      <c r="CN318" s="611">
        <v>1.3149999999999999</v>
      </c>
      <c r="CO318" s="97" t="s">
        <v>6061</v>
      </c>
      <c r="CP318" s="842" t="s">
        <v>5980</v>
      </c>
      <c r="CQ318" s="516">
        <f>CN318/CR318*100</f>
        <v>59.745570195365737</v>
      </c>
      <c r="CR318" s="611">
        <v>2.2010000000000001</v>
      </c>
      <c r="CS318" s="887" t="s">
        <v>5846</v>
      </c>
      <c r="CT318" s="97" t="s">
        <v>470</v>
      </c>
      <c r="CU318" s="97"/>
      <c r="CV318" s="97"/>
      <c r="CW318" s="97"/>
      <c r="CX318" s="96"/>
      <c r="CY318" s="96"/>
      <c r="CZ318" s="96"/>
      <c r="DA318" s="97" t="s">
        <v>470</v>
      </c>
      <c r="DB318" s="97"/>
      <c r="DC318" s="96"/>
      <c r="DD318" s="97" t="s">
        <v>479</v>
      </c>
      <c r="DE318" s="97" t="s">
        <v>5610</v>
      </c>
      <c r="DF318" s="96">
        <v>156</v>
      </c>
      <c r="DG318" s="97" t="s">
        <v>470</v>
      </c>
      <c r="DH318" s="96"/>
      <c r="DI318" s="96"/>
      <c r="DJ318" s="97" t="s">
        <v>470</v>
      </c>
      <c r="DK318" s="96"/>
      <c r="DL318" s="96"/>
      <c r="DM318" s="97" t="s">
        <v>470</v>
      </c>
      <c r="DN318" s="97"/>
      <c r="DO318" s="96"/>
      <c r="DP318" s="97" t="s">
        <v>470</v>
      </c>
      <c r="DQ318" s="97"/>
      <c r="DR318" s="96"/>
      <c r="DS318" s="97" t="s">
        <v>470</v>
      </c>
      <c r="DT318" s="97"/>
      <c r="DU318" s="96"/>
      <c r="DV318" s="97"/>
      <c r="DW318" s="97"/>
      <c r="DX318" s="96"/>
      <c r="DY318" s="97" t="s">
        <v>470</v>
      </c>
      <c r="DZ318" s="97"/>
      <c r="EA318" s="96"/>
      <c r="EB318" s="97" t="s">
        <v>470</v>
      </c>
      <c r="EC318" s="97"/>
      <c r="ED318" s="96"/>
      <c r="EE318" s="97" t="s">
        <v>470</v>
      </c>
      <c r="EF318" s="96"/>
      <c r="EG318" s="96"/>
      <c r="EH318" s="97" t="s">
        <v>470</v>
      </c>
      <c r="EI318" s="97"/>
      <c r="EJ318" s="96"/>
      <c r="EK318" s="97" t="s">
        <v>470</v>
      </c>
      <c r="EL318" s="97"/>
      <c r="EM318" s="96"/>
      <c r="EN318" s="97" t="s">
        <v>470</v>
      </c>
      <c r="EO318" s="97"/>
      <c r="EP318" s="96"/>
      <c r="EQ318" s="97" t="s">
        <v>470</v>
      </c>
      <c r="ER318" s="96"/>
      <c r="ES318" s="96"/>
      <c r="ET318" s="97"/>
      <c r="EU318" s="97"/>
      <c r="EV318" s="96"/>
      <c r="EW318" s="96"/>
      <c r="EX318" s="96"/>
      <c r="EY318" s="96"/>
      <c r="EZ318" s="97" t="s">
        <v>470</v>
      </c>
      <c r="FA318" s="97"/>
      <c r="FB318" s="842" t="s">
        <v>5088</v>
      </c>
      <c r="FC318" s="97"/>
      <c r="FD318" s="97"/>
      <c r="FE318" s="97"/>
      <c r="FF318" s="97"/>
      <c r="FG318" s="97"/>
      <c r="FH318" s="97"/>
      <c r="FI318" s="97"/>
      <c r="FJ318" s="97" t="s">
        <v>4396</v>
      </c>
      <c r="FK318" s="97">
        <v>88466023800</v>
      </c>
      <c r="FL318" s="842" t="s">
        <v>3994</v>
      </c>
      <c r="FM318" s="97"/>
      <c r="FN318" s="97"/>
      <c r="FO318" s="842"/>
    </row>
    <row r="319" spans="5:171" ht="52" customHeight="1" x14ac:dyDescent="0.2">
      <c r="E319" s="94" t="s">
        <v>9305</v>
      </c>
      <c r="F319" s="94" t="s">
        <v>9121</v>
      </c>
      <c r="G319" s="97" t="s">
        <v>348</v>
      </c>
      <c r="H319" s="97" t="s">
        <v>433</v>
      </c>
      <c r="I319" s="97" t="s">
        <v>8691</v>
      </c>
      <c r="J319" s="97" t="s">
        <v>8489</v>
      </c>
      <c r="K319" s="97"/>
      <c r="L319" s="502">
        <v>2022</v>
      </c>
      <c r="M319" s="1027">
        <v>44743</v>
      </c>
      <c r="N319" s="1027">
        <v>44804</v>
      </c>
      <c r="O319" s="1027"/>
      <c r="P319" s="1027"/>
      <c r="Q319" s="1027"/>
      <c r="R319" s="1027"/>
      <c r="S319" s="1027"/>
      <c r="T319" s="1027"/>
      <c r="U319" s="1027"/>
      <c r="V319" s="1027"/>
      <c r="W319" s="1027"/>
      <c r="X319" s="1027"/>
      <c r="Y319" s="1027"/>
      <c r="Z319" s="97"/>
      <c r="AA319" s="97"/>
      <c r="AB319" s="97" t="s">
        <v>7766</v>
      </c>
      <c r="AC319" s="842" t="s">
        <v>5979</v>
      </c>
      <c r="AD319" s="97" t="s">
        <v>7419</v>
      </c>
      <c r="AE319" s="842" t="s">
        <v>7238</v>
      </c>
      <c r="AF319" s="97"/>
      <c r="AG319" s="97"/>
      <c r="AH319" s="97" t="s">
        <v>6435</v>
      </c>
      <c r="AI319" s="97" t="s">
        <v>6435</v>
      </c>
      <c r="AJ319" s="97" t="s">
        <v>6673</v>
      </c>
      <c r="AK319" s="97" t="s">
        <v>6435</v>
      </c>
      <c r="AL319" s="580">
        <f t="shared" si="26"/>
        <v>0.05</v>
      </c>
      <c r="AM319" s="504">
        <v>0.05</v>
      </c>
      <c r="AN319" s="516"/>
      <c r="AO319" s="97"/>
      <c r="AP319" s="97"/>
      <c r="AQ319" s="504">
        <v>4.9000000000000002E-2</v>
      </c>
      <c r="AR319" s="507">
        <f t="shared" si="33"/>
        <v>0.98</v>
      </c>
      <c r="AS319" s="507">
        <v>2.8E-3</v>
      </c>
      <c r="AT319" s="516"/>
      <c r="AU319" s="507">
        <f t="shared" si="38"/>
        <v>0</v>
      </c>
      <c r="AV319" s="516">
        <v>0</v>
      </c>
      <c r="AW319" s="507">
        <f t="shared" si="39"/>
        <v>0</v>
      </c>
      <c r="AX319" s="516">
        <v>1E-3</v>
      </c>
      <c r="AY319" s="507">
        <f t="shared" si="35"/>
        <v>0.02</v>
      </c>
      <c r="AZ319" s="507"/>
      <c r="BA319" s="507"/>
      <c r="BB319" s="507"/>
      <c r="BC319" s="507"/>
      <c r="BD319" s="507"/>
      <c r="BE319" s="507" t="s">
        <v>470</v>
      </c>
      <c r="BF319" s="507"/>
      <c r="BG319" s="507"/>
      <c r="BH319" s="852"/>
      <c r="BI319" s="504">
        <v>0.05</v>
      </c>
      <c r="BJ319" s="908">
        <v>2.0000000000000002E-5</v>
      </c>
      <c r="BK319" s="96">
        <v>1</v>
      </c>
      <c r="BL319" s="96">
        <v>1</v>
      </c>
      <c r="BM319" s="96">
        <v>1</v>
      </c>
      <c r="BN319" s="96"/>
      <c r="BO319" s="96"/>
      <c r="BP319" s="96"/>
      <c r="BQ319" s="96"/>
      <c r="BR319" s="96"/>
      <c r="BS319" s="96"/>
      <c r="BT319" s="96"/>
      <c r="BU319" s="96"/>
      <c r="BV319" s="96"/>
      <c r="BW319" s="96"/>
      <c r="BX319" s="96"/>
      <c r="BY319" s="96">
        <v>1</v>
      </c>
      <c r="BZ319" s="96"/>
      <c r="CA319" s="96"/>
      <c r="CB319" s="96"/>
      <c r="CC319" s="96"/>
      <c r="CD319" s="96"/>
      <c r="CE319" s="96"/>
      <c r="CF319" s="96"/>
      <c r="CG319" s="96"/>
      <c r="CH319" s="96"/>
      <c r="CI319" s="96"/>
      <c r="CJ319" s="96"/>
      <c r="CK319" s="96"/>
      <c r="CL319" s="815">
        <f t="shared" si="36"/>
        <v>1</v>
      </c>
      <c r="CM319" s="824">
        <f t="shared" si="27"/>
        <v>0</v>
      </c>
      <c r="CN319" s="611">
        <v>1.5920000000000001</v>
      </c>
      <c r="CO319" s="97" t="s">
        <v>6060</v>
      </c>
      <c r="CP319" s="842" t="s">
        <v>5979</v>
      </c>
      <c r="CQ319" s="516">
        <f>CN319/CR319*100</f>
        <v>66.333333333333343</v>
      </c>
      <c r="CR319" s="611">
        <v>2.4</v>
      </c>
      <c r="CS319" s="887" t="s">
        <v>5846</v>
      </c>
      <c r="CT319" s="97" t="s">
        <v>470</v>
      </c>
      <c r="CU319" s="97"/>
      <c r="CV319" s="97"/>
      <c r="CW319" s="97"/>
      <c r="CX319" s="96"/>
      <c r="CY319" s="96"/>
      <c r="CZ319" s="96">
        <v>1</v>
      </c>
      <c r="DA319" s="97" t="s">
        <v>470</v>
      </c>
      <c r="DB319" s="97"/>
      <c r="DC319" s="96"/>
      <c r="DD319" s="97" t="s">
        <v>479</v>
      </c>
      <c r="DE319" s="97" t="s">
        <v>5610</v>
      </c>
      <c r="DF319" s="96">
        <v>14</v>
      </c>
      <c r="DG319" s="97" t="s">
        <v>470</v>
      </c>
      <c r="DH319" s="96"/>
      <c r="DI319" s="96"/>
      <c r="DJ319" s="97" t="s">
        <v>470</v>
      </c>
      <c r="DK319" s="96"/>
      <c r="DL319" s="96"/>
      <c r="DM319" s="97" t="s">
        <v>470</v>
      </c>
      <c r="DN319" s="97"/>
      <c r="DO319" s="96"/>
      <c r="DP319" s="97" t="s">
        <v>470</v>
      </c>
      <c r="DQ319" s="97"/>
      <c r="DR319" s="96"/>
      <c r="DS319" s="97" t="s">
        <v>470</v>
      </c>
      <c r="DT319" s="97"/>
      <c r="DU319" s="96"/>
      <c r="DV319" s="97"/>
      <c r="DW319" s="97"/>
      <c r="DX319" s="96"/>
      <c r="DY319" s="97" t="s">
        <v>470</v>
      </c>
      <c r="DZ319" s="97"/>
      <c r="EA319" s="96"/>
      <c r="EB319" s="97" t="s">
        <v>470</v>
      </c>
      <c r="EC319" s="97"/>
      <c r="ED319" s="96"/>
      <c r="EE319" s="97" t="s">
        <v>470</v>
      </c>
      <c r="EF319" s="96"/>
      <c r="EG319" s="96"/>
      <c r="EH319" s="97" t="s">
        <v>470</v>
      </c>
      <c r="EI319" s="97"/>
      <c r="EJ319" s="96"/>
      <c r="EK319" s="97" t="s">
        <v>470</v>
      </c>
      <c r="EL319" s="97"/>
      <c r="EM319" s="96"/>
      <c r="EN319" s="97" t="s">
        <v>470</v>
      </c>
      <c r="EO319" s="97"/>
      <c r="EP319" s="96"/>
      <c r="EQ319" s="97" t="s">
        <v>470</v>
      </c>
      <c r="ER319" s="96"/>
      <c r="ES319" s="96"/>
      <c r="ET319" s="97"/>
      <c r="EU319" s="97"/>
      <c r="EV319" s="96"/>
      <c r="EW319" s="96"/>
      <c r="EX319" s="96"/>
      <c r="EY319" s="96"/>
      <c r="EZ319" s="97" t="s">
        <v>470</v>
      </c>
      <c r="FA319" s="97"/>
      <c r="FB319" s="842" t="s">
        <v>5087</v>
      </c>
      <c r="FC319" s="97"/>
      <c r="FD319" s="97"/>
      <c r="FE319" s="97"/>
      <c r="FF319" s="97"/>
      <c r="FG319" s="97"/>
      <c r="FH319" s="97"/>
      <c r="FI319" s="97"/>
      <c r="FJ319" s="97" t="s">
        <v>4395</v>
      </c>
      <c r="FK319" s="97">
        <v>88466025209</v>
      </c>
      <c r="FL319" s="842" t="s">
        <v>3993</v>
      </c>
      <c r="FM319" s="97"/>
      <c r="FN319" s="97"/>
      <c r="FO319" s="842"/>
    </row>
    <row r="320" spans="5:171" ht="32" customHeight="1" x14ac:dyDescent="0.2">
      <c r="E320" s="94" t="s">
        <v>9305</v>
      </c>
      <c r="F320" s="94" t="s">
        <v>9121</v>
      </c>
      <c r="G320" s="97" t="s">
        <v>348</v>
      </c>
      <c r="H320" s="97" t="s">
        <v>433</v>
      </c>
      <c r="I320" s="97" t="s">
        <v>8690</v>
      </c>
      <c r="J320" s="97" t="s">
        <v>8488</v>
      </c>
      <c r="K320" s="97"/>
      <c r="L320" s="502">
        <v>2022</v>
      </c>
      <c r="M320" s="841">
        <v>44743</v>
      </c>
      <c r="N320" s="841">
        <v>44772</v>
      </c>
      <c r="O320" s="841"/>
      <c r="P320" s="841"/>
      <c r="Q320" s="841"/>
      <c r="R320" s="841"/>
      <c r="S320" s="841"/>
      <c r="T320" s="841"/>
      <c r="U320" s="841"/>
      <c r="V320" s="841"/>
      <c r="W320" s="841"/>
      <c r="X320" s="841"/>
      <c r="Y320" s="841"/>
      <c r="Z320" s="97"/>
      <c r="AA320" s="97"/>
      <c r="AB320" s="97" t="s">
        <v>7765</v>
      </c>
      <c r="AC320" s="842" t="s">
        <v>5978</v>
      </c>
      <c r="AD320" s="97" t="s">
        <v>7418</v>
      </c>
      <c r="AE320" s="842" t="s">
        <v>7237</v>
      </c>
      <c r="AF320" s="97"/>
      <c r="AG320" s="97"/>
      <c r="AH320" s="97" t="s">
        <v>6434</v>
      </c>
      <c r="AI320" s="97" t="s">
        <v>6434</v>
      </c>
      <c r="AJ320" s="97" t="s">
        <v>6673</v>
      </c>
      <c r="AK320" s="97" t="s">
        <v>6434</v>
      </c>
      <c r="AL320" s="580">
        <f t="shared" si="26"/>
        <v>0.05</v>
      </c>
      <c r="AM320" s="504">
        <v>0.05</v>
      </c>
      <c r="AN320" s="516"/>
      <c r="AO320" s="97"/>
      <c r="AP320" s="97"/>
      <c r="AQ320" s="504">
        <v>4.7E-2</v>
      </c>
      <c r="AR320" s="507">
        <f t="shared" si="33"/>
        <v>0.94</v>
      </c>
      <c r="AS320" s="507">
        <f>AQ320/27.719</f>
        <v>1.6955878639200548E-3</v>
      </c>
      <c r="AT320" s="516"/>
      <c r="AU320" s="507">
        <f t="shared" si="38"/>
        <v>0</v>
      </c>
      <c r="AV320" s="516">
        <v>0</v>
      </c>
      <c r="AW320" s="507">
        <f t="shared" si="39"/>
        <v>0</v>
      </c>
      <c r="AX320" s="516">
        <v>3.0000000000000001E-3</v>
      </c>
      <c r="AY320" s="507">
        <f t="shared" si="35"/>
        <v>0.06</v>
      </c>
      <c r="AZ320" s="507"/>
      <c r="BA320" s="507"/>
      <c r="BB320" s="507"/>
      <c r="BC320" s="507"/>
      <c r="BD320" s="507"/>
      <c r="BE320" s="507" t="s">
        <v>470</v>
      </c>
      <c r="BF320" s="507"/>
      <c r="BG320" s="507"/>
      <c r="BH320" s="852">
        <v>0</v>
      </c>
      <c r="BI320" s="504">
        <v>7.4999999999999997E-2</v>
      </c>
      <c r="BJ320" s="908">
        <v>2.0000000000000002E-5</v>
      </c>
      <c r="BK320" s="96">
        <v>1</v>
      </c>
      <c r="BL320" s="96">
        <v>1</v>
      </c>
      <c r="BM320" s="96">
        <v>1</v>
      </c>
      <c r="BN320" s="96"/>
      <c r="BO320" s="96"/>
      <c r="BP320" s="96">
        <v>1</v>
      </c>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815">
        <f t="shared" si="36"/>
        <v>1</v>
      </c>
      <c r="CM320" s="824">
        <f t="shared" si="27"/>
        <v>0</v>
      </c>
      <c r="CN320" s="504">
        <v>0.1</v>
      </c>
      <c r="CO320" s="97" t="s">
        <v>6059</v>
      </c>
      <c r="CP320" s="97" t="s">
        <v>5978</v>
      </c>
      <c r="CQ320" s="516">
        <f>CN320/CR320*100</f>
        <v>1.8875047187617968</v>
      </c>
      <c r="CR320" s="504">
        <v>5.298</v>
      </c>
      <c r="CS320" s="887" t="s">
        <v>5846</v>
      </c>
      <c r="CT320" s="97" t="s">
        <v>470</v>
      </c>
      <c r="CU320" s="97"/>
      <c r="CV320" s="97"/>
      <c r="CW320" s="97"/>
      <c r="CX320" s="96"/>
      <c r="CY320" s="96"/>
      <c r="CZ320" s="96"/>
      <c r="DA320" s="97" t="s">
        <v>470</v>
      </c>
      <c r="DB320" s="97"/>
      <c r="DC320" s="96"/>
      <c r="DD320" s="97" t="s">
        <v>479</v>
      </c>
      <c r="DE320" s="97" t="s">
        <v>5610</v>
      </c>
      <c r="DF320" s="96">
        <v>52</v>
      </c>
      <c r="DG320" s="97" t="s">
        <v>470</v>
      </c>
      <c r="DH320" s="96"/>
      <c r="DI320" s="96"/>
      <c r="DJ320" s="97" t="s">
        <v>470</v>
      </c>
      <c r="DK320" s="96"/>
      <c r="DL320" s="96"/>
      <c r="DM320" s="97" t="s">
        <v>470</v>
      </c>
      <c r="DN320" s="97"/>
      <c r="DO320" s="96"/>
      <c r="DP320" s="97" t="s">
        <v>470</v>
      </c>
      <c r="DQ320" s="97"/>
      <c r="DR320" s="96"/>
      <c r="DS320" s="97" t="s">
        <v>470</v>
      </c>
      <c r="DT320" s="97"/>
      <c r="DU320" s="96"/>
      <c r="DV320" s="97"/>
      <c r="DW320" s="97"/>
      <c r="DX320" s="96"/>
      <c r="DY320" s="97" t="s">
        <v>470</v>
      </c>
      <c r="DZ320" s="97"/>
      <c r="EA320" s="96"/>
      <c r="EB320" s="97" t="s">
        <v>470</v>
      </c>
      <c r="EC320" s="97"/>
      <c r="ED320" s="96"/>
      <c r="EE320" s="97" t="s">
        <v>470</v>
      </c>
      <c r="EF320" s="96"/>
      <c r="EG320" s="96"/>
      <c r="EH320" s="97" t="s">
        <v>470</v>
      </c>
      <c r="EI320" s="97"/>
      <c r="EJ320" s="96"/>
      <c r="EK320" s="97" t="s">
        <v>470</v>
      </c>
      <c r="EL320" s="97"/>
      <c r="EM320" s="96"/>
      <c r="EN320" s="97" t="s">
        <v>470</v>
      </c>
      <c r="EO320" s="97"/>
      <c r="EP320" s="96"/>
      <c r="EQ320" s="97" t="s">
        <v>470</v>
      </c>
      <c r="ER320" s="96"/>
      <c r="ES320" s="96"/>
      <c r="ET320" s="97"/>
      <c r="EU320" s="97"/>
      <c r="EV320" s="96"/>
      <c r="EW320" s="96"/>
      <c r="EX320" s="96"/>
      <c r="EY320" s="96"/>
      <c r="EZ320" s="97"/>
      <c r="FA320" s="97"/>
      <c r="FB320" s="842" t="s">
        <v>5086</v>
      </c>
      <c r="FC320" s="97"/>
      <c r="FD320" s="97"/>
      <c r="FE320" s="97"/>
      <c r="FF320" s="97"/>
      <c r="FG320" s="97"/>
      <c r="FH320" s="97"/>
      <c r="FI320" s="97"/>
      <c r="FJ320" s="97" t="s">
        <v>4394</v>
      </c>
      <c r="FK320" s="97">
        <v>88466024254</v>
      </c>
      <c r="FL320" s="842" t="s">
        <v>3992</v>
      </c>
      <c r="FM320" s="97"/>
      <c r="FN320" s="97"/>
      <c r="FO320" s="842"/>
    </row>
    <row r="321" spans="5:195" ht="52" customHeight="1" x14ac:dyDescent="0.2">
      <c r="E321" s="94" t="s">
        <v>9305</v>
      </c>
      <c r="F321" s="94" t="s">
        <v>9121</v>
      </c>
      <c r="G321" s="97" t="s">
        <v>348</v>
      </c>
      <c r="H321" s="97" t="s">
        <v>433</v>
      </c>
      <c r="I321" s="97" t="s">
        <v>8689</v>
      </c>
      <c r="J321" s="97" t="s">
        <v>8487</v>
      </c>
      <c r="K321" s="97"/>
      <c r="L321" s="502">
        <v>2022</v>
      </c>
      <c r="M321" s="1027">
        <v>44743</v>
      </c>
      <c r="N321" s="1027">
        <v>44772</v>
      </c>
      <c r="O321" s="1027"/>
      <c r="P321" s="1027"/>
      <c r="Q321" s="1027"/>
      <c r="R321" s="1027"/>
      <c r="S321" s="1027"/>
      <c r="T321" s="1027"/>
      <c r="U321" s="1027"/>
      <c r="V321" s="1027"/>
      <c r="W321" s="1027"/>
      <c r="X321" s="1027"/>
      <c r="Y321" s="1027"/>
      <c r="Z321" s="97"/>
      <c r="AA321" s="97"/>
      <c r="AB321" s="97" t="s">
        <v>7764</v>
      </c>
      <c r="AC321" s="842" t="s">
        <v>5977</v>
      </c>
      <c r="AD321" s="97" t="s">
        <v>7417</v>
      </c>
      <c r="AE321" s="842" t="s">
        <v>7236</v>
      </c>
      <c r="AF321" s="97"/>
      <c r="AG321" s="97"/>
      <c r="AH321" s="97" t="s">
        <v>6433</v>
      </c>
      <c r="AI321" s="97" t="s">
        <v>6433</v>
      </c>
      <c r="AJ321" s="97" t="s">
        <v>6673</v>
      </c>
      <c r="AK321" s="97" t="s">
        <v>6433</v>
      </c>
      <c r="AL321" s="580">
        <f t="shared" si="26"/>
        <v>0.03</v>
      </c>
      <c r="AM321" s="504">
        <v>0.03</v>
      </c>
      <c r="AN321" s="516"/>
      <c r="AO321" s="97"/>
      <c r="AP321" s="97"/>
      <c r="AQ321" s="504">
        <v>2.8000000000000001E-2</v>
      </c>
      <c r="AR321" s="507">
        <f t="shared" si="33"/>
        <v>0.93333333333333335</v>
      </c>
      <c r="AS321" s="507">
        <f>AQ321/18.381</f>
        <v>1.5233121157717207E-3</v>
      </c>
      <c r="AT321" s="516"/>
      <c r="AU321" s="507">
        <f t="shared" si="38"/>
        <v>0</v>
      </c>
      <c r="AV321" s="516"/>
      <c r="AW321" s="507">
        <f t="shared" si="39"/>
        <v>0</v>
      </c>
      <c r="AX321" s="516">
        <v>2E-3</v>
      </c>
      <c r="AY321" s="507">
        <f t="shared" si="35"/>
        <v>6.6666666666666666E-2</v>
      </c>
      <c r="AZ321" s="507"/>
      <c r="BA321" s="507"/>
      <c r="BB321" s="507"/>
      <c r="BC321" s="507"/>
      <c r="BD321" s="507"/>
      <c r="BE321" s="507" t="s">
        <v>470</v>
      </c>
      <c r="BF321" s="507"/>
      <c r="BG321" s="507"/>
      <c r="BH321" s="852"/>
      <c r="BI321" s="504">
        <v>0.05</v>
      </c>
      <c r="BJ321" s="908">
        <v>4.0000000000000003E-5</v>
      </c>
      <c r="BK321" s="96">
        <v>1</v>
      </c>
      <c r="BL321" s="96">
        <v>1</v>
      </c>
      <c r="BM321" s="96">
        <v>1</v>
      </c>
      <c r="BN321" s="96"/>
      <c r="BO321" s="96"/>
      <c r="BP321" s="96"/>
      <c r="BQ321" s="96"/>
      <c r="BR321" s="96"/>
      <c r="BS321" s="96"/>
      <c r="BT321" s="96"/>
      <c r="BU321" s="96"/>
      <c r="BV321" s="96"/>
      <c r="BW321" s="96"/>
      <c r="BX321" s="96">
        <v>1</v>
      </c>
      <c r="BY321" s="96"/>
      <c r="BZ321" s="96"/>
      <c r="CA321" s="96"/>
      <c r="CB321" s="96"/>
      <c r="CC321" s="96"/>
      <c r="CD321" s="96"/>
      <c r="CE321" s="96"/>
      <c r="CF321" s="96"/>
      <c r="CG321" s="96"/>
      <c r="CH321" s="96"/>
      <c r="CI321" s="96"/>
      <c r="CJ321" s="96"/>
      <c r="CK321" s="96"/>
      <c r="CL321" s="815">
        <f t="shared" si="36"/>
        <v>1</v>
      </c>
      <c r="CM321" s="824">
        <f t="shared" si="27"/>
        <v>0</v>
      </c>
      <c r="CN321" s="504">
        <v>1</v>
      </c>
      <c r="CO321" s="97" t="s">
        <v>6058</v>
      </c>
      <c r="CP321" s="842" t="s">
        <v>5977</v>
      </c>
      <c r="CQ321" s="1033">
        <f>CN321/CR321*100</f>
        <v>74.183976261127597</v>
      </c>
      <c r="CR321" s="504">
        <v>1.3480000000000001</v>
      </c>
      <c r="CS321" s="887" t="s">
        <v>5846</v>
      </c>
      <c r="CT321" s="97" t="s">
        <v>470</v>
      </c>
      <c r="CU321" s="97"/>
      <c r="CV321" s="97"/>
      <c r="CW321" s="97"/>
      <c r="CX321" s="96"/>
      <c r="CY321" s="96"/>
      <c r="CZ321" s="96"/>
      <c r="DA321" s="97" t="s">
        <v>470</v>
      </c>
      <c r="DB321" s="97"/>
      <c r="DC321" s="96"/>
      <c r="DD321" s="97" t="s">
        <v>479</v>
      </c>
      <c r="DE321" s="97" t="s">
        <v>5610</v>
      </c>
      <c r="DF321" s="96">
        <v>45</v>
      </c>
      <c r="DG321" s="97" t="s">
        <v>470</v>
      </c>
      <c r="DH321" s="96"/>
      <c r="DI321" s="96"/>
      <c r="DJ321" s="97" t="s">
        <v>470</v>
      </c>
      <c r="DK321" s="96"/>
      <c r="DL321" s="96"/>
      <c r="DM321" s="97" t="s">
        <v>470</v>
      </c>
      <c r="DN321" s="97"/>
      <c r="DO321" s="96"/>
      <c r="DP321" s="97" t="s">
        <v>470</v>
      </c>
      <c r="DQ321" s="97"/>
      <c r="DR321" s="96"/>
      <c r="DS321" s="97" t="s">
        <v>470</v>
      </c>
      <c r="DT321" s="97"/>
      <c r="DU321" s="96"/>
      <c r="DV321" s="97"/>
      <c r="DW321" s="97"/>
      <c r="DX321" s="96"/>
      <c r="DY321" s="97" t="s">
        <v>470</v>
      </c>
      <c r="DZ321" s="97"/>
      <c r="EA321" s="96"/>
      <c r="EB321" s="97" t="s">
        <v>470</v>
      </c>
      <c r="EC321" s="97"/>
      <c r="ED321" s="96"/>
      <c r="EE321" s="97" t="s">
        <v>470</v>
      </c>
      <c r="EF321" s="96"/>
      <c r="EG321" s="96"/>
      <c r="EH321" s="97" t="s">
        <v>470</v>
      </c>
      <c r="EI321" s="97"/>
      <c r="EJ321" s="96"/>
      <c r="EK321" s="97" t="s">
        <v>470</v>
      </c>
      <c r="EL321" s="97"/>
      <c r="EM321" s="96"/>
      <c r="EN321" s="97" t="s">
        <v>470</v>
      </c>
      <c r="EO321" s="97"/>
      <c r="EP321" s="96"/>
      <c r="EQ321" s="97" t="s">
        <v>470</v>
      </c>
      <c r="ER321" s="96"/>
      <c r="ES321" s="96"/>
      <c r="ET321" s="97"/>
      <c r="EU321" s="97"/>
      <c r="EV321" s="96"/>
      <c r="EW321" s="96"/>
      <c r="EX321" s="96"/>
      <c r="EY321" s="96"/>
      <c r="EZ321" s="97" t="s">
        <v>470</v>
      </c>
      <c r="FA321" s="97"/>
      <c r="FB321" s="842" t="s">
        <v>5085</v>
      </c>
      <c r="FC321" s="97"/>
      <c r="FD321" s="97"/>
      <c r="FE321" s="97"/>
      <c r="FF321" s="97"/>
      <c r="FG321" s="97"/>
      <c r="FH321" s="97"/>
      <c r="FI321" s="97"/>
      <c r="FJ321" s="97" t="s">
        <v>4393</v>
      </c>
      <c r="FK321" s="97">
        <v>88466026643</v>
      </c>
      <c r="FL321" s="842" t="s">
        <v>3991</v>
      </c>
      <c r="FM321" s="97"/>
      <c r="FN321" s="97"/>
      <c r="FO321" s="842"/>
    </row>
    <row r="322" spans="5:195" ht="40.5" customHeight="1" x14ac:dyDescent="0.2">
      <c r="E322" s="94" t="s">
        <v>9305</v>
      </c>
      <c r="F322" s="94" t="s">
        <v>9121</v>
      </c>
      <c r="G322" s="97" t="s">
        <v>348</v>
      </c>
      <c r="H322" s="97" t="s">
        <v>433</v>
      </c>
      <c r="I322" s="97" t="s">
        <v>8688</v>
      </c>
      <c r="J322" s="97" t="s">
        <v>8486</v>
      </c>
      <c r="K322" s="97"/>
      <c r="L322" s="502">
        <v>2022</v>
      </c>
      <c r="M322" s="841">
        <v>44666</v>
      </c>
      <c r="N322" s="841">
        <v>44849</v>
      </c>
      <c r="O322" s="841"/>
      <c r="P322" s="841"/>
      <c r="Q322" s="841"/>
      <c r="R322" s="841"/>
      <c r="S322" s="841"/>
      <c r="T322" s="841"/>
      <c r="U322" s="841"/>
      <c r="V322" s="841"/>
      <c r="W322" s="841"/>
      <c r="X322" s="841"/>
      <c r="Y322" s="841"/>
      <c r="Z322" s="97" t="s">
        <v>8057</v>
      </c>
      <c r="AA322" s="842" t="s">
        <v>7922</v>
      </c>
      <c r="AB322" s="97" t="s">
        <v>7763</v>
      </c>
      <c r="AC322" s="842" t="s">
        <v>7620</v>
      </c>
      <c r="AD322" s="97" t="s">
        <v>7416</v>
      </c>
      <c r="AE322" s="842" t="s">
        <v>7235</v>
      </c>
      <c r="AF322" s="97"/>
      <c r="AG322" s="97"/>
      <c r="AH322" s="97" t="s">
        <v>6803</v>
      </c>
      <c r="AI322" s="97" t="s">
        <v>6803</v>
      </c>
      <c r="AJ322" s="97" t="s">
        <v>6672</v>
      </c>
      <c r="AK322" s="97"/>
      <c r="AL322" s="580">
        <f t="shared" si="26"/>
        <v>0.47499999999999998</v>
      </c>
      <c r="AM322" s="504">
        <v>0.47499999999999998</v>
      </c>
      <c r="AN322" s="516"/>
      <c r="AO322" s="97"/>
      <c r="AP322" s="97"/>
      <c r="AQ322" s="504">
        <v>0.47499999999999998</v>
      </c>
      <c r="AR322" s="507">
        <v>0.74329999999999996</v>
      </c>
      <c r="AS322" s="507">
        <v>2.0000000000000002E-5</v>
      </c>
      <c r="AT322" s="516">
        <v>0</v>
      </c>
      <c r="AU322" s="507">
        <f t="shared" si="38"/>
        <v>0</v>
      </c>
      <c r="AV322" s="516">
        <v>0</v>
      </c>
      <c r="AW322" s="507">
        <f t="shared" si="39"/>
        <v>0</v>
      </c>
      <c r="AX322" s="516">
        <v>0</v>
      </c>
      <c r="AY322" s="507">
        <v>0</v>
      </c>
      <c r="AZ322" s="507"/>
      <c r="BA322" s="507"/>
      <c r="BB322" s="507"/>
      <c r="BC322" s="507"/>
      <c r="BD322" s="507"/>
      <c r="BE322" s="507" t="s">
        <v>479</v>
      </c>
      <c r="BF322" s="507" t="s">
        <v>6287</v>
      </c>
      <c r="BG322" s="507"/>
      <c r="BH322" s="852">
        <v>0</v>
      </c>
      <c r="BI322" s="504">
        <v>0.56100000000000005</v>
      </c>
      <c r="BJ322" s="507">
        <v>4.0000000000000003E-5</v>
      </c>
      <c r="BK322" s="96">
        <v>0</v>
      </c>
      <c r="BL322" s="96">
        <v>0</v>
      </c>
      <c r="BM322" s="96">
        <v>0</v>
      </c>
      <c r="BN322" s="96"/>
      <c r="BO322" s="96"/>
      <c r="BP322" s="96"/>
      <c r="BQ322" s="96"/>
      <c r="BR322" s="96"/>
      <c r="BS322" s="96"/>
      <c r="BT322" s="96"/>
      <c r="BU322" s="96"/>
      <c r="BV322" s="96"/>
      <c r="BW322" s="96"/>
      <c r="BX322" s="96">
        <v>1</v>
      </c>
      <c r="BY322" s="96">
        <v>1</v>
      </c>
      <c r="BZ322" s="96"/>
      <c r="CA322" s="96"/>
      <c r="CB322" s="96"/>
      <c r="CC322" s="96"/>
      <c r="CD322" s="96"/>
      <c r="CE322" s="96"/>
      <c r="CF322" s="96"/>
      <c r="CG322" s="96"/>
      <c r="CH322" s="96"/>
      <c r="CI322" s="96"/>
      <c r="CJ322" s="96"/>
      <c r="CK322" s="96"/>
      <c r="CL322" s="815">
        <f t="shared" si="36"/>
        <v>2</v>
      </c>
      <c r="CM322" s="824">
        <f t="shared" si="27"/>
        <v>0</v>
      </c>
      <c r="CN322" s="504">
        <v>1.5</v>
      </c>
      <c r="CO322" s="97" t="s">
        <v>6057</v>
      </c>
      <c r="CP322" s="842" t="s">
        <v>5976</v>
      </c>
      <c r="CQ322" s="97">
        <v>66.5</v>
      </c>
      <c r="CR322" s="504">
        <v>2.2559999999999998</v>
      </c>
      <c r="CS322" s="507" t="s">
        <v>5845</v>
      </c>
      <c r="CT322" s="97" t="s">
        <v>470</v>
      </c>
      <c r="CU322" s="97"/>
      <c r="CV322" s="97"/>
      <c r="CW322" s="97"/>
      <c r="CX322" s="96"/>
      <c r="CY322" s="96"/>
      <c r="CZ322" s="96"/>
      <c r="DA322" s="97"/>
      <c r="DB322" s="97"/>
      <c r="DC322" s="96"/>
      <c r="DD322" s="97" t="s">
        <v>479</v>
      </c>
      <c r="DE322" s="97"/>
      <c r="DF322" s="96">
        <v>250</v>
      </c>
      <c r="DG322" s="96" t="s">
        <v>470</v>
      </c>
      <c r="DH322" s="96"/>
      <c r="DI322" s="96"/>
      <c r="DJ322" s="96" t="s">
        <v>470</v>
      </c>
      <c r="DK322" s="96"/>
      <c r="DL322" s="96"/>
      <c r="DM322" s="97" t="s">
        <v>470</v>
      </c>
      <c r="DN322" s="97"/>
      <c r="DO322" s="96"/>
      <c r="DP322" s="97" t="s">
        <v>470</v>
      </c>
      <c r="DQ322" s="97"/>
      <c r="DR322" s="96"/>
      <c r="DS322" s="97" t="s">
        <v>479</v>
      </c>
      <c r="DT322" s="97"/>
      <c r="DU322" s="96">
        <v>12</v>
      </c>
      <c r="DV322" s="97"/>
      <c r="DW322" s="97"/>
      <c r="DX322" s="96"/>
      <c r="DY322" s="97" t="s">
        <v>470</v>
      </c>
      <c r="DZ322" s="97"/>
      <c r="EA322" s="96"/>
      <c r="EB322" s="97" t="s">
        <v>479</v>
      </c>
      <c r="EC322" s="97"/>
      <c r="ED322" s="96">
        <v>220</v>
      </c>
      <c r="EE322" s="96" t="s">
        <v>470</v>
      </c>
      <c r="EF322" s="96"/>
      <c r="EG322" s="96"/>
      <c r="EH322" s="97" t="s">
        <v>470</v>
      </c>
      <c r="EI322" s="97"/>
      <c r="EJ322" s="96"/>
      <c r="EK322" s="97" t="s">
        <v>470</v>
      </c>
      <c r="EL322" s="97"/>
      <c r="EM322" s="96"/>
      <c r="EN322" s="97" t="s">
        <v>470</v>
      </c>
      <c r="EO322" s="97"/>
      <c r="EP322" s="96"/>
      <c r="EQ322" s="96" t="s">
        <v>479</v>
      </c>
      <c r="ER322" s="96"/>
      <c r="ES322" s="96">
        <v>7</v>
      </c>
      <c r="ET322" s="97"/>
      <c r="EU322" s="97"/>
      <c r="EV322" s="96"/>
      <c r="EW322" s="96"/>
      <c r="EX322" s="96"/>
      <c r="EY322" s="96"/>
      <c r="EZ322" s="97" t="s">
        <v>470</v>
      </c>
      <c r="FA322" s="97" t="s">
        <v>470</v>
      </c>
      <c r="FB322" s="97" t="s">
        <v>5084</v>
      </c>
      <c r="FC322" s="97"/>
      <c r="FD322" s="97"/>
      <c r="FE322" s="97"/>
      <c r="FF322" s="97"/>
      <c r="FG322" s="97"/>
      <c r="FH322" s="97">
        <v>0</v>
      </c>
      <c r="FI322" s="97">
        <v>0</v>
      </c>
      <c r="FJ322" s="97" t="s">
        <v>4392</v>
      </c>
      <c r="FK322" s="97">
        <v>88466355224</v>
      </c>
      <c r="FL322" s="842" t="s">
        <v>3990</v>
      </c>
      <c r="FM322" s="97"/>
      <c r="FN322" s="97"/>
      <c r="FO322" s="97"/>
    </row>
    <row r="323" spans="5:195" ht="52" customHeight="1" x14ac:dyDescent="0.2">
      <c r="E323" s="94" t="s">
        <v>9305</v>
      </c>
      <c r="F323" s="94" t="s">
        <v>9121</v>
      </c>
      <c r="G323" s="97" t="s">
        <v>348</v>
      </c>
      <c r="H323" s="97" t="s">
        <v>433</v>
      </c>
      <c r="I323" s="97" t="s">
        <v>8687</v>
      </c>
      <c r="J323" s="97" t="s">
        <v>8485</v>
      </c>
      <c r="K323" s="97" t="s">
        <v>8373</v>
      </c>
      <c r="L323" s="502">
        <v>2022</v>
      </c>
      <c r="M323" s="841">
        <v>44774</v>
      </c>
      <c r="N323" s="841">
        <v>44834</v>
      </c>
      <c r="O323" s="841"/>
      <c r="P323" s="841"/>
      <c r="Q323" s="841"/>
      <c r="R323" s="841"/>
      <c r="S323" s="841"/>
      <c r="T323" s="841"/>
      <c r="U323" s="841"/>
      <c r="V323" s="841"/>
      <c r="W323" s="841"/>
      <c r="X323" s="841"/>
      <c r="Y323" s="841"/>
      <c r="Z323" s="97" t="s">
        <v>539</v>
      </c>
      <c r="AA323" s="97"/>
      <c r="AB323" s="97" t="s">
        <v>7762</v>
      </c>
      <c r="AC323" s="842" t="s">
        <v>5975</v>
      </c>
      <c r="AD323" s="97" t="s">
        <v>7415</v>
      </c>
      <c r="AE323" s="842" t="s">
        <v>7234</v>
      </c>
      <c r="AF323" s="97" t="s">
        <v>539</v>
      </c>
      <c r="AG323" s="97" t="s">
        <v>656</v>
      </c>
      <c r="AH323" s="97" t="s">
        <v>6802</v>
      </c>
      <c r="AI323" s="97" t="s">
        <v>6802</v>
      </c>
      <c r="AJ323" s="97" t="s">
        <v>6661</v>
      </c>
      <c r="AK323" s="97" t="s">
        <v>6432</v>
      </c>
      <c r="AL323" s="580">
        <f t="shared" si="26"/>
        <v>0.249</v>
      </c>
      <c r="AM323" s="504">
        <v>0.249</v>
      </c>
      <c r="AN323" s="516"/>
      <c r="AO323" s="97"/>
      <c r="AP323" s="97"/>
      <c r="AQ323" s="504">
        <v>0.13900000000000001</v>
      </c>
      <c r="AR323" s="507">
        <f>AQ323/AL323</f>
        <v>0.55823293172690769</v>
      </c>
      <c r="AS323" s="507">
        <v>1.4999999999999999E-2</v>
      </c>
      <c r="AT323" s="516">
        <v>0</v>
      </c>
      <c r="AU323" s="507">
        <f t="shared" si="38"/>
        <v>0</v>
      </c>
      <c r="AV323" s="516">
        <v>0</v>
      </c>
      <c r="AW323" s="507">
        <f t="shared" si="39"/>
        <v>0</v>
      </c>
      <c r="AX323" s="516">
        <v>0.11</v>
      </c>
      <c r="AY323" s="507">
        <f>AX323/AL323</f>
        <v>0.44176706827309237</v>
      </c>
      <c r="AZ323" s="507"/>
      <c r="BA323" s="507"/>
      <c r="BB323" s="507"/>
      <c r="BC323" s="507"/>
      <c r="BD323" s="507"/>
      <c r="BE323" s="507" t="s">
        <v>479</v>
      </c>
      <c r="BF323" s="507" t="s">
        <v>1111</v>
      </c>
      <c r="BG323" s="887" t="s">
        <v>5975</v>
      </c>
      <c r="BH323" s="852">
        <v>0</v>
      </c>
      <c r="BI323" s="504">
        <v>5.0000000000000001E-3</v>
      </c>
      <c r="BJ323" s="507">
        <v>5.0000000000000001E-4</v>
      </c>
      <c r="BK323" s="96">
        <v>1</v>
      </c>
      <c r="BL323" s="96">
        <v>1</v>
      </c>
      <c r="BM323" s="96">
        <v>1</v>
      </c>
      <c r="BN323" s="96">
        <v>0</v>
      </c>
      <c r="BO323" s="96">
        <v>0</v>
      </c>
      <c r="BP323" s="96">
        <v>0</v>
      </c>
      <c r="BQ323" s="96">
        <v>0</v>
      </c>
      <c r="BR323" s="96">
        <v>0</v>
      </c>
      <c r="BS323" s="96">
        <v>0</v>
      </c>
      <c r="BT323" s="96">
        <v>0</v>
      </c>
      <c r="BU323" s="96">
        <v>0</v>
      </c>
      <c r="BV323" s="96">
        <v>0</v>
      </c>
      <c r="BW323" s="96">
        <v>0</v>
      </c>
      <c r="BX323" s="96">
        <v>1</v>
      </c>
      <c r="BY323" s="96">
        <v>0</v>
      </c>
      <c r="BZ323" s="96">
        <v>0</v>
      </c>
      <c r="CA323" s="96">
        <v>0</v>
      </c>
      <c r="CB323" s="96">
        <v>0</v>
      </c>
      <c r="CC323" s="96">
        <v>0</v>
      </c>
      <c r="CD323" s="96">
        <v>0</v>
      </c>
      <c r="CE323" s="96">
        <v>0</v>
      </c>
      <c r="CF323" s="96">
        <v>0</v>
      </c>
      <c r="CG323" s="96">
        <v>0</v>
      </c>
      <c r="CH323" s="96">
        <v>0</v>
      </c>
      <c r="CI323" s="96">
        <v>0</v>
      </c>
      <c r="CJ323" s="96">
        <v>0</v>
      </c>
      <c r="CK323" s="96">
        <v>0</v>
      </c>
      <c r="CL323" s="815">
        <f t="shared" si="36"/>
        <v>1</v>
      </c>
      <c r="CM323" s="824">
        <f t="shared" si="27"/>
        <v>0</v>
      </c>
      <c r="CN323" s="504">
        <v>8.6999999999999994E-2</v>
      </c>
      <c r="CO323" s="97" t="s">
        <v>6056</v>
      </c>
      <c r="CP323" s="842" t="s">
        <v>5975</v>
      </c>
      <c r="CQ323" s="507">
        <v>8.6999999999999994E-2</v>
      </c>
      <c r="CR323" s="504">
        <v>0.998</v>
      </c>
      <c r="CS323" s="887" t="s">
        <v>5844</v>
      </c>
      <c r="CT323" s="97" t="s">
        <v>470</v>
      </c>
      <c r="CU323" s="97" t="s">
        <v>656</v>
      </c>
      <c r="CV323" s="97" t="s">
        <v>656</v>
      </c>
      <c r="CW323" s="97" t="s">
        <v>656</v>
      </c>
      <c r="CX323" s="96" t="s">
        <v>656</v>
      </c>
      <c r="CY323" s="96" t="s">
        <v>656</v>
      </c>
      <c r="CZ323" s="96">
        <v>1</v>
      </c>
      <c r="DA323" s="97" t="s">
        <v>470</v>
      </c>
      <c r="DB323" s="97" t="s">
        <v>656</v>
      </c>
      <c r="DC323" s="96" t="s">
        <v>656</v>
      </c>
      <c r="DD323" s="97" t="s">
        <v>479</v>
      </c>
      <c r="DE323" s="97" t="s">
        <v>5409</v>
      </c>
      <c r="DF323" s="96">
        <v>23</v>
      </c>
      <c r="DG323" s="96" t="s">
        <v>470</v>
      </c>
      <c r="DH323" s="96" t="s">
        <v>656</v>
      </c>
      <c r="DI323" s="96" t="s">
        <v>656</v>
      </c>
      <c r="DJ323" s="96" t="s">
        <v>470</v>
      </c>
      <c r="DK323" s="96" t="s">
        <v>656</v>
      </c>
      <c r="DL323" s="96" t="s">
        <v>656</v>
      </c>
      <c r="DM323" s="97" t="s">
        <v>470</v>
      </c>
      <c r="DN323" s="97" t="s">
        <v>656</v>
      </c>
      <c r="DO323" s="96" t="s">
        <v>656</v>
      </c>
      <c r="DP323" s="97" t="s">
        <v>470</v>
      </c>
      <c r="DQ323" s="97" t="s">
        <v>656</v>
      </c>
      <c r="DR323" s="96" t="s">
        <v>656</v>
      </c>
      <c r="DS323" s="97" t="s">
        <v>470</v>
      </c>
      <c r="DT323" s="97" t="s">
        <v>656</v>
      </c>
      <c r="DU323" s="96" t="s">
        <v>656</v>
      </c>
      <c r="DV323" s="97" t="s">
        <v>470</v>
      </c>
      <c r="DW323" s="97" t="s">
        <v>656</v>
      </c>
      <c r="DX323" s="96" t="s">
        <v>656</v>
      </c>
      <c r="DY323" s="97" t="s">
        <v>470</v>
      </c>
      <c r="DZ323" s="97" t="s">
        <v>656</v>
      </c>
      <c r="EA323" s="96" t="s">
        <v>656</v>
      </c>
      <c r="EB323" s="97" t="s">
        <v>479</v>
      </c>
      <c r="EC323" s="97" t="s">
        <v>5399</v>
      </c>
      <c r="ED323" s="96">
        <v>23</v>
      </c>
      <c r="EE323" s="96" t="s">
        <v>470</v>
      </c>
      <c r="EF323" s="96" t="s">
        <v>656</v>
      </c>
      <c r="EG323" s="96" t="s">
        <v>656</v>
      </c>
      <c r="EH323" s="97" t="s">
        <v>470</v>
      </c>
      <c r="EI323" s="97" t="s">
        <v>656</v>
      </c>
      <c r="EJ323" s="96" t="s">
        <v>656</v>
      </c>
      <c r="EK323" s="97" t="s">
        <v>470</v>
      </c>
      <c r="EL323" s="97" t="s">
        <v>656</v>
      </c>
      <c r="EM323" s="96" t="s">
        <v>656</v>
      </c>
      <c r="EN323" s="97" t="s">
        <v>470</v>
      </c>
      <c r="EO323" s="97" t="s">
        <v>656</v>
      </c>
      <c r="EP323" s="96" t="s">
        <v>656</v>
      </c>
      <c r="EQ323" s="96" t="s">
        <v>470</v>
      </c>
      <c r="ER323" s="96" t="s">
        <v>656</v>
      </c>
      <c r="ES323" s="96" t="s">
        <v>656</v>
      </c>
      <c r="ET323" s="97"/>
      <c r="EU323" s="97"/>
      <c r="EV323" s="96"/>
      <c r="EW323" s="96"/>
      <c r="EX323" s="96"/>
      <c r="EY323" s="96"/>
      <c r="EZ323" s="97" t="s">
        <v>470</v>
      </c>
      <c r="FA323" s="97"/>
      <c r="FB323" s="97" t="s">
        <v>656</v>
      </c>
      <c r="FC323" s="97" t="s">
        <v>656</v>
      </c>
      <c r="FD323" s="97" t="s">
        <v>656</v>
      </c>
      <c r="FE323" s="97" t="s">
        <v>656</v>
      </c>
      <c r="FF323" s="97" t="s">
        <v>656</v>
      </c>
      <c r="FG323" s="97" t="s">
        <v>656</v>
      </c>
      <c r="FH323" s="97" t="s">
        <v>656</v>
      </c>
      <c r="FI323" s="97" t="s">
        <v>656</v>
      </c>
      <c r="FJ323" s="97" t="s">
        <v>4391</v>
      </c>
      <c r="FK323" s="97">
        <v>89379995556</v>
      </c>
      <c r="FL323" s="842" t="s">
        <v>3989</v>
      </c>
      <c r="FM323" s="97" t="s">
        <v>3861</v>
      </c>
      <c r="FN323" s="97" t="s">
        <v>3793</v>
      </c>
      <c r="FO323" s="842" t="s">
        <v>3714</v>
      </c>
    </row>
    <row r="324" spans="5:195" ht="44.25" customHeight="1" x14ac:dyDescent="0.2">
      <c r="E324" s="94" t="s">
        <v>9309</v>
      </c>
      <c r="F324" s="94" t="s">
        <v>9121</v>
      </c>
      <c r="G324" s="97" t="s">
        <v>348</v>
      </c>
      <c r="H324" s="97" t="s">
        <v>433</v>
      </c>
      <c r="I324" s="97" t="s">
        <v>8686</v>
      </c>
      <c r="J324" s="97" t="s">
        <v>8484</v>
      </c>
      <c r="K324" s="97" t="s">
        <v>5242</v>
      </c>
      <c r="L324" s="502">
        <v>2022</v>
      </c>
      <c r="M324" s="841">
        <v>44729</v>
      </c>
      <c r="N324" s="841">
        <v>44776</v>
      </c>
      <c r="O324" s="841"/>
      <c r="P324" s="841"/>
      <c r="Q324" s="841"/>
      <c r="R324" s="841"/>
      <c r="S324" s="841"/>
      <c r="T324" s="841"/>
      <c r="U324" s="841"/>
      <c r="V324" s="841"/>
      <c r="W324" s="841"/>
      <c r="X324" s="841"/>
      <c r="Y324" s="841"/>
      <c r="Z324" s="97"/>
      <c r="AA324" s="97"/>
      <c r="AB324" s="97" t="s">
        <v>7761</v>
      </c>
      <c r="AC324" s="97" t="s">
        <v>7619</v>
      </c>
      <c r="AD324" s="97" t="s">
        <v>7414</v>
      </c>
      <c r="AE324" s="842" t="s">
        <v>7233</v>
      </c>
      <c r="AF324" s="97"/>
      <c r="AG324" s="97"/>
      <c r="AH324" s="97" t="s">
        <v>6967</v>
      </c>
      <c r="AI324" s="97" t="s">
        <v>6431</v>
      </c>
      <c r="AJ324" s="97" t="s">
        <v>6671</v>
      </c>
      <c r="AK324" s="97" t="s">
        <v>6431</v>
      </c>
      <c r="AL324" s="580">
        <f t="shared" si="26"/>
        <v>0.1</v>
      </c>
      <c r="AM324" s="504">
        <v>0.1</v>
      </c>
      <c r="AN324" s="516"/>
      <c r="AO324" s="97"/>
      <c r="AP324" s="97"/>
      <c r="AQ324" s="504">
        <v>0.05</v>
      </c>
      <c r="AR324" s="507">
        <f>AQ324/AL324</f>
        <v>0.5</v>
      </c>
      <c r="AS324" s="507">
        <v>5.0000000000000001E-3</v>
      </c>
      <c r="AT324" s="516"/>
      <c r="AU324" s="507">
        <f t="shared" si="38"/>
        <v>0</v>
      </c>
      <c r="AV324" s="516">
        <v>0.05</v>
      </c>
      <c r="AW324" s="507">
        <f t="shared" si="39"/>
        <v>0.5</v>
      </c>
      <c r="AX324" s="516"/>
      <c r="AY324" s="507">
        <f>AX324/AL324</f>
        <v>0</v>
      </c>
      <c r="AZ324" s="507"/>
      <c r="BA324" s="507"/>
      <c r="BB324" s="507"/>
      <c r="BC324" s="507"/>
      <c r="BD324" s="507"/>
      <c r="BE324" s="507" t="s">
        <v>470</v>
      </c>
      <c r="BF324" s="507"/>
      <c r="BG324" s="507"/>
      <c r="BH324" s="852"/>
      <c r="BI324" s="504">
        <v>0</v>
      </c>
      <c r="BJ324" s="507"/>
      <c r="BK324" s="96">
        <v>1</v>
      </c>
      <c r="BL324" s="96">
        <v>1</v>
      </c>
      <c r="BM324" s="96">
        <v>1</v>
      </c>
      <c r="BN324" s="96">
        <v>1</v>
      </c>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815">
        <f t="shared" si="36"/>
        <v>1</v>
      </c>
      <c r="CM324" s="824">
        <f t="shared" si="27"/>
        <v>0</v>
      </c>
      <c r="CN324" s="504">
        <v>1</v>
      </c>
      <c r="CO324" s="97"/>
      <c r="CP324" s="97"/>
      <c r="CQ324" s="876">
        <v>1</v>
      </c>
      <c r="CR324" s="504">
        <v>1</v>
      </c>
      <c r="CS324" s="507"/>
      <c r="CT324" s="97" t="s">
        <v>470</v>
      </c>
      <c r="CU324" s="97"/>
      <c r="CV324" s="97"/>
      <c r="CW324" s="97"/>
      <c r="CX324" s="96"/>
      <c r="CY324" s="96"/>
      <c r="CZ324" s="96"/>
      <c r="DA324" s="97"/>
      <c r="DB324" s="97"/>
      <c r="DC324" s="96"/>
      <c r="DD324" s="97" t="s">
        <v>479</v>
      </c>
      <c r="DE324" s="97" t="s">
        <v>5398</v>
      </c>
      <c r="DF324" s="96">
        <v>49</v>
      </c>
      <c r="DG324" s="96"/>
      <c r="DH324" s="96"/>
      <c r="DI324" s="96"/>
      <c r="DJ324" s="96"/>
      <c r="DK324" s="96"/>
      <c r="DL324" s="96"/>
      <c r="DM324" s="97"/>
      <c r="DN324" s="97"/>
      <c r="DO324" s="96"/>
      <c r="DP324" s="97"/>
      <c r="DQ324" s="97"/>
      <c r="DR324" s="96"/>
      <c r="DS324" s="97"/>
      <c r="DT324" s="97"/>
      <c r="DU324" s="96"/>
      <c r="DV324" s="97"/>
      <c r="DW324" s="97"/>
      <c r="DX324" s="96"/>
      <c r="DY324" s="97"/>
      <c r="DZ324" s="97"/>
      <c r="EA324" s="96"/>
      <c r="EB324" s="97" t="s">
        <v>479</v>
      </c>
      <c r="EC324" s="97" t="s">
        <v>5398</v>
      </c>
      <c r="ED324" s="96">
        <v>49</v>
      </c>
      <c r="EE324" s="96"/>
      <c r="EF324" s="96"/>
      <c r="EG324" s="96"/>
      <c r="EH324" s="97"/>
      <c r="EI324" s="97"/>
      <c r="EJ324" s="96"/>
      <c r="EK324" s="97"/>
      <c r="EL324" s="97"/>
      <c r="EM324" s="96"/>
      <c r="EN324" s="97"/>
      <c r="EO324" s="97"/>
      <c r="EP324" s="96"/>
      <c r="EQ324" s="96"/>
      <c r="ER324" s="96"/>
      <c r="ES324" s="96"/>
      <c r="ET324" s="97"/>
      <c r="EU324" s="97"/>
      <c r="EV324" s="96"/>
      <c r="EW324" s="96"/>
      <c r="EX324" s="96"/>
      <c r="EY324" s="96"/>
      <c r="EZ324" s="97" t="s">
        <v>470</v>
      </c>
      <c r="FA324" s="97"/>
      <c r="FB324" s="97"/>
      <c r="FC324" s="97"/>
      <c r="FD324" s="97"/>
      <c r="FE324" s="97"/>
      <c r="FF324" s="97"/>
      <c r="FG324" s="97"/>
      <c r="FH324" s="97"/>
      <c r="FI324" s="97"/>
      <c r="FJ324" s="97" t="s">
        <v>3860</v>
      </c>
      <c r="FK324" s="97" t="s">
        <v>3792</v>
      </c>
      <c r="FL324" s="97" t="s">
        <v>3713</v>
      </c>
      <c r="FM324" s="97" t="s">
        <v>3860</v>
      </c>
      <c r="FN324" s="97" t="s">
        <v>3792</v>
      </c>
      <c r="FO324" s="97" t="s">
        <v>3713</v>
      </c>
    </row>
    <row r="325" spans="5:195" ht="52" customHeight="1" x14ac:dyDescent="0.2">
      <c r="E325" s="94" t="s">
        <v>9309</v>
      </c>
      <c r="F325" s="94" t="s">
        <v>9121</v>
      </c>
      <c r="G325" s="97" t="s">
        <v>348</v>
      </c>
      <c r="H325" s="97" t="s">
        <v>433</v>
      </c>
      <c r="I325" s="198" t="s">
        <v>8685</v>
      </c>
      <c r="J325" s="198" t="s">
        <v>8483</v>
      </c>
      <c r="K325" s="198" t="s">
        <v>5242</v>
      </c>
      <c r="L325" s="578">
        <v>2022</v>
      </c>
      <c r="M325" s="822">
        <v>44562</v>
      </c>
      <c r="N325" s="822">
        <v>44926</v>
      </c>
      <c r="O325" s="822"/>
      <c r="P325" s="822"/>
      <c r="Q325" s="822"/>
      <c r="R325" s="822"/>
      <c r="S325" s="822"/>
      <c r="T325" s="822"/>
      <c r="U325" s="822"/>
      <c r="V325" s="822"/>
      <c r="W325" s="822"/>
      <c r="X325" s="822"/>
      <c r="Y325" s="822"/>
      <c r="Z325" s="198"/>
      <c r="AA325" s="198"/>
      <c r="AB325" s="198" t="s">
        <v>7760</v>
      </c>
      <c r="AC325" s="198"/>
      <c r="AD325" s="550" t="s">
        <v>7413</v>
      </c>
      <c r="AE325" s="950" t="s">
        <v>7232</v>
      </c>
      <c r="AF325" s="198"/>
      <c r="AG325" s="198"/>
      <c r="AH325" s="198" t="s">
        <v>6430</v>
      </c>
      <c r="AI325" s="198" t="s">
        <v>6430</v>
      </c>
      <c r="AJ325" s="198"/>
      <c r="AK325" s="198" t="s">
        <v>6430</v>
      </c>
      <c r="AL325" s="580">
        <f t="shared" ca="1" si="26"/>
        <v>0.28000000000000003</v>
      </c>
      <c r="AM325" s="580">
        <v>0.28000000000000003</v>
      </c>
      <c r="AN325" s="580"/>
      <c r="AO325" s="580"/>
      <c r="AP325" s="580"/>
      <c r="AQ325" s="580">
        <f ca="1">AL325-AT325</f>
        <v>7.0000000000000034E-2</v>
      </c>
      <c r="AR325" s="137">
        <f ca="1">AQ325/AL325</f>
        <v>0.25000000000000011</v>
      </c>
      <c r="AS325" s="137">
        <v>1.5E-3</v>
      </c>
      <c r="AT325" s="580">
        <v>0.21</v>
      </c>
      <c r="AU325" s="137">
        <f ca="1">AT325/AL325</f>
        <v>0.74999999999999989</v>
      </c>
      <c r="AV325" s="580">
        <v>0</v>
      </c>
      <c r="AW325" s="137">
        <f ca="1">AV325/AL325</f>
        <v>0</v>
      </c>
      <c r="AX325" s="580">
        <v>0</v>
      </c>
      <c r="AY325" s="137">
        <f ca="1">AX325/AL325</f>
        <v>0</v>
      </c>
      <c r="AZ325" s="137"/>
      <c r="BA325" s="137"/>
      <c r="BB325" s="137"/>
      <c r="BC325" s="137"/>
      <c r="BD325" s="137"/>
      <c r="BE325" s="137" t="s">
        <v>479</v>
      </c>
      <c r="BF325" s="550" t="s">
        <v>6286</v>
      </c>
      <c r="BG325" s="137" t="s">
        <v>656</v>
      </c>
      <c r="BH325" s="823" t="s">
        <v>656</v>
      </c>
      <c r="BI325" s="580" t="s">
        <v>656</v>
      </c>
      <c r="BJ325" s="137" t="s">
        <v>656</v>
      </c>
      <c r="BK325" s="83">
        <v>1</v>
      </c>
      <c r="BL325" s="83">
        <v>1</v>
      </c>
      <c r="BM325" s="83">
        <v>1</v>
      </c>
      <c r="BN325" s="83"/>
      <c r="BO325" s="83"/>
      <c r="BP325" s="83"/>
      <c r="BQ325" s="83"/>
      <c r="BR325" s="83"/>
      <c r="BS325" s="83"/>
      <c r="BT325" s="83"/>
      <c r="BU325" s="83"/>
      <c r="BV325" s="83"/>
      <c r="BW325" s="83"/>
      <c r="BX325" s="83"/>
      <c r="BY325" s="83"/>
      <c r="BZ325" s="83">
        <v>1</v>
      </c>
      <c r="CA325" s="83"/>
      <c r="CB325" s="83"/>
      <c r="CC325" s="83"/>
      <c r="CD325" s="83"/>
      <c r="CE325" s="83"/>
      <c r="CF325" s="83"/>
      <c r="CG325" s="83"/>
      <c r="CH325" s="83"/>
      <c r="CI325" s="83"/>
      <c r="CJ325" s="83"/>
      <c r="CK325" s="83"/>
      <c r="CL325" s="854">
        <f>SUM(BN325:CK325)</f>
        <v>1</v>
      </c>
      <c r="CM325" s="824">
        <f t="shared" si="27"/>
        <v>0</v>
      </c>
      <c r="CN325" s="580">
        <v>0.8</v>
      </c>
      <c r="CO325" s="198" t="s">
        <v>9321</v>
      </c>
      <c r="CP325" s="198" t="s">
        <v>656</v>
      </c>
      <c r="CQ325" s="837">
        <v>0.66</v>
      </c>
      <c r="CR325" s="580">
        <v>1.2</v>
      </c>
      <c r="CS325" s="137" t="s">
        <v>656</v>
      </c>
      <c r="CT325" s="198" t="s">
        <v>470</v>
      </c>
      <c r="CU325" s="198" t="s">
        <v>656</v>
      </c>
      <c r="CV325" s="198" t="s">
        <v>656</v>
      </c>
      <c r="CW325" s="198" t="s">
        <v>656</v>
      </c>
      <c r="CX325" s="83" t="s">
        <v>656</v>
      </c>
      <c r="CY325" s="83" t="s">
        <v>656</v>
      </c>
      <c r="CZ325" s="83">
        <v>2</v>
      </c>
      <c r="DA325" s="198" t="s">
        <v>656</v>
      </c>
      <c r="DB325" s="198" t="s">
        <v>656</v>
      </c>
      <c r="DC325" s="83" t="s">
        <v>656</v>
      </c>
      <c r="DD325" s="198" t="s">
        <v>479</v>
      </c>
      <c r="DE325" s="198" t="s">
        <v>5398</v>
      </c>
      <c r="DF325" s="83">
        <v>48</v>
      </c>
      <c r="DG325" s="83" t="s">
        <v>656</v>
      </c>
      <c r="DH325" s="83" t="s">
        <v>656</v>
      </c>
      <c r="DI325" s="83" t="s">
        <v>656</v>
      </c>
      <c r="DJ325" s="83" t="s">
        <v>656</v>
      </c>
      <c r="DK325" s="83" t="s">
        <v>656</v>
      </c>
      <c r="DL325" s="83" t="s">
        <v>656</v>
      </c>
      <c r="DM325" s="83" t="s">
        <v>656</v>
      </c>
      <c r="DN325" s="83" t="s">
        <v>656</v>
      </c>
      <c r="DO325" s="83" t="s">
        <v>656</v>
      </c>
      <c r="DP325" s="83" t="s">
        <v>656</v>
      </c>
      <c r="DQ325" s="83" t="s">
        <v>656</v>
      </c>
      <c r="DR325" s="83" t="s">
        <v>656</v>
      </c>
      <c r="DS325" s="83" t="s">
        <v>656</v>
      </c>
      <c r="DT325" s="83" t="s">
        <v>656</v>
      </c>
      <c r="DU325" s="83" t="s">
        <v>656</v>
      </c>
      <c r="DV325" s="83" t="s">
        <v>656</v>
      </c>
      <c r="DW325" s="83" t="s">
        <v>656</v>
      </c>
      <c r="DX325" s="83" t="s">
        <v>656</v>
      </c>
      <c r="DY325" s="198"/>
      <c r="DZ325" s="198"/>
      <c r="EA325" s="83"/>
      <c r="EB325" s="198" t="s">
        <v>479</v>
      </c>
      <c r="EC325" s="198" t="s">
        <v>959</v>
      </c>
      <c r="ED325" s="83">
        <v>48</v>
      </c>
      <c r="EE325" s="83" t="s">
        <v>656</v>
      </c>
      <c r="EF325" s="83" t="s">
        <v>656</v>
      </c>
      <c r="EG325" s="83" t="s">
        <v>656</v>
      </c>
      <c r="EH325" s="83" t="s">
        <v>656</v>
      </c>
      <c r="EI325" s="83" t="s">
        <v>656</v>
      </c>
      <c r="EJ325" s="83" t="s">
        <v>656</v>
      </c>
      <c r="EK325" s="83" t="s">
        <v>656</v>
      </c>
      <c r="EL325" s="83" t="s">
        <v>656</v>
      </c>
      <c r="EM325" s="83" t="s">
        <v>656</v>
      </c>
      <c r="EN325" s="83" t="s">
        <v>656</v>
      </c>
      <c r="EO325" s="83" t="s">
        <v>656</v>
      </c>
      <c r="EP325" s="83" t="s">
        <v>656</v>
      </c>
      <c r="EQ325" s="83" t="s">
        <v>656</v>
      </c>
      <c r="ER325" s="83" t="s">
        <v>656</v>
      </c>
      <c r="ES325" s="83" t="s">
        <v>656</v>
      </c>
      <c r="ET325" s="83" t="s">
        <v>656</v>
      </c>
      <c r="EU325" s="83" t="s">
        <v>656</v>
      </c>
      <c r="EV325" s="83" t="s">
        <v>656</v>
      </c>
      <c r="EW325" s="83"/>
      <c r="EX325" s="83"/>
      <c r="EY325" s="83"/>
      <c r="EZ325" s="198" t="s">
        <v>470</v>
      </c>
      <c r="FA325" s="198"/>
      <c r="FB325" s="198"/>
      <c r="FC325" s="198"/>
      <c r="FD325" s="198"/>
      <c r="FE325" s="198"/>
      <c r="FF325" s="198"/>
      <c r="FG325" s="198"/>
      <c r="FH325" s="198"/>
      <c r="FI325" s="198"/>
      <c r="FJ325" s="198" t="s">
        <v>3860</v>
      </c>
      <c r="FK325" s="198" t="s">
        <v>3792</v>
      </c>
      <c r="FL325" s="95" t="s">
        <v>3713</v>
      </c>
      <c r="FM325" s="198" t="s">
        <v>3860</v>
      </c>
      <c r="FN325" s="198" t="s">
        <v>3792</v>
      </c>
      <c r="FO325" s="93" t="s">
        <v>3713</v>
      </c>
      <c r="FP325" s="96"/>
      <c r="FQ325" s="96"/>
      <c r="FR325" s="97"/>
      <c r="FS325" s="97"/>
      <c r="FT325" s="96"/>
      <c r="FU325" s="96"/>
      <c r="FV325" s="96"/>
      <c r="FW325" s="96"/>
      <c r="FX325" s="97"/>
      <c r="FY325" s="97"/>
      <c r="FZ325" s="97"/>
      <c r="GA325" s="97"/>
      <c r="GB325" s="97"/>
      <c r="GC325" s="97"/>
      <c r="GD325" s="97"/>
      <c r="GE325" s="97"/>
      <c r="GF325" s="97"/>
      <c r="GG325" s="97"/>
      <c r="GH325" s="97"/>
      <c r="GI325" s="97"/>
      <c r="GJ325" s="97"/>
      <c r="GK325" s="97"/>
      <c r="GL325" s="97"/>
      <c r="GM325" s="97"/>
    </row>
    <row r="326" spans="5:195" ht="51.75" customHeight="1" x14ac:dyDescent="0.2">
      <c r="E326" s="94" t="s">
        <v>9309</v>
      </c>
      <c r="F326" s="94" t="s">
        <v>9121</v>
      </c>
      <c r="G326" s="97" t="s">
        <v>348</v>
      </c>
      <c r="H326" s="97" t="s">
        <v>433</v>
      </c>
      <c r="I326" s="97" t="s">
        <v>8684</v>
      </c>
      <c r="J326" s="97" t="s">
        <v>8482</v>
      </c>
      <c r="K326" s="97" t="s">
        <v>5242</v>
      </c>
      <c r="L326" s="502">
        <v>2022</v>
      </c>
      <c r="M326" s="841">
        <v>44617</v>
      </c>
      <c r="N326" s="841">
        <v>44799</v>
      </c>
      <c r="O326" s="841"/>
      <c r="P326" s="841"/>
      <c r="Q326" s="841"/>
      <c r="R326" s="841"/>
      <c r="S326" s="841"/>
      <c r="T326" s="841"/>
      <c r="U326" s="841"/>
      <c r="V326" s="841"/>
      <c r="W326" s="841"/>
      <c r="X326" s="841"/>
      <c r="Y326" s="841"/>
      <c r="Z326" s="97"/>
      <c r="AA326" s="97"/>
      <c r="AB326" s="97" t="s">
        <v>7759</v>
      </c>
      <c r="AC326" s="97"/>
      <c r="AD326" s="97" t="s">
        <v>7412</v>
      </c>
      <c r="AE326" s="97" t="s">
        <v>7231</v>
      </c>
      <c r="AF326" s="97"/>
      <c r="AG326" s="97"/>
      <c r="AH326" s="97" t="s">
        <v>6429</v>
      </c>
      <c r="AI326" s="97" t="s">
        <v>6429</v>
      </c>
      <c r="AJ326" s="97" t="s">
        <v>6671</v>
      </c>
      <c r="AK326" s="97" t="s">
        <v>6429</v>
      </c>
      <c r="AL326" s="580">
        <f t="shared" si="26"/>
        <v>1.5</v>
      </c>
      <c r="AM326" s="504">
        <v>1.5</v>
      </c>
      <c r="AN326" s="516"/>
      <c r="AO326" s="97"/>
      <c r="AP326" s="97"/>
      <c r="AQ326" s="504">
        <v>1</v>
      </c>
      <c r="AR326" s="507">
        <f>AQ326/AL326</f>
        <v>0.66666666666666663</v>
      </c>
      <c r="AS326" s="507">
        <v>8.3000000000000004E-2</v>
      </c>
      <c r="AT326" s="516"/>
      <c r="AU326" s="507">
        <f t="shared" si="38"/>
        <v>0</v>
      </c>
      <c r="AV326" s="516">
        <v>0.5</v>
      </c>
      <c r="AW326" s="507">
        <f t="shared" si="39"/>
        <v>0.33333333333333331</v>
      </c>
      <c r="AX326" s="516"/>
      <c r="AY326" s="507">
        <f>AX326/AL326</f>
        <v>0</v>
      </c>
      <c r="AZ326" s="507"/>
      <c r="BA326" s="507"/>
      <c r="BB326" s="507"/>
      <c r="BC326" s="507"/>
      <c r="BD326" s="507"/>
      <c r="BE326" s="507" t="s">
        <v>470</v>
      </c>
      <c r="BF326" s="507"/>
      <c r="BG326" s="507"/>
      <c r="BH326" s="852"/>
      <c r="BI326" s="504">
        <v>0</v>
      </c>
      <c r="BJ326" s="507"/>
      <c r="BK326" s="96">
        <v>1</v>
      </c>
      <c r="BL326" s="96">
        <v>1</v>
      </c>
      <c r="BM326" s="96">
        <v>1</v>
      </c>
      <c r="BN326" s="96"/>
      <c r="BO326" s="96"/>
      <c r="BP326" s="96"/>
      <c r="BQ326" s="96"/>
      <c r="BR326" s="96"/>
      <c r="BS326" s="96"/>
      <c r="BT326" s="96"/>
      <c r="BU326" s="96"/>
      <c r="BV326" s="96">
        <v>1</v>
      </c>
      <c r="BW326" s="96"/>
      <c r="BX326" s="96"/>
      <c r="BY326" s="96"/>
      <c r="BZ326" s="96"/>
      <c r="CA326" s="96"/>
      <c r="CB326" s="96"/>
      <c r="CC326" s="96"/>
      <c r="CD326" s="96"/>
      <c r="CE326" s="96"/>
      <c r="CF326" s="96"/>
      <c r="CG326" s="96"/>
      <c r="CH326" s="96"/>
      <c r="CI326" s="96"/>
      <c r="CJ326" s="96"/>
      <c r="CK326" s="96"/>
      <c r="CL326" s="815">
        <f t="shared" si="36"/>
        <v>1</v>
      </c>
      <c r="CM326" s="824">
        <f t="shared" ref="CM326:CM388" si="40">SUM(BN326:CK326)-CL326</f>
        <v>0</v>
      </c>
      <c r="CN326" s="504">
        <v>1.4</v>
      </c>
      <c r="CO326" s="97"/>
      <c r="CP326" s="97"/>
      <c r="CQ326" s="876">
        <v>1</v>
      </c>
      <c r="CR326" s="504">
        <v>1.4</v>
      </c>
      <c r="CS326" s="507"/>
      <c r="CT326" s="97" t="s">
        <v>470</v>
      </c>
      <c r="CU326" s="97"/>
      <c r="CV326" s="97"/>
      <c r="CW326" s="97"/>
      <c r="CX326" s="96"/>
      <c r="CY326" s="96"/>
      <c r="CZ326" s="96"/>
      <c r="DA326" s="97"/>
      <c r="DB326" s="97"/>
      <c r="DC326" s="96"/>
      <c r="DD326" s="97" t="s">
        <v>479</v>
      </c>
      <c r="DE326" s="97" t="s">
        <v>5398</v>
      </c>
      <c r="DF326" s="96">
        <v>50</v>
      </c>
      <c r="DG326" s="96"/>
      <c r="DH326" s="96"/>
      <c r="DI326" s="96"/>
      <c r="DJ326" s="96"/>
      <c r="DK326" s="96"/>
      <c r="DL326" s="96"/>
      <c r="DM326" s="97"/>
      <c r="DN326" s="97"/>
      <c r="DO326" s="96"/>
      <c r="DP326" s="97"/>
      <c r="DQ326" s="97"/>
      <c r="DR326" s="96"/>
      <c r="DS326" s="97"/>
      <c r="DT326" s="97"/>
      <c r="DU326" s="96"/>
      <c r="DV326" s="97"/>
      <c r="DW326" s="97"/>
      <c r="DX326" s="96"/>
      <c r="DY326" s="97"/>
      <c r="DZ326" s="97"/>
      <c r="EA326" s="96"/>
      <c r="EB326" s="97" t="s">
        <v>479</v>
      </c>
      <c r="EC326" s="97" t="s">
        <v>5398</v>
      </c>
      <c r="ED326" s="96">
        <v>50</v>
      </c>
      <c r="EE326" s="96"/>
      <c r="EF326" s="96"/>
      <c r="EG326" s="96"/>
      <c r="EH326" s="97"/>
      <c r="EI326" s="97"/>
      <c r="EJ326" s="96"/>
      <c r="EK326" s="97"/>
      <c r="EL326" s="97"/>
      <c r="EM326" s="96"/>
      <c r="EN326" s="97"/>
      <c r="EO326" s="97"/>
      <c r="EP326" s="96"/>
      <c r="EQ326" s="96"/>
      <c r="ER326" s="96"/>
      <c r="ES326" s="96"/>
      <c r="ET326" s="97"/>
      <c r="EU326" s="97"/>
      <c r="EV326" s="96"/>
      <c r="EW326" s="96"/>
      <c r="EX326" s="96"/>
      <c r="EY326" s="96"/>
      <c r="EZ326" s="97" t="s">
        <v>470</v>
      </c>
      <c r="FA326" s="97"/>
      <c r="FB326" s="97"/>
      <c r="FC326" s="97"/>
      <c r="FD326" s="97"/>
      <c r="FE326" s="97"/>
      <c r="FF326" s="97"/>
      <c r="FG326" s="97"/>
      <c r="FH326" s="97"/>
      <c r="FI326" s="97"/>
      <c r="FJ326" s="97" t="s">
        <v>3860</v>
      </c>
      <c r="FK326" s="97" t="s">
        <v>3792</v>
      </c>
      <c r="FL326" s="97" t="s">
        <v>3713</v>
      </c>
      <c r="FM326" s="97" t="s">
        <v>3860</v>
      </c>
      <c r="FN326" s="97" t="s">
        <v>3792</v>
      </c>
      <c r="FO326" s="97" t="s">
        <v>3713</v>
      </c>
    </row>
    <row r="327" spans="5:195" ht="52" customHeight="1" x14ac:dyDescent="0.2">
      <c r="E327" s="94" t="s">
        <v>9308</v>
      </c>
      <c r="F327" s="94" t="s">
        <v>9121</v>
      </c>
      <c r="G327" s="97" t="s">
        <v>348</v>
      </c>
      <c r="H327" s="97" t="s">
        <v>433</v>
      </c>
      <c r="I327" s="97" t="s">
        <v>8683</v>
      </c>
      <c r="J327" s="97" t="s">
        <v>8481</v>
      </c>
      <c r="K327" s="97" t="s">
        <v>891</v>
      </c>
      <c r="L327" s="502">
        <v>2022</v>
      </c>
      <c r="M327" s="841" t="s">
        <v>8282</v>
      </c>
      <c r="N327" s="841">
        <v>44926</v>
      </c>
      <c r="O327" s="841"/>
      <c r="P327" s="841"/>
      <c r="Q327" s="841"/>
      <c r="R327" s="841"/>
      <c r="S327" s="841"/>
      <c r="T327" s="841"/>
      <c r="U327" s="841"/>
      <c r="V327" s="841"/>
      <c r="W327" s="841"/>
      <c r="X327" s="841"/>
      <c r="Y327" s="841"/>
      <c r="Z327" s="97" t="s">
        <v>8056</v>
      </c>
      <c r="AA327" s="97"/>
      <c r="AB327" s="97" t="s">
        <v>656</v>
      </c>
      <c r="AC327" s="97" t="s">
        <v>656</v>
      </c>
      <c r="AD327" s="97" t="s">
        <v>656</v>
      </c>
      <c r="AE327" s="97" t="s">
        <v>656</v>
      </c>
      <c r="AF327" s="97" t="s">
        <v>656</v>
      </c>
      <c r="AG327" s="97" t="s">
        <v>656</v>
      </c>
      <c r="AH327" s="97" t="s">
        <v>6966</v>
      </c>
      <c r="AI327" s="97" t="s">
        <v>6801</v>
      </c>
      <c r="AJ327" s="97" t="s">
        <v>6670</v>
      </c>
      <c r="AK327" s="97" t="s">
        <v>6428</v>
      </c>
      <c r="AL327" s="580">
        <f t="shared" si="26"/>
        <v>1.8959999999999999</v>
      </c>
      <c r="AM327" s="504">
        <v>1.8959999999999999</v>
      </c>
      <c r="AN327" s="516"/>
      <c r="AO327" s="97"/>
      <c r="AP327" s="97"/>
      <c r="AQ327" s="504">
        <v>0.97499999999999998</v>
      </c>
      <c r="AR327" s="507">
        <f>AQ327/AL327</f>
        <v>0.51424050632911389</v>
      </c>
      <c r="AS327" s="507">
        <v>4.0000000000000001E-3</v>
      </c>
      <c r="AT327" s="516">
        <v>0.61199999999999999</v>
      </c>
      <c r="AU327" s="507">
        <f t="shared" si="38"/>
        <v>0.32278481012658228</v>
      </c>
      <c r="AV327" s="516">
        <v>0.309</v>
      </c>
      <c r="AW327" s="507">
        <f t="shared" si="39"/>
        <v>0.16297468354430381</v>
      </c>
      <c r="AX327" s="516">
        <v>0</v>
      </c>
      <c r="AY327" s="507">
        <f>AX327/AL327</f>
        <v>0</v>
      </c>
      <c r="AZ327" s="507"/>
      <c r="BA327" s="507"/>
      <c r="BB327" s="507"/>
      <c r="BC327" s="507"/>
      <c r="BD327" s="507"/>
      <c r="BE327" s="507" t="s">
        <v>470</v>
      </c>
      <c r="BF327" s="507" t="s">
        <v>656</v>
      </c>
      <c r="BG327" s="507" t="s">
        <v>656</v>
      </c>
      <c r="BH327" s="852" t="s">
        <v>656</v>
      </c>
      <c r="BI327" s="504">
        <v>2</v>
      </c>
      <c r="BJ327" s="507">
        <v>8.0000000000000002E-3</v>
      </c>
      <c r="BK327" s="96">
        <v>12</v>
      </c>
      <c r="BL327" s="96">
        <v>10</v>
      </c>
      <c r="BM327" s="96">
        <v>10</v>
      </c>
      <c r="BN327" s="96">
        <v>1</v>
      </c>
      <c r="BO327" s="96" t="s">
        <v>656</v>
      </c>
      <c r="BP327" s="96">
        <v>1</v>
      </c>
      <c r="BQ327" s="96" t="s">
        <v>656</v>
      </c>
      <c r="BR327" s="96" t="s">
        <v>656</v>
      </c>
      <c r="BS327" s="96">
        <v>1</v>
      </c>
      <c r="BT327" s="96" t="s">
        <v>656</v>
      </c>
      <c r="BU327" s="96" t="s">
        <v>656</v>
      </c>
      <c r="BV327" s="96" t="s">
        <v>656</v>
      </c>
      <c r="BW327" s="96" t="s">
        <v>656</v>
      </c>
      <c r="BX327" s="96" t="s">
        <v>656</v>
      </c>
      <c r="BY327" s="96" t="s">
        <v>656</v>
      </c>
      <c r="BZ327" s="96">
        <v>6</v>
      </c>
      <c r="CA327" s="96" t="s">
        <v>656</v>
      </c>
      <c r="CB327" s="96" t="s">
        <v>656</v>
      </c>
      <c r="CC327" s="96" t="s">
        <v>656</v>
      </c>
      <c r="CD327" s="96" t="s">
        <v>656</v>
      </c>
      <c r="CE327" s="96" t="s">
        <v>656</v>
      </c>
      <c r="CF327" s="96" t="s">
        <v>656</v>
      </c>
      <c r="CG327" s="96" t="s">
        <v>656</v>
      </c>
      <c r="CH327" s="96" t="s">
        <v>656</v>
      </c>
      <c r="CI327" s="96" t="s">
        <v>656</v>
      </c>
      <c r="CJ327" s="96" t="s">
        <v>656</v>
      </c>
      <c r="CK327" s="96">
        <v>1</v>
      </c>
      <c r="CL327" s="815">
        <f t="shared" si="36"/>
        <v>10</v>
      </c>
      <c r="CM327" s="824">
        <f t="shared" si="40"/>
        <v>0</v>
      </c>
      <c r="CN327" s="504">
        <v>3365</v>
      </c>
      <c r="CO327" s="97" t="s">
        <v>6055</v>
      </c>
      <c r="CP327" s="97" t="s">
        <v>656</v>
      </c>
      <c r="CQ327" s="507">
        <f>CN327/CR327</f>
        <v>0.23379420551657054</v>
      </c>
      <c r="CR327" s="504">
        <v>14393</v>
      </c>
      <c r="CS327" s="887" t="s">
        <v>5843</v>
      </c>
      <c r="CT327" s="97" t="s">
        <v>470</v>
      </c>
      <c r="CU327" s="97" t="s">
        <v>656</v>
      </c>
      <c r="CV327" s="97" t="s">
        <v>656</v>
      </c>
      <c r="CW327" s="97" t="s">
        <v>656</v>
      </c>
      <c r="CX327" s="96" t="s">
        <v>656</v>
      </c>
      <c r="CY327" s="96" t="s">
        <v>656</v>
      </c>
      <c r="CZ327" s="96" t="s">
        <v>656</v>
      </c>
      <c r="DA327" s="97" t="s">
        <v>470</v>
      </c>
      <c r="DB327" s="97" t="s">
        <v>656</v>
      </c>
      <c r="DC327" s="96" t="s">
        <v>656</v>
      </c>
      <c r="DD327" s="97" t="s">
        <v>689</v>
      </c>
      <c r="DE327" s="97" t="s">
        <v>640</v>
      </c>
      <c r="DF327" s="96">
        <v>150</v>
      </c>
      <c r="DG327" s="96" t="s">
        <v>470</v>
      </c>
      <c r="DH327" s="96" t="s">
        <v>656</v>
      </c>
      <c r="DI327" s="96" t="s">
        <v>656</v>
      </c>
      <c r="DJ327" s="96" t="s">
        <v>470</v>
      </c>
      <c r="DK327" s="96" t="s">
        <v>656</v>
      </c>
      <c r="DL327" s="96" t="s">
        <v>656</v>
      </c>
      <c r="DM327" s="97" t="s">
        <v>470</v>
      </c>
      <c r="DN327" s="97" t="s">
        <v>656</v>
      </c>
      <c r="DO327" s="96" t="s">
        <v>656</v>
      </c>
      <c r="DP327" s="97" t="s">
        <v>470</v>
      </c>
      <c r="DQ327" s="97" t="s">
        <v>656</v>
      </c>
      <c r="DR327" s="96" t="s">
        <v>656</v>
      </c>
      <c r="DS327" s="97" t="s">
        <v>470</v>
      </c>
      <c r="DT327" s="97" t="s">
        <v>656</v>
      </c>
      <c r="DU327" s="96" t="s">
        <v>656</v>
      </c>
      <c r="DV327" s="97" t="s">
        <v>470</v>
      </c>
      <c r="DW327" s="97" t="s">
        <v>656</v>
      </c>
      <c r="DX327" s="96" t="s">
        <v>656</v>
      </c>
      <c r="DY327" s="97" t="s">
        <v>470</v>
      </c>
      <c r="DZ327" s="97" t="s">
        <v>656</v>
      </c>
      <c r="EA327" s="96" t="s">
        <v>656</v>
      </c>
      <c r="EB327" s="97" t="s">
        <v>689</v>
      </c>
      <c r="EC327" s="97" t="s">
        <v>5397</v>
      </c>
      <c r="ED327" s="96">
        <v>300</v>
      </c>
      <c r="EE327" s="96" t="s">
        <v>470</v>
      </c>
      <c r="EF327" s="96" t="s">
        <v>656</v>
      </c>
      <c r="EG327" s="96" t="s">
        <v>656</v>
      </c>
      <c r="EH327" s="97" t="s">
        <v>470</v>
      </c>
      <c r="EI327" s="97" t="s">
        <v>656</v>
      </c>
      <c r="EJ327" s="96" t="s">
        <v>656</v>
      </c>
      <c r="EK327" s="97" t="s">
        <v>470</v>
      </c>
      <c r="EL327" s="97" t="s">
        <v>656</v>
      </c>
      <c r="EM327" s="96" t="s">
        <v>656</v>
      </c>
      <c r="EN327" s="97" t="s">
        <v>470</v>
      </c>
      <c r="EO327" s="97" t="s">
        <v>656</v>
      </c>
      <c r="EP327" s="96" t="s">
        <v>656</v>
      </c>
      <c r="EQ327" s="96" t="s">
        <v>470</v>
      </c>
      <c r="ER327" s="96" t="s">
        <v>656</v>
      </c>
      <c r="ES327" s="96" t="s">
        <v>656</v>
      </c>
      <c r="ET327" s="97" t="s">
        <v>470</v>
      </c>
      <c r="EU327" s="97" t="s">
        <v>656</v>
      </c>
      <c r="EV327" s="96" t="s">
        <v>656</v>
      </c>
      <c r="EW327" s="96"/>
      <c r="EX327" s="96"/>
      <c r="EY327" s="96"/>
      <c r="EZ327" s="97" t="s">
        <v>470</v>
      </c>
      <c r="FA327" s="97" t="s">
        <v>656</v>
      </c>
      <c r="FB327" s="97" t="s">
        <v>656</v>
      </c>
      <c r="FC327" s="97" t="s">
        <v>656</v>
      </c>
      <c r="FD327" s="97" t="s">
        <v>656</v>
      </c>
      <c r="FE327" s="97" t="s">
        <v>656</v>
      </c>
      <c r="FF327" s="97" t="s">
        <v>656</v>
      </c>
      <c r="FG327" s="97" t="s">
        <v>4613</v>
      </c>
      <c r="FH327" s="97">
        <v>3</v>
      </c>
      <c r="FI327" s="97">
        <v>14</v>
      </c>
      <c r="FJ327" s="97" t="s">
        <v>4390</v>
      </c>
      <c r="FK327" s="97" t="s">
        <v>4204</v>
      </c>
      <c r="FL327" s="97" t="s">
        <v>3988</v>
      </c>
      <c r="FM327" s="97" t="s">
        <v>3859</v>
      </c>
      <c r="FN327" s="97" t="s">
        <v>3791</v>
      </c>
      <c r="FO327" s="97" t="s">
        <v>3712</v>
      </c>
    </row>
    <row r="328" spans="5:195" ht="104" customHeight="1" x14ac:dyDescent="0.2">
      <c r="E328" s="94" t="s">
        <v>9302</v>
      </c>
      <c r="F328" s="94" t="s">
        <v>9120</v>
      </c>
      <c r="G328" s="198" t="s">
        <v>349</v>
      </c>
      <c r="H328" s="198" t="s">
        <v>434</v>
      </c>
      <c r="I328" s="198"/>
      <c r="J328" s="997" t="s">
        <v>2684</v>
      </c>
      <c r="K328" s="1034" t="s">
        <v>2685</v>
      </c>
      <c r="L328" s="998" t="s">
        <v>2686</v>
      </c>
      <c r="M328" s="999" t="s">
        <v>2687</v>
      </c>
      <c r="N328" s="999" t="s">
        <v>865</v>
      </c>
      <c r="O328" s="997" t="s">
        <v>2688</v>
      </c>
      <c r="P328" s="997" t="s">
        <v>2689</v>
      </c>
      <c r="Q328" s="1035" t="s">
        <v>2690</v>
      </c>
      <c r="R328" s="997" t="s">
        <v>470</v>
      </c>
      <c r="S328" s="997"/>
      <c r="T328" s="997" t="s">
        <v>470</v>
      </c>
      <c r="U328" s="997"/>
      <c r="V328" s="997" t="s">
        <v>470</v>
      </c>
      <c r="W328" s="997"/>
      <c r="X328" s="997" t="s">
        <v>470</v>
      </c>
      <c r="Y328" s="997"/>
      <c r="Z328" s="997"/>
      <c r="AA328" s="997"/>
      <c r="AB328" s="997"/>
      <c r="AC328" s="997"/>
      <c r="AD328" s="997"/>
      <c r="AE328" s="997"/>
      <c r="AF328" s="997"/>
      <c r="AG328" s="997"/>
      <c r="AH328" s="997" t="s">
        <v>2691</v>
      </c>
      <c r="AI328" s="997" t="s">
        <v>2692</v>
      </c>
      <c r="AJ328" s="997" t="s">
        <v>2693</v>
      </c>
      <c r="AK328" s="997" t="s">
        <v>2694</v>
      </c>
      <c r="AL328" s="580">
        <f t="shared" ref="AL328:AL391" si="41">SUM(AN328,AQ328,AT328,AV328,AX328,AZ328)</f>
        <v>248.477</v>
      </c>
      <c r="AM328" s="504">
        <v>248.477</v>
      </c>
      <c r="AN328" s="1001">
        <v>248.477</v>
      </c>
      <c r="AO328" s="1002">
        <v>1</v>
      </c>
      <c r="AP328" s="1036">
        <v>2.3800000000000001E-4</v>
      </c>
      <c r="AQ328" s="504"/>
      <c r="AR328" s="137"/>
      <c r="AS328" s="137"/>
      <c r="AT328" s="520"/>
      <c r="AU328" s="137"/>
      <c r="AV328" s="520" t="s">
        <v>470</v>
      </c>
      <c r="AW328" s="137"/>
      <c r="AX328" s="520"/>
      <c r="AY328" s="137"/>
      <c r="AZ328" s="520"/>
      <c r="BA328" s="1002"/>
      <c r="BB328" s="997"/>
      <c r="BC328" s="997"/>
      <c r="BD328" s="997"/>
      <c r="BE328" s="997" t="s">
        <v>470</v>
      </c>
      <c r="BF328" s="997"/>
      <c r="BG328" s="997"/>
      <c r="BH328" s="997"/>
      <c r="BI328" s="585">
        <v>580.16399999999999</v>
      </c>
      <c r="BJ328" s="1036">
        <v>4.8500000000000003E-4</v>
      </c>
      <c r="BK328" s="587">
        <v>0</v>
      </c>
      <c r="BL328" s="587">
        <v>0</v>
      </c>
      <c r="BM328" s="587">
        <v>0</v>
      </c>
      <c r="BN328" s="587"/>
      <c r="BO328" s="587">
        <v>4</v>
      </c>
      <c r="BP328" s="587"/>
      <c r="BQ328" s="587"/>
      <c r="BR328" s="587"/>
      <c r="BS328" s="587"/>
      <c r="BT328" s="587">
        <v>1</v>
      </c>
      <c r="BU328" s="587">
        <v>1</v>
      </c>
      <c r="BV328" s="587">
        <v>4</v>
      </c>
      <c r="BW328" s="587"/>
      <c r="BX328" s="587"/>
      <c r="BY328" s="587">
        <v>3</v>
      </c>
      <c r="BZ328" s="587"/>
      <c r="CA328" s="587">
        <v>1</v>
      </c>
      <c r="CB328" s="587"/>
      <c r="CC328" s="587">
        <v>2</v>
      </c>
      <c r="CD328" s="587"/>
      <c r="CE328" s="587"/>
      <c r="CF328" s="587">
        <v>2</v>
      </c>
      <c r="CG328" s="587"/>
      <c r="CH328" s="587"/>
      <c r="CI328" s="587">
        <v>1</v>
      </c>
      <c r="CJ328" s="587"/>
      <c r="CK328" s="587"/>
      <c r="CL328" s="1003">
        <f t="shared" si="36"/>
        <v>19</v>
      </c>
      <c r="CM328" s="824">
        <f t="shared" si="40"/>
        <v>0</v>
      </c>
      <c r="CN328" s="585">
        <v>2176.4380000000001</v>
      </c>
      <c r="CO328" s="997" t="s">
        <v>2695</v>
      </c>
      <c r="CP328" s="997" t="s">
        <v>2696</v>
      </c>
      <c r="CQ328" s="1002"/>
      <c r="CR328" s="587">
        <v>5377</v>
      </c>
      <c r="CS328" s="1035" t="s">
        <v>2697</v>
      </c>
      <c r="CT328" s="997" t="s">
        <v>479</v>
      </c>
      <c r="CU328" s="997" t="s">
        <v>2698</v>
      </c>
      <c r="CV328" s="997"/>
      <c r="CW328" s="997" t="s">
        <v>2699</v>
      </c>
      <c r="CX328" s="587">
        <v>0</v>
      </c>
      <c r="CY328" s="587">
        <v>0</v>
      </c>
      <c r="CZ328" s="587">
        <v>4</v>
      </c>
      <c r="DA328" s="997" t="s">
        <v>470</v>
      </c>
      <c r="DB328" s="997"/>
      <c r="DC328" s="587"/>
      <c r="DD328" s="997" t="s">
        <v>470</v>
      </c>
      <c r="DE328" s="997"/>
      <c r="DF328" s="587"/>
      <c r="DG328" s="997" t="s">
        <v>470</v>
      </c>
      <c r="DH328" s="587"/>
      <c r="DI328" s="587"/>
      <c r="DJ328" s="997" t="s">
        <v>470</v>
      </c>
      <c r="DK328" s="587"/>
      <c r="DL328" s="587"/>
      <c r="DM328" s="997" t="s">
        <v>470</v>
      </c>
      <c r="DN328" s="997"/>
      <c r="DO328" s="587"/>
      <c r="DP328" s="997" t="s">
        <v>470</v>
      </c>
      <c r="DQ328" s="997"/>
      <c r="DR328" s="587"/>
      <c r="DS328" s="997" t="s">
        <v>470</v>
      </c>
      <c r="DT328" s="997"/>
      <c r="DU328" s="587"/>
      <c r="DV328" s="997" t="s">
        <v>470</v>
      </c>
      <c r="DW328" s="997"/>
      <c r="DX328" s="587"/>
      <c r="DY328" s="997" t="s">
        <v>470</v>
      </c>
      <c r="DZ328" s="997"/>
      <c r="EA328" s="587"/>
      <c r="EB328" s="997" t="s">
        <v>470</v>
      </c>
      <c r="EC328" s="997"/>
      <c r="ED328" s="587"/>
      <c r="EE328" s="587" t="s">
        <v>470</v>
      </c>
      <c r="EF328" s="587"/>
      <c r="EG328" s="587"/>
      <c r="EH328" s="997" t="s">
        <v>470</v>
      </c>
      <c r="EI328" s="997"/>
      <c r="EJ328" s="587"/>
      <c r="EK328" s="997" t="s">
        <v>470</v>
      </c>
      <c r="EL328" s="997"/>
      <c r="EM328" s="587"/>
      <c r="EN328" s="997" t="s">
        <v>470</v>
      </c>
      <c r="EO328" s="997"/>
      <c r="EP328" s="587"/>
      <c r="EQ328" s="587" t="s">
        <v>470</v>
      </c>
      <c r="ER328" s="587"/>
      <c r="ES328" s="587"/>
      <c r="ET328" s="997" t="s">
        <v>470</v>
      </c>
      <c r="EU328" s="997"/>
      <c r="EV328" s="587"/>
      <c r="EW328" s="997" t="s">
        <v>470</v>
      </c>
      <c r="EX328" s="997" t="s">
        <v>2700</v>
      </c>
      <c r="EY328" s="1005">
        <v>0</v>
      </c>
      <c r="EZ328" s="997" t="s">
        <v>479</v>
      </c>
      <c r="FA328" s="997" t="s">
        <v>2701</v>
      </c>
      <c r="FB328" s="1037" t="s">
        <v>2702</v>
      </c>
      <c r="FC328" s="1037" t="s">
        <v>2703</v>
      </c>
      <c r="FD328" s="1000" t="s">
        <v>2704</v>
      </c>
      <c r="FE328" s="997" t="s">
        <v>2705</v>
      </c>
      <c r="FF328" s="997" t="s">
        <v>470</v>
      </c>
      <c r="FG328" s="997" t="s">
        <v>470</v>
      </c>
      <c r="FH328" s="997">
        <v>0</v>
      </c>
      <c r="FI328" s="997">
        <v>0</v>
      </c>
      <c r="FJ328" s="997" t="s">
        <v>2706</v>
      </c>
      <c r="FK328" s="997" t="s">
        <v>2707</v>
      </c>
      <c r="FL328" s="1037" t="s">
        <v>2708</v>
      </c>
      <c r="FM328" s="997" t="s">
        <v>2709</v>
      </c>
      <c r="FN328" s="997" t="s">
        <v>2710</v>
      </c>
      <c r="FO328" s="997" t="s">
        <v>2711</v>
      </c>
    </row>
    <row r="329" spans="5:195" ht="104" customHeight="1" x14ac:dyDescent="0.2">
      <c r="E329" s="94" t="s">
        <v>3236</v>
      </c>
      <c r="F329" s="94" t="s">
        <v>9120</v>
      </c>
      <c r="G329" s="198" t="s">
        <v>349</v>
      </c>
      <c r="H329" s="198" t="s">
        <v>434</v>
      </c>
      <c r="I329" s="198"/>
      <c r="J329" s="1038" t="s">
        <v>2744</v>
      </c>
      <c r="K329" s="1039" t="s">
        <v>2745</v>
      </c>
      <c r="L329" s="1040">
        <v>2022</v>
      </c>
      <c r="M329" s="1041">
        <v>44440</v>
      </c>
      <c r="N329" s="1041">
        <v>44926</v>
      </c>
      <c r="O329" s="1038" t="s">
        <v>2746</v>
      </c>
      <c r="P329" s="1038"/>
      <c r="Q329" s="551" t="s">
        <v>2747</v>
      </c>
      <c r="R329" s="1038" t="s">
        <v>470</v>
      </c>
      <c r="S329" s="1038"/>
      <c r="T329" s="1038" t="s">
        <v>470</v>
      </c>
      <c r="U329" s="1038"/>
      <c r="V329" s="1038" t="s">
        <v>470</v>
      </c>
      <c r="W329" s="1038"/>
      <c r="X329" s="1038" t="s">
        <v>2748</v>
      </c>
      <c r="Y329" s="846" t="s">
        <v>2749</v>
      </c>
      <c r="Z329" s="846"/>
      <c r="AA329" s="846"/>
      <c r="AB329" s="846"/>
      <c r="AC329" s="846"/>
      <c r="AD329" s="846"/>
      <c r="AE329" s="846"/>
      <c r="AF329" s="846"/>
      <c r="AG329" s="846"/>
      <c r="AH329" s="1038" t="s">
        <v>2750</v>
      </c>
      <c r="AI329" s="1038" t="s">
        <v>2750</v>
      </c>
      <c r="AJ329" s="1038" t="s">
        <v>2751</v>
      </c>
      <c r="AK329" s="1038" t="s">
        <v>2752</v>
      </c>
      <c r="AL329" s="580">
        <f t="shared" si="41"/>
        <v>5.3</v>
      </c>
      <c r="AM329" s="504">
        <v>5.3</v>
      </c>
      <c r="AN329" s="516">
        <v>5.3</v>
      </c>
      <c r="AO329" s="137">
        <v>1</v>
      </c>
      <c r="AP329" s="1042">
        <v>5.0804728626114041E-4</v>
      </c>
      <c r="AQ329" s="504">
        <v>0</v>
      </c>
      <c r="AR329" s="137"/>
      <c r="AS329" s="137"/>
      <c r="AT329" s="520">
        <v>0</v>
      </c>
      <c r="AU329" s="137"/>
      <c r="AV329" s="520">
        <v>0</v>
      </c>
      <c r="AW329" s="137"/>
      <c r="AX329" s="520"/>
      <c r="AY329" s="137"/>
      <c r="AZ329" s="520">
        <v>0</v>
      </c>
      <c r="BA329" s="137"/>
      <c r="BB329" s="198"/>
      <c r="BC329" s="198"/>
      <c r="BD329" s="198"/>
      <c r="BE329" s="198" t="s">
        <v>470</v>
      </c>
      <c r="BF329" s="198"/>
      <c r="BG329" s="198"/>
      <c r="BH329" s="198"/>
      <c r="BI329" s="823">
        <v>5.4</v>
      </c>
      <c r="BJ329" s="1042">
        <v>8.3659817878041097E-5</v>
      </c>
      <c r="BK329" s="1043">
        <v>32</v>
      </c>
      <c r="BL329" s="1044">
        <v>6</v>
      </c>
      <c r="BM329" s="1044">
        <v>6</v>
      </c>
      <c r="BN329" s="83"/>
      <c r="BO329" s="83"/>
      <c r="BP329" s="83"/>
      <c r="BQ329" s="83"/>
      <c r="BR329" s="83"/>
      <c r="BS329" s="83"/>
      <c r="BT329" s="83"/>
      <c r="BU329" s="83"/>
      <c r="BV329" s="83"/>
      <c r="BW329" s="83"/>
      <c r="BX329" s="83"/>
      <c r="BY329" s="83"/>
      <c r="BZ329" s="83"/>
      <c r="CA329" s="83"/>
      <c r="CB329" s="83"/>
      <c r="CC329" s="83"/>
      <c r="CD329" s="83"/>
      <c r="CE329" s="83"/>
      <c r="CF329" s="83"/>
      <c r="CG329" s="83">
        <v>6</v>
      </c>
      <c r="CH329" s="83"/>
      <c r="CI329" s="83"/>
      <c r="CJ329" s="83"/>
      <c r="CK329" s="1044"/>
      <c r="CL329" s="824">
        <f t="shared" si="36"/>
        <v>6</v>
      </c>
      <c r="CM329" s="824">
        <f t="shared" si="40"/>
        <v>0</v>
      </c>
      <c r="CN329" s="591">
        <v>4</v>
      </c>
      <c r="CO329" s="550" t="s">
        <v>2753</v>
      </c>
      <c r="CP329" s="1038"/>
      <c r="CQ329" s="1045">
        <v>7.3999999999999996E-2</v>
      </c>
      <c r="CR329" s="585">
        <v>5377.5029999999997</v>
      </c>
      <c r="CS329" s="1046" t="s">
        <v>2724</v>
      </c>
      <c r="CT329" s="198" t="s">
        <v>479</v>
      </c>
      <c r="CU329" s="198" t="s">
        <v>2754</v>
      </c>
      <c r="CV329" s="198"/>
      <c r="CW329" s="198" t="s">
        <v>2755</v>
      </c>
      <c r="CX329" s="1044">
        <f>'[3]Учетная политика'!$Y$15</f>
        <v>1</v>
      </c>
      <c r="CY329" s="1044">
        <v>12</v>
      </c>
      <c r="CZ329" s="83">
        <v>0</v>
      </c>
      <c r="DA329" s="198"/>
      <c r="DB329" s="198"/>
      <c r="DC329" s="83"/>
      <c r="DD329" s="198"/>
      <c r="DE329" s="198"/>
      <c r="DF329" s="83"/>
      <c r="DG329" s="83"/>
      <c r="DH329" s="83"/>
      <c r="DI329" s="83"/>
      <c r="DJ329" s="83"/>
      <c r="DK329" s="83"/>
      <c r="DL329" s="83"/>
      <c r="DM329" s="198"/>
      <c r="DN329" s="198"/>
      <c r="DO329" s="83"/>
      <c r="DP329" s="198"/>
      <c r="DQ329" s="198"/>
      <c r="DR329" s="83"/>
      <c r="DS329" s="198"/>
      <c r="DT329" s="198"/>
      <c r="DU329" s="83"/>
      <c r="DV329" s="1038" t="s">
        <v>2756</v>
      </c>
      <c r="DW329" s="1047" t="s">
        <v>2757</v>
      </c>
      <c r="DX329" s="1044">
        <v>6500</v>
      </c>
      <c r="DY329" s="1038" t="s">
        <v>470</v>
      </c>
      <c r="DZ329" s="198"/>
      <c r="EA329" s="83"/>
      <c r="EB329" s="1038" t="s">
        <v>2758</v>
      </c>
      <c r="EC329" s="1047" t="s">
        <v>2759</v>
      </c>
      <c r="ED329" s="1044">
        <v>6500</v>
      </c>
      <c r="EE329" s="83" t="s">
        <v>470</v>
      </c>
      <c r="EF329" s="83"/>
      <c r="EG329" s="83"/>
      <c r="EH329" s="198" t="s">
        <v>470</v>
      </c>
      <c r="EI329" s="198"/>
      <c r="EJ329" s="83"/>
      <c r="EK329" s="198" t="s">
        <v>470</v>
      </c>
      <c r="EL329" s="198"/>
      <c r="EM329" s="83"/>
      <c r="EN329" s="198" t="s">
        <v>470</v>
      </c>
      <c r="EO329" s="198"/>
      <c r="EP329" s="83"/>
      <c r="EQ329" s="1044" t="s">
        <v>2760</v>
      </c>
      <c r="ER329" s="1044" t="s">
        <v>2761</v>
      </c>
      <c r="ES329" s="1044">
        <v>22</v>
      </c>
      <c r="ET329" s="198"/>
      <c r="EU329" s="198"/>
      <c r="EV329" s="83"/>
      <c r="EW329" s="198"/>
      <c r="EX329" s="198"/>
      <c r="EY329" s="505"/>
      <c r="EZ329" s="198" t="s">
        <v>470</v>
      </c>
      <c r="FA329" s="198"/>
      <c r="FB329" s="1047" t="s">
        <v>2762</v>
      </c>
      <c r="FC329" s="1047" t="s">
        <v>2759</v>
      </c>
      <c r="FD329" s="1048" t="s">
        <v>2762</v>
      </c>
      <c r="FE329" s="552" t="s">
        <v>2763</v>
      </c>
      <c r="FF329" s="552" t="s">
        <v>2762</v>
      </c>
      <c r="FG329" s="1038" t="s">
        <v>2764</v>
      </c>
      <c r="FH329" s="1038">
        <f>'[3]Учетная политика'!$L$15</f>
        <v>15</v>
      </c>
      <c r="FI329" s="1038">
        <f>'[3]Учетная политика'!$M$15</f>
        <v>3060</v>
      </c>
      <c r="FJ329" s="1038" t="s">
        <v>2765</v>
      </c>
      <c r="FK329" s="1038" t="s">
        <v>2766</v>
      </c>
      <c r="FL329" s="1047" t="s">
        <v>2767</v>
      </c>
      <c r="FM329" s="1038" t="s">
        <v>2768</v>
      </c>
      <c r="FN329" s="1038" t="s">
        <v>2769</v>
      </c>
      <c r="FO329" s="1048" t="s">
        <v>2770</v>
      </c>
    </row>
    <row r="330" spans="5:195" ht="104" customHeight="1" x14ac:dyDescent="0.2">
      <c r="E330" s="94" t="s">
        <v>3236</v>
      </c>
      <c r="F330" s="94" t="s">
        <v>9120</v>
      </c>
      <c r="G330" s="198" t="s">
        <v>349</v>
      </c>
      <c r="H330" s="198" t="s">
        <v>434</v>
      </c>
      <c r="I330" s="198"/>
      <c r="J330" s="997" t="s">
        <v>2712</v>
      </c>
      <c r="K330" s="1034" t="s">
        <v>2713</v>
      </c>
      <c r="L330" s="998" t="s">
        <v>2714</v>
      </c>
      <c r="M330" s="999">
        <v>44440</v>
      </c>
      <c r="N330" s="999">
        <v>44910</v>
      </c>
      <c r="O330" s="997" t="s">
        <v>2715</v>
      </c>
      <c r="P330" s="997" t="s">
        <v>2689</v>
      </c>
      <c r="Q330" s="1037" t="s">
        <v>2716</v>
      </c>
      <c r="R330" s="997" t="s">
        <v>470</v>
      </c>
      <c r="S330" s="997"/>
      <c r="T330" s="997" t="s">
        <v>470</v>
      </c>
      <c r="U330" s="997"/>
      <c r="V330" s="997" t="s">
        <v>470</v>
      </c>
      <c r="W330" s="997"/>
      <c r="X330" s="997" t="s">
        <v>2717</v>
      </c>
      <c r="Y330" s="1037" t="s">
        <v>2718</v>
      </c>
      <c r="Z330" s="1037"/>
      <c r="AA330" s="1037"/>
      <c r="AB330" s="1037"/>
      <c r="AC330" s="1037"/>
      <c r="AD330" s="1037"/>
      <c r="AE330" s="1037"/>
      <c r="AF330" s="1037"/>
      <c r="AG330" s="1037"/>
      <c r="AH330" s="997" t="s">
        <v>2691</v>
      </c>
      <c r="AI330" s="997" t="s">
        <v>2719</v>
      </c>
      <c r="AJ330" s="997" t="s">
        <v>2720</v>
      </c>
      <c r="AK330" s="997" t="s">
        <v>2721</v>
      </c>
      <c r="AL330" s="580">
        <f t="shared" si="41"/>
        <v>58.042999999999999</v>
      </c>
      <c r="AM330" s="504">
        <v>58.042999999999999</v>
      </c>
      <c r="AN330" s="1001">
        <v>58.042999999999999</v>
      </c>
      <c r="AO330" s="1002">
        <v>1</v>
      </c>
      <c r="AP330" s="1036">
        <v>5.5999999999999999E-5</v>
      </c>
      <c r="AQ330" s="612">
        <v>0</v>
      </c>
      <c r="AR330" s="137"/>
      <c r="AS330" s="137"/>
      <c r="AT330" s="520">
        <v>0</v>
      </c>
      <c r="AU330" s="137"/>
      <c r="AV330" s="520">
        <v>0</v>
      </c>
      <c r="AW330" s="137"/>
      <c r="AX330" s="520">
        <v>0</v>
      </c>
      <c r="AY330" s="137"/>
      <c r="AZ330" s="520">
        <v>0</v>
      </c>
      <c r="BA330" s="1002"/>
      <c r="BB330" s="997"/>
      <c r="BC330" s="997"/>
      <c r="BD330" s="997"/>
      <c r="BE330" s="997" t="s">
        <v>470</v>
      </c>
      <c r="BF330" s="997"/>
      <c r="BG330" s="997"/>
      <c r="BH330" s="997"/>
      <c r="BI330" s="585">
        <v>87.232299999999995</v>
      </c>
      <c r="BJ330" s="1036">
        <v>7.2999999999999999E-5</v>
      </c>
      <c r="BK330" s="587">
        <v>453</v>
      </c>
      <c r="BL330" s="587">
        <v>374</v>
      </c>
      <c r="BM330" s="587">
        <v>30</v>
      </c>
      <c r="BN330" s="587">
        <v>0</v>
      </c>
      <c r="BO330" s="587">
        <v>0</v>
      </c>
      <c r="BP330" s="587">
        <v>0</v>
      </c>
      <c r="BQ330" s="587">
        <v>0</v>
      </c>
      <c r="BR330" s="587">
        <v>0</v>
      </c>
      <c r="BS330" s="587">
        <v>0</v>
      </c>
      <c r="BT330" s="587">
        <v>0</v>
      </c>
      <c r="BU330" s="587">
        <v>0</v>
      </c>
      <c r="BV330" s="587">
        <v>0</v>
      </c>
      <c r="BW330" s="587">
        <v>0</v>
      </c>
      <c r="BX330" s="587">
        <v>0</v>
      </c>
      <c r="BY330" s="587">
        <v>0</v>
      </c>
      <c r="BZ330" s="587">
        <v>0</v>
      </c>
      <c r="CA330" s="587">
        <v>0</v>
      </c>
      <c r="CB330" s="587">
        <v>0</v>
      </c>
      <c r="CC330" s="587">
        <v>0</v>
      </c>
      <c r="CD330" s="587">
        <v>0</v>
      </c>
      <c r="CE330" s="587">
        <v>0</v>
      </c>
      <c r="CF330" s="587">
        <v>0</v>
      </c>
      <c r="CG330" s="587">
        <v>20</v>
      </c>
      <c r="CH330" s="587">
        <v>0</v>
      </c>
      <c r="CI330" s="587">
        <v>0</v>
      </c>
      <c r="CJ330" s="587">
        <v>0</v>
      </c>
      <c r="CK330" s="587"/>
      <c r="CL330" s="1003">
        <f t="shared" ref="CL330:CL360" si="42">SUM(BN330:CK330)</f>
        <v>20</v>
      </c>
      <c r="CM330" s="824">
        <f t="shared" si="40"/>
        <v>0</v>
      </c>
      <c r="CN330" s="585">
        <v>20.515000000000001</v>
      </c>
      <c r="CO330" s="997" t="s">
        <v>2722</v>
      </c>
      <c r="CP330" s="1049" t="s">
        <v>2723</v>
      </c>
      <c r="CQ330" s="1050">
        <v>0.381496765320261</v>
      </c>
      <c r="CR330" s="585">
        <v>5377.5029999999997</v>
      </c>
      <c r="CS330" s="1046" t="s">
        <v>2724</v>
      </c>
      <c r="CT330" s="997" t="s">
        <v>540</v>
      </c>
      <c r="CU330" s="997" t="s">
        <v>2725</v>
      </c>
      <c r="CV330" s="1049" t="s">
        <v>2726</v>
      </c>
      <c r="CW330" s="997" t="s">
        <v>2727</v>
      </c>
      <c r="CX330" s="587">
        <v>97</v>
      </c>
      <c r="CY330" s="587" t="s">
        <v>873</v>
      </c>
      <c r="CZ330" s="587">
        <v>4</v>
      </c>
      <c r="DA330" s="997"/>
      <c r="DB330" s="997"/>
      <c r="DC330" s="587"/>
      <c r="DD330" s="997"/>
      <c r="DE330" s="997"/>
      <c r="DF330" s="587"/>
      <c r="DG330" s="587"/>
      <c r="DH330" s="587"/>
      <c r="DI330" s="587"/>
      <c r="DJ330" s="587"/>
      <c r="DK330" s="587"/>
      <c r="DL330" s="587"/>
      <c r="DM330" s="997"/>
      <c r="DN330" s="997"/>
      <c r="DO330" s="587"/>
      <c r="DP330" s="997"/>
      <c r="DQ330" s="997"/>
      <c r="DR330" s="587"/>
      <c r="DS330" s="997"/>
      <c r="DT330" s="997"/>
      <c r="DU330" s="587"/>
      <c r="DV330" s="997" t="s">
        <v>2728</v>
      </c>
      <c r="DW330" s="509"/>
      <c r="DX330" s="587">
        <v>3500</v>
      </c>
      <c r="DY330" s="997" t="s">
        <v>479</v>
      </c>
      <c r="DZ330" s="997" t="s">
        <v>2729</v>
      </c>
      <c r="EA330" s="587">
        <v>9328</v>
      </c>
      <c r="EB330" s="997" t="s">
        <v>479</v>
      </c>
      <c r="EC330" s="997" t="s">
        <v>2730</v>
      </c>
      <c r="ED330" s="587">
        <v>13959</v>
      </c>
      <c r="EE330" s="587"/>
      <c r="EF330" s="587"/>
      <c r="EG330" s="587"/>
      <c r="EH330" s="997"/>
      <c r="EI330" s="997"/>
      <c r="EJ330" s="587"/>
      <c r="EK330" s="997"/>
      <c r="EL330" s="997"/>
      <c r="EM330" s="587"/>
      <c r="EN330" s="587" t="s">
        <v>479</v>
      </c>
      <c r="EO330" s="587" t="s">
        <v>2731</v>
      </c>
      <c r="EP330" s="587">
        <v>65</v>
      </c>
      <c r="EQ330" s="587"/>
      <c r="ER330" s="587"/>
      <c r="ES330" s="587"/>
      <c r="ET330" s="997" t="s">
        <v>2732</v>
      </c>
      <c r="EU330" s="509"/>
      <c r="EV330" s="587">
        <v>13959</v>
      </c>
      <c r="EW330" s="997" t="s">
        <v>470</v>
      </c>
      <c r="EX330" s="997" t="s">
        <v>2733</v>
      </c>
      <c r="EY330" s="1005">
        <v>0</v>
      </c>
      <c r="EZ330" s="997" t="s">
        <v>479</v>
      </c>
      <c r="FA330" s="509" t="s">
        <v>2734</v>
      </c>
      <c r="FB330" s="1000" t="s">
        <v>2735</v>
      </c>
      <c r="FC330" s="1000" t="s">
        <v>2736</v>
      </c>
      <c r="FD330" s="1049" t="s">
        <v>2737</v>
      </c>
      <c r="FE330" s="1034" t="s">
        <v>9640</v>
      </c>
      <c r="FF330" s="997" t="s">
        <v>2738</v>
      </c>
      <c r="FG330" s="997" t="s">
        <v>2739</v>
      </c>
      <c r="FH330" s="997">
        <v>93</v>
      </c>
      <c r="FI330" s="997">
        <v>3720</v>
      </c>
      <c r="FJ330" s="826" t="s">
        <v>2740</v>
      </c>
      <c r="FK330" s="826" t="s">
        <v>2741</v>
      </c>
      <c r="FL330" s="877" t="s">
        <v>2742</v>
      </c>
      <c r="FM330" s="826" t="s">
        <v>2743</v>
      </c>
      <c r="FN330" s="826" t="s">
        <v>2710</v>
      </c>
      <c r="FO330" s="877" t="s">
        <v>2711</v>
      </c>
    </row>
    <row r="331" spans="5:195" ht="104" customHeight="1" x14ac:dyDescent="0.2">
      <c r="E331" s="94" t="s">
        <v>9302</v>
      </c>
      <c r="F331" s="94" t="s">
        <v>9120</v>
      </c>
      <c r="G331" s="198" t="s">
        <v>350</v>
      </c>
      <c r="H331" s="198" t="s">
        <v>435</v>
      </c>
      <c r="I331" s="198"/>
      <c r="J331" s="1051" t="s">
        <v>2771</v>
      </c>
      <c r="K331" s="1051" t="s">
        <v>2772</v>
      </c>
      <c r="L331" s="1052">
        <v>2017</v>
      </c>
      <c r="M331" s="1053" t="s">
        <v>2773</v>
      </c>
      <c r="N331" s="1053" t="s">
        <v>2774</v>
      </c>
      <c r="O331" s="1051" t="s">
        <v>2775</v>
      </c>
      <c r="P331" s="1051" t="s">
        <v>2776</v>
      </c>
      <c r="Q331" s="1054" t="s">
        <v>2777</v>
      </c>
      <c r="R331" s="1051"/>
      <c r="S331" s="1051"/>
      <c r="T331" s="1051"/>
      <c r="U331" s="1051"/>
      <c r="V331" s="1051"/>
      <c r="W331" s="1051"/>
      <c r="X331" s="1051" t="s">
        <v>2778</v>
      </c>
      <c r="Y331" s="1054" t="s">
        <v>2779</v>
      </c>
      <c r="Z331" s="1054"/>
      <c r="AA331" s="1054"/>
      <c r="AB331" s="1054"/>
      <c r="AC331" s="1054"/>
      <c r="AD331" s="1054"/>
      <c r="AE331" s="1054"/>
      <c r="AF331" s="1054"/>
      <c r="AG331" s="1054"/>
      <c r="AH331" s="1051" t="s">
        <v>2780</v>
      </c>
      <c r="AI331" s="1051" t="s">
        <v>2781</v>
      </c>
      <c r="AJ331" s="1051" t="s">
        <v>633</v>
      </c>
      <c r="AK331" s="1051" t="s">
        <v>2782</v>
      </c>
      <c r="AL331" s="580">
        <f t="shared" si="41"/>
        <v>234.80300000000003</v>
      </c>
      <c r="AM331" s="504">
        <v>234.80300000000003</v>
      </c>
      <c r="AN331" s="1055">
        <v>138.47300000000001</v>
      </c>
      <c r="AO331" s="1056">
        <v>0.6825</v>
      </c>
      <c r="AP331" s="1056">
        <v>8.0000000000000004E-4</v>
      </c>
      <c r="AQ331" s="504">
        <v>32.484999999999999</v>
      </c>
      <c r="AR331" s="137">
        <v>0.16010000000000002</v>
      </c>
      <c r="AS331" s="137"/>
      <c r="AT331" s="520">
        <v>10.332000000000001</v>
      </c>
      <c r="AU331" s="137">
        <v>5.0900000000000001E-2</v>
      </c>
      <c r="AV331" s="520">
        <v>21.59</v>
      </c>
      <c r="AW331" s="137">
        <v>0.10640000000000001</v>
      </c>
      <c r="AX331" s="520">
        <v>31.922999999999998</v>
      </c>
      <c r="AY331" s="137">
        <v>0.1573</v>
      </c>
      <c r="AZ331" s="520"/>
      <c r="BA331" s="1056"/>
      <c r="BB331" s="1051"/>
      <c r="BC331" s="1051"/>
      <c r="BD331" s="1051"/>
      <c r="BE331" s="1051" t="s">
        <v>479</v>
      </c>
      <c r="BF331" s="1051" t="s">
        <v>2783</v>
      </c>
      <c r="BG331" s="1054" t="s">
        <v>2784</v>
      </c>
      <c r="BH331" s="1051">
        <v>14.186</v>
      </c>
      <c r="BI331" s="1057">
        <v>140</v>
      </c>
      <c r="BJ331" s="1056">
        <v>8.9999999999999998E-4</v>
      </c>
      <c r="BK331" s="1058">
        <v>448</v>
      </c>
      <c r="BL331" s="1058">
        <v>236</v>
      </c>
      <c r="BM331" s="1058">
        <v>129</v>
      </c>
      <c r="BN331" s="1058">
        <v>48</v>
      </c>
      <c r="BO331" s="1058"/>
      <c r="BP331" s="1058">
        <v>14</v>
      </c>
      <c r="BQ331" s="1058">
        <v>3</v>
      </c>
      <c r="BR331" s="1058"/>
      <c r="BS331" s="1058"/>
      <c r="BT331" s="1058"/>
      <c r="BU331" s="1058">
        <v>3</v>
      </c>
      <c r="BV331" s="1058">
        <v>14</v>
      </c>
      <c r="BW331" s="1058"/>
      <c r="BX331" s="1058">
        <v>15</v>
      </c>
      <c r="BY331" s="1058">
        <v>21</v>
      </c>
      <c r="BZ331" s="1058">
        <v>10</v>
      </c>
      <c r="CA331" s="1058"/>
      <c r="CB331" s="1058"/>
      <c r="CC331" s="1058"/>
      <c r="CD331" s="1058"/>
      <c r="CE331" s="1058"/>
      <c r="CF331" s="1058"/>
      <c r="CG331" s="1058"/>
      <c r="CH331" s="1058"/>
      <c r="CI331" s="1058"/>
      <c r="CJ331" s="1058"/>
      <c r="CK331" s="1058"/>
      <c r="CL331" s="1059">
        <f t="shared" si="42"/>
        <v>128</v>
      </c>
      <c r="CM331" s="824">
        <f t="shared" si="40"/>
        <v>0</v>
      </c>
      <c r="CN331" s="1051">
        <v>423.4</v>
      </c>
      <c r="CO331" s="1051" t="s">
        <v>2785</v>
      </c>
      <c r="CP331" s="1051"/>
      <c r="CQ331" s="1056">
        <v>0.4113</v>
      </c>
      <c r="CR331" s="588">
        <v>2431.0120000000002</v>
      </c>
      <c r="CS331" s="1060" t="s">
        <v>2489</v>
      </c>
      <c r="CT331" s="1051" t="s">
        <v>470</v>
      </c>
      <c r="CU331" s="1051"/>
      <c r="CV331" s="1051"/>
      <c r="CW331" s="1051"/>
      <c r="CX331" s="1058"/>
      <c r="CY331" s="1058"/>
      <c r="CZ331" s="1058">
        <v>4</v>
      </c>
      <c r="DA331" s="1051">
        <v>25</v>
      </c>
      <c r="DB331" s="1051" t="s">
        <v>2786</v>
      </c>
      <c r="DC331" s="1058">
        <v>11745</v>
      </c>
      <c r="DD331" s="1051" t="s">
        <v>479</v>
      </c>
      <c r="DE331" s="1051" t="s">
        <v>2787</v>
      </c>
      <c r="DF331" s="1058">
        <v>18364</v>
      </c>
      <c r="DG331" s="1058" t="s">
        <v>479</v>
      </c>
      <c r="DH331" s="1051" t="s">
        <v>2788</v>
      </c>
      <c r="DI331" s="1058">
        <v>82</v>
      </c>
      <c r="DJ331" s="1058"/>
      <c r="DK331" s="1058"/>
      <c r="DL331" s="1058"/>
      <c r="DM331" s="1051"/>
      <c r="DN331" s="1051"/>
      <c r="DO331" s="1058"/>
      <c r="DP331" s="1051"/>
      <c r="DQ331" s="1051"/>
      <c r="DR331" s="1058"/>
      <c r="DS331" s="1051"/>
      <c r="DT331" s="1051"/>
      <c r="DU331" s="1058"/>
      <c r="DV331" s="1051"/>
      <c r="DW331" s="1051"/>
      <c r="DX331" s="1058"/>
      <c r="DY331" s="1051"/>
      <c r="DZ331" s="1051"/>
      <c r="EA331" s="1058"/>
      <c r="EB331" s="1051" t="s">
        <v>479</v>
      </c>
      <c r="EC331" s="1051" t="s">
        <v>2789</v>
      </c>
      <c r="ED331" s="1058">
        <v>45466</v>
      </c>
      <c r="EE331" s="1058"/>
      <c r="EF331" s="1058"/>
      <c r="EG331" s="1058"/>
      <c r="EH331" s="1051"/>
      <c r="EI331" s="1051"/>
      <c r="EJ331" s="1058"/>
      <c r="EK331" s="1051"/>
      <c r="EL331" s="1051"/>
      <c r="EM331" s="1058"/>
      <c r="EN331" s="1051" t="s">
        <v>479</v>
      </c>
      <c r="EO331" s="1051" t="s">
        <v>2790</v>
      </c>
      <c r="EP331" s="1058">
        <v>14</v>
      </c>
      <c r="EQ331" s="1058"/>
      <c r="ER331" s="1058"/>
      <c r="ES331" s="1058"/>
      <c r="ET331" s="1051"/>
      <c r="EU331" s="1051"/>
      <c r="EV331" s="1058"/>
      <c r="EW331" s="1061">
        <v>1</v>
      </c>
      <c r="EX331" s="1051"/>
      <c r="EY331" s="1062">
        <v>216</v>
      </c>
      <c r="EZ331" s="1051" t="s">
        <v>470</v>
      </c>
      <c r="FA331" s="1051"/>
      <c r="FB331" s="1054" t="s">
        <v>2791</v>
      </c>
      <c r="FC331" s="1051"/>
      <c r="FD331" s="1054" t="s">
        <v>2792</v>
      </c>
      <c r="FE331" s="1054" t="s">
        <v>2793</v>
      </c>
      <c r="FF331" s="1051" t="s">
        <v>2794</v>
      </c>
      <c r="FG331" s="1051" t="s">
        <v>2795</v>
      </c>
      <c r="FH331" s="1051">
        <v>6</v>
      </c>
      <c r="FI331" s="1051">
        <v>600</v>
      </c>
      <c r="FJ331" s="1051" t="s">
        <v>2796</v>
      </c>
      <c r="FK331" s="1063" t="s">
        <v>2797</v>
      </c>
      <c r="FL331" s="1054" t="s">
        <v>2798</v>
      </c>
      <c r="FM331" s="1051"/>
      <c r="FN331" s="1051"/>
      <c r="FO331" s="1051"/>
    </row>
    <row r="332" spans="5:195" ht="104" customHeight="1" x14ac:dyDescent="0.2">
      <c r="E332" s="94" t="s">
        <v>9303</v>
      </c>
      <c r="F332" s="94" t="s">
        <v>9120</v>
      </c>
      <c r="G332" s="198" t="s">
        <v>350</v>
      </c>
      <c r="H332" s="198" t="s">
        <v>435</v>
      </c>
      <c r="I332" s="198"/>
      <c r="J332" s="1064" t="s">
        <v>1045</v>
      </c>
      <c r="K332" s="1064"/>
      <c r="L332" s="1064">
        <v>2019</v>
      </c>
      <c r="M332" s="1064" t="s">
        <v>2817</v>
      </c>
      <c r="N332" s="1064" t="s">
        <v>2818</v>
      </c>
      <c r="O332" s="1064" t="s">
        <v>2819</v>
      </c>
      <c r="P332" s="1064" t="s">
        <v>2820</v>
      </c>
      <c r="Q332" s="1065" t="s">
        <v>2821</v>
      </c>
      <c r="R332" s="1064"/>
      <c r="S332" s="1064"/>
      <c r="T332" s="1064"/>
      <c r="U332" s="1064"/>
      <c r="V332" s="1064"/>
      <c r="W332" s="1064"/>
      <c r="X332" s="1064"/>
      <c r="Y332" s="1064"/>
      <c r="Z332" s="1064"/>
      <c r="AA332" s="1064"/>
      <c r="AB332" s="1064"/>
      <c r="AC332" s="1064"/>
      <c r="AD332" s="1064"/>
      <c r="AE332" s="1064"/>
      <c r="AF332" s="1064"/>
      <c r="AG332" s="1064"/>
      <c r="AH332" s="198" t="s">
        <v>2822</v>
      </c>
      <c r="AI332" s="1064" t="s">
        <v>2822</v>
      </c>
      <c r="AJ332" s="198" t="s">
        <v>633</v>
      </c>
      <c r="AK332" s="198" t="s">
        <v>2782</v>
      </c>
      <c r="AL332" s="580">
        <f t="shared" si="41"/>
        <v>9.6508000000000003</v>
      </c>
      <c r="AM332" s="504">
        <v>9.6508000000000003</v>
      </c>
      <c r="AN332" s="1066">
        <v>0.1128</v>
      </c>
      <c r="AO332" s="1067">
        <v>1.1699999999999999E-2</v>
      </c>
      <c r="AP332" s="1067">
        <v>0</v>
      </c>
      <c r="AQ332" s="504">
        <v>2.875</v>
      </c>
      <c r="AR332" s="137">
        <v>0.2979</v>
      </c>
      <c r="AS332" s="137"/>
      <c r="AT332" s="520"/>
      <c r="AU332" s="137"/>
      <c r="AV332" s="520">
        <v>1.1599999999999999</v>
      </c>
      <c r="AW332" s="137">
        <v>0.1202</v>
      </c>
      <c r="AX332" s="520"/>
      <c r="AY332" s="137"/>
      <c r="AZ332" s="520">
        <v>5.5030000000000001</v>
      </c>
      <c r="BA332" s="1067">
        <v>0.57020000000000004</v>
      </c>
      <c r="BB332" s="1064" t="s">
        <v>2823</v>
      </c>
      <c r="BC332" s="1064" t="s">
        <v>875</v>
      </c>
      <c r="BD332" s="1067" t="s">
        <v>2824</v>
      </c>
      <c r="BE332" s="1064" t="s">
        <v>470</v>
      </c>
      <c r="BF332" s="1064"/>
      <c r="BG332" s="1064"/>
      <c r="BH332" s="1064"/>
      <c r="BI332" s="1067"/>
      <c r="BJ332" s="1067"/>
      <c r="BK332" s="1068">
        <v>110</v>
      </c>
      <c r="BL332" s="1068">
        <v>110</v>
      </c>
      <c r="BM332" s="1068">
        <v>7</v>
      </c>
      <c r="BN332" s="1068"/>
      <c r="BO332" s="1068">
        <v>3</v>
      </c>
      <c r="BP332" s="1068"/>
      <c r="BQ332" s="1068"/>
      <c r="BR332" s="1068"/>
      <c r="BS332" s="1068"/>
      <c r="BT332" s="1068"/>
      <c r="BU332" s="1068"/>
      <c r="BV332" s="1068">
        <v>1</v>
      </c>
      <c r="BW332" s="1068"/>
      <c r="BX332" s="1068">
        <v>2</v>
      </c>
      <c r="BY332" s="1068"/>
      <c r="BZ332" s="1068"/>
      <c r="CA332" s="1068">
        <v>1</v>
      </c>
      <c r="CB332" s="1068"/>
      <c r="CC332" s="1068"/>
      <c r="CD332" s="1068"/>
      <c r="CE332" s="1068"/>
      <c r="CF332" s="1068"/>
      <c r="CG332" s="1068"/>
      <c r="CH332" s="1068"/>
      <c r="CI332" s="1068"/>
      <c r="CJ332" s="1068"/>
      <c r="CK332" s="1068"/>
      <c r="CL332" s="1069">
        <f t="shared" si="42"/>
        <v>7</v>
      </c>
      <c r="CM332" s="824">
        <f t="shared" si="40"/>
        <v>0</v>
      </c>
      <c r="CN332" s="1070">
        <v>6.9</v>
      </c>
      <c r="CO332" s="1068" t="s">
        <v>2825</v>
      </c>
      <c r="CP332" s="1064"/>
      <c r="CQ332" s="1070">
        <v>0.25900000000000001</v>
      </c>
      <c r="CR332" s="588">
        <v>2431.0120000000002</v>
      </c>
      <c r="CS332" s="1060" t="s">
        <v>2489</v>
      </c>
      <c r="CT332" s="1064" t="s">
        <v>470</v>
      </c>
      <c r="CU332" s="1064"/>
      <c r="CV332" s="1064"/>
      <c r="CW332" s="1064"/>
      <c r="CX332" s="1068"/>
      <c r="CY332" s="1068"/>
      <c r="CZ332" s="1068"/>
      <c r="DA332" s="1064" t="s">
        <v>470</v>
      </c>
      <c r="DB332" s="1064"/>
      <c r="DC332" s="1068"/>
      <c r="DD332" s="1064" t="s">
        <v>479</v>
      </c>
      <c r="DE332" s="1064" t="s">
        <v>2826</v>
      </c>
      <c r="DF332" s="1068" t="s">
        <v>481</v>
      </c>
      <c r="DG332" s="1068" t="s">
        <v>470</v>
      </c>
      <c r="DH332" s="1068"/>
      <c r="DI332" s="1068"/>
      <c r="DJ332" s="1068" t="s">
        <v>470</v>
      </c>
      <c r="DK332" s="1068"/>
      <c r="DL332" s="1068"/>
      <c r="DM332" s="1064" t="s">
        <v>470</v>
      </c>
      <c r="DN332" s="1064"/>
      <c r="DO332" s="1068"/>
      <c r="DP332" s="1064" t="s">
        <v>470</v>
      </c>
      <c r="DQ332" s="1064"/>
      <c r="DR332" s="1068"/>
      <c r="DS332" s="1064" t="s">
        <v>470</v>
      </c>
      <c r="DT332" s="1064"/>
      <c r="DU332" s="1068"/>
      <c r="DV332" s="1064"/>
      <c r="DW332" s="1064"/>
      <c r="DX332" s="1068"/>
      <c r="DY332" s="1064" t="s">
        <v>470</v>
      </c>
      <c r="DZ332" s="1064"/>
      <c r="EA332" s="1068"/>
      <c r="EB332" s="1064" t="s">
        <v>479</v>
      </c>
      <c r="EC332" s="1064" t="s">
        <v>2827</v>
      </c>
      <c r="ED332" s="1068" t="s">
        <v>481</v>
      </c>
      <c r="EE332" s="1068" t="s">
        <v>470</v>
      </c>
      <c r="EF332" s="1068"/>
      <c r="EG332" s="1068"/>
      <c r="EH332" s="1064" t="s">
        <v>470</v>
      </c>
      <c r="EI332" s="1064"/>
      <c r="EJ332" s="1068"/>
      <c r="EK332" s="1064" t="s">
        <v>470</v>
      </c>
      <c r="EL332" s="1064"/>
      <c r="EM332" s="1068"/>
      <c r="EN332" s="1064" t="s">
        <v>470</v>
      </c>
      <c r="EO332" s="1064"/>
      <c r="EP332" s="1068"/>
      <c r="EQ332" s="1068" t="s">
        <v>470</v>
      </c>
      <c r="ER332" s="1068"/>
      <c r="ES332" s="1068"/>
      <c r="ET332" s="1064"/>
      <c r="EU332" s="1064"/>
      <c r="EV332" s="1068"/>
      <c r="EW332" s="1064" t="s">
        <v>2828</v>
      </c>
      <c r="EX332" s="1064" t="s">
        <v>2829</v>
      </c>
      <c r="EY332" s="1070" t="s">
        <v>2830</v>
      </c>
      <c r="EZ332" s="1064" t="s">
        <v>470</v>
      </c>
      <c r="FA332" s="1064"/>
      <c r="FB332" s="1064"/>
      <c r="FC332" s="1068"/>
      <c r="FD332" s="1068"/>
      <c r="FE332" s="1068"/>
      <c r="FF332" s="1064"/>
      <c r="FG332" s="1064"/>
      <c r="FH332" s="1064"/>
      <c r="FI332" s="1064"/>
      <c r="FJ332" s="198" t="s">
        <v>2831</v>
      </c>
      <c r="FK332" s="570" t="s">
        <v>2832</v>
      </c>
      <c r="FL332" s="901" t="s">
        <v>2833</v>
      </c>
      <c r="FM332" s="198" t="s">
        <v>2796</v>
      </c>
      <c r="FN332" s="570" t="s">
        <v>2797</v>
      </c>
      <c r="FO332" s="901" t="s">
        <v>2798</v>
      </c>
    </row>
    <row r="333" spans="5:195" ht="104" customHeight="1" x14ac:dyDescent="0.2">
      <c r="E333" s="94" t="s">
        <v>9304</v>
      </c>
      <c r="F333" s="94" t="s">
        <v>9120</v>
      </c>
      <c r="G333" s="198" t="s">
        <v>350</v>
      </c>
      <c r="H333" s="198" t="s">
        <v>435</v>
      </c>
      <c r="I333" s="198"/>
      <c r="J333" s="198" t="s">
        <v>840</v>
      </c>
      <c r="K333" s="198" t="s">
        <v>2799</v>
      </c>
      <c r="L333" s="998">
        <v>2018</v>
      </c>
      <c r="M333" s="999">
        <v>44593</v>
      </c>
      <c r="N333" s="999">
        <v>44866</v>
      </c>
      <c r="O333" s="198" t="s">
        <v>2800</v>
      </c>
      <c r="P333" s="997" t="s">
        <v>2801</v>
      </c>
      <c r="Q333" s="997" t="s">
        <v>2802</v>
      </c>
      <c r="R333" s="997"/>
      <c r="S333" s="997"/>
      <c r="T333" s="997"/>
      <c r="U333" s="997"/>
      <c r="V333" s="997"/>
      <c r="W333" s="997"/>
      <c r="X333" s="997"/>
      <c r="Y333" s="997"/>
      <c r="Z333" s="997"/>
      <c r="AA333" s="997"/>
      <c r="AB333" s="997"/>
      <c r="AC333" s="997"/>
      <c r="AD333" s="997"/>
      <c r="AE333" s="997"/>
      <c r="AF333" s="997"/>
      <c r="AG333" s="997"/>
      <c r="AH333" s="998"/>
      <c r="AI333" s="997" t="s">
        <v>2803</v>
      </c>
      <c r="AJ333" s="997" t="s">
        <v>2804</v>
      </c>
      <c r="AK333" s="997" t="s">
        <v>2805</v>
      </c>
      <c r="AL333" s="580">
        <f t="shared" si="41"/>
        <v>1060.2719999999999</v>
      </c>
      <c r="AM333" s="504">
        <v>1060.2719999999999</v>
      </c>
      <c r="AN333" s="1001">
        <v>13.867000000000001</v>
      </c>
      <c r="AO333" s="1002">
        <v>1.307E-2</v>
      </c>
      <c r="AP333" s="1002">
        <v>8.0000000000000007E-5</v>
      </c>
      <c r="AQ333" s="504">
        <v>0</v>
      </c>
      <c r="AR333" s="137"/>
      <c r="AS333" s="137"/>
      <c r="AT333" s="520">
        <v>0</v>
      </c>
      <c r="AU333" s="137"/>
      <c r="AV333" s="520">
        <v>0</v>
      </c>
      <c r="AW333" s="137"/>
      <c r="AX333" s="520"/>
      <c r="AY333" s="137"/>
      <c r="AZ333" s="520">
        <v>1046.405</v>
      </c>
      <c r="BA333" s="1002">
        <v>0.9869</v>
      </c>
      <c r="BB333" s="997" t="s">
        <v>2806</v>
      </c>
      <c r="BC333" s="997" t="s">
        <v>847</v>
      </c>
      <c r="BD333" s="1002" t="s">
        <v>2803</v>
      </c>
      <c r="BE333" s="997" t="s">
        <v>470</v>
      </c>
      <c r="BF333" s="997"/>
      <c r="BG333" s="997"/>
      <c r="BH333" s="997"/>
      <c r="BI333" s="585"/>
      <c r="BJ333" s="1002"/>
      <c r="BK333" s="587">
        <v>186</v>
      </c>
      <c r="BL333" s="587">
        <v>135</v>
      </c>
      <c r="BM333" s="587">
        <v>135</v>
      </c>
      <c r="BN333" s="587"/>
      <c r="BO333" s="587">
        <v>15</v>
      </c>
      <c r="BP333" s="587"/>
      <c r="BQ333" s="587"/>
      <c r="BR333" s="587"/>
      <c r="BS333" s="587"/>
      <c r="BT333" s="587"/>
      <c r="BU333" s="587"/>
      <c r="BV333" s="587">
        <v>54</v>
      </c>
      <c r="BW333" s="587">
        <v>89</v>
      </c>
      <c r="BX333" s="587">
        <v>14</v>
      </c>
      <c r="BY333" s="587">
        <v>120</v>
      </c>
      <c r="BZ333" s="587"/>
      <c r="CA333" s="587"/>
      <c r="CB333" s="587"/>
      <c r="CC333" s="587"/>
      <c r="CD333" s="587"/>
      <c r="CE333" s="587"/>
      <c r="CF333" s="587">
        <v>120</v>
      </c>
      <c r="CG333" s="587"/>
      <c r="CH333" s="587"/>
      <c r="CI333" s="587"/>
      <c r="CJ333" s="587"/>
      <c r="CK333" s="587"/>
      <c r="CL333" s="1003">
        <f t="shared" si="42"/>
        <v>412</v>
      </c>
      <c r="CM333" s="824">
        <f t="shared" si="40"/>
        <v>0</v>
      </c>
      <c r="CN333" s="585">
        <v>1856.134</v>
      </c>
      <c r="CO333" s="997" t="s">
        <v>2807</v>
      </c>
      <c r="CP333" s="1000" t="s">
        <v>2808</v>
      </c>
      <c r="CQ333" s="1002">
        <v>0.76349999999999996</v>
      </c>
      <c r="CR333" s="588">
        <v>2431.0120000000002</v>
      </c>
      <c r="CS333" s="1060" t="s">
        <v>2489</v>
      </c>
      <c r="CT333" s="997"/>
      <c r="CU333" s="997"/>
      <c r="CV333" s="997"/>
      <c r="CW333" s="997"/>
      <c r="CX333" s="587"/>
      <c r="CY333" s="587"/>
      <c r="CZ333" s="587">
        <v>3</v>
      </c>
      <c r="DA333" s="997" t="s">
        <v>479</v>
      </c>
      <c r="DB333" s="997" t="s">
        <v>2809</v>
      </c>
      <c r="DC333" s="587">
        <v>187742</v>
      </c>
      <c r="DD333" s="997" t="s">
        <v>479</v>
      </c>
      <c r="DE333" s="997" t="s">
        <v>1033</v>
      </c>
      <c r="DF333" s="587">
        <v>96123</v>
      </c>
      <c r="DG333" s="587" t="s">
        <v>470</v>
      </c>
      <c r="DH333" s="587"/>
      <c r="DI333" s="587"/>
      <c r="DJ333" s="587" t="s">
        <v>470</v>
      </c>
      <c r="DK333" s="587"/>
      <c r="DL333" s="587"/>
      <c r="DM333" s="997" t="s">
        <v>479</v>
      </c>
      <c r="DN333" s="997" t="s">
        <v>2810</v>
      </c>
      <c r="DO333" s="587">
        <v>24781</v>
      </c>
      <c r="DP333" s="997" t="s">
        <v>470</v>
      </c>
      <c r="DQ333" s="997"/>
      <c r="DR333" s="587"/>
      <c r="DS333" s="997" t="s">
        <v>470</v>
      </c>
      <c r="DT333" s="997"/>
      <c r="DU333" s="587"/>
      <c r="DV333" s="997"/>
      <c r="DW333" s="997"/>
      <c r="DX333" s="587"/>
      <c r="DY333" s="997" t="s">
        <v>479</v>
      </c>
      <c r="DZ333" s="1000" t="s">
        <v>2811</v>
      </c>
      <c r="EA333" s="587">
        <v>296126</v>
      </c>
      <c r="EB333" s="997" t="s">
        <v>470</v>
      </c>
      <c r="EC333" s="997"/>
      <c r="ED333" s="587"/>
      <c r="EE333" s="997" t="s">
        <v>470</v>
      </c>
      <c r="EF333" s="997"/>
      <c r="EG333" s="587"/>
      <c r="EH333" s="997" t="s">
        <v>470</v>
      </c>
      <c r="EI333" s="997"/>
      <c r="EJ333" s="587"/>
      <c r="EK333" s="997" t="s">
        <v>470</v>
      </c>
      <c r="EL333" s="997"/>
      <c r="EM333" s="587"/>
      <c r="EN333" s="997" t="s">
        <v>470</v>
      </c>
      <c r="EO333" s="997"/>
      <c r="EP333" s="587"/>
      <c r="EQ333" s="997" t="s">
        <v>470</v>
      </c>
      <c r="ER333" s="997"/>
      <c r="ES333" s="587"/>
      <c r="ET333" s="997" t="s">
        <v>470</v>
      </c>
      <c r="EU333" s="997"/>
      <c r="EV333" s="587"/>
      <c r="EW333" s="1004">
        <v>1</v>
      </c>
      <c r="EX333" s="587"/>
      <c r="EY333" s="587">
        <v>41</v>
      </c>
      <c r="EZ333" s="997" t="s">
        <v>2812</v>
      </c>
      <c r="FA333" s="997"/>
      <c r="FB333" s="1000" t="s">
        <v>2813</v>
      </c>
      <c r="FC333" s="997"/>
      <c r="FD333" s="997" t="s">
        <v>2813</v>
      </c>
      <c r="FE333" s="997"/>
      <c r="FF333" s="997"/>
      <c r="FG333" s="997"/>
      <c r="FH333" s="997"/>
      <c r="FI333" s="997"/>
      <c r="FJ333" s="997" t="s">
        <v>2814</v>
      </c>
      <c r="FK333" s="997" t="s">
        <v>2815</v>
      </c>
      <c r="FL333" s="1000" t="s">
        <v>2816</v>
      </c>
      <c r="FM333" s="198" t="s">
        <v>2796</v>
      </c>
      <c r="FN333" s="570" t="s">
        <v>2797</v>
      </c>
      <c r="FO333" s="901" t="s">
        <v>2798</v>
      </c>
    </row>
    <row r="334" spans="5:195" ht="104" customHeight="1" x14ac:dyDescent="0.2">
      <c r="E334" s="94" t="s">
        <v>9302</v>
      </c>
      <c r="F334" s="94" t="s">
        <v>9120</v>
      </c>
      <c r="G334" s="198" t="s">
        <v>351</v>
      </c>
      <c r="H334" s="97" t="s">
        <v>436</v>
      </c>
      <c r="I334" s="198"/>
      <c r="J334" s="997" t="s">
        <v>576</v>
      </c>
      <c r="K334" s="997" t="s">
        <v>577</v>
      </c>
      <c r="L334" s="998">
        <v>2017</v>
      </c>
      <c r="M334" s="999" t="s">
        <v>578</v>
      </c>
      <c r="N334" s="999" t="s">
        <v>554</v>
      </c>
      <c r="O334" s="997" t="s">
        <v>576</v>
      </c>
      <c r="P334" s="997" t="s">
        <v>576</v>
      </c>
      <c r="Q334" s="1037" t="s">
        <v>579</v>
      </c>
      <c r="R334" s="997" t="s">
        <v>580</v>
      </c>
      <c r="S334" s="1037" t="s">
        <v>581</v>
      </c>
      <c r="T334" s="997" t="s">
        <v>580</v>
      </c>
      <c r="U334" s="997" t="s">
        <v>581</v>
      </c>
      <c r="V334" s="997" t="s">
        <v>576</v>
      </c>
      <c r="W334" s="997" t="s">
        <v>579</v>
      </c>
      <c r="X334" s="997" t="s">
        <v>576</v>
      </c>
      <c r="Y334" s="997" t="s">
        <v>579</v>
      </c>
      <c r="Z334" s="997"/>
      <c r="AA334" s="997"/>
      <c r="AB334" s="997"/>
      <c r="AC334" s="997"/>
      <c r="AD334" s="997"/>
      <c r="AE334" s="997"/>
      <c r="AF334" s="997"/>
      <c r="AG334" s="997"/>
      <c r="AH334" s="997" t="s">
        <v>582</v>
      </c>
      <c r="AI334" s="997" t="s">
        <v>582</v>
      </c>
      <c r="AJ334" s="997" t="s">
        <v>504</v>
      </c>
      <c r="AK334" s="997" t="s">
        <v>583</v>
      </c>
      <c r="AL334" s="580">
        <f t="shared" si="41"/>
        <v>798.6</v>
      </c>
      <c r="AM334" s="504">
        <v>798.6</v>
      </c>
      <c r="AN334" s="1001">
        <v>500</v>
      </c>
      <c r="AO334" s="1002">
        <v>0.499</v>
      </c>
      <c r="AP334" s="1002">
        <v>1.6000000000000001E-3</v>
      </c>
      <c r="AQ334" s="504">
        <v>216</v>
      </c>
      <c r="AR334" s="137">
        <v>0.216</v>
      </c>
      <c r="AS334" s="137"/>
      <c r="AT334" s="520">
        <v>30.9</v>
      </c>
      <c r="AU334" s="137">
        <v>3.0800000000000001E-2</v>
      </c>
      <c r="AV334" s="520">
        <v>51.7</v>
      </c>
      <c r="AW334" s="137">
        <v>5.16E-2</v>
      </c>
      <c r="AX334" s="520"/>
      <c r="AY334" s="137"/>
      <c r="AZ334" s="520">
        <v>0</v>
      </c>
      <c r="BA334" s="585">
        <v>0</v>
      </c>
      <c r="BB334" s="585" t="s">
        <v>470</v>
      </c>
      <c r="BC334" s="585" t="s">
        <v>470</v>
      </c>
      <c r="BD334" s="585" t="s">
        <v>470</v>
      </c>
      <c r="BE334" s="997" t="s">
        <v>540</v>
      </c>
      <c r="BF334" s="997"/>
      <c r="BG334" s="997"/>
      <c r="BH334" s="997">
        <v>82.6</v>
      </c>
      <c r="BI334" s="1071">
        <v>562</v>
      </c>
      <c r="BJ334" s="1002">
        <v>1.6999999999999999E-3</v>
      </c>
      <c r="BK334" s="587">
        <v>1740</v>
      </c>
      <c r="BL334" s="587">
        <v>459</v>
      </c>
      <c r="BM334" s="587">
        <v>332</v>
      </c>
      <c r="BN334" s="587">
        <v>58</v>
      </c>
      <c r="BO334" s="587">
        <v>61</v>
      </c>
      <c r="BP334" s="587">
        <v>32</v>
      </c>
      <c r="BQ334" s="587">
        <v>54</v>
      </c>
      <c r="BR334" s="587">
        <v>1</v>
      </c>
      <c r="BS334" s="587">
        <v>3</v>
      </c>
      <c r="BT334" s="587">
        <v>17</v>
      </c>
      <c r="BU334" s="587">
        <v>9</v>
      </c>
      <c r="BV334" s="587">
        <v>35</v>
      </c>
      <c r="BW334" s="587">
        <v>42</v>
      </c>
      <c r="BX334" s="587">
        <v>30</v>
      </c>
      <c r="BY334" s="587">
        <v>48</v>
      </c>
      <c r="BZ334" s="587">
        <v>4</v>
      </c>
      <c r="CA334" s="587">
        <v>11</v>
      </c>
      <c r="CB334" s="587"/>
      <c r="CC334" s="587"/>
      <c r="CD334" s="587"/>
      <c r="CE334" s="587"/>
      <c r="CF334" s="587"/>
      <c r="CG334" s="587"/>
      <c r="CH334" s="587"/>
      <c r="CI334" s="587"/>
      <c r="CJ334" s="587"/>
      <c r="CK334" s="587">
        <v>54</v>
      </c>
      <c r="CL334" s="1003">
        <f t="shared" si="42"/>
        <v>459</v>
      </c>
      <c r="CM334" s="824">
        <f t="shared" si="40"/>
        <v>0</v>
      </c>
      <c r="CN334" s="585">
        <v>658.5</v>
      </c>
      <c r="CO334" s="997" t="s">
        <v>584</v>
      </c>
      <c r="CP334" s="997" t="s">
        <v>579</v>
      </c>
      <c r="CQ334" s="1002">
        <v>0.65900000000000003</v>
      </c>
      <c r="CR334" s="585">
        <v>997.83299999999997</v>
      </c>
      <c r="CS334" s="1035" t="s">
        <v>585</v>
      </c>
      <c r="CT334" s="997" t="s">
        <v>586</v>
      </c>
      <c r="CU334" s="997" t="s">
        <v>470</v>
      </c>
      <c r="CV334" s="997" t="s">
        <v>470</v>
      </c>
      <c r="CW334" s="587" t="s">
        <v>587</v>
      </c>
      <c r="CX334" s="587" t="s">
        <v>470</v>
      </c>
      <c r="CY334" s="587" t="s">
        <v>470</v>
      </c>
      <c r="CZ334" s="587" t="s">
        <v>588</v>
      </c>
      <c r="DA334" s="997" t="s">
        <v>540</v>
      </c>
      <c r="DB334" s="997" t="s">
        <v>589</v>
      </c>
      <c r="DC334" s="587">
        <v>382896</v>
      </c>
      <c r="DD334" s="997" t="s">
        <v>540</v>
      </c>
      <c r="DE334" s="997" t="s">
        <v>590</v>
      </c>
      <c r="DF334" s="587">
        <v>166421</v>
      </c>
      <c r="DG334" s="587" t="s">
        <v>470</v>
      </c>
      <c r="DH334" s="587"/>
      <c r="DI334" s="587"/>
      <c r="DJ334" s="587" t="s">
        <v>540</v>
      </c>
      <c r="DK334" s="587" t="s">
        <v>591</v>
      </c>
      <c r="DL334" s="587" t="s">
        <v>592</v>
      </c>
      <c r="DM334" s="997" t="s">
        <v>540</v>
      </c>
      <c r="DN334" s="997" t="s">
        <v>591</v>
      </c>
      <c r="DO334" s="587" t="s">
        <v>592</v>
      </c>
      <c r="DP334" s="997" t="s">
        <v>540</v>
      </c>
      <c r="DQ334" s="997" t="s">
        <v>591</v>
      </c>
      <c r="DR334" s="587" t="s">
        <v>592</v>
      </c>
      <c r="DS334" s="997" t="s">
        <v>540</v>
      </c>
      <c r="DT334" s="997" t="s">
        <v>591</v>
      </c>
      <c r="DU334" s="587" t="s">
        <v>592</v>
      </c>
      <c r="DV334" s="997" t="s">
        <v>540</v>
      </c>
      <c r="DW334" s="997" t="s">
        <v>591</v>
      </c>
      <c r="DX334" s="587" t="s">
        <v>592</v>
      </c>
      <c r="DY334" s="997" t="s">
        <v>540</v>
      </c>
      <c r="DZ334" s="997"/>
      <c r="EA334" s="587"/>
      <c r="EB334" s="997" t="s">
        <v>470</v>
      </c>
      <c r="EC334" s="997"/>
      <c r="ED334" s="587"/>
      <c r="EE334" s="587" t="s">
        <v>470</v>
      </c>
      <c r="EF334" s="587"/>
      <c r="EG334" s="587"/>
      <c r="EH334" s="997" t="s">
        <v>470</v>
      </c>
      <c r="EI334" s="997"/>
      <c r="EJ334" s="587"/>
      <c r="EK334" s="997" t="s">
        <v>470</v>
      </c>
      <c r="EL334" s="997"/>
      <c r="EM334" s="587"/>
      <c r="EN334" s="997" t="s">
        <v>479</v>
      </c>
      <c r="EO334" s="997" t="s">
        <v>593</v>
      </c>
      <c r="EP334" s="587">
        <v>13</v>
      </c>
      <c r="EQ334" s="587" t="s">
        <v>470</v>
      </c>
      <c r="ER334" s="587"/>
      <c r="ES334" s="587"/>
      <c r="ET334" s="997" t="s">
        <v>470</v>
      </c>
      <c r="EU334" s="997"/>
      <c r="EV334" s="587"/>
      <c r="EW334" s="1004">
        <v>1</v>
      </c>
      <c r="EX334" s="997" t="s">
        <v>576</v>
      </c>
      <c r="EY334" s="1005">
        <v>366</v>
      </c>
      <c r="EZ334" s="997" t="s">
        <v>540</v>
      </c>
      <c r="FA334" s="997" t="s">
        <v>594</v>
      </c>
      <c r="FB334" s="1037" t="s">
        <v>595</v>
      </c>
      <c r="FC334" s="1037" t="s">
        <v>596</v>
      </c>
      <c r="FD334" s="1037" t="s">
        <v>581</v>
      </c>
      <c r="FE334" s="997" t="s">
        <v>597</v>
      </c>
      <c r="FF334" s="1037" t="s">
        <v>595</v>
      </c>
      <c r="FG334" s="997" t="s">
        <v>598</v>
      </c>
      <c r="FH334" s="997">
        <v>3</v>
      </c>
      <c r="FI334" s="997" t="s">
        <v>599</v>
      </c>
      <c r="FJ334" s="997" t="s">
        <v>600</v>
      </c>
      <c r="FK334" s="997" t="s">
        <v>601</v>
      </c>
      <c r="FL334" s="997" t="s">
        <v>602</v>
      </c>
      <c r="FM334" s="997" t="s">
        <v>603</v>
      </c>
      <c r="FN334" s="997" t="s">
        <v>604</v>
      </c>
      <c r="FO334" s="997" t="s">
        <v>605</v>
      </c>
    </row>
    <row r="335" spans="5:195" ht="104" customHeight="1" x14ac:dyDescent="0.2">
      <c r="E335" s="94" t="s">
        <v>3236</v>
      </c>
      <c r="F335" s="94" t="s">
        <v>9120</v>
      </c>
      <c r="G335" s="198" t="s">
        <v>352</v>
      </c>
      <c r="H335" s="97" t="s">
        <v>437</v>
      </c>
      <c r="I335" s="198"/>
      <c r="J335" s="198" t="s">
        <v>2644</v>
      </c>
      <c r="K335" s="198" t="s">
        <v>2645</v>
      </c>
      <c r="L335" s="578" t="s">
        <v>527</v>
      </c>
      <c r="M335" s="822">
        <v>44470</v>
      </c>
      <c r="N335" s="822">
        <v>44926</v>
      </c>
      <c r="O335" s="198" t="s">
        <v>2646</v>
      </c>
      <c r="P335" s="198" t="s">
        <v>2647</v>
      </c>
      <c r="Q335" s="884" t="s">
        <v>2648</v>
      </c>
      <c r="R335" s="198" t="s">
        <v>470</v>
      </c>
      <c r="S335" s="198" t="s">
        <v>656</v>
      </c>
      <c r="T335" s="198" t="s">
        <v>470</v>
      </c>
      <c r="U335" s="198" t="s">
        <v>656</v>
      </c>
      <c r="V335" s="198" t="s">
        <v>2649</v>
      </c>
      <c r="W335" s="1072" t="s">
        <v>2650</v>
      </c>
      <c r="X335" s="198" t="s">
        <v>470</v>
      </c>
      <c r="Y335" s="198" t="s">
        <v>656</v>
      </c>
      <c r="Z335" s="198"/>
      <c r="AA335" s="198"/>
      <c r="AB335" s="198"/>
      <c r="AC335" s="198"/>
      <c r="AD335" s="198"/>
      <c r="AE335" s="198"/>
      <c r="AF335" s="198"/>
      <c r="AG335" s="198"/>
      <c r="AH335" s="198" t="s">
        <v>2651</v>
      </c>
      <c r="AI335" s="198" t="s">
        <v>2651</v>
      </c>
      <c r="AJ335" s="198" t="s">
        <v>2652</v>
      </c>
      <c r="AK335" s="198" t="s">
        <v>2653</v>
      </c>
      <c r="AL335" s="580">
        <f t="shared" si="41"/>
        <v>311.8</v>
      </c>
      <c r="AM335" s="504">
        <v>311.8</v>
      </c>
      <c r="AN335" s="516">
        <v>308.7</v>
      </c>
      <c r="AO335" s="137">
        <v>0.99</v>
      </c>
      <c r="AP335" s="137">
        <v>1.5E-3</v>
      </c>
      <c r="AQ335" s="504">
        <v>3.1</v>
      </c>
      <c r="AR335" s="137">
        <v>0.01</v>
      </c>
      <c r="AS335" s="137"/>
      <c r="AT335" s="520">
        <v>0</v>
      </c>
      <c r="AU335" s="137">
        <v>0</v>
      </c>
      <c r="AV335" s="520">
        <v>0</v>
      </c>
      <c r="AW335" s="137">
        <v>0</v>
      </c>
      <c r="AX335" s="520"/>
      <c r="AY335" s="137">
        <v>0</v>
      </c>
      <c r="AZ335" s="520">
        <v>0</v>
      </c>
      <c r="BA335" s="137">
        <v>0</v>
      </c>
      <c r="BB335" s="198" t="s">
        <v>470</v>
      </c>
      <c r="BC335" s="198" t="s">
        <v>470</v>
      </c>
      <c r="BD335" s="198" t="s">
        <v>470</v>
      </c>
      <c r="BE335" s="198" t="s">
        <v>470</v>
      </c>
      <c r="BF335" s="198" t="s">
        <v>2654</v>
      </c>
      <c r="BG335" s="198" t="s">
        <v>470</v>
      </c>
      <c r="BH335" s="198">
        <v>0</v>
      </c>
      <c r="BI335" s="580">
        <v>322.5</v>
      </c>
      <c r="BJ335" s="137">
        <v>1.6000000000000001E-3</v>
      </c>
      <c r="BK335" s="83">
        <v>396</v>
      </c>
      <c r="BL335" s="83">
        <v>396</v>
      </c>
      <c r="BM335" s="83">
        <v>141</v>
      </c>
      <c r="BN335" s="83"/>
      <c r="BO335" s="83"/>
      <c r="BP335" s="83"/>
      <c r="BQ335" s="83"/>
      <c r="BR335" s="83"/>
      <c r="BS335" s="83"/>
      <c r="BT335" s="83"/>
      <c r="BU335" s="83"/>
      <c r="BV335" s="83"/>
      <c r="BW335" s="83"/>
      <c r="BX335" s="83"/>
      <c r="BY335" s="83"/>
      <c r="BZ335" s="83"/>
      <c r="CA335" s="83"/>
      <c r="CB335" s="83"/>
      <c r="CC335" s="83"/>
      <c r="CD335" s="83"/>
      <c r="CE335" s="83"/>
      <c r="CF335" s="83"/>
      <c r="CG335" s="83">
        <v>141</v>
      </c>
      <c r="CH335" s="83"/>
      <c r="CI335" s="83"/>
      <c r="CJ335" s="83"/>
      <c r="CK335" s="83"/>
      <c r="CL335" s="824">
        <f t="shared" si="42"/>
        <v>141</v>
      </c>
      <c r="CM335" s="824">
        <f t="shared" si="40"/>
        <v>0</v>
      </c>
      <c r="CN335" s="580" t="s">
        <v>656</v>
      </c>
      <c r="CO335" s="198" t="s">
        <v>976</v>
      </c>
      <c r="CP335" s="198" t="s">
        <v>656</v>
      </c>
      <c r="CQ335" s="137" t="s">
        <v>656</v>
      </c>
      <c r="CR335" s="580">
        <v>484.17700000000002</v>
      </c>
      <c r="CS335" s="834" t="s">
        <v>2655</v>
      </c>
      <c r="CT335" s="198" t="s">
        <v>470</v>
      </c>
      <c r="CU335" s="198" t="s">
        <v>656</v>
      </c>
      <c r="CV335" s="198" t="s">
        <v>656</v>
      </c>
      <c r="CW335" s="198" t="s">
        <v>656</v>
      </c>
      <c r="CX335" s="83" t="s">
        <v>656</v>
      </c>
      <c r="CY335" s="83" t="s">
        <v>656</v>
      </c>
      <c r="CZ335" s="83">
        <v>6</v>
      </c>
      <c r="DA335" s="198" t="s">
        <v>470</v>
      </c>
      <c r="DB335" s="198" t="s">
        <v>656</v>
      </c>
      <c r="DC335" s="83" t="s">
        <v>656</v>
      </c>
      <c r="DD335" s="198" t="s">
        <v>479</v>
      </c>
      <c r="DE335" s="198" t="s">
        <v>2656</v>
      </c>
      <c r="DF335" s="83">
        <v>8822</v>
      </c>
      <c r="DG335" s="83" t="s">
        <v>470</v>
      </c>
      <c r="DH335" s="83" t="s">
        <v>656</v>
      </c>
      <c r="DI335" s="83" t="s">
        <v>656</v>
      </c>
      <c r="DJ335" s="83" t="s">
        <v>470</v>
      </c>
      <c r="DK335" s="83" t="s">
        <v>656</v>
      </c>
      <c r="DL335" s="83" t="s">
        <v>656</v>
      </c>
      <c r="DM335" s="198" t="s">
        <v>470</v>
      </c>
      <c r="DN335" s="198" t="s">
        <v>656</v>
      </c>
      <c r="DO335" s="83" t="s">
        <v>656</v>
      </c>
      <c r="DP335" s="198" t="s">
        <v>470</v>
      </c>
      <c r="DQ335" s="198" t="s">
        <v>656</v>
      </c>
      <c r="DR335" s="83" t="s">
        <v>656</v>
      </c>
      <c r="DS335" s="198" t="s">
        <v>470</v>
      </c>
      <c r="DT335" s="198" t="s">
        <v>656</v>
      </c>
      <c r="DU335" s="83" t="s">
        <v>656</v>
      </c>
      <c r="DV335" s="198" t="s">
        <v>470</v>
      </c>
      <c r="DW335" s="198" t="s">
        <v>656</v>
      </c>
      <c r="DX335" s="83" t="s">
        <v>656</v>
      </c>
      <c r="DY335" s="198" t="s">
        <v>470</v>
      </c>
      <c r="DZ335" s="198" t="s">
        <v>656</v>
      </c>
      <c r="EA335" s="83" t="s">
        <v>656</v>
      </c>
      <c r="EB335" s="198" t="s">
        <v>470</v>
      </c>
      <c r="EC335" s="198" t="s">
        <v>656</v>
      </c>
      <c r="ED335" s="83" t="s">
        <v>656</v>
      </c>
      <c r="EE335" s="83" t="s">
        <v>470</v>
      </c>
      <c r="EF335" s="83" t="s">
        <v>656</v>
      </c>
      <c r="EG335" s="83" t="s">
        <v>656</v>
      </c>
      <c r="EH335" s="198" t="s">
        <v>470</v>
      </c>
      <c r="EI335" s="198" t="s">
        <v>656</v>
      </c>
      <c r="EJ335" s="83" t="s">
        <v>656</v>
      </c>
      <c r="EK335" s="198" t="s">
        <v>470</v>
      </c>
      <c r="EL335" s="198" t="s">
        <v>656</v>
      </c>
      <c r="EM335" s="83" t="s">
        <v>656</v>
      </c>
      <c r="EN335" s="198" t="s">
        <v>470</v>
      </c>
      <c r="EO335" s="198" t="s">
        <v>656</v>
      </c>
      <c r="EP335" s="83" t="s">
        <v>656</v>
      </c>
      <c r="EQ335" s="83" t="s">
        <v>470</v>
      </c>
      <c r="ER335" s="83" t="s">
        <v>656</v>
      </c>
      <c r="ES335" s="83" t="s">
        <v>656</v>
      </c>
      <c r="ET335" s="198" t="s">
        <v>2657</v>
      </c>
      <c r="EU335" s="198" t="s">
        <v>2658</v>
      </c>
      <c r="EV335" s="83">
        <v>8822</v>
      </c>
      <c r="EW335" s="837">
        <v>1</v>
      </c>
      <c r="EX335" s="198"/>
      <c r="EY335" s="505">
        <v>18</v>
      </c>
      <c r="EZ335" s="198" t="s">
        <v>479</v>
      </c>
      <c r="FA335" s="549" t="s">
        <v>2659</v>
      </c>
      <c r="FB335" s="549" t="s">
        <v>2660</v>
      </c>
      <c r="FC335" s="549" t="s">
        <v>2661</v>
      </c>
      <c r="FD335" s="198" t="s">
        <v>470</v>
      </c>
      <c r="FE335" s="549" t="s">
        <v>2662</v>
      </c>
      <c r="FF335" s="549" t="s">
        <v>2663</v>
      </c>
      <c r="FG335" s="550" t="s">
        <v>2664</v>
      </c>
      <c r="FH335" s="198" t="s">
        <v>656</v>
      </c>
      <c r="FI335" s="198" t="s">
        <v>656</v>
      </c>
      <c r="FJ335" s="198" t="s">
        <v>2665</v>
      </c>
      <c r="FK335" s="198" t="s">
        <v>2666</v>
      </c>
      <c r="FL335" s="93" t="s">
        <v>2667</v>
      </c>
      <c r="FM335" s="198"/>
      <c r="FN335" s="198"/>
      <c r="FO335" s="570"/>
    </row>
    <row r="336" spans="5:195" ht="104" customHeight="1" x14ac:dyDescent="0.2">
      <c r="E336" s="94" t="s">
        <v>9302</v>
      </c>
      <c r="F336" s="94" t="s">
        <v>9120</v>
      </c>
      <c r="G336" s="198" t="s">
        <v>352</v>
      </c>
      <c r="H336" s="97" t="s">
        <v>437</v>
      </c>
      <c r="I336" s="198"/>
      <c r="J336" s="198" t="s">
        <v>2668</v>
      </c>
      <c r="K336" s="198" t="s">
        <v>2669</v>
      </c>
      <c r="L336" s="578" t="s">
        <v>1327</v>
      </c>
      <c r="M336" s="822">
        <v>44378</v>
      </c>
      <c r="N336" s="822">
        <v>44926</v>
      </c>
      <c r="O336" s="198" t="s">
        <v>2646</v>
      </c>
      <c r="P336" s="198" t="s">
        <v>2670</v>
      </c>
      <c r="Q336" s="549" t="s">
        <v>2671</v>
      </c>
      <c r="R336" s="198" t="s">
        <v>470</v>
      </c>
      <c r="S336" s="198" t="s">
        <v>656</v>
      </c>
      <c r="T336" s="198" t="s">
        <v>2672</v>
      </c>
      <c r="U336" s="549" t="s">
        <v>2673</v>
      </c>
      <c r="V336" s="198" t="s">
        <v>2649</v>
      </c>
      <c r="W336" s="95" t="s">
        <v>2650</v>
      </c>
      <c r="X336" s="198" t="s">
        <v>470</v>
      </c>
      <c r="Y336" s="198" t="s">
        <v>656</v>
      </c>
      <c r="Z336" s="198"/>
      <c r="AA336" s="198"/>
      <c r="AB336" s="198"/>
      <c r="AC336" s="198"/>
      <c r="AD336" s="198"/>
      <c r="AE336" s="198"/>
      <c r="AF336" s="198"/>
      <c r="AG336" s="198"/>
      <c r="AH336" s="198" t="s">
        <v>2651</v>
      </c>
      <c r="AI336" s="198" t="s">
        <v>2651</v>
      </c>
      <c r="AJ336" s="198" t="s">
        <v>2652</v>
      </c>
      <c r="AK336" s="198" t="s">
        <v>2653</v>
      </c>
      <c r="AL336" s="580">
        <f t="shared" si="41"/>
        <v>166</v>
      </c>
      <c r="AM336" s="504">
        <v>166</v>
      </c>
      <c r="AN336" s="516">
        <v>156.4</v>
      </c>
      <c r="AO336" s="137">
        <v>0.94199999999999995</v>
      </c>
      <c r="AP336" s="137">
        <v>8.0000000000000004E-4</v>
      </c>
      <c r="AQ336" s="504">
        <v>5.4</v>
      </c>
      <c r="AR336" s="137">
        <v>3.2500000000000001E-2</v>
      </c>
      <c r="AS336" s="137"/>
      <c r="AT336" s="520">
        <v>0</v>
      </c>
      <c r="AU336" s="137">
        <v>0</v>
      </c>
      <c r="AV336" s="520">
        <v>0</v>
      </c>
      <c r="AW336" s="137">
        <v>0</v>
      </c>
      <c r="AX336" s="520">
        <v>4.2</v>
      </c>
      <c r="AY336" s="137">
        <v>2.5000000000000001E-2</v>
      </c>
      <c r="AZ336" s="520">
        <v>0</v>
      </c>
      <c r="BA336" s="137">
        <v>0</v>
      </c>
      <c r="BB336" s="198" t="s">
        <v>470</v>
      </c>
      <c r="BC336" s="198" t="s">
        <v>470</v>
      </c>
      <c r="BD336" s="198" t="s">
        <v>470</v>
      </c>
      <c r="BE336" s="198" t="s">
        <v>479</v>
      </c>
      <c r="BF336" s="198" t="s">
        <v>2674</v>
      </c>
      <c r="BG336" s="198" t="s">
        <v>656</v>
      </c>
      <c r="BH336" s="198">
        <v>2.2000000000000002</v>
      </c>
      <c r="BI336" s="580">
        <v>182</v>
      </c>
      <c r="BJ336" s="137">
        <v>8.9999999999999998E-4</v>
      </c>
      <c r="BK336" s="83">
        <v>138</v>
      </c>
      <c r="BL336" s="83">
        <v>70</v>
      </c>
      <c r="BM336" s="83">
        <v>42</v>
      </c>
      <c r="BN336" s="83">
        <v>1</v>
      </c>
      <c r="BO336" s="83">
        <v>13</v>
      </c>
      <c r="BP336" s="83">
        <v>5</v>
      </c>
      <c r="BQ336" s="83"/>
      <c r="BR336" s="83"/>
      <c r="BS336" s="83"/>
      <c r="BT336" s="83"/>
      <c r="BU336" s="83">
        <v>3</v>
      </c>
      <c r="BV336" s="83">
        <v>5</v>
      </c>
      <c r="BW336" s="83"/>
      <c r="BX336" s="83">
        <v>2</v>
      </c>
      <c r="BY336" s="83">
        <v>12</v>
      </c>
      <c r="BZ336" s="83"/>
      <c r="CA336" s="83"/>
      <c r="CB336" s="83"/>
      <c r="CC336" s="83"/>
      <c r="CD336" s="83"/>
      <c r="CE336" s="83"/>
      <c r="CF336" s="83"/>
      <c r="CG336" s="83"/>
      <c r="CH336" s="83"/>
      <c r="CI336" s="83"/>
      <c r="CJ336" s="83"/>
      <c r="CK336" s="83">
        <v>1</v>
      </c>
      <c r="CL336" s="824">
        <f t="shared" si="42"/>
        <v>42</v>
      </c>
      <c r="CM336" s="824">
        <f t="shared" si="40"/>
        <v>0</v>
      </c>
      <c r="CN336" s="580" t="s">
        <v>656</v>
      </c>
      <c r="CO336" s="198" t="s">
        <v>976</v>
      </c>
      <c r="CP336" s="198" t="s">
        <v>656</v>
      </c>
      <c r="CQ336" s="137" t="s">
        <v>656</v>
      </c>
      <c r="CR336" s="580">
        <v>484.17700000000002</v>
      </c>
      <c r="CS336" s="834" t="s">
        <v>1902</v>
      </c>
      <c r="CT336" s="198" t="s">
        <v>470</v>
      </c>
      <c r="CU336" s="198" t="s">
        <v>656</v>
      </c>
      <c r="CV336" s="198" t="s">
        <v>656</v>
      </c>
      <c r="CW336" s="83" t="s">
        <v>656</v>
      </c>
      <c r="CX336" s="83" t="s">
        <v>656</v>
      </c>
      <c r="CY336" s="83" t="s">
        <v>656</v>
      </c>
      <c r="CZ336" s="83">
        <v>6</v>
      </c>
      <c r="DA336" s="198" t="s">
        <v>479</v>
      </c>
      <c r="DB336" s="198" t="s">
        <v>2675</v>
      </c>
      <c r="DC336" s="83">
        <v>4612</v>
      </c>
      <c r="DD336" s="198" t="s">
        <v>479</v>
      </c>
      <c r="DE336" s="198" t="s">
        <v>2676</v>
      </c>
      <c r="DF336" s="83">
        <v>2824</v>
      </c>
      <c r="DG336" s="83" t="s">
        <v>470</v>
      </c>
      <c r="DH336" s="83" t="s">
        <v>656</v>
      </c>
      <c r="DI336" s="83" t="s">
        <v>656</v>
      </c>
      <c r="DJ336" s="83" t="s">
        <v>470</v>
      </c>
      <c r="DK336" s="83" t="s">
        <v>656</v>
      </c>
      <c r="DL336" s="83" t="s">
        <v>656</v>
      </c>
      <c r="DM336" s="83" t="s">
        <v>470</v>
      </c>
      <c r="DN336" s="83" t="s">
        <v>656</v>
      </c>
      <c r="DO336" s="83" t="s">
        <v>656</v>
      </c>
      <c r="DP336" s="83" t="s">
        <v>470</v>
      </c>
      <c r="DQ336" s="83" t="s">
        <v>656</v>
      </c>
      <c r="DR336" s="83" t="s">
        <v>656</v>
      </c>
      <c r="DS336" s="83" t="s">
        <v>470</v>
      </c>
      <c r="DT336" s="83" t="s">
        <v>656</v>
      </c>
      <c r="DU336" s="83" t="s">
        <v>656</v>
      </c>
      <c r="DV336" s="83" t="s">
        <v>470</v>
      </c>
      <c r="DW336" s="83" t="s">
        <v>656</v>
      </c>
      <c r="DX336" s="83" t="s">
        <v>656</v>
      </c>
      <c r="DY336" s="83" t="s">
        <v>470</v>
      </c>
      <c r="DZ336" s="83" t="s">
        <v>656</v>
      </c>
      <c r="EA336" s="83" t="s">
        <v>656</v>
      </c>
      <c r="EB336" s="83" t="s">
        <v>470</v>
      </c>
      <c r="EC336" s="83" t="s">
        <v>656</v>
      </c>
      <c r="ED336" s="83" t="s">
        <v>656</v>
      </c>
      <c r="EE336" s="83" t="s">
        <v>470</v>
      </c>
      <c r="EF336" s="83" t="s">
        <v>656</v>
      </c>
      <c r="EG336" s="83" t="s">
        <v>656</v>
      </c>
      <c r="EH336" s="83" t="s">
        <v>470</v>
      </c>
      <c r="EI336" s="83" t="s">
        <v>656</v>
      </c>
      <c r="EJ336" s="83" t="s">
        <v>656</v>
      </c>
      <c r="EK336" s="83" t="s">
        <v>470</v>
      </c>
      <c r="EL336" s="83" t="s">
        <v>656</v>
      </c>
      <c r="EM336" s="83" t="s">
        <v>656</v>
      </c>
      <c r="EN336" s="198" t="s">
        <v>479</v>
      </c>
      <c r="EO336" s="549" t="s">
        <v>2677</v>
      </c>
      <c r="EP336" s="83">
        <v>17</v>
      </c>
      <c r="EQ336" s="83" t="s">
        <v>470</v>
      </c>
      <c r="ER336" s="83" t="s">
        <v>656</v>
      </c>
      <c r="ES336" s="83" t="s">
        <v>656</v>
      </c>
      <c r="ET336" s="198" t="s">
        <v>479</v>
      </c>
      <c r="EU336" s="198" t="s">
        <v>2678</v>
      </c>
      <c r="EV336" s="83"/>
      <c r="EW336" s="837">
        <v>1</v>
      </c>
      <c r="EX336" s="198"/>
      <c r="EY336" s="505">
        <v>15</v>
      </c>
      <c r="EZ336" s="198" t="s">
        <v>479</v>
      </c>
      <c r="FA336" s="549" t="s">
        <v>2679</v>
      </c>
      <c r="FB336" s="549" t="s">
        <v>2680</v>
      </c>
      <c r="FC336" s="549" t="s">
        <v>2661</v>
      </c>
      <c r="FD336" s="198" t="s">
        <v>470</v>
      </c>
      <c r="FE336" s="198" t="s">
        <v>2681</v>
      </c>
      <c r="FF336" s="549" t="s">
        <v>2682</v>
      </c>
      <c r="FG336" s="550" t="s">
        <v>2683</v>
      </c>
      <c r="FH336" s="198" t="s">
        <v>656</v>
      </c>
      <c r="FI336" s="198" t="s">
        <v>656</v>
      </c>
      <c r="FJ336" s="198" t="s">
        <v>2665</v>
      </c>
      <c r="FK336" s="198" t="s">
        <v>2666</v>
      </c>
      <c r="FL336" s="93" t="s">
        <v>2667</v>
      </c>
      <c r="FM336" s="198"/>
      <c r="FN336" s="198"/>
      <c r="FO336" s="198"/>
    </row>
    <row r="337" spans="5:171" ht="104" customHeight="1" x14ac:dyDescent="0.2">
      <c r="E337" s="94" t="s">
        <v>9302</v>
      </c>
      <c r="F337" s="94" t="s">
        <v>9120</v>
      </c>
      <c r="G337" s="198" t="s">
        <v>353</v>
      </c>
      <c r="H337" s="198" t="s">
        <v>438</v>
      </c>
      <c r="I337" s="198"/>
      <c r="J337" s="592" t="s">
        <v>2508</v>
      </c>
      <c r="K337" s="198" t="s">
        <v>2509</v>
      </c>
      <c r="L337" s="578">
        <v>2017</v>
      </c>
      <c r="M337" s="822" t="s">
        <v>2510</v>
      </c>
      <c r="N337" s="822">
        <v>44926</v>
      </c>
      <c r="O337" s="198" t="s">
        <v>2511</v>
      </c>
      <c r="P337" s="198" t="s">
        <v>2512</v>
      </c>
      <c r="Q337" s="844" t="s">
        <v>2513</v>
      </c>
      <c r="R337" s="198" t="s">
        <v>2514</v>
      </c>
      <c r="S337" s="844" t="s">
        <v>2515</v>
      </c>
      <c r="T337" s="198" t="s">
        <v>656</v>
      </c>
      <c r="U337" s="198" t="s">
        <v>656</v>
      </c>
      <c r="V337" s="198" t="s">
        <v>656</v>
      </c>
      <c r="W337" s="198" t="s">
        <v>656</v>
      </c>
      <c r="X337" s="198" t="s">
        <v>2516</v>
      </c>
      <c r="Y337" s="844" t="s">
        <v>2517</v>
      </c>
      <c r="Z337" s="844"/>
      <c r="AA337" s="844"/>
      <c r="AB337" s="844"/>
      <c r="AC337" s="844"/>
      <c r="AD337" s="844"/>
      <c r="AE337" s="844"/>
      <c r="AF337" s="844"/>
      <c r="AG337" s="844"/>
      <c r="AH337" s="198" t="s">
        <v>2518</v>
      </c>
      <c r="AI337" s="198" t="s">
        <v>2518</v>
      </c>
      <c r="AJ337" s="198" t="s">
        <v>477</v>
      </c>
      <c r="AK337" s="198" t="s">
        <v>2519</v>
      </c>
      <c r="AL337" s="580">
        <f t="shared" si="41"/>
        <v>86.712866419999997</v>
      </c>
      <c r="AM337" s="504">
        <v>86.712866419999997</v>
      </c>
      <c r="AN337" s="516">
        <v>37.212876139999999</v>
      </c>
      <c r="AO337" s="839">
        <f>AN337/AL337</f>
        <v>0.42915057103240895</v>
      </c>
      <c r="AP337" s="137">
        <f>AN337/386364.9198</f>
        <v>9.6315359477415989E-5</v>
      </c>
      <c r="AQ337" s="504">
        <v>29.618244099999998</v>
      </c>
      <c r="AR337" s="839">
        <f>AQ337/AL337</f>
        <v>0.3415668899300584</v>
      </c>
      <c r="AS337" s="839"/>
      <c r="AT337" s="520">
        <v>4.42274134</v>
      </c>
      <c r="AU337" s="839">
        <f>AT337/AL337</f>
        <v>5.1004441700475391E-2</v>
      </c>
      <c r="AV337" s="520">
        <v>15.45900484</v>
      </c>
      <c r="AW337" s="839">
        <f>AV337/AL337</f>
        <v>0.17827809733705721</v>
      </c>
      <c r="AX337" s="520"/>
      <c r="AY337" s="580" t="s">
        <v>656</v>
      </c>
      <c r="AZ337" s="520" t="s">
        <v>656</v>
      </c>
      <c r="BA337" s="137" t="s">
        <v>656</v>
      </c>
      <c r="BB337" s="198" t="s">
        <v>656</v>
      </c>
      <c r="BC337" s="198" t="s">
        <v>656</v>
      </c>
      <c r="BD337" s="198" t="s">
        <v>656</v>
      </c>
      <c r="BE337" s="198" t="s">
        <v>470</v>
      </c>
      <c r="BF337" s="198"/>
      <c r="BG337" s="198"/>
      <c r="BH337" s="198"/>
      <c r="BI337" s="586">
        <v>50</v>
      </c>
      <c r="BJ337" s="825">
        <f>BI337/374069.5472</f>
        <v>1.3366498388939159E-4</v>
      </c>
      <c r="BK337" s="83">
        <v>93</v>
      </c>
      <c r="BL337" s="83">
        <v>90</v>
      </c>
      <c r="BM337" s="83">
        <v>78</v>
      </c>
      <c r="BN337" s="83" t="s">
        <v>2520</v>
      </c>
      <c r="BO337" s="83" t="s">
        <v>2520</v>
      </c>
      <c r="BP337" s="83" t="s">
        <v>2520</v>
      </c>
      <c r="BQ337" s="83" t="s">
        <v>2520</v>
      </c>
      <c r="BR337" s="83" t="s">
        <v>2520</v>
      </c>
      <c r="BS337" s="83">
        <v>1</v>
      </c>
      <c r="BT337" s="83">
        <v>35</v>
      </c>
      <c r="BU337" s="83">
        <v>4</v>
      </c>
      <c r="BV337" s="83">
        <v>14</v>
      </c>
      <c r="BW337" s="83" t="s">
        <v>2520</v>
      </c>
      <c r="BX337" s="83">
        <v>9</v>
      </c>
      <c r="BY337" s="83">
        <v>10</v>
      </c>
      <c r="BZ337" s="83" t="s">
        <v>2520</v>
      </c>
      <c r="CA337" s="83" t="s">
        <v>2520</v>
      </c>
      <c r="CB337" s="83" t="s">
        <v>2520</v>
      </c>
      <c r="CC337" s="83" t="s">
        <v>2520</v>
      </c>
      <c r="CD337" s="83" t="s">
        <v>2520</v>
      </c>
      <c r="CE337" s="83" t="s">
        <v>2520</v>
      </c>
      <c r="CF337" s="83" t="s">
        <v>2520</v>
      </c>
      <c r="CG337" s="83" t="s">
        <v>2520</v>
      </c>
      <c r="CH337" s="83" t="s">
        <v>2520</v>
      </c>
      <c r="CI337" s="83" t="s">
        <v>2520</v>
      </c>
      <c r="CJ337" s="83" t="s">
        <v>2520</v>
      </c>
      <c r="CK337" s="83" t="s">
        <v>2520</v>
      </c>
      <c r="CL337" s="824">
        <f t="shared" si="42"/>
        <v>73</v>
      </c>
      <c r="CM337" s="824">
        <f t="shared" si="40"/>
        <v>0</v>
      </c>
      <c r="CN337" s="580">
        <v>928.62800000000004</v>
      </c>
      <c r="CO337" s="198" t="s">
        <v>2521</v>
      </c>
      <c r="CP337" s="198"/>
      <c r="CQ337" s="137">
        <f>CN337/CR337</f>
        <v>0.21842741705959365</v>
      </c>
      <c r="CR337" s="580">
        <v>4251.4260000000004</v>
      </c>
      <c r="CS337" s="137" t="s">
        <v>2522</v>
      </c>
      <c r="CT337" s="198" t="s">
        <v>470</v>
      </c>
      <c r="CU337" s="198"/>
      <c r="CV337" s="198"/>
      <c r="CW337" s="198"/>
      <c r="CX337" s="83"/>
      <c r="CY337" s="83"/>
      <c r="CZ337" s="83"/>
      <c r="DA337" s="198" t="s">
        <v>2523</v>
      </c>
      <c r="DB337" s="198" t="s">
        <v>1876</v>
      </c>
      <c r="DC337" s="83">
        <v>26742</v>
      </c>
      <c r="DD337" s="198" t="s">
        <v>2524</v>
      </c>
      <c r="DE337" s="198" t="s">
        <v>2525</v>
      </c>
      <c r="DF337" s="83">
        <v>5878</v>
      </c>
      <c r="DG337" s="83" t="s">
        <v>470</v>
      </c>
      <c r="DH337" s="83"/>
      <c r="DI337" s="83"/>
      <c r="DJ337" s="83" t="s">
        <v>470</v>
      </c>
      <c r="DK337" s="83"/>
      <c r="DL337" s="83"/>
      <c r="DM337" s="198" t="s">
        <v>470</v>
      </c>
      <c r="DN337" s="198"/>
      <c r="DO337" s="83"/>
      <c r="DP337" s="198" t="s">
        <v>2526</v>
      </c>
      <c r="DQ337" s="198"/>
      <c r="DR337" s="83">
        <v>625</v>
      </c>
      <c r="DS337" s="198" t="s">
        <v>2526</v>
      </c>
      <c r="DT337" s="198" t="s">
        <v>2527</v>
      </c>
      <c r="DU337" s="83">
        <v>9</v>
      </c>
      <c r="DV337" s="198" t="s">
        <v>2528</v>
      </c>
      <c r="DW337" s="198" t="s">
        <v>2529</v>
      </c>
      <c r="DX337" s="83">
        <v>10</v>
      </c>
      <c r="DY337" s="198" t="s">
        <v>2530</v>
      </c>
      <c r="DZ337" s="83" t="s">
        <v>2531</v>
      </c>
      <c r="EA337" s="83">
        <v>4567</v>
      </c>
      <c r="EB337" s="198" t="s">
        <v>2532</v>
      </c>
      <c r="EC337" s="198" t="s">
        <v>2533</v>
      </c>
      <c r="ED337" s="83">
        <v>5057</v>
      </c>
      <c r="EE337" s="83" t="s">
        <v>470</v>
      </c>
      <c r="EF337" s="83"/>
      <c r="EG337" s="83"/>
      <c r="EH337" s="198" t="s">
        <v>470</v>
      </c>
      <c r="EI337" s="198"/>
      <c r="EJ337" s="83"/>
      <c r="EK337" s="198" t="s">
        <v>470</v>
      </c>
      <c r="EL337" s="198"/>
      <c r="EM337" s="83"/>
      <c r="EN337" s="198" t="s">
        <v>2534</v>
      </c>
      <c r="EO337" s="198" t="s">
        <v>2535</v>
      </c>
      <c r="EP337" s="83" t="s">
        <v>2536</v>
      </c>
      <c r="EQ337" s="83" t="s">
        <v>479</v>
      </c>
      <c r="ER337" s="83" t="s">
        <v>2537</v>
      </c>
      <c r="ES337" s="83" t="s">
        <v>2538</v>
      </c>
      <c r="ET337" s="198" t="s">
        <v>873</v>
      </c>
      <c r="EU337" s="198" t="s">
        <v>656</v>
      </c>
      <c r="EV337" s="83" t="s">
        <v>656</v>
      </c>
      <c r="EW337" s="837">
        <v>1</v>
      </c>
      <c r="EX337" s="198" t="s">
        <v>656</v>
      </c>
      <c r="EY337" s="83">
        <v>34</v>
      </c>
      <c r="EZ337" s="198" t="s">
        <v>470</v>
      </c>
      <c r="FA337" s="198" t="s">
        <v>2539</v>
      </c>
      <c r="FB337" s="844" t="s">
        <v>2540</v>
      </c>
      <c r="FC337" s="844" t="s">
        <v>2541</v>
      </c>
      <c r="FD337" s="198"/>
      <c r="FE337" s="550" t="s">
        <v>2542</v>
      </c>
      <c r="FF337" s="198"/>
      <c r="FG337" s="198" t="s">
        <v>2543</v>
      </c>
      <c r="FH337" s="198"/>
      <c r="FI337" s="198"/>
      <c r="FJ337" s="198" t="s">
        <v>2544</v>
      </c>
      <c r="FK337" s="198" t="s">
        <v>2545</v>
      </c>
      <c r="FL337" s="844" t="s">
        <v>2546</v>
      </c>
      <c r="FM337" s="198"/>
      <c r="FN337" s="198"/>
      <c r="FO337" s="198"/>
    </row>
    <row r="338" spans="5:171" ht="104" customHeight="1" x14ac:dyDescent="0.2">
      <c r="E338" s="94" t="s">
        <v>9303</v>
      </c>
      <c r="F338" s="94" t="s">
        <v>9120</v>
      </c>
      <c r="G338" s="198" t="s">
        <v>353</v>
      </c>
      <c r="H338" s="198" t="s">
        <v>438</v>
      </c>
      <c r="I338" s="198"/>
      <c r="J338" s="592" t="s">
        <v>1045</v>
      </c>
      <c r="K338" s="198" t="s">
        <v>1045</v>
      </c>
      <c r="L338" s="578">
        <v>2019</v>
      </c>
      <c r="M338" s="822">
        <v>44470</v>
      </c>
      <c r="N338" s="822">
        <v>44726</v>
      </c>
      <c r="O338" s="198" t="s">
        <v>2584</v>
      </c>
      <c r="P338" s="198" t="s">
        <v>2585</v>
      </c>
      <c r="Q338" s="844" t="s">
        <v>2586</v>
      </c>
      <c r="R338" s="198" t="s">
        <v>2514</v>
      </c>
      <c r="S338" s="844" t="s">
        <v>2515</v>
      </c>
      <c r="T338" s="198" t="s">
        <v>656</v>
      </c>
      <c r="U338" s="198" t="s">
        <v>656</v>
      </c>
      <c r="V338" s="198" t="s">
        <v>656</v>
      </c>
      <c r="W338" s="198" t="s">
        <v>656</v>
      </c>
      <c r="X338" s="198" t="s">
        <v>656</v>
      </c>
      <c r="Y338" s="198" t="s">
        <v>656</v>
      </c>
      <c r="Z338" s="198"/>
      <c r="AA338" s="198"/>
      <c r="AB338" s="198"/>
      <c r="AC338" s="198"/>
      <c r="AD338" s="198"/>
      <c r="AE338" s="198"/>
      <c r="AF338" s="198"/>
      <c r="AG338" s="198"/>
      <c r="AH338" s="198" t="s">
        <v>2587</v>
      </c>
      <c r="AI338" s="198" t="s">
        <v>2587</v>
      </c>
      <c r="AJ338" s="198" t="s">
        <v>633</v>
      </c>
      <c r="AK338" s="198" t="s">
        <v>2588</v>
      </c>
      <c r="AL338" s="580">
        <f t="shared" si="41"/>
        <v>2.1272179099999997</v>
      </c>
      <c r="AM338" s="504">
        <v>2.1272179099999997</v>
      </c>
      <c r="AN338" s="516">
        <v>7.5768479999999999E-2</v>
      </c>
      <c r="AO338" s="839">
        <f>AN338/AL338</f>
        <v>3.5618579386631814E-2</v>
      </c>
      <c r="AP338" s="1073">
        <f>AN338/386364.9198</f>
        <v>1.9610600268580597E-7</v>
      </c>
      <c r="AQ338" s="1021">
        <v>0.71501232999999997</v>
      </c>
      <c r="AR338" s="839">
        <f>AQ338/AL338</f>
        <v>0.33612556881866423</v>
      </c>
      <c r="AS338" s="839"/>
      <c r="AT338" s="520">
        <v>3.04E-2</v>
      </c>
      <c r="AU338" s="839">
        <f>AT338/AL338</f>
        <v>1.4290966551706029E-2</v>
      </c>
      <c r="AV338" s="520">
        <v>0.3</v>
      </c>
      <c r="AW338" s="839">
        <f>AV338/AL338</f>
        <v>0.14102927518130948</v>
      </c>
      <c r="AX338" s="1074"/>
      <c r="AY338" s="137" t="s">
        <v>656</v>
      </c>
      <c r="AZ338" s="520">
        <v>1.0060370999999999</v>
      </c>
      <c r="BA338" s="839">
        <f>AZ338/AL338</f>
        <v>0.47293561006168855</v>
      </c>
      <c r="BB338" s="137" t="s">
        <v>2589</v>
      </c>
      <c r="BC338" s="198" t="s">
        <v>875</v>
      </c>
      <c r="BD338" s="198" t="s">
        <v>2587</v>
      </c>
      <c r="BE338" s="198" t="s">
        <v>470</v>
      </c>
      <c r="BF338" s="198"/>
      <c r="BG338" s="198"/>
      <c r="BH338" s="198"/>
      <c r="BI338" s="1075">
        <v>8.2361000000000004</v>
      </c>
      <c r="BJ338" s="994">
        <f>BI338/374069.5472</f>
        <v>2.201756347622836E-5</v>
      </c>
      <c r="BK338" s="198"/>
      <c r="BL338" s="83">
        <v>11</v>
      </c>
      <c r="BM338" s="83">
        <v>1</v>
      </c>
      <c r="BN338" s="198" t="s">
        <v>656</v>
      </c>
      <c r="BO338" s="198" t="s">
        <v>656</v>
      </c>
      <c r="BP338" s="198" t="s">
        <v>656</v>
      </c>
      <c r="BQ338" s="198" t="s">
        <v>656</v>
      </c>
      <c r="BR338" s="198" t="s">
        <v>656</v>
      </c>
      <c r="BS338" s="198" t="s">
        <v>656</v>
      </c>
      <c r="BT338" s="198" t="s">
        <v>656</v>
      </c>
      <c r="BU338" s="198" t="s">
        <v>656</v>
      </c>
      <c r="BV338" s="83">
        <v>1</v>
      </c>
      <c r="BW338" s="198" t="s">
        <v>656</v>
      </c>
      <c r="BX338" s="198" t="s">
        <v>656</v>
      </c>
      <c r="BY338" s="198" t="s">
        <v>656</v>
      </c>
      <c r="BZ338" s="198" t="s">
        <v>656</v>
      </c>
      <c r="CA338" s="198" t="s">
        <v>656</v>
      </c>
      <c r="CB338" s="198" t="s">
        <v>656</v>
      </c>
      <c r="CC338" s="198" t="s">
        <v>656</v>
      </c>
      <c r="CD338" s="198" t="s">
        <v>656</v>
      </c>
      <c r="CE338" s="198" t="s">
        <v>656</v>
      </c>
      <c r="CF338" s="198" t="s">
        <v>656</v>
      </c>
      <c r="CG338" s="198" t="s">
        <v>656</v>
      </c>
      <c r="CH338" s="198" t="s">
        <v>656</v>
      </c>
      <c r="CI338" s="198" t="s">
        <v>656</v>
      </c>
      <c r="CJ338" s="198" t="s">
        <v>656</v>
      </c>
      <c r="CK338" s="198" t="s">
        <v>656</v>
      </c>
      <c r="CL338" s="824">
        <f t="shared" si="42"/>
        <v>1</v>
      </c>
      <c r="CM338" s="824">
        <f t="shared" si="40"/>
        <v>0</v>
      </c>
      <c r="CN338" s="580">
        <v>0.52500000000000002</v>
      </c>
      <c r="CO338" s="198" t="s">
        <v>2590</v>
      </c>
      <c r="CP338" s="198"/>
      <c r="CQ338" s="825">
        <f>CN338/CR338</f>
        <v>1.2348797791611566E-4</v>
      </c>
      <c r="CR338" s="580">
        <v>4251.4260000000004</v>
      </c>
      <c r="CS338" s="137" t="s">
        <v>2522</v>
      </c>
      <c r="CT338" s="198" t="s">
        <v>470</v>
      </c>
      <c r="CU338" s="198"/>
      <c r="CV338" s="198"/>
      <c r="CW338" s="198"/>
      <c r="CX338" s="83"/>
      <c r="CY338" s="83"/>
      <c r="CZ338" s="83"/>
      <c r="DA338" s="198" t="s">
        <v>470</v>
      </c>
      <c r="DB338" s="198"/>
      <c r="DC338" s="83"/>
      <c r="DD338" s="198" t="s">
        <v>479</v>
      </c>
      <c r="DE338" s="198" t="s">
        <v>2591</v>
      </c>
      <c r="DF338" s="83">
        <v>57</v>
      </c>
      <c r="DG338" s="83" t="s">
        <v>470</v>
      </c>
      <c r="DH338" s="83"/>
      <c r="DI338" s="83"/>
      <c r="DJ338" s="83" t="s">
        <v>470</v>
      </c>
      <c r="DK338" s="83"/>
      <c r="DL338" s="83"/>
      <c r="DM338" s="198" t="s">
        <v>470</v>
      </c>
      <c r="DN338" s="198"/>
      <c r="DO338" s="83"/>
      <c r="DP338" s="198" t="s">
        <v>470</v>
      </c>
      <c r="DQ338" s="198"/>
      <c r="DR338" s="83"/>
      <c r="DS338" s="198" t="s">
        <v>470</v>
      </c>
      <c r="DT338" s="198"/>
      <c r="DU338" s="83"/>
      <c r="DV338" s="198" t="s">
        <v>470</v>
      </c>
      <c r="DW338" s="198"/>
      <c r="DX338" s="83"/>
      <c r="DY338" s="198" t="s">
        <v>470</v>
      </c>
      <c r="DZ338" s="198"/>
      <c r="EA338" s="83"/>
      <c r="EB338" s="198" t="s">
        <v>470</v>
      </c>
      <c r="EC338" s="198"/>
      <c r="ED338" s="83"/>
      <c r="EE338" s="83" t="s">
        <v>470</v>
      </c>
      <c r="EF338" s="83"/>
      <c r="EG338" s="83"/>
      <c r="EH338" s="198" t="s">
        <v>470</v>
      </c>
      <c r="EI338" s="198"/>
      <c r="EJ338" s="83"/>
      <c r="EK338" s="198" t="s">
        <v>470</v>
      </c>
      <c r="EL338" s="198"/>
      <c r="EM338" s="83"/>
      <c r="EN338" s="198" t="s">
        <v>479</v>
      </c>
      <c r="EO338" s="198" t="s">
        <v>2592</v>
      </c>
      <c r="EP338" s="83">
        <v>5</v>
      </c>
      <c r="EQ338" s="83" t="s">
        <v>470</v>
      </c>
      <c r="ER338" s="83"/>
      <c r="ES338" s="83"/>
      <c r="ET338" s="83" t="s">
        <v>470</v>
      </c>
      <c r="EU338" s="198"/>
      <c r="EV338" s="83"/>
      <c r="EW338" s="198" t="s">
        <v>2593</v>
      </c>
      <c r="EX338" s="198" t="s">
        <v>2594</v>
      </c>
      <c r="EY338" s="198">
        <v>9</v>
      </c>
      <c r="EZ338" s="198" t="s">
        <v>470</v>
      </c>
      <c r="FA338" s="198"/>
      <c r="FB338" s="844" t="s">
        <v>2595</v>
      </c>
      <c r="FC338" s="198" t="s">
        <v>656</v>
      </c>
      <c r="FD338" s="198" t="s">
        <v>656</v>
      </c>
      <c r="FE338" s="198" t="s">
        <v>2596</v>
      </c>
      <c r="FF338" s="198" t="s">
        <v>656</v>
      </c>
      <c r="FG338" s="198" t="s">
        <v>656</v>
      </c>
      <c r="FH338" s="198" t="s">
        <v>656</v>
      </c>
      <c r="FI338" s="198" t="s">
        <v>656</v>
      </c>
      <c r="FJ338" s="198" t="s">
        <v>2597</v>
      </c>
      <c r="FK338" s="198" t="s">
        <v>2598</v>
      </c>
      <c r="FL338" s="198" t="s">
        <v>2599</v>
      </c>
      <c r="FM338" s="198"/>
      <c r="FN338" s="198"/>
      <c r="FO338" s="198"/>
    </row>
    <row r="339" spans="5:171" ht="104" customHeight="1" x14ac:dyDescent="0.2">
      <c r="E339" s="94" t="s">
        <v>9304</v>
      </c>
      <c r="F339" s="94" t="s">
        <v>9120</v>
      </c>
      <c r="G339" s="198" t="s">
        <v>353</v>
      </c>
      <c r="H339" s="198" t="s">
        <v>438</v>
      </c>
      <c r="I339" s="198"/>
      <c r="J339" s="592" t="s">
        <v>2547</v>
      </c>
      <c r="K339" s="198"/>
      <c r="L339" s="578">
        <v>2017</v>
      </c>
      <c r="M339" s="822" t="s">
        <v>578</v>
      </c>
      <c r="N339" s="822" t="s">
        <v>554</v>
      </c>
      <c r="O339" s="198" t="s">
        <v>2548</v>
      </c>
      <c r="P339" s="198" t="s">
        <v>2549</v>
      </c>
      <c r="Q339" s="844" t="s">
        <v>2550</v>
      </c>
      <c r="R339" s="198" t="s">
        <v>2514</v>
      </c>
      <c r="S339" s="844" t="s">
        <v>2515</v>
      </c>
      <c r="T339" s="198" t="s">
        <v>656</v>
      </c>
      <c r="U339" s="198" t="s">
        <v>656</v>
      </c>
      <c r="V339" s="198" t="s">
        <v>656</v>
      </c>
      <c r="W339" s="198" t="s">
        <v>656</v>
      </c>
      <c r="X339" s="198" t="s">
        <v>2551</v>
      </c>
      <c r="Y339" s="844" t="s">
        <v>2552</v>
      </c>
      <c r="Z339" s="844"/>
      <c r="AA339" s="844"/>
      <c r="AB339" s="844"/>
      <c r="AC339" s="844"/>
      <c r="AD339" s="844"/>
      <c r="AE339" s="844"/>
      <c r="AF339" s="844"/>
      <c r="AG339" s="844"/>
      <c r="AH339" s="198" t="s">
        <v>2553</v>
      </c>
      <c r="AI339" s="198" t="s">
        <v>2553</v>
      </c>
      <c r="AJ339" s="198" t="s">
        <v>477</v>
      </c>
      <c r="AK339" s="198" t="s">
        <v>2519</v>
      </c>
      <c r="AL339" s="580">
        <f t="shared" si="41"/>
        <v>1828.4</v>
      </c>
      <c r="AM339" s="504">
        <v>1828.4</v>
      </c>
      <c r="AN339" s="516">
        <v>115.3</v>
      </c>
      <c r="AO339" s="137">
        <f>AN339/AL339</f>
        <v>6.3060599431196671E-2</v>
      </c>
      <c r="AP339" s="137">
        <f>AN339/386364.9198</f>
        <v>2.984225381012451E-4</v>
      </c>
      <c r="AQ339" s="611">
        <v>148.5</v>
      </c>
      <c r="AR339" s="137">
        <f>AQ339/AL339</f>
        <v>8.1218551739225542E-2</v>
      </c>
      <c r="AS339" s="137"/>
      <c r="AT339" s="520">
        <v>32.4</v>
      </c>
      <c r="AU339" s="137">
        <f>AT339/AL339</f>
        <v>1.7720411288558301E-2</v>
      </c>
      <c r="AV339" s="520">
        <v>0</v>
      </c>
      <c r="AW339" s="839">
        <v>0</v>
      </c>
      <c r="AX339" s="520">
        <v>0</v>
      </c>
      <c r="AY339" s="137">
        <v>0</v>
      </c>
      <c r="AZ339" s="520">
        <v>1532.2</v>
      </c>
      <c r="BA339" s="839">
        <f>AZ339/AL339</f>
        <v>0.83800043754101949</v>
      </c>
      <c r="BB339" s="198" t="s">
        <v>2554</v>
      </c>
      <c r="BC339" s="198" t="s">
        <v>847</v>
      </c>
      <c r="BD339" s="198" t="s">
        <v>2553</v>
      </c>
      <c r="BE339" s="198" t="s">
        <v>479</v>
      </c>
      <c r="BF339" s="198" t="s">
        <v>2555</v>
      </c>
      <c r="BG339" s="844" t="s">
        <v>2556</v>
      </c>
      <c r="BH339" s="198"/>
      <c r="BI339" s="1042">
        <v>112.30710000000001</v>
      </c>
      <c r="BJ339" s="137">
        <f>BI339/374069.5472</f>
        <v>3.002305342432858E-4</v>
      </c>
      <c r="BK339" s="83">
        <v>218439</v>
      </c>
      <c r="BL339" s="570" t="s">
        <v>2557</v>
      </c>
      <c r="BM339" s="83">
        <v>58</v>
      </c>
      <c r="BN339" s="83" t="s">
        <v>656</v>
      </c>
      <c r="BO339" s="83" t="s">
        <v>656</v>
      </c>
      <c r="BP339" s="83" t="s">
        <v>656</v>
      </c>
      <c r="BQ339" s="83" t="s">
        <v>656</v>
      </c>
      <c r="BR339" s="83" t="s">
        <v>656</v>
      </c>
      <c r="BS339" s="83" t="s">
        <v>656</v>
      </c>
      <c r="BT339" s="83" t="s">
        <v>656</v>
      </c>
      <c r="BU339" s="83" t="s">
        <v>656</v>
      </c>
      <c r="BV339" s="83" t="s">
        <v>656</v>
      </c>
      <c r="BW339" s="83">
        <v>14</v>
      </c>
      <c r="BX339" s="83" t="s">
        <v>656</v>
      </c>
      <c r="BY339" s="83">
        <v>44</v>
      </c>
      <c r="BZ339" s="83" t="s">
        <v>656</v>
      </c>
      <c r="CA339" s="83" t="s">
        <v>656</v>
      </c>
      <c r="CB339" s="83" t="s">
        <v>656</v>
      </c>
      <c r="CC339" s="83" t="s">
        <v>656</v>
      </c>
      <c r="CD339" s="83" t="s">
        <v>656</v>
      </c>
      <c r="CE339" s="83" t="s">
        <v>656</v>
      </c>
      <c r="CF339" s="83" t="s">
        <v>656</v>
      </c>
      <c r="CG339" s="83" t="s">
        <v>656</v>
      </c>
      <c r="CH339" s="83" t="s">
        <v>656</v>
      </c>
      <c r="CI339" s="83" t="s">
        <v>656</v>
      </c>
      <c r="CJ339" s="83" t="s">
        <v>656</v>
      </c>
      <c r="CK339" s="83" t="s">
        <v>656</v>
      </c>
      <c r="CL339" s="824">
        <f t="shared" si="42"/>
        <v>58</v>
      </c>
      <c r="CM339" s="824">
        <f t="shared" si="40"/>
        <v>0</v>
      </c>
      <c r="CN339" s="581">
        <v>3320.1729999999998</v>
      </c>
      <c r="CO339" s="198" t="s">
        <v>2558</v>
      </c>
      <c r="CP339" s="198"/>
      <c r="CQ339" s="137">
        <f>CN339/CR339</f>
        <v>0.7809551430508257</v>
      </c>
      <c r="CR339" s="580">
        <v>4251.4260000000004</v>
      </c>
      <c r="CS339" s="873" t="s">
        <v>2559</v>
      </c>
      <c r="CT339" s="198" t="s">
        <v>479</v>
      </c>
      <c r="CU339" s="198" t="s">
        <v>2560</v>
      </c>
      <c r="CV339" s="844" t="s">
        <v>2556</v>
      </c>
      <c r="CW339" s="198" t="s">
        <v>2561</v>
      </c>
      <c r="CX339" s="83">
        <f>6+35</f>
        <v>41</v>
      </c>
      <c r="CY339" s="83">
        <v>4885</v>
      </c>
      <c r="CZ339" s="83">
        <v>12</v>
      </c>
      <c r="DA339" s="198" t="s">
        <v>479</v>
      </c>
      <c r="DB339" s="198" t="s">
        <v>2562</v>
      </c>
      <c r="DC339" s="83" t="s">
        <v>2563</v>
      </c>
      <c r="DD339" s="198" t="s">
        <v>479</v>
      </c>
      <c r="DE339" s="198" t="s">
        <v>2562</v>
      </c>
      <c r="DF339" s="83" t="s">
        <v>2563</v>
      </c>
      <c r="DG339" s="83"/>
      <c r="DH339" s="83"/>
      <c r="DI339" s="83"/>
      <c r="DJ339" s="83"/>
      <c r="DK339" s="83"/>
      <c r="DL339" s="83"/>
      <c r="DM339" s="198"/>
      <c r="DN339" s="198"/>
      <c r="DO339" s="83"/>
      <c r="DP339" s="198" t="s">
        <v>479</v>
      </c>
      <c r="DQ339" s="198" t="s">
        <v>2564</v>
      </c>
      <c r="DR339" s="570" t="s">
        <v>2565</v>
      </c>
      <c r="DS339" s="1231" t="s">
        <v>2566</v>
      </c>
      <c r="DT339" s="1231"/>
      <c r="DU339" s="1231"/>
      <c r="DV339" s="198" t="s">
        <v>2567</v>
      </c>
      <c r="DW339" s="198" t="s">
        <v>2562</v>
      </c>
      <c r="DX339" s="570" t="s">
        <v>2565</v>
      </c>
      <c r="DY339" s="198" t="s">
        <v>479</v>
      </c>
      <c r="DZ339" s="198" t="s">
        <v>2568</v>
      </c>
      <c r="EA339" s="83">
        <v>703047</v>
      </c>
      <c r="EB339" s="198" t="s">
        <v>656</v>
      </c>
      <c r="EC339" s="198"/>
      <c r="ED339" s="83"/>
      <c r="EE339" s="83" t="s">
        <v>656</v>
      </c>
      <c r="EF339" s="83"/>
      <c r="EG339" s="83"/>
      <c r="EH339" s="198" t="s">
        <v>656</v>
      </c>
      <c r="EI339" s="198"/>
      <c r="EJ339" s="83"/>
      <c r="EK339" s="198" t="s">
        <v>656</v>
      </c>
      <c r="EL339" s="198"/>
      <c r="EM339" s="83"/>
      <c r="EN339" s="83" t="s">
        <v>479</v>
      </c>
      <c r="EO339" s="83" t="s">
        <v>2569</v>
      </c>
      <c r="EP339" s="83">
        <v>16</v>
      </c>
      <c r="EQ339" s="83" t="s">
        <v>2570</v>
      </c>
      <c r="ER339" s="83" t="s">
        <v>2571</v>
      </c>
      <c r="ES339" s="83">
        <v>23</v>
      </c>
      <c r="ET339" s="83" t="s">
        <v>656</v>
      </c>
      <c r="EU339" s="83"/>
      <c r="EV339" s="83"/>
      <c r="EW339" s="995">
        <v>1</v>
      </c>
      <c r="EX339" s="550" t="s">
        <v>2572</v>
      </c>
      <c r="EY339" s="198">
        <v>50</v>
      </c>
      <c r="EZ339" s="198" t="s">
        <v>2573</v>
      </c>
      <c r="FA339" s="198" t="s">
        <v>2574</v>
      </c>
      <c r="FB339" s="844" t="s">
        <v>2575</v>
      </c>
      <c r="FC339" s="198" t="s">
        <v>2576</v>
      </c>
      <c r="FD339" s="844" t="s">
        <v>2577</v>
      </c>
      <c r="FE339" s="198" t="s">
        <v>2578</v>
      </c>
      <c r="FF339" s="198" t="s">
        <v>2579</v>
      </c>
      <c r="FG339" s="198" t="s">
        <v>2580</v>
      </c>
      <c r="FH339" s="198">
        <v>1</v>
      </c>
      <c r="FI339" s="198">
        <v>100</v>
      </c>
      <c r="FJ339" s="198" t="s">
        <v>2581</v>
      </c>
      <c r="FK339" s="198" t="s">
        <v>2582</v>
      </c>
      <c r="FL339" s="198" t="s">
        <v>2583</v>
      </c>
      <c r="FM339" s="198"/>
      <c r="FN339" s="198"/>
      <c r="FO339" s="198"/>
    </row>
    <row r="340" spans="5:171" ht="43" customHeight="1" x14ac:dyDescent="0.2">
      <c r="E340" s="94" t="s">
        <v>9305</v>
      </c>
      <c r="F340" s="94" t="s">
        <v>9121</v>
      </c>
      <c r="G340" s="97" t="s">
        <v>353</v>
      </c>
      <c r="H340" s="97" t="s">
        <v>438</v>
      </c>
      <c r="I340" s="99" t="s">
        <v>8681</v>
      </c>
      <c r="J340" s="97" t="s">
        <v>8371</v>
      </c>
      <c r="K340" s="97" t="s">
        <v>8371</v>
      </c>
      <c r="L340" s="502">
        <v>2018</v>
      </c>
      <c r="M340" s="841" t="s">
        <v>8281</v>
      </c>
      <c r="N340" s="841" t="s">
        <v>472</v>
      </c>
      <c r="O340" s="841"/>
      <c r="P340" s="841"/>
      <c r="Q340" s="841"/>
      <c r="R340" s="841"/>
      <c r="S340" s="841"/>
      <c r="T340" s="841"/>
      <c r="U340" s="841"/>
      <c r="V340" s="841"/>
      <c r="W340" s="841"/>
      <c r="X340" s="841"/>
      <c r="Y340" s="841"/>
      <c r="Z340" s="97" t="s">
        <v>656</v>
      </c>
      <c r="AA340" s="97" t="s">
        <v>656</v>
      </c>
      <c r="AB340" s="97" t="s">
        <v>7758</v>
      </c>
      <c r="AC340" s="849" t="s">
        <v>7618</v>
      </c>
      <c r="AD340" s="97" t="s">
        <v>656</v>
      </c>
      <c r="AE340" s="97" t="s">
        <v>656</v>
      </c>
      <c r="AF340" s="97" t="s">
        <v>656</v>
      </c>
      <c r="AG340" s="97" t="s">
        <v>656</v>
      </c>
      <c r="AH340" s="97" t="s">
        <v>6964</v>
      </c>
      <c r="AI340" s="97" t="s">
        <v>6799</v>
      </c>
      <c r="AJ340" s="97" t="s">
        <v>6668</v>
      </c>
      <c r="AK340" s="97" t="s">
        <v>6426</v>
      </c>
      <c r="AL340" s="580">
        <f t="shared" si="41"/>
        <v>2.6189999999999998</v>
      </c>
      <c r="AM340" s="504">
        <v>2.6189999999999998</v>
      </c>
      <c r="AN340" s="516"/>
      <c r="AO340" s="97"/>
      <c r="AP340" s="97"/>
      <c r="AQ340" s="504">
        <v>2.238</v>
      </c>
      <c r="AR340" s="507">
        <v>0.85499999999999998</v>
      </c>
      <c r="AS340" s="507">
        <v>1.2999999999999999E-3</v>
      </c>
      <c r="AT340" s="516">
        <v>8.1000000000000003E-2</v>
      </c>
      <c r="AU340" s="507">
        <v>3.1E-2</v>
      </c>
      <c r="AV340" s="516">
        <v>0.3</v>
      </c>
      <c r="AW340" s="507">
        <v>0.114</v>
      </c>
      <c r="AX340" s="516"/>
      <c r="AY340" s="507" t="s">
        <v>656</v>
      </c>
      <c r="AZ340" s="516"/>
      <c r="BA340" s="507"/>
      <c r="BB340" s="507"/>
      <c r="BC340" s="507"/>
      <c r="BD340" s="507"/>
      <c r="BE340" s="507" t="s">
        <v>470</v>
      </c>
      <c r="BF340" s="507" t="s">
        <v>656</v>
      </c>
      <c r="BG340" s="507" t="s">
        <v>656</v>
      </c>
      <c r="BH340" s="507" t="s">
        <v>656</v>
      </c>
      <c r="BI340" s="504">
        <v>2.2999999999999998</v>
      </c>
      <c r="BJ340" s="507">
        <v>1.2999999999999999E-3</v>
      </c>
      <c r="BK340" s="96"/>
      <c r="BL340" s="96">
        <v>10</v>
      </c>
      <c r="BM340" s="96">
        <v>10</v>
      </c>
      <c r="BN340" s="96"/>
      <c r="BO340" s="96"/>
      <c r="BP340" s="96"/>
      <c r="BQ340" s="96"/>
      <c r="BR340" s="96"/>
      <c r="BS340" s="96">
        <v>1</v>
      </c>
      <c r="BT340" s="96">
        <v>5</v>
      </c>
      <c r="BU340" s="96">
        <v>3</v>
      </c>
      <c r="BV340" s="96"/>
      <c r="BW340" s="96">
        <v>1</v>
      </c>
      <c r="BX340" s="96"/>
      <c r="BY340" s="96"/>
      <c r="BZ340" s="96"/>
      <c r="CA340" s="96"/>
      <c r="CB340" s="96"/>
      <c r="CC340" s="96"/>
      <c r="CD340" s="96"/>
      <c r="CE340" s="96"/>
      <c r="CF340" s="96"/>
      <c r="CG340" s="96"/>
      <c r="CH340" s="96"/>
      <c r="CI340" s="96"/>
      <c r="CJ340" s="96"/>
      <c r="CK340" s="96"/>
      <c r="CL340" s="815">
        <f t="shared" si="42"/>
        <v>10</v>
      </c>
      <c r="CM340" s="824">
        <f t="shared" si="40"/>
        <v>0</v>
      </c>
      <c r="CN340" s="504">
        <v>4.7140000000000004</v>
      </c>
      <c r="CO340" s="97" t="s">
        <v>6054</v>
      </c>
      <c r="CP340" s="97"/>
      <c r="CQ340" s="97">
        <v>20</v>
      </c>
      <c r="CR340" s="504">
        <v>23.626000000000001</v>
      </c>
      <c r="CS340" s="850" t="s">
        <v>5841</v>
      </c>
      <c r="CT340" s="97" t="s">
        <v>470</v>
      </c>
      <c r="CU340" s="97"/>
      <c r="CV340" s="97"/>
      <c r="CW340" s="97"/>
      <c r="CX340" s="96"/>
      <c r="CY340" s="96"/>
      <c r="CZ340" s="96">
        <v>1</v>
      </c>
      <c r="DA340" s="97" t="s">
        <v>479</v>
      </c>
      <c r="DB340" s="97" t="s">
        <v>1877</v>
      </c>
      <c r="DC340" s="96">
        <v>1242</v>
      </c>
      <c r="DD340" s="97" t="s">
        <v>479</v>
      </c>
      <c r="DE340" s="97" t="s">
        <v>1007</v>
      </c>
      <c r="DF340" s="96">
        <v>534</v>
      </c>
      <c r="DG340" s="96" t="s">
        <v>470</v>
      </c>
      <c r="DH340" s="96"/>
      <c r="DI340" s="96"/>
      <c r="DJ340" s="96" t="s">
        <v>470</v>
      </c>
      <c r="DK340" s="96"/>
      <c r="DL340" s="96"/>
      <c r="DM340" s="97" t="s">
        <v>470</v>
      </c>
      <c r="DN340" s="97"/>
      <c r="DO340" s="96"/>
      <c r="DP340" s="97" t="s">
        <v>470</v>
      </c>
      <c r="DQ340" s="97"/>
      <c r="DR340" s="96"/>
      <c r="DS340" s="97" t="s">
        <v>470</v>
      </c>
      <c r="DT340" s="97"/>
      <c r="DU340" s="96"/>
      <c r="DV340" s="97" t="s">
        <v>470</v>
      </c>
      <c r="DW340" s="97"/>
      <c r="DX340" s="96"/>
      <c r="DY340" s="97" t="s">
        <v>470</v>
      </c>
      <c r="DZ340" s="97"/>
      <c r="EA340" s="96"/>
      <c r="EB340" s="97" t="s">
        <v>479</v>
      </c>
      <c r="EC340" s="97" t="s">
        <v>1007</v>
      </c>
      <c r="ED340" s="96">
        <v>534</v>
      </c>
      <c r="EE340" s="96" t="s">
        <v>470</v>
      </c>
      <c r="EF340" s="96"/>
      <c r="EG340" s="96"/>
      <c r="EH340" s="97" t="s">
        <v>470</v>
      </c>
      <c r="EI340" s="97"/>
      <c r="EJ340" s="96"/>
      <c r="EK340" s="97" t="s">
        <v>470</v>
      </c>
      <c r="EL340" s="97"/>
      <c r="EM340" s="96"/>
      <c r="EN340" s="97" t="s">
        <v>470</v>
      </c>
      <c r="EO340" s="97"/>
      <c r="EP340" s="96"/>
      <c r="EQ340" s="96" t="s">
        <v>479</v>
      </c>
      <c r="ER340" s="96" t="s">
        <v>5288</v>
      </c>
      <c r="ES340" s="96">
        <v>8</v>
      </c>
      <c r="ET340" s="97" t="s">
        <v>470</v>
      </c>
      <c r="EU340" s="97"/>
      <c r="EV340" s="96"/>
      <c r="EW340" s="96"/>
      <c r="EX340" s="96"/>
      <c r="EY340" s="96"/>
      <c r="EZ340" s="97" t="s">
        <v>470</v>
      </c>
      <c r="FA340" s="97"/>
      <c r="FB340" s="97" t="s">
        <v>4897</v>
      </c>
      <c r="FC340" s="97"/>
      <c r="FD340" s="97" t="s">
        <v>4897</v>
      </c>
      <c r="FE340" s="97" t="s">
        <v>4776</v>
      </c>
      <c r="FF340" s="97"/>
      <c r="FG340" s="97" t="s">
        <v>470</v>
      </c>
      <c r="FH340" s="97"/>
      <c r="FI340" s="97"/>
      <c r="FJ340" s="97" t="s">
        <v>4389</v>
      </c>
      <c r="FK340" s="97" t="s">
        <v>4203</v>
      </c>
      <c r="FL340" s="849" t="s">
        <v>3987</v>
      </c>
      <c r="FM340" s="97"/>
      <c r="FN340" s="97"/>
      <c r="FO340" s="97"/>
    </row>
    <row r="341" spans="5:171" ht="50" customHeight="1" x14ac:dyDescent="0.2">
      <c r="E341" s="94" t="s">
        <v>9305</v>
      </c>
      <c r="F341" s="94" t="s">
        <v>9121</v>
      </c>
      <c r="G341" s="97" t="s">
        <v>353</v>
      </c>
      <c r="H341" s="97" t="s">
        <v>438</v>
      </c>
      <c r="I341" s="99" t="s">
        <v>8680</v>
      </c>
      <c r="J341" s="97" t="s">
        <v>8479</v>
      </c>
      <c r="K341" s="97" t="s">
        <v>5242</v>
      </c>
      <c r="L341" s="502">
        <v>2022</v>
      </c>
      <c r="M341" s="841">
        <v>44428</v>
      </c>
      <c r="N341" s="841">
        <v>44809</v>
      </c>
      <c r="O341" s="841"/>
      <c r="P341" s="841"/>
      <c r="Q341" s="841"/>
      <c r="R341" s="841"/>
      <c r="S341" s="841"/>
      <c r="T341" s="841"/>
      <c r="U341" s="841"/>
      <c r="V341" s="841"/>
      <c r="W341" s="841"/>
      <c r="X341" s="841"/>
      <c r="Y341" s="841"/>
      <c r="Z341" s="97"/>
      <c r="AA341" s="97"/>
      <c r="AB341" s="97" t="s">
        <v>7757</v>
      </c>
      <c r="AC341" s="506" t="s">
        <v>5082</v>
      </c>
      <c r="AD341" s="97" t="s">
        <v>7411</v>
      </c>
      <c r="AE341" s="506" t="s">
        <v>7230</v>
      </c>
      <c r="AF341" s="97"/>
      <c r="AG341" s="97"/>
      <c r="AH341" s="97" t="s">
        <v>6963</v>
      </c>
      <c r="AI341" s="97" t="s">
        <v>6798</v>
      </c>
      <c r="AJ341" s="97" t="s">
        <v>6667</v>
      </c>
      <c r="AK341" s="97" t="s">
        <v>6425</v>
      </c>
      <c r="AL341" s="580">
        <f t="shared" si="41"/>
        <v>6.7850000000000001</v>
      </c>
      <c r="AM341" s="504">
        <v>6.7850000000000001</v>
      </c>
      <c r="AN341" s="516"/>
      <c r="AO341" s="97"/>
      <c r="AP341" s="97"/>
      <c r="AQ341" s="504">
        <v>5.7149999999999999</v>
      </c>
      <c r="AR341" s="507">
        <v>0.84230000000000005</v>
      </c>
      <c r="AS341" s="507">
        <v>6.1999999999999998E-3</v>
      </c>
      <c r="AT341" s="516">
        <v>0.39400000000000002</v>
      </c>
      <c r="AU341" s="507">
        <v>5.8099999999999999E-2</v>
      </c>
      <c r="AV341" s="516">
        <v>0.67600000000000005</v>
      </c>
      <c r="AW341" s="507">
        <v>9.9599999999999994E-2</v>
      </c>
      <c r="AX341" s="516"/>
      <c r="AY341" s="507"/>
      <c r="AZ341" s="516"/>
      <c r="BA341" s="507"/>
      <c r="BB341" s="507"/>
      <c r="BC341" s="507"/>
      <c r="BD341" s="507"/>
      <c r="BE341" s="507" t="s">
        <v>470</v>
      </c>
      <c r="BF341" s="507"/>
      <c r="BG341" s="507"/>
      <c r="BH341" s="852"/>
      <c r="BI341" s="504">
        <v>6.984</v>
      </c>
      <c r="BJ341" s="507">
        <v>5.6299999999999996E-3</v>
      </c>
      <c r="BK341" s="96">
        <v>4</v>
      </c>
      <c r="BL341" s="96">
        <v>4</v>
      </c>
      <c r="BM341" s="96">
        <v>4</v>
      </c>
      <c r="BN341" s="96"/>
      <c r="BO341" s="96"/>
      <c r="BP341" s="96"/>
      <c r="BQ341" s="96"/>
      <c r="BR341" s="96"/>
      <c r="BS341" s="96"/>
      <c r="BT341" s="96">
        <v>2</v>
      </c>
      <c r="BU341" s="96"/>
      <c r="BV341" s="96"/>
      <c r="BW341" s="96"/>
      <c r="BX341" s="96"/>
      <c r="BY341" s="96">
        <v>2</v>
      </c>
      <c r="BZ341" s="96"/>
      <c r="CA341" s="96"/>
      <c r="CB341" s="96"/>
      <c r="CC341" s="96"/>
      <c r="CD341" s="96"/>
      <c r="CE341" s="96"/>
      <c r="CF341" s="96"/>
      <c r="CG341" s="96"/>
      <c r="CH341" s="96"/>
      <c r="CI341" s="96"/>
      <c r="CJ341" s="96"/>
      <c r="CK341" s="96"/>
      <c r="CL341" s="815">
        <f t="shared" si="42"/>
        <v>4</v>
      </c>
      <c r="CM341" s="824">
        <f t="shared" si="40"/>
        <v>0</v>
      </c>
      <c r="CN341" s="504">
        <v>48.524000000000001</v>
      </c>
      <c r="CO341" s="97" t="s">
        <v>6053</v>
      </c>
      <c r="CP341" s="97"/>
      <c r="CQ341" s="97">
        <v>76.13</v>
      </c>
      <c r="CR341" s="504">
        <v>63.734999999999999</v>
      </c>
      <c r="CS341" s="874" t="s">
        <v>5822</v>
      </c>
      <c r="CT341" s="97" t="s">
        <v>470</v>
      </c>
      <c r="CU341" s="97"/>
      <c r="CV341" s="97"/>
      <c r="CW341" s="97"/>
      <c r="CX341" s="96"/>
      <c r="CY341" s="96"/>
      <c r="CZ341" s="96"/>
      <c r="DA341" s="97" t="s">
        <v>479</v>
      </c>
      <c r="DB341" s="97" t="s">
        <v>5693</v>
      </c>
      <c r="DC341" s="96">
        <v>1936</v>
      </c>
      <c r="DD341" s="97" t="s">
        <v>479</v>
      </c>
      <c r="DE341" s="97" t="s">
        <v>2533</v>
      </c>
      <c r="DF341" s="96">
        <v>349</v>
      </c>
      <c r="DG341" s="96" t="s">
        <v>470</v>
      </c>
      <c r="DH341" s="96"/>
      <c r="DI341" s="96"/>
      <c r="DJ341" s="96" t="s">
        <v>470</v>
      </c>
      <c r="DK341" s="96"/>
      <c r="DL341" s="96"/>
      <c r="DM341" s="97" t="s">
        <v>470</v>
      </c>
      <c r="DN341" s="97"/>
      <c r="DO341" s="96"/>
      <c r="DP341" s="97" t="s">
        <v>470</v>
      </c>
      <c r="DQ341" s="97"/>
      <c r="DR341" s="96"/>
      <c r="DS341" s="97" t="s">
        <v>470</v>
      </c>
      <c r="DT341" s="97"/>
      <c r="DU341" s="96"/>
      <c r="DV341" s="97"/>
      <c r="DW341" s="97"/>
      <c r="DX341" s="96"/>
      <c r="DY341" s="97" t="s">
        <v>479</v>
      </c>
      <c r="DZ341" s="97" t="s">
        <v>5452</v>
      </c>
      <c r="EA341" s="96">
        <v>1877</v>
      </c>
      <c r="EB341" s="97" t="s">
        <v>470</v>
      </c>
      <c r="EC341" s="97"/>
      <c r="ED341" s="96"/>
      <c r="EE341" s="96" t="s">
        <v>470</v>
      </c>
      <c r="EF341" s="96"/>
      <c r="EG341" s="96"/>
      <c r="EH341" s="97" t="s">
        <v>470</v>
      </c>
      <c r="EI341" s="97"/>
      <c r="EJ341" s="96"/>
      <c r="EK341" s="97" t="s">
        <v>470</v>
      </c>
      <c r="EL341" s="97"/>
      <c r="EM341" s="96"/>
      <c r="EN341" s="97" t="s">
        <v>470</v>
      </c>
      <c r="EO341" s="97"/>
      <c r="EP341" s="96"/>
      <c r="EQ341" s="96" t="s">
        <v>470</v>
      </c>
      <c r="ER341" s="96"/>
      <c r="ES341" s="96"/>
      <c r="ET341" s="97"/>
      <c r="EU341" s="97"/>
      <c r="EV341" s="96"/>
      <c r="EW341" s="96"/>
      <c r="EX341" s="96"/>
      <c r="EY341" s="96"/>
      <c r="EZ341" s="97" t="s">
        <v>470</v>
      </c>
      <c r="FA341" s="97"/>
      <c r="FB341" s="506" t="s">
        <v>5082</v>
      </c>
      <c r="FC341" s="97" t="s">
        <v>4957</v>
      </c>
      <c r="FD341" s="97"/>
      <c r="FE341" s="97" t="s">
        <v>4775</v>
      </c>
      <c r="FF341" s="97"/>
      <c r="FG341" s="97" t="s">
        <v>4611</v>
      </c>
      <c r="FH341" s="97">
        <v>4</v>
      </c>
      <c r="FI341" s="97">
        <v>10</v>
      </c>
      <c r="FJ341" s="97" t="s">
        <v>4388</v>
      </c>
      <c r="FK341" s="97" t="s">
        <v>4202</v>
      </c>
      <c r="FL341" s="506" t="s">
        <v>3986</v>
      </c>
      <c r="FM341" s="97"/>
      <c r="FN341" s="97"/>
      <c r="FO341" s="97"/>
    </row>
    <row r="342" spans="5:171" ht="44" customHeight="1" x14ac:dyDescent="0.2">
      <c r="E342" s="94" t="s">
        <v>9302</v>
      </c>
      <c r="F342" s="94" t="s">
        <v>9121</v>
      </c>
      <c r="G342" s="97" t="s">
        <v>353</v>
      </c>
      <c r="H342" s="97" t="s">
        <v>438</v>
      </c>
      <c r="I342" s="99" t="s">
        <v>8679</v>
      </c>
      <c r="J342" s="97" t="s">
        <v>8478</v>
      </c>
      <c r="K342" s="97" t="s">
        <v>8370</v>
      </c>
      <c r="L342" s="502">
        <v>2019</v>
      </c>
      <c r="M342" s="841">
        <v>44575</v>
      </c>
      <c r="N342" s="841">
        <v>44926</v>
      </c>
      <c r="O342" s="841"/>
      <c r="P342" s="841"/>
      <c r="Q342" s="841"/>
      <c r="R342" s="841"/>
      <c r="S342" s="841"/>
      <c r="T342" s="841"/>
      <c r="U342" s="841"/>
      <c r="V342" s="841"/>
      <c r="W342" s="841"/>
      <c r="X342" s="841"/>
      <c r="Y342" s="841"/>
      <c r="Z342" s="97" t="s">
        <v>8054</v>
      </c>
      <c r="AA342" s="849" t="s">
        <v>7920</v>
      </c>
      <c r="AB342" s="97" t="s">
        <v>470</v>
      </c>
      <c r="AC342" s="97" t="s">
        <v>656</v>
      </c>
      <c r="AD342" s="97" t="s">
        <v>470</v>
      </c>
      <c r="AE342" s="97" t="s">
        <v>656</v>
      </c>
      <c r="AF342" s="97" t="s">
        <v>470</v>
      </c>
      <c r="AG342" s="97" t="s">
        <v>656</v>
      </c>
      <c r="AH342" s="97" t="s">
        <v>6962</v>
      </c>
      <c r="AI342" s="97" t="s">
        <v>6797</v>
      </c>
      <c r="AJ342" s="97" t="s">
        <v>6666</v>
      </c>
      <c r="AK342" s="97" t="s">
        <v>6424</v>
      </c>
      <c r="AL342" s="580">
        <f t="shared" si="41"/>
        <v>21.959</v>
      </c>
      <c r="AM342" s="504">
        <v>21.959</v>
      </c>
      <c r="AN342" s="516"/>
      <c r="AO342" s="97"/>
      <c r="AP342" s="97"/>
      <c r="AQ342" s="504">
        <v>10.978999999999999</v>
      </c>
      <c r="AR342" s="1014">
        <v>0.5</v>
      </c>
      <c r="AS342" s="507">
        <v>2.0000000000000001E-4</v>
      </c>
      <c r="AT342" s="516">
        <v>5.6539999999999999</v>
      </c>
      <c r="AU342" s="507">
        <v>0.25750000000000001</v>
      </c>
      <c r="AV342" s="516">
        <v>5.3259999999999996</v>
      </c>
      <c r="AW342" s="507">
        <v>0.24249999999999999</v>
      </c>
      <c r="AX342" s="516"/>
      <c r="AY342" s="507">
        <v>0</v>
      </c>
      <c r="AZ342" s="516"/>
      <c r="BA342" s="507"/>
      <c r="BB342" s="507"/>
      <c r="BC342" s="507"/>
      <c r="BD342" s="507"/>
      <c r="BE342" s="507" t="s">
        <v>470</v>
      </c>
      <c r="BF342" s="507" t="s">
        <v>656</v>
      </c>
      <c r="BG342" s="507" t="s">
        <v>656</v>
      </c>
      <c r="BH342" s="502">
        <v>0</v>
      </c>
      <c r="BI342" s="611">
        <v>20</v>
      </c>
      <c r="BJ342" s="507">
        <v>2.9999999999999997E-4</v>
      </c>
      <c r="BK342" s="96">
        <v>74</v>
      </c>
      <c r="BL342" s="96">
        <v>70</v>
      </c>
      <c r="BM342" s="96">
        <v>70</v>
      </c>
      <c r="BN342" s="507" t="s">
        <v>656</v>
      </c>
      <c r="BO342" s="507" t="s">
        <v>656</v>
      </c>
      <c r="BP342" s="507" t="s">
        <v>656</v>
      </c>
      <c r="BQ342" s="507" t="s">
        <v>656</v>
      </c>
      <c r="BR342" s="507" t="s">
        <v>656</v>
      </c>
      <c r="BS342" s="507" t="s">
        <v>656</v>
      </c>
      <c r="BT342" s="96">
        <v>21</v>
      </c>
      <c r="BU342" s="96">
        <v>19</v>
      </c>
      <c r="BV342" s="96">
        <v>6</v>
      </c>
      <c r="BW342" s="507" t="s">
        <v>656</v>
      </c>
      <c r="BX342" s="507" t="s">
        <v>656</v>
      </c>
      <c r="BY342" s="507" t="s">
        <v>656</v>
      </c>
      <c r="BZ342" s="507" t="s">
        <v>656</v>
      </c>
      <c r="CA342" s="507" t="s">
        <v>656</v>
      </c>
      <c r="CB342" s="507" t="s">
        <v>656</v>
      </c>
      <c r="CC342" s="507" t="s">
        <v>656</v>
      </c>
      <c r="CD342" s="507" t="s">
        <v>656</v>
      </c>
      <c r="CE342" s="507" t="s">
        <v>656</v>
      </c>
      <c r="CF342" s="507" t="s">
        <v>656</v>
      </c>
      <c r="CG342" s="507" t="s">
        <v>656</v>
      </c>
      <c r="CH342" s="507" t="s">
        <v>656</v>
      </c>
      <c r="CI342" s="507" t="s">
        <v>656</v>
      </c>
      <c r="CJ342" s="507" t="s">
        <v>656</v>
      </c>
      <c r="CK342" s="96">
        <v>23</v>
      </c>
      <c r="CL342" s="815">
        <f t="shared" si="42"/>
        <v>69</v>
      </c>
      <c r="CM342" s="824">
        <f t="shared" si="40"/>
        <v>0</v>
      </c>
      <c r="CN342" s="504">
        <v>208.83099999999999</v>
      </c>
      <c r="CO342" s="97" t="s">
        <v>6052</v>
      </c>
      <c r="CP342" s="97" t="s">
        <v>656</v>
      </c>
      <c r="CQ342" s="507">
        <f>CN342/CR342</f>
        <v>0.13157344274317626</v>
      </c>
      <c r="CR342" s="504">
        <v>1587.182</v>
      </c>
      <c r="CS342" s="850" t="s">
        <v>5840</v>
      </c>
      <c r="CT342" s="97" t="s">
        <v>470</v>
      </c>
      <c r="CU342" s="97" t="s">
        <v>656</v>
      </c>
      <c r="CV342" s="97" t="s">
        <v>656</v>
      </c>
      <c r="CW342" s="97" t="s">
        <v>656</v>
      </c>
      <c r="CX342" s="96" t="s">
        <v>656</v>
      </c>
      <c r="CY342" s="96" t="s">
        <v>656</v>
      </c>
      <c r="CZ342" s="96">
        <v>64</v>
      </c>
      <c r="DA342" s="97" t="s">
        <v>479</v>
      </c>
      <c r="DB342" s="97" t="s">
        <v>5692</v>
      </c>
      <c r="DC342" s="96">
        <v>19052</v>
      </c>
      <c r="DD342" s="97" t="s">
        <v>479</v>
      </c>
      <c r="DE342" s="97" t="s">
        <v>5231</v>
      </c>
      <c r="DF342" s="96">
        <v>1674</v>
      </c>
      <c r="DG342" s="96" t="s">
        <v>470</v>
      </c>
      <c r="DH342" s="96" t="s">
        <v>656</v>
      </c>
      <c r="DI342" s="96" t="s">
        <v>656</v>
      </c>
      <c r="DJ342" s="96" t="s">
        <v>470</v>
      </c>
      <c r="DK342" s="96" t="s">
        <v>656</v>
      </c>
      <c r="DL342" s="96" t="s">
        <v>656</v>
      </c>
      <c r="DM342" s="97" t="s">
        <v>470</v>
      </c>
      <c r="DN342" s="97" t="s">
        <v>656</v>
      </c>
      <c r="DO342" s="96" t="s">
        <v>656</v>
      </c>
      <c r="DP342" s="97" t="s">
        <v>470</v>
      </c>
      <c r="DQ342" s="97" t="s">
        <v>656</v>
      </c>
      <c r="DR342" s="96" t="s">
        <v>656</v>
      </c>
      <c r="DS342" s="97" t="s">
        <v>470</v>
      </c>
      <c r="DT342" s="97" t="s">
        <v>656</v>
      </c>
      <c r="DU342" s="96" t="s">
        <v>656</v>
      </c>
      <c r="DV342" s="97" t="s">
        <v>479</v>
      </c>
      <c r="DW342" s="97" t="s">
        <v>5476</v>
      </c>
      <c r="DX342" s="96">
        <v>74</v>
      </c>
      <c r="DY342" s="97" t="s">
        <v>470</v>
      </c>
      <c r="DZ342" s="97" t="s">
        <v>656</v>
      </c>
      <c r="EA342" s="96" t="s">
        <v>656</v>
      </c>
      <c r="EB342" s="97" t="s">
        <v>470</v>
      </c>
      <c r="EC342" s="97" t="s">
        <v>656</v>
      </c>
      <c r="ED342" s="96" t="s">
        <v>656</v>
      </c>
      <c r="EE342" s="96" t="s">
        <v>470</v>
      </c>
      <c r="EF342" s="96" t="s">
        <v>656</v>
      </c>
      <c r="EG342" s="96" t="s">
        <v>656</v>
      </c>
      <c r="EH342" s="97" t="s">
        <v>470</v>
      </c>
      <c r="EI342" s="97" t="s">
        <v>656</v>
      </c>
      <c r="EJ342" s="96" t="s">
        <v>656</v>
      </c>
      <c r="EK342" s="97" t="s">
        <v>470</v>
      </c>
      <c r="EL342" s="97" t="s">
        <v>656</v>
      </c>
      <c r="EM342" s="96" t="s">
        <v>656</v>
      </c>
      <c r="EN342" s="97" t="s">
        <v>479</v>
      </c>
      <c r="EO342" s="97" t="s">
        <v>920</v>
      </c>
      <c r="EP342" s="96">
        <v>96</v>
      </c>
      <c r="EQ342" s="96" t="s">
        <v>470</v>
      </c>
      <c r="ER342" s="96" t="s">
        <v>656</v>
      </c>
      <c r="ES342" s="96" t="s">
        <v>656</v>
      </c>
      <c r="ET342" s="97" t="s">
        <v>470</v>
      </c>
      <c r="EU342" s="97" t="s">
        <v>656</v>
      </c>
      <c r="EV342" s="96" t="s">
        <v>656</v>
      </c>
      <c r="EW342" s="96"/>
      <c r="EX342" s="96"/>
      <c r="EY342" s="96"/>
      <c r="EZ342" s="97" t="s">
        <v>470</v>
      </c>
      <c r="FA342" s="97" t="s">
        <v>656</v>
      </c>
      <c r="FB342" s="849" t="s">
        <v>5081</v>
      </c>
      <c r="FC342" s="97" t="s">
        <v>656</v>
      </c>
      <c r="FD342" s="97" t="s">
        <v>656</v>
      </c>
      <c r="FE342" s="97" t="s">
        <v>4774</v>
      </c>
      <c r="FF342" s="97" t="s">
        <v>656</v>
      </c>
      <c r="FG342" s="97" t="s">
        <v>4610</v>
      </c>
      <c r="FH342" s="97" t="s">
        <v>656</v>
      </c>
      <c r="FI342" s="97" t="s">
        <v>656</v>
      </c>
      <c r="FJ342" s="97" t="s">
        <v>4387</v>
      </c>
      <c r="FK342" s="97" t="s">
        <v>4201</v>
      </c>
      <c r="FL342" s="849" t="s">
        <v>3985</v>
      </c>
      <c r="FM342" s="97"/>
      <c r="FN342" s="97"/>
      <c r="FO342" s="97"/>
    </row>
    <row r="343" spans="5:171" ht="39" customHeight="1" x14ac:dyDescent="0.2">
      <c r="E343" s="94" t="s">
        <v>9305</v>
      </c>
      <c r="F343" s="94" t="s">
        <v>9121</v>
      </c>
      <c r="G343" s="97" t="s">
        <v>353</v>
      </c>
      <c r="H343" s="97" t="s">
        <v>438</v>
      </c>
      <c r="I343" s="1076" t="s">
        <v>8678</v>
      </c>
      <c r="J343" s="1077" t="s">
        <v>8365</v>
      </c>
      <c r="K343" s="1077" t="s">
        <v>5242</v>
      </c>
      <c r="L343" s="1078">
        <v>2022</v>
      </c>
      <c r="M343" s="1079">
        <v>44652</v>
      </c>
      <c r="N343" s="1079">
        <v>44926</v>
      </c>
      <c r="O343" s="1079"/>
      <c r="P343" s="1079"/>
      <c r="Q343" s="1079"/>
      <c r="R343" s="1079"/>
      <c r="S343" s="1079"/>
      <c r="T343" s="1079"/>
      <c r="U343" s="1079"/>
      <c r="V343" s="1079"/>
      <c r="W343" s="1079"/>
      <c r="X343" s="1079"/>
      <c r="Y343" s="1079"/>
      <c r="Z343" s="1077" t="s">
        <v>8053</v>
      </c>
      <c r="AA343" s="1077" t="s">
        <v>7919</v>
      </c>
      <c r="AB343" s="1077" t="s">
        <v>7756</v>
      </c>
      <c r="AC343" s="1077" t="s">
        <v>9641</v>
      </c>
      <c r="AD343" s="1077" t="s">
        <v>470</v>
      </c>
      <c r="AE343" s="1077"/>
      <c r="AF343" s="1077" t="s">
        <v>470</v>
      </c>
      <c r="AG343" s="1077"/>
      <c r="AH343" s="1077" t="s">
        <v>6961</v>
      </c>
      <c r="AI343" s="1077" t="s">
        <v>6796</v>
      </c>
      <c r="AJ343" s="1077" t="s">
        <v>477</v>
      </c>
      <c r="AK343" s="1077" t="s">
        <v>6423</v>
      </c>
      <c r="AL343" s="580">
        <f t="shared" si="41"/>
        <v>0.90029999999999999</v>
      </c>
      <c r="AM343" s="504">
        <v>0.90029999999999999</v>
      </c>
      <c r="AN343" s="516"/>
      <c r="AO343" s="97"/>
      <c r="AP343" s="97"/>
      <c r="AQ343" s="504">
        <v>0.5</v>
      </c>
      <c r="AR343" s="507">
        <f>AQ343/AL343</f>
        <v>0.55537043207819614</v>
      </c>
      <c r="AS343" s="507">
        <v>2.5000000000000001E-4</v>
      </c>
      <c r="AT343" s="516">
        <v>0.17630000000000001</v>
      </c>
      <c r="AU343" s="507">
        <f>AT343/AL343</f>
        <v>0.19582361435077197</v>
      </c>
      <c r="AV343" s="516">
        <v>0.224</v>
      </c>
      <c r="AW343" s="507">
        <f>AV343/AL343</f>
        <v>0.24880595357103188</v>
      </c>
      <c r="AX343" s="516"/>
      <c r="AY343" s="507"/>
      <c r="AZ343" s="516"/>
      <c r="BA343" s="1080"/>
      <c r="BB343" s="1080"/>
      <c r="BC343" s="1080"/>
      <c r="BD343" s="1080"/>
      <c r="BE343" s="1080" t="s">
        <v>479</v>
      </c>
      <c r="BF343" s="1080" t="s">
        <v>6285</v>
      </c>
      <c r="BG343" s="1080"/>
      <c r="BH343" s="1081">
        <v>0.3</v>
      </c>
      <c r="BI343" s="618">
        <v>0.74299999999999999</v>
      </c>
      <c r="BJ343" s="1080">
        <f>BI343/2109.53</f>
        <v>3.5221115603949692E-4</v>
      </c>
      <c r="BK343" s="1082">
        <v>2</v>
      </c>
      <c r="BL343" s="1082">
        <v>2</v>
      </c>
      <c r="BM343" s="1082">
        <v>1</v>
      </c>
      <c r="BN343" s="1082"/>
      <c r="BO343" s="1082"/>
      <c r="BP343" s="1082"/>
      <c r="BQ343" s="1082"/>
      <c r="BR343" s="1082"/>
      <c r="BS343" s="1082"/>
      <c r="BT343" s="1082"/>
      <c r="BU343" s="1082"/>
      <c r="BV343" s="1082"/>
      <c r="BW343" s="1082"/>
      <c r="BX343" s="1082"/>
      <c r="BY343" s="1082">
        <v>1</v>
      </c>
      <c r="BZ343" s="1082"/>
      <c r="CA343" s="1082"/>
      <c r="CB343" s="1082"/>
      <c r="CC343" s="1082"/>
      <c r="CD343" s="1082"/>
      <c r="CE343" s="1082"/>
      <c r="CF343" s="1082"/>
      <c r="CG343" s="1082"/>
      <c r="CH343" s="1082"/>
      <c r="CI343" s="1082"/>
      <c r="CJ343" s="1082"/>
      <c r="CK343" s="1082"/>
      <c r="CL343" s="1083">
        <f t="shared" si="42"/>
        <v>1</v>
      </c>
      <c r="CM343" s="824">
        <f t="shared" si="40"/>
        <v>0</v>
      </c>
      <c r="CN343" s="618">
        <v>39.201999999999998</v>
      </c>
      <c r="CO343" s="1077" t="s">
        <v>6051</v>
      </c>
      <c r="CP343" s="1077" t="s">
        <v>5974</v>
      </c>
      <c r="CQ343" s="1084">
        <f>CN343/CR343</f>
        <v>1</v>
      </c>
      <c r="CR343" s="618">
        <v>39.201999999999998</v>
      </c>
      <c r="CS343" s="1080" t="s">
        <v>5839</v>
      </c>
      <c r="CT343" s="1077" t="s">
        <v>470</v>
      </c>
      <c r="CU343" s="1077"/>
      <c r="CV343" s="1077"/>
      <c r="CW343" s="1077"/>
      <c r="CX343" s="1082"/>
      <c r="CY343" s="1082"/>
      <c r="CZ343" s="1082"/>
      <c r="DA343" s="1077" t="s">
        <v>479</v>
      </c>
      <c r="DB343" s="1077" t="s">
        <v>5684</v>
      </c>
      <c r="DC343" s="1082">
        <v>186</v>
      </c>
      <c r="DD343" s="1077" t="s">
        <v>479</v>
      </c>
      <c r="DE343" s="1077" t="s">
        <v>619</v>
      </c>
      <c r="DF343" s="1082">
        <v>65</v>
      </c>
      <c r="DG343" s="1082" t="s">
        <v>470</v>
      </c>
      <c r="DH343" s="1082"/>
      <c r="DI343" s="1082"/>
      <c r="DJ343" s="1082" t="s">
        <v>470</v>
      </c>
      <c r="DK343" s="1082"/>
      <c r="DL343" s="1082"/>
      <c r="DM343" s="1077" t="s">
        <v>470</v>
      </c>
      <c r="DN343" s="1077"/>
      <c r="DO343" s="1082"/>
      <c r="DP343" s="1077" t="s">
        <v>470</v>
      </c>
      <c r="DQ343" s="1077"/>
      <c r="DR343" s="1082"/>
      <c r="DS343" s="1077" t="s">
        <v>470</v>
      </c>
      <c r="DT343" s="1077"/>
      <c r="DU343" s="1082"/>
      <c r="DV343" s="1077" t="s">
        <v>470</v>
      </c>
      <c r="DW343" s="1077"/>
      <c r="DX343" s="1082"/>
      <c r="DY343" s="1077" t="s">
        <v>470</v>
      </c>
      <c r="DZ343" s="1077"/>
      <c r="EA343" s="1082"/>
      <c r="EB343" s="1077" t="s">
        <v>479</v>
      </c>
      <c r="EC343" s="1077" t="s">
        <v>619</v>
      </c>
      <c r="ED343" s="1082">
        <v>65</v>
      </c>
      <c r="EE343" s="1082" t="s">
        <v>470</v>
      </c>
      <c r="EF343" s="1082"/>
      <c r="EG343" s="1082"/>
      <c r="EH343" s="1077" t="s">
        <v>470</v>
      </c>
      <c r="EI343" s="1077"/>
      <c r="EJ343" s="1082"/>
      <c r="EK343" s="1077" t="s">
        <v>470</v>
      </c>
      <c r="EL343" s="1077"/>
      <c r="EM343" s="1082"/>
      <c r="EN343" s="1077" t="s">
        <v>470</v>
      </c>
      <c r="EO343" s="1077"/>
      <c r="EP343" s="1082"/>
      <c r="EQ343" s="1082" t="s">
        <v>479</v>
      </c>
      <c r="ER343" s="1082" t="s">
        <v>5287</v>
      </c>
      <c r="ES343" s="1082">
        <v>7</v>
      </c>
      <c r="ET343" s="1077" t="s">
        <v>470</v>
      </c>
      <c r="EU343" s="1077"/>
      <c r="EV343" s="1082"/>
      <c r="EW343" s="1082"/>
      <c r="EX343" s="1082"/>
      <c r="EY343" s="1082"/>
      <c r="EZ343" s="1077" t="s">
        <v>5217</v>
      </c>
      <c r="FA343" s="1077" t="s">
        <v>5201</v>
      </c>
      <c r="FB343" s="1077" t="s">
        <v>5080</v>
      </c>
      <c r="FC343" s="1077" t="s">
        <v>9642</v>
      </c>
      <c r="FD343" s="1077"/>
      <c r="FE343" s="1077" t="s">
        <v>4773</v>
      </c>
      <c r="FF343" s="1077"/>
      <c r="FG343" s="1077" t="s">
        <v>470</v>
      </c>
      <c r="FH343" s="1077"/>
      <c r="FI343" s="1077"/>
      <c r="FJ343" s="1077" t="s">
        <v>4386</v>
      </c>
      <c r="FK343" s="1077" t="s">
        <v>4200</v>
      </c>
      <c r="FL343" s="1077" t="s">
        <v>3984</v>
      </c>
      <c r="FM343" s="1077"/>
      <c r="FN343" s="1077"/>
      <c r="FO343" s="1077"/>
    </row>
    <row r="344" spans="5:171" ht="44" customHeight="1" x14ac:dyDescent="0.2">
      <c r="E344" s="94" t="s">
        <v>9305</v>
      </c>
      <c r="F344" s="94" t="s">
        <v>9121</v>
      </c>
      <c r="G344" s="97" t="s">
        <v>353</v>
      </c>
      <c r="H344" s="97" t="s">
        <v>438</v>
      </c>
      <c r="I344" s="99" t="s">
        <v>8677</v>
      </c>
      <c r="J344" s="97" t="s">
        <v>8477</v>
      </c>
      <c r="K344" s="97" t="s">
        <v>656</v>
      </c>
      <c r="L344" s="502">
        <v>2022</v>
      </c>
      <c r="M344" s="841">
        <v>44678</v>
      </c>
      <c r="N344" s="841">
        <v>44923</v>
      </c>
      <c r="O344" s="841"/>
      <c r="P344" s="841"/>
      <c r="Q344" s="841"/>
      <c r="R344" s="841"/>
      <c r="S344" s="841"/>
      <c r="T344" s="841"/>
      <c r="U344" s="841"/>
      <c r="V344" s="841"/>
      <c r="W344" s="841"/>
      <c r="X344" s="841"/>
      <c r="Y344" s="841"/>
      <c r="Z344" s="97" t="s">
        <v>8052</v>
      </c>
      <c r="AA344" s="849" t="s">
        <v>7918</v>
      </c>
      <c r="AB344" s="97" t="s">
        <v>7755</v>
      </c>
      <c r="AC344" s="849" t="s">
        <v>5079</v>
      </c>
      <c r="AD344" s="97" t="s">
        <v>656</v>
      </c>
      <c r="AE344" s="97" t="s">
        <v>656</v>
      </c>
      <c r="AF344" s="97" t="s">
        <v>7135</v>
      </c>
      <c r="AG344" s="849" t="s">
        <v>7068</v>
      </c>
      <c r="AH344" s="97" t="s">
        <v>6795</v>
      </c>
      <c r="AI344" s="97" t="s">
        <v>6795</v>
      </c>
      <c r="AJ344" s="97" t="s">
        <v>6665</v>
      </c>
      <c r="AK344" s="97" t="s">
        <v>6422</v>
      </c>
      <c r="AL344" s="580">
        <f t="shared" si="41"/>
        <v>11.058</v>
      </c>
      <c r="AM344" s="504">
        <v>11.058</v>
      </c>
      <c r="AN344" s="516"/>
      <c r="AO344" s="97"/>
      <c r="AP344" s="97"/>
      <c r="AQ344" s="504">
        <v>11.058</v>
      </c>
      <c r="AR344" s="507">
        <v>1</v>
      </c>
      <c r="AS344" s="507">
        <v>8.0999999999999996E-3</v>
      </c>
      <c r="AT344" s="516">
        <v>0</v>
      </c>
      <c r="AU344" s="507">
        <v>0</v>
      </c>
      <c r="AV344" s="516">
        <v>0</v>
      </c>
      <c r="AW344" s="507">
        <v>0</v>
      </c>
      <c r="AX344" s="516"/>
      <c r="AY344" s="507">
        <v>0</v>
      </c>
      <c r="AZ344" s="516"/>
      <c r="BA344" s="507"/>
      <c r="BB344" s="507"/>
      <c r="BC344" s="507"/>
      <c r="BD344" s="507"/>
      <c r="BE344" s="507" t="s">
        <v>470</v>
      </c>
      <c r="BF344" s="507" t="s">
        <v>656</v>
      </c>
      <c r="BG344" s="507" t="s">
        <v>656</v>
      </c>
      <c r="BH344" s="502">
        <v>0</v>
      </c>
      <c r="BI344" s="504">
        <v>10.3</v>
      </c>
      <c r="BJ344" s="507">
        <v>7.0000000000000001E-3</v>
      </c>
      <c r="BK344" s="96">
        <v>4</v>
      </c>
      <c r="BL344" s="96">
        <v>4</v>
      </c>
      <c r="BM344" s="96">
        <v>4</v>
      </c>
      <c r="BN344" s="96"/>
      <c r="BO344" s="96"/>
      <c r="BP344" s="96"/>
      <c r="BQ344" s="96"/>
      <c r="BR344" s="96"/>
      <c r="BS344" s="96"/>
      <c r="BT344" s="96"/>
      <c r="BU344" s="96"/>
      <c r="BV344" s="96"/>
      <c r="BW344" s="96">
        <v>2</v>
      </c>
      <c r="BX344" s="96">
        <v>2</v>
      </c>
      <c r="BY344" s="96"/>
      <c r="BZ344" s="96"/>
      <c r="CA344" s="96"/>
      <c r="CB344" s="96"/>
      <c r="CC344" s="96"/>
      <c r="CD344" s="96"/>
      <c r="CE344" s="96"/>
      <c r="CF344" s="96"/>
      <c r="CG344" s="96"/>
      <c r="CH344" s="96"/>
      <c r="CI344" s="96"/>
      <c r="CJ344" s="96"/>
      <c r="CK344" s="96"/>
      <c r="CL344" s="815">
        <f t="shared" si="42"/>
        <v>4</v>
      </c>
      <c r="CM344" s="824">
        <f t="shared" si="40"/>
        <v>0</v>
      </c>
      <c r="CN344" s="504">
        <v>2.8010000000000002</v>
      </c>
      <c r="CO344" s="97" t="s">
        <v>656</v>
      </c>
      <c r="CP344" s="97" t="s">
        <v>656</v>
      </c>
      <c r="CQ344" s="97">
        <v>12.7</v>
      </c>
      <c r="CR344" s="504">
        <v>22.048999999999999</v>
      </c>
      <c r="CS344" s="850" t="s">
        <v>5838</v>
      </c>
      <c r="CT344" s="97" t="s">
        <v>470</v>
      </c>
      <c r="CU344" s="97" t="s">
        <v>656</v>
      </c>
      <c r="CV344" s="97" t="s">
        <v>656</v>
      </c>
      <c r="CW344" s="97" t="s">
        <v>656</v>
      </c>
      <c r="CX344" s="96" t="s">
        <v>656</v>
      </c>
      <c r="CY344" s="96" t="s">
        <v>656</v>
      </c>
      <c r="CZ344" s="96" t="s">
        <v>656</v>
      </c>
      <c r="DA344" s="97" t="s">
        <v>479</v>
      </c>
      <c r="DB344" s="97" t="s">
        <v>640</v>
      </c>
      <c r="DC344" s="96">
        <v>798</v>
      </c>
      <c r="DD344" s="97" t="s">
        <v>479</v>
      </c>
      <c r="DE344" s="97" t="s">
        <v>640</v>
      </c>
      <c r="DF344" s="96">
        <v>40</v>
      </c>
      <c r="DG344" s="96" t="s">
        <v>656</v>
      </c>
      <c r="DH344" s="96" t="s">
        <v>656</v>
      </c>
      <c r="DI344" s="96" t="s">
        <v>656</v>
      </c>
      <c r="DJ344" s="96" t="s">
        <v>656</v>
      </c>
      <c r="DK344" s="96" t="s">
        <v>656</v>
      </c>
      <c r="DL344" s="96" t="s">
        <v>656</v>
      </c>
      <c r="DM344" s="97" t="s">
        <v>656</v>
      </c>
      <c r="DN344" s="97" t="s">
        <v>656</v>
      </c>
      <c r="DO344" s="96" t="s">
        <v>656</v>
      </c>
      <c r="DP344" s="97" t="s">
        <v>656</v>
      </c>
      <c r="DQ344" s="97" t="s">
        <v>656</v>
      </c>
      <c r="DR344" s="96" t="s">
        <v>656</v>
      </c>
      <c r="DS344" s="97" t="s">
        <v>656</v>
      </c>
      <c r="DT344" s="97" t="s">
        <v>656</v>
      </c>
      <c r="DU344" s="96" t="s">
        <v>656</v>
      </c>
      <c r="DV344" s="97" t="s">
        <v>656</v>
      </c>
      <c r="DW344" s="97" t="s">
        <v>656</v>
      </c>
      <c r="DX344" s="96" t="s">
        <v>656</v>
      </c>
      <c r="DY344" s="97" t="s">
        <v>656</v>
      </c>
      <c r="DZ344" s="97" t="s">
        <v>656</v>
      </c>
      <c r="EA344" s="96" t="s">
        <v>656</v>
      </c>
      <c r="EB344" s="97" t="s">
        <v>479</v>
      </c>
      <c r="EC344" s="97" t="s">
        <v>640</v>
      </c>
      <c r="ED344" s="96">
        <v>798</v>
      </c>
      <c r="EE344" s="96" t="s">
        <v>656</v>
      </c>
      <c r="EF344" s="96" t="s">
        <v>656</v>
      </c>
      <c r="EG344" s="96" t="s">
        <v>656</v>
      </c>
      <c r="EH344" s="97" t="s">
        <v>656</v>
      </c>
      <c r="EI344" s="97" t="s">
        <v>656</v>
      </c>
      <c r="EJ344" s="96" t="s">
        <v>656</v>
      </c>
      <c r="EK344" s="97" t="s">
        <v>656</v>
      </c>
      <c r="EL344" s="97" t="s">
        <v>656</v>
      </c>
      <c r="EM344" s="96" t="s">
        <v>656</v>
      </c>
      <c r="EN344" s="97" t="s">
        <v>656</v>
      </c>
      <c r="EO344" s="97" t="s">
        <v>656</v>
      </c>
      <c r="EP344" s="96" t="s">
        <v>656</v>
      </c>
      <c r="EQ344" s="96" t="s">
        <v>479</v>
      </c>
      <c r="ER344" s="96" t="s">
        <v>5286</v>
      </c>
      <c r="ES344" s="96">
        <v>10</v>
      </c>
      <c r="ET344" s="97" t="s">
        <v>656</v>
      </c>
      <c r="EU344" s="97" t="s">
        <v>656</v>
      </c>
      <c r="EV344" s="96" t="s">
        <v>656</v>
      </c>
      <c r="EW344" s="96"/>
      <c r="EX344" s="96"/>
      <c r="EY344" s="96"/>
      <c r="EZ344" s="97" t="s">
        <v>470</v>
      </c>
      <c r="FA344" s="97" t="s">
        <v>656</v>
      </c>
      <c r="FB344" s="849" t="s">
        <v>5079</v>
      </c>
      <c r="FC344" s="97" t="s">
        <v>656</v>
      </c>
      <c r="FD344" s="97" t="s">
        <v>656</v>
      </c>
      <c r="FE344" s="97" t="s">
        <v>656</v>
      </c>
      <c r="FF344" s="97" t="s">
        <v>656</v>
      </c>
      <c r="FG344" s="97" t="s">
        <v>656</v>
      </c>
      <c r="FH344" s="97" t="s">
        <v>656</v>
      </c>
      <c r="FI344" s="97" t="s">
        <v>656</v>
      </c>
      <c r="FJ344" s="97" t="s">
        <v>4385</v>
      </c>
      <c r="FK344" s="97" t="s">
        <v>4199</v>
      </c>
      <c r="FL344" s="849" t="s">
        <v>3983</v>
      </c>
      <c r="FM344" s="97" t="s">
        <v>3857</v>
      </c>
      <c r="FN344" s="97" t="s">
        <v>3789</v>
      </c>
      <c r="FO344" s="97" t="s">
        <v>3710</v>
      </c>
    </row>
    <row r="345" spans="5:171" ht="39" customHeight="1" x14ac:dyDescent="0.2">
      <c r="E345" s="94" t="s">
        <v>9305</v>
      </c>
      <c r="F345" s="94" t="s">
        <v>9121</v>
      </c>
      <c r="G345" s="97" t="s">
        <v>353</v>
      </c>
      <c r="H345" s="97" t="s">
        <v>438</v>
      </c>
      <c r="I345" s="99" t="s">
        <v>8676</v>
      </c>
      <c r="J345" s="97" t="s">
        <v>8476</v>
      </c>
      <c r="K345" s="97" t="s">
        <v>5242</v>
      </c>
      <c r="L345" s="502">
        <v>2022</v>
      </c>
      <c r="M345" s="841">
        <v>44781</v>
      </c>
      <c r="N345" s="841">
        <v>44873</v>
      </c>
      <c r="O345" s="841"/>
      <c r="P345" s="841"/>
      <c r="Q345" s="841"/>
      <c r="R345" s="841"/>
      <c r="S345" s="841"/>
      <c r="T345" s="841"/>
      <c r="U345" s="841"/>
      <c r="V345" s="841"/>
      <c r="W345" s="841"/>
      <c r="X345" s="841"/>
      <c r="Y345" s="841"/>
      <c r="Z345" s="97" t="s">
        <v>8051</v>
      </c>
      <c r="AA345" s="849" t="s">
        <v>5078</v>
      </c>
      <c r="AB345" s="97" t="s">
        <v>7754</v>
      </c>
      <c r="AC345" s="97" t="s">
        <v>5078</v>
      </c>
      <c r="AD345" s="97" t="s">
        <v>470</v>
      </c>
      <c r="AE345" s="97"/>
      <c r="AF345" s="97" t="s">
        <v>470</v>
      </c>
      <c r="AG345" s="97"/>
      <c r="AH345" s="97" t="s">
        <v>6794</v>
      </c>
      <c r="AI345" s="97" t="s">
        <v>6794</v>
      </c>
      <c r="AJ345" s="97" t="s">
        <v>633</v>
      </c>
      <c r="AK345" s="97" t="s">
        <v>6421</v>
      </c>
      <c r="AL345" s="580">
        <f t="shared" si="41"/>
        <v>1.35</v>
      </c>
      <c r="AM345" s="504">
        <v>1.35</v>
      </c>
      <c r="AN345" s="516"/>
      <c r="AO345" s="97"/>
      <c r="AP345" s="97"/>
      <c r="AQ345" s="504">
        <v>1.08</v>
      </c>
      <c r="AR345" s="507">
        <v>0.8</v>
      </c>
      <c r="AS345" s="507">
        <v>0.8</v>
      </c>
      <c r="AT345" s="516">
        <v>0</v>
      </c>
      <c r="AU345" s="507"/>
      <c r="AV345" s="516">
        <v>0.27</v>
      </c>
      <c r="AW345" s="507">
        <f>AV345/AL345</f>
        <v>0.2</v>
      </c>
      <c r="AX345" s="516">
        <v>0</v>
      </c>
      <c r="AY345" s="507">
        <v>0</v>
      </c>
      <c r="AZ345" s="516"/>
      <c r="BA345" s="507"/>
      <c r="BB345" s="507"/>
      <c r="BC345" s="507"/>
      <c r="BD345" s="507"/>
      <c r="BE345" s="507" t="s">
        <v>470</v>
      </c>
      <c r="BF345" s="507"/>
      <c r="BG345" s="507"/>
      <c r="BH345" s="852"/>
      <c r="BI345" s="96">
        <v>0</v>
      </c>
      <c r="BJ345" s="507">
        <v>0</v>
      </c>
      <c r="BK345" s="96">
        <v>1</v>
      </c>
      <c r="BL345" s="96">
        <v>1</v>
      </c>
      <c r="BM345" s="96">
        <v>1</v>
      </c>
      <c r="BN345" s="96">
        <v>0</v>
      </c>
      <c r="BO345" s="96">
        <v>0</v>
      </c>
      <c r="BP345" s="96">
        <v>0</v>
      </c>
      <c r="BQ345" s="96">
        <v>0</v>
      </c>
      <c r="BR345" s="96">
        <v>0</v>
      </c>
      <c r="BS345" s="96">
        <v>0</v>
      </c>
      <c r="BT345" s="96">
        <v>0</v>
      </c>
      <c r="BU345" s="96">
        <v>0</v>
      </c>
      <c r="BV345" s="96">
        <v>0</v>
      </c>
      <c r="BW345" s="96">
        <v>1</v>
      </c>
      <c r="BX345" s="96">
        <v>0</v>
      </c>
      <c r="BY345" s="96">
        <v>0</v>
      </c>
      <c r="BZ345" s="96">
        <v>0</v>
      </c>
      <c r="CA345" s="96">
        <v>0</v>
      </c>
      <c r="CB345" s="96">
        <v>0</v>
      </c>
      <c r="CC345" s="96">
        <v>0</v>
      </c>
      <c r="CD345" s="96">
        <v>0</v>
      </c>
      <c r="CE345" s="96">
        <v>0</v>
      </c>
      <c r="CF345" s="96">
        <v>0</v>
      </c>
      <c r="CG345" s="96">
        <v>0</v>
      </c>
      <c r="CH345" s="96">
        <v>0</v>
      </c>
      <c r="CI345" s="96">
        <v>0</v>
      </c>
      <c r="CJ345" s="96">
        <v>0</v>
      </c>
      <c r="CK345" s="96">
        <v>0</v>
      </c>
      <c r="CL345" s="815">
        <f t="shared" si="42"/>
        <v>1</v>
      </c>
      <c r="CM345" s="824">
        <f t="shared" si="40"/>
        <v>0</v>
      </c>
      <c r="CN345" s="504">
        <v>0.188</v>
      </c>
      <c r="CO345" s="97" t="s">
        <v>6050</v>
      </c>
      <c r="CP345" s="97"/>
      <c r="CQ345" s="507">
        <f>CN345/CR345</f>
        <v>3.0501160017521942E-3</v>
      </c>
      <c r="CR345" s="504">
        <v>61.637</v>
      </c>
      <c r="CS345" s="507" t="s">
        <v>5837</v>
      </c>
      <c r="CT345" s="97" t="s">
        <v>470</v>
      </c>
      <c r="CU345" s="97"/>
      <c r="CV345" s="97"/>
      <c r="CW345" s="97"/>
      <c r="CX345" s="96"/>
      <c r="CY345" s="96"/>
      <c r="CZ345" s="96"/>
      <c r="DA345" s="97" t="s">
        <v>470</v>
      </c>
      <c r="DB345" s="97"/>
      <c r="DC345" s="96"/>
      <c r="DD345" s="97" t="s">
        <v>479</v>
      </c>
      <c r="DE345" s="97" t="s">
        <v>5609</v>
      </c>
      <c r="DF345" s="96">
        <v>30</v>
      </c>
      <c r="DG345" s="96" t="s">
        <v>470</v>
      </c>
      <c r="DH345" s="96"/>
      <c r="DI345" s="96"/>
      <c r="DJ345" s="96" t="s">
        <v>470</v>
      </c>
      <c r="DK345" s="96"/>
      <c r="DL345" s="96"/>
      <c r="DM345" s="97" t="s">
        <v>470</v>
      </c>
      <c r="DN345" s="97"/>
      <c r="DO345" s="96"/>
      <c r="DP345" s="97" t="s">
        <v>470</v>
      </c>
      <c r="DQ345" s="97"/>
      <c r="DR345" s="96"/>
      <c r="DS345" s="97" t="s">
        <v>470</v>
      </c>
      <c r="DT345" s="97"/>
      <c r="DU345" s="96"/>
      <c r="DV345" s="97" t="s">
        <v>470</v>
      </c>
      <c r="DW345" s="97"/>
      <c r="DX345" s="96"/>
      <c r="DY345" s="97" t="s">
        <v>470</v>
      </c>
      <c r="DZ345" s="97"/>
      <c r="EA345" s="96"/>
      <c r="EB345" s="97" t="s">
        <v>479</v>
      </c>
      <c r="EC345" s="97" t="s">
        <v>5396</v>
      </c>
      <c r="ED345" s="96">
        <v>30</v>
      </c>
      <c r="EE345" s="96" t="s">
        <v>470</v>
      </c>
      <c r="EF345" s="96"/>
      <c r="EG345" s="96"/>
      <c r="EH345" s="97" t="s">
        <v>470</v>
      </c>
      <c r="EI345" s="97"/>
      <c r="EJ345" s="96"/>
      <c r="EK345" s="97" t="s">
        <v>470</v>
      </c>
      <c r="EL345" s="97"/>
      <c r="EM345" s="96"/>
      <c r="EN345" s="97" t="s">
        <v>470</v>
      </c>
      <c r="EO345" s="97"/>
      <c r="EP345" s="96"/>
      <c r="EQ345" s="96" t="s">
        <v>5321</v>
      </c>
      <c r="ER345" s="96"/>
      <c r="ES345" s="96"/>
      <c r="ET345" s="97" t="s">
        <v>5242</v>
      </c>
      <c r="EU345" s="97"/>
      <c r="EV345" s="96"/>
      <c r="EW345" s="96"/>
      <c r="EX345" s="96"/>
      <c r="EY345" s="96"/>
      <c r="EZ345" s="97" t="s">
        <v>470</v>
      </c>
      <c r="FA345" s="97" t="s">
        <v>470</v>
      </c>
      <c r="FB345" s="849" t="s">
        <v>5078</v>
      </c>
      <c r="FC345" s="97" t="s">
        <v>470</v>
      </c>
      <c r="FD345" s="97" t="s">
        <v>470</v>
      </c>
      <c r="FE345" s="97" t="s">
        <v>4772</v>
      </c>
      <c r="FF345" s="97" t="s">
        <v>470</v>
      </c>
      <c r="FG345" s="851" t="s">
        <v>4609</v>
      </c>
      <c r="FH345" s="97">
        <v>3</v>
      </c>
      <c r="FI345" s="97" t="s">
        <v>4570</v>
      </c>
      <c r="FJ345" s="97" t="s">
        <v>4384</v>
      </c>
      <c r="FK345" s="97" t="s">
        <v>4198</v>
      </c>
      <c r="FL345" s="97" t="s">
        <v>3982</v>
      </c>
      <c r="FM345" s="97"/>
      <c r="FN345" s="97"/>
      <c r="FO345" s="97"/>
    </row>
    <row r="346" spans="5:171" ht="104" customHeight="1" x14ac:dyDescent="0.2">
      <c r="E346" s="94" t="s">
        <v>9302</v>
      </c>
      <c r="F346" s="94" t="s">
        <v>9120</v>
      </c>
      <c r="G346" s="198" t="s">
        <v>354</v>
      </c>
      <c r="H346" s="198" t="s">
        <v>439</v>
      </c>
      <c r="I346" s="198"/>
      <c r="J346" s="198" t="s">
        <v>699</v>
      </c>
      <c r="K346" s="198" t="s">
        <v>656</v>
      </c>
      <c r="L346" s="578">
        <v>2017</v>
      </c>
      <c r="M346" s="822">
        <v>44456</v>
      </c>
      <c r="N346" s="822" t="s">
        <v>700</v>
      </c>
      <c r="O346" s="198" t="s">
        <v>701</v>
      </c>
      <c r="P346" s="198" t="s">
        <v>656</v>
      </c>
      <c r="Q346" s="198" t="s">
        <v>656</v>
      </c>
      <c r="R346" s="198" t="s">
        <v>656</v>
      </c>
      <c r="S346" s="198" t="s">
        <v>656</v>
      </c>
      <c r="T346" s="198" t="s">
        <v>656</v>
      </c>
      <c r="U346" s="198" t="s">
        <v>656</v>
      </c>
      <c r="V346" s="198" t="s">
        <v>656</v>
      </c>
      <c r="W346" s="198" t="s">
        <v>656</v>
      </c>
      <c r="X346" s="198" t="s">
        <v>656</v>
      </c>
      <c r="Y346" s="198" t="s">
        <v>656</v>
      </c>
      <c r="Z346" s="198"/>
      <c r="AA346" s="198"/>
      <c r="AB346" s="198"/>
      <c r="AC346" s="198"/>
      <c r="AD346" s="198"/>
      <c r="AE346" s="198"/>
      <c r="AF346" s="198"/>
      <c r="AG346" s="198"/>
      <c r="AH346" s="198" t="s">
        <v>702</v>
      </c>
      <c r="AI346" s="198" t="s">
        <v>703</v>
      </c>
      <c r="AJ346" s="198" t="s">
        <v>504</v>
      </c>
      <c r="AK346" s="198" t="s">
        <v>704</v>
      </c>
      <c r="AL346" s="580">
        <f t="shared" si="41"/>
        <v>42.579000000000001</v>
      </c>
      <c r="AM346" s="504">
        <v>42.579000000000001</v>
      </c>
      <c r="AN346" s="516">
        <v>42.579000000000001</v>
      </c>
      <c r="AO346" s="137">
        <v>1</v>
      </c>
      <c r="AP346" s="137">
        <v>5.0000000000000001E-4</v>
      </c>
      <c r="AQ346" s="504"/>
      <c r="AR346" s="137" t="s">
        <v>656</v>
      </c>
      <c r="AS346" s="137"/>
      <c r="AT346" s="520"/>
      <c r="AU346" s="137" t="s">
        <v>656</v>
      </c>
      <c r="AV346" s="520"/>
      <c r="AW346" s="137" t="s">
        <v>656</v>
      </c>
      <c r="AX346" s="520"/>
      <c r="AY346" s="137" t="s">
        <v>656</v>
      </c>
      <c r="AZ346" s="520" t="s">
        <v>656</v>
      </c>
      <c r="BA346" s="137" t="s">
        <v>656</v>
      </c>
      <c r="BB346" s="198" t="s">
        <v>656</v>
      </c>
      <c r="BC346" s="198" t="s">
        <v>656</v>
      </c>
      <c r="BD346" s="198" t="s">
        <v>656</v>
      </c>
      <c r="BE346" s="198" t="s">
        <v>470</v>
      </c>
      <c r="BF346" s="198" t="s">
        <v>656</v>
      </c>
      <c r="BG346" s="198" t="s">
        <v>656</v>
      </c>
      <c r="BH346" s="198" t="s">
        <v>656</v>
      </c>
      <c r="BI346" s="137">
        <v>0</v>
      </c>
      <c r="BJ346" s="137">
        <v>0</v>
      </c>
      <c r="BK346" s="83"/>
      <c r="BL346" s="83">
        <v>99</v>
      </c>
      <c r="BM346" s="83">
        <v>50</v>
      </c>
      <c r="BN346" s="83" t="s">
        <v>656</v>
      </c>
      <c r="BO346" s="83">
        <v>10</v>
      </c>
      <c r="BP346" s="83" t="s">
        <v>656</v>
      </c>
      <c r="BQ346" s="83" t="s">
        <v>656</v>
      </c>
      <c r="BR346" s="83" t="s">
        <v>656</v>
      </c>
      <c r="BS346" s="83" t="s">
        <v>656</v>
      </c>
      <c r="BT346" s="83" t="s">
        <v>656</v>
      </c>
      <c r="BU346" s="83" t="s">
        <v>656</v>
      </c>
      <c r="BV346" s="83">
        <v>6</v>
      </c>
      <c r="BW346" s="83">
        <v>25</v>
      </c>
      <c r="BX346" s="83">
        <v>9</v>
      </c>
      <c r="BY346" s="83" t="s">
        <v>656</v>
      </c>
      <c r="BZ346" s="83" t="s">
        <v>656</v>
      </c>
      <c r="CA346" s="83" t="s">
        <v>656</v>
      </c>
      <c r="CB346" s="83" t="s">
        <v>656</v>
      </c>
      <c r="CC346" s="83" t="s">
        <v>656</v>
      </c>
      <c r="CD346" s="83" t="s">
        <v>656</v>
      </c>
      <c r="CE346" s="83" t="s">
        <v>656</v>
      </c>
      <c r="CF346" s="83" t="s">
        <v>656</v>
      </c>
      <c r="CG346" s="83" t="s">
        <v>656</v>
      </c>
      <c r="CH346" s="83" t="s">
        <v>656</v>
      </c>
      <c r="CI346" s="83" t="s">
        <v>656</v>
      </c>
      <c r="CJ346" s="83" t="s">
        <v>656</v>
      </c>
      <c r="CK346" s="83" t="s">
        <v>656</v>
      </c>
      <c r="CL346" s="824">
        <f t="shared" si="42"/>
        <v>50</v>
      </c>
      <c r="CM346" s="824">
        <f t="shared" si="40"/>
        <v>0</v>
      </c>
      <c r="CN346" s="83">
        <v>13.5</v>
      </c>
      <c r="CO346" s="198" t="s">
        <v>705</v>
      </c>
      <c r="CP346" s="198" t="s">
        <v>656</v>
      </c>
      <c r="CQ346" s="137">
        <v>2.5999999999999999E-2</v>
      </c>
      <c r="CR346" s="83">
        <v>522.05700000000002</v>
      </c>
      <c r="CS346" s="137" t="s">
        <v>706</v>
      </c>
      <c r="CT346" s="198" t="s">
        <v>470</v>
      </c>
      <c r="CU346" s="198" t="s">
        <v>656</v>
      </c>
      <c r="CV346" s="198" t="s">
        <v>656</v>
      </c>
      <c r="CW346" s="198" t="s">
        <v>656</v>
      </c>
      <c r="CX346" s="83" t="s">
        <v>656</v>
      </c>
      <c r="CY346" s="83" t="s">
        <v>656</v>
      </c>
      <c r="CZ346" s="83" t="s">
        <v>656</v>
      </c>
      <c r="DA346" s="198" t="s">
        <v>470</v>
      </c>
      <c r="DB346" s="198" t="s">
        <v>656</v>
      </c>
      <c r="DC346" s="83" t="s">
        <v>656</v>
      </c>
      <c r="DD346" s="198" t="s">
        <v>479</v>
      </c>
      <c r="DE346" s="198" t="s">
        <v>707</v>
      </c>
      <c r="DF346" s="83">
        <v>84</v>
      </c>
      <c r="DG346" s="83" t="s">
        <v>479</v>
      </c>
      <c r="DH346" s="83" t="s">
        <v>708</v>
      </c>
      <c r="DI346" s="83">
        <v>15</v>
      </c>
      <c r="DJ346" s="83" t="s">
        <v>470</v>
      </c>
      <c r="DK346" s="83" t="s">
        <v>656</v>
      </c>
      <c r="DL346" s="83" t="s">
        <v>656</v>
      </c>
      <c r="DM346" s="198" t="s">
        <v>470</v>
      </c>
      <c r="DN346" s="198" t="s">
        <v>656</v>
      </c>
      <c r="DO346" s="83" t="s">
        <v>656</v>
      </c>
      <c r="DP346" s="198" t="s">
        <v>470</v>
      </c>
      <c r="DQ346" s="198" t="s">
        <v>656</v>
      </c>
      <c r="DR346" s="83" t="s">
        <v>656</v>
      </c>
      <c r="DS346" s="198" t="s">
        <v>470</v>
      </c>
      <c r="DT346" s="198" t="s">
        <v>656</v>
      </c>
      <c r="DU346" s="83" t="s">
        <v>656</v>
      </c>
      <c r="DV346" s="198" t="s">
        <v>656</v>
      </c>
      <c r="DW346" s="198" t="s">
        <v>656</v>
      </c>
      <c r="DX346" s="83" t="s">
        <v>656</v>
      </c>
      <c r="DY346" s="198" t="s">
        <v>470</v>
      </c>
      <c r="DZ346" s="198" t="s">
        <v>656</v>
      </c>
      <c r="EA346" s="83" t="s">
        <v>656</v>
      </c>
      <c r="EB346" s="198" t="s">
        <v>479</v>
      </c>
      <c r="EC346" s="198" t="s">
        <v>709</v>
      </c>
      <c r="ED346" s="83">
        <v>84</v>
      </c>
      <c r="EE346" s="83" t="s">
        <v>479</v>
      </c>
      <c r="EF346" s="83" t="s">
        <v>707</v>
      </c>
      <c r="EG346" s="83">
        <v>15</v>
      </c>
      <c r="EH346" s="198" t="s">
        <v>470</v>
      </c>
      <c r="EI346" s="198" t="s">
        <v>656</v>
      </c>
      <c r="EJ346" s="83" t="s">
        <v>656</v>
      </c>
      <c r="EK346" s="198" t="s">
        <v>656</v>
      </c>
      <c r="EL346" s="198" t="s">
        <v>656</v>
      </c>
      <c r="EM346" s="83" t="s">
        <v>656</v>
      </c>
      <c r="EN346" s="198" t="s">
        <v>479</v>
      </c>
      <c r="EO346" s="198" t="s">
        <v>707</v>
      </c>
      <c r="EP346" s="83">
        <v>15</v>
      </c>
      <c r="EQ346" s="83" t="s">
        <v>656</v>
      </c>
      <c r="ER346" s="83" t="s">
        <v>656</v>
      </c>
      <c r="ES346" s="83" t="s">
        <v>656</v>
      </c>
      <c r="ET346" s="198" t="s">
        <v>656</v>
      </c>
      <c r="EU346" s="198" t="s">
        <v>656</v>
      </c>
      <c r="EV346" s="83" t="s">
        <v>656</v>
      </c>
      <c r="EW346" s="198">
        <v>100</v>
      </c>
      <c r="EX346" s="198"/>
      <c r="EY346" s="505">
        <v>10</v>
      </c>
      <c r="EZ346" s="198" t="s">
        <v>470</v>
      </c>
      <c r="FA346" s="198" t="s">
        <v>656</v>
      </c>
      <c r="FB346" s="893" t="s">
        <v>710</v>
      </c>
      <c r="FC346" s="198" t="s">
        <v>656</v>
      </c>
      <c r="FD346" s="198" t="s">
        <v>656</v>
      </c>
      <c r="FE346" s="198" t="s">
        <v>711</v>
      </c>
      <c r="FF346" s="198" t="s">
        <v>656</v>
      </c>
      <c r="FG346" s="198" t="s">
        <v>656</v>
      </c>
      <c r="FH346" s="198" t="s">
        <v>656</v>
      </c>
      <c r="FI346" s="198" t="s">
        <v>656</v>
      </c>
      <c r="FJ346" s="93" t="s">
        <v>712</v>
      </c>
      <c r="FK346" s="198" t="s">
        <v>713</v>
      </c>
      <c r="FL346" s="844" t="s">
        <v>714</v>
      </c>
      <c r="FM346" s="198"/>
      <c r="FN346" s="198"/>
      <c r="FO346" s="198"/>
    </row>
    <row r="347" spans="5:171" ht="104" customHeight="1" x14ac:dyDescent="0.2">
      <c r="E347" s="94" t="s">
        <v>9302</v>
      </c>
      <c r="F347" s="94" t="s">
        <v>9120</v>
      </c>
      <c r="G347" s="198" t="s">
        <v>355</v>
      </c>
      <c r="H347" s="198" t="s">
        <v>440</v>
      </c>
      <c r="I347" s="198"/>
      <c r="J347" s="198" t="s">
        <v>2906</v>
      </c>
      <c r="K347" s="198"/>
      <c r="L347" s="822" t="s">
        <v>2907</v>
      </c>
      <c r="M347" s="822" t="s">
        <v>2908</v>
      </c>
      <c r="N347" s="822" t="s">
        <v>2909</v>
      </c>
      <c r="O347" s="198"/>
      <c r="P347" s="198" t="s">
        <v>2910</v>
      </c>
      <c r="Q347" s="198"/>
      <c r="R347" s="198"/>
      <c r="S347" s="198"/>
      <c r="T347" s="198"/>
      <c r="U347" s="198"/>
      <c r="V347" s="198"/>
      <c r="W347" s="198"/>
      <c r="X347" s="198"/>
      <c r="Y347" s="198"/>
      <c r="Z347" s="198"/>
      <c r="AA347" s="198"/>
      <c r="AB347" s="198"/>
      <c r="AC347" s="198"/>
      <c r="AD347" s="198"/>
      <c r="AE347" s="198"/>
      <c r="AF347" s="198"/>
      <c r="AG347" s="198"/>
      <c r="AH347" s="198" t="s">
        <v>2911</v>
      </c>
      <c r="AI347" s="198" t="s">
        <v>2911</v>
      </c>
      <c r="AJ347" s="198" t="s">
        <v>1763</v>
      </c>
      <c r="AK347" s="198" t="s">
        <v>2912</v>
      </c>
      <c r="AL347" s="580">
        <f t="shared" si="41"/>
        <v>3</v>
      </c>
      <c r="AM347" s="504">
        <v>3</v>
      </c>
      <c r="AN347" s="516">
        <v>2.7</v>
      </c>
      <c r="AO347" s="137">
        <v>0.9</v>
      </c>
      <c r="AP347" s="1085">
        <f>AN347/29601.3*100</f>
        <v>9.1212210274548757E-3</v>
      </c>
      <c r="AQ347" s="504">
        <v>0.2</v>
      </c>
      <c r="AR347" s="1085">
        <v>6.6699999999999995E-2</v>
      </c>
      <c r="AS347" s="1085"/>
      <c r="AT347" s="520">
        <v>0.03</v>
      </c>
      <c r="AU347" s="137">
        <v>0.01</v>
      </c>
      <c r="AV347" s="520">
        <v>7.0000000000000007E-2</v>
      </c>
      <c r="AW347" s="137">
        <v>2.3E-2</v>
      </c>
      <c r="AX347" s="520"/>
      <c r="AY347" s="137"/>
      <c r="AZ347" s="520"/>
      <c r="BA347" s="137"/>
      <c r="BB347" s="198"/>
      <c r="BC347" s="198"/>
      <c r="BD347" s="198"/>
      <c r="BE347" s="198" t="s">
        <v>479</v>
      </c>
      <c r="BF347" s="198" t="s">
        <v>2913</v>
      </c>
      <c r="BG347" s="198"/>
      <c r="BH347" s="198"/>
      <c r="BI347" s="137"/>
      <c r="BJ347" s="137"/>
      <c r="BK347" s="83"/>
      <c r="BL347" s="83"/>
      <c r="BM347" s="83">
        <v>3</v>
      </c>
      <c r="BN347" s="83"/>
      <c r="BO347" s="83"/>
      <c r="BP347" s="83"/>
      <c r="BQ347" s="83"/>
      <c r="BR347" s="83"/>
      <c r="BS347" s="83"/>
      <c r="BT347" s="83"/>
      <c r="BU347" s="83"/>
      <c r="BV347" s="83"/>
      <c r="BW347" s="83"/>
      <c r="BX347" s="83"/>
      <c r="BY347" s="83">
        <v>1</v>
      </c>
      <c r="BZ347" s="83"/>
      <c r="CA347" s="83"/>
      <c r="CB347" s="83"/>
      <c r="CC347" s="83"/>
      <c r="CD347" s="83"/>
      <c r="CE347" s="83"/>
      <c r="CF347" s="83"/>
      <c r="CG347" s="83"/>
      <c r="CH347" s="83"/>
      <c r="CI347" s="83"/>
      <c r="CJ347" s="83"/>
      <c r="CK347" s="83"/>
      <c r="CL347" s="824">
        <f t="shared" si="42"/>
        <v>1</v>
      </c>
      <c r="CM347" s="824">
        <f t="shared" si="40"/>
        <v>0</v>
      </c>
      <c r="CN347" s="580">
        <v>1.5</v>
      </c>
      <c r="CO347" s="198"/>
      <c r="CP347" s="198"/>
      <c r="CQ347" s="137">
        <v>0.12</v>
      </c>
      <c r="CR347" s="580">
        <v>12.45</v>
      </c>
      <c r="CS347" s="137"/>
      <c r="CT347" s="198" t="s">
        <v>470</v>
      </c>
      <c r="CU347" s="198"/>
      <c r="CV347" s="198"/>
      <c r="CW347" s="198"/>
      <c r="CX347" s="83"/>
      <c r="CY347" s="83"/>
      <c r="CZ347" s="83"/>
      <c r="DA347" s="198" t="s">
        <v>479</v>
      </c>
      <c r="DB347" s="198" t="s">
        <v>1876</v>
      </c>
      <c r="DC347" s="83">
        <v>505</v>
      </c>
      <c r="DD347" s="198" t="s">
        <v>470</v>
      </c>
      <c r="DE347" s="198"/>
      <c r="DF347" s="83"/>
      <c r="DG347" s="83" t="s">
        <v>479</v>
      </c>
      <c r="DH347" s="83" t="s">
        <v>2914</v>
      </c>
      <c r="DI347" s="83">
        <v>45</v>
      </c>
      <c r="DJ347" s="83" t="s">
        <v>470</v>
      </c>
      <c r="DK347" s="83"/>
      <c r="DL347" s="83"/>
      <c r="DM347" s="198" t="s">
        <v>470</v>
      </c>
      <c r="DN347" s="198"/>
      <c r="DO347" s="83"/>
      <c r="DP347" s="198" t="s">
        <v>470</v>
      </c>
      <c r="DQ347" s="198"/>
      <c r="DR347" s="83"/>
      <c r="DS347" s="198" t="s">
        <v>470</v>
      </c>
      <c r="DT347" s="198"/>
      <c r="DU347" s="83"/>
      <c r="DV347" s="198"/>
      <c r="DW347" s="198"/>
      <c r="DX347" s="83"/>
      <c r="DY347" s="198" t="s">
        <v>470</v>
      </c>
      <c r="DZ347" s="198"/>
      <c r="EA347" s="83"/>
      <c r="EB347" s="198" t="s">
        <v>470</v>
      </c>
      <c r="EC347" s="198"/>
      <c r="ED347" s="83"/>
      <c r="EE347" s="83" t="s">
        <v>479</v>
      </c>
      <c r="EF347" s="83"/>
      <c r="EG347" s="83"/>
      <c r="EH347" s="198" t="s">
        <v>470</v>
      </c>
      <c r="EI347" s="198"/>
      <c r="EJ347" s="83"/>
      <c r="EK347" s="198" t="s">
        <v>470</v>
      </c>
      <c r="EL347" s="198"/>
      <c r="EM347" s="83"/>
      <c r="EN347" s="198" t="s">
        <v>470</v>
      </c>
      <c r="EO347" s="198"/>
      <c r="EP347" s="83"/>
      <c r="EQ347" s="83" t="s">
        <v>470</v>
      </c>
      <c r="ER347" s="83"/>
      <c r="ES347" s="83"/>
      <c r="ET347" s="198"/>
      <c r="EU347" s="198"/>
      <c r="EV347" s="83"/>
      <c r="EW347" s="198">
        <v>100</v>
      </c>
      <c r="EX347" s="198"/>
      <c r="EY347" s="505">
        <v>1</v>
      </c>
      <c r="EZ347" s="198" t="s">
        <v>470</v>
      </c>
      <c r="FA347" s="198"/>
      <c r="FB347" s="884" t="s">
        <v>2915</v>
      </c>
      <c r="FC347" s="198"/>
      <c r="FD347" s="198"/>
      <c r="FE347" s="198"/>
      <c r="FF347" s="198"/>
      <c r="FG347" s="198" t="s">
        <v>2916</v>
      </c>
      <c r="FH347" s="198">
        <v>1</v>
      </c>
      <c r="FI347" s="198">
        <v>1</v>
      </c>
      <c r="FJ347" s="198" t="s">
        <v>2917</v>
      </c>
      <c r="FK347" s="198" t="s">
        <v>2918</v>
      </c>
      <c r="FL347" s="549" t="s">
        <v>2919</v>
      </c>
      <c r="FM347" s="198"/>
      <c r="FN347" s="198"/>
      <c r="FO347" s="198"/>
    </row>
    <row r="348" spans="5:171" ht="104" customHeight="1" x14ac:dyDescent="0.2">
      <c r="E348" s="94" t="s">
        <v>9307</v>
      </c>
      <c r="F348" s="94" t="s">
        <v>9120</v>
      </c>
      <c r="G348" s="198" t="s">
        <v>356</v>
      </c>
      <c r="H348" s="198" t="s">
        <v>441</v>
      </c>
      <c r="I348" s="198"/>
      <c r="J348" s="198" t="s">
        <v>469</v>
      </c>
      <c r="K348" s="198" t="s">
        <v>470</v>
      </c>
      <c r="L348" s="578">
        <v>2018</v>
      </c>
      <c r="M348" s="822" t="s">
        <v>471</v>
      </c>
      <c r="N348" s="822" t="s">
        <v>472</v>
      </c>
      <c r="O348" s="578" t="s">
        <v>473</v>
      </c>
      <c r="P348" s="198" t="s">
        <v>474</v>
      </c>
      <c r="Q348" s="198" t="s">
        <v>475</v>
      </c>
      <c r="R348" s="198" t="s">
        <v>470</v>
      </c>
      <c r="S348" s="198"/>
      <c r="T348" s="198" t="s">
        <v>470</v>
      </c>
      <c r="U348" s="198"/>
      <c r="V348" s="198" t="s">
        <v>470</v>
      </c>
      <c r="W348" s="198"/>
      <c r="X348" s="198" t="s">
        <v>470</v>
      </c>
      <c r="Y348" s="198"/>
      <c r="Z348" s="198"/>
      <c r="AA348" s="198"/>
      <c r="AB348" s="198"/>
      <c r="AC348" s="198"/>
      <c r="AD348" s="198"/>
      <c r="AE348" s="198"/>
      <c r="AF348" s="198"/>
      <c r="AG348" s="198"/>
      <c r="AH348" s="198" t="s">
        <v>476</v>
      </c>
      <c r="AI348" s="198" t="s">
        <v>476</v>
      </c>
      <c r="AJ348" s="198" t="s">
        <v>477</v>
      </c>
      <c r="AK348" s="198" t="s">
        <v>478</v>
      </c>
      <c r="AL348" s="580">
        <f t="shared" si="41"/>
        <v>5.8369999999999997</v>
      </c>
      <c r="AM348" s="504">
        <v>5.8369999999999997</v>
      </c>
      <c r="AN348" s="516">
        <v>4.5</v>
      </c>
      <c r="AO348" s="137">
        <v>0.77090000000000003</v>
      </c>
      <c r="AP348" s="137">
        <v>6.9999999999999994E-5</v>
      </c>
      <c r="AQ348" s="504">
        <v>1.337</v>
      </c>
      <c r="AR348" s="137">
        <v>0.2291</v>
      </c>
      <c r="AS348" s="137"/>
      <c r="AT348" s="520">
        <v>0</v>
      </c>
      <c r="AU348" s="137">
        <v>0</v>
      </c>
      <c r="AV348" s="520">
        <v>0</v>
      </c>
      <c r="AW348" s="137">
        <v>0</v>
      </c>
      <c r="AX348" s="520"/>
      <c r="AY348" s="137">
        <v>0</v>
      </c>
      <c r="AZ348" s="520">
        <v>0</v>
      </c>
      <c r="BA348" s="137">
        <v>0</v>
      </c>
      <c r="BB348" s="198" t="s">
        <v>470</v>
      </c>
      <c r="BC348" s="198" t="s">
        <v>470</v>
      </c>
      <c r="BD348" s="198" t="s">
        <v>470</v>
      </c>
      <c r="BE348" s="198" t="s">
        <v>479</v>
      </c>
      <c r="BF348" s="198" t="s">
        <v>480</v>
      </c>
      <c r="BG348" s="198" t="s">
        <v>470</v>
      </c>
      <c r="BH348" s="198" t="s">
        <v>470</v>
      </c>
      <c r="BI348" s="198">
        <v>4.5</v>
      </c>
      <c r="BJ348" s="137">
        <v>6.9999999999999994E-5</v>
      </c>
      <c r="BK348" s="83"/>
      <c r="BL348" s="83">
        <v>15</v>
      </c>
      <c r="BM348" s="83">
        <v>4</v>
      </c>
      <c r="BN348" s="83"/>
      <c r="BO348" s="83"/>
      <c r="BP348" s="83">
        <v>1</v>
      </c>
      <c r="BQ348" s="83"/>
      <c r="BR348" s="83"/>
      <c r="BS348" s="83"/>
      <c r="BT348" s="83"/>
      <c r="BU348" s="83"/>
      <c r="BV348" s="83"/>
      <c r="BW348" s="83">
        <v>1</v>
      </c>
      <c r="BX348" s="83">
        <v>2</v>
      </c>
      <c r="BY348" s="83"/>
      <c r="BZ348" s="83"/>
      <c r="CA348" s="83"/>
      <c r="CB348" s="83"/>
      <c r="CC348" s="83"/>
      <c r="CD348" s="83"/>
      <c r="CE348" s="83"/>
      <c r="CF348" s="83"/>
      <c r="CG348" s="83"/>
      <c r="CH348" s="83"/>
      <c r="CI348" s="83"/>
      <c r="CJ348" s="83"/>
      <c r="CK348" s="83"/>
      <c r="CL348" s="824">
        <f t="shared" si="42"/>
        <v>4</v>
      </c>
      <c r="CM348" s="824">
        <f t="shared" si="40"/>
        <v>0</v>
      </c>
      <c r="CN348" s="580">
        <v>2</v>
      </c>
      <c r="CO348" s="198" t="s">
        <v>482</v>
      </c>
      <c r="CP348" s="198" t="s">
        <v>470</v>
      </c>
      <c r="CQ348" s="137">
        <v>2.2000000000000001E-3</v>
      </c>
      <c r="CR348" s="580">
        <v>909.85599999999999</v>
      </c>
      <c r="CS348" s="137" t="s">
        <v>483</v>
      </c>
      <c r="CT348" s="198" t="s">
        <v>470</v>
      </c>
      <c r="CU348" s="198" t="s">
        <v>470</v>
      </c>
      <c r="CV348" s="198" t="s">
        <v>470</v>
      </c>
      <c r="CW348" s="198" t="s">
        <v>470</v>
      </c>
      <c r="CX348" s="83" t="s">
        <v>470</v>
      </c>
      <c r="CY348" s="83" t="s">
        <v>470</v>
      </c>
      <c r="CZ348" s="83">
        <v>1</v>
      </c>
      <c r="DA348" s="198" t="s">
        <v>470</v>
      </c>
      <c r="DB348" s="198"/>
      <c r="DC348" s="83"/>
      <c r="DD348" s="198" t="s">
        <v>470</v>
      </c>
      <c r="DE348" s="198"/>
      <c r="DF348" s="83"/>
      <c r="DG348" s="83" t="s">
        <v>479</v>
      </c>
      <c r="DH348" s="83" t="s">
        <v>484</v>
      </c>
      <c r="DI348" s="83">
        <v>1075</v>
      </c>
      <c r="DJ348" s="83" t="s">
        <v>470</v>
      </c>
      <c r="DK348" s="83"/>
      <c r="DL348" s="83"/>
      <c r="DM348" s="198" t="s">
        <v>470</v>
      </c>
      <c r="DN348" s="198"/>
      <c r="DO348" s="83"/>
      <c r="DP348" s="198" t="s">
        <v>470</v>
      </c>
      <c r="DQ348" s="198"/>
      <c r="DR348" s="83"/>
      <c r="DS348" s="198" t="s">
        <v>470</v>
      </c>
      <c r="DT348" s="198"/>
      <c r="DU348" s="83"/>
      <c r="DV348" s="198" t="s">
        <v>470</v>
      </c>
      <c r="DW348" s="198"/>
      <c r="DX348" s="83"/>
      <c r="DY348" s="198" t="s">
        <v>470</v>
      </c>
      <c r="DZ348" s="198"/>
      <c r="EA348" s="83"/>
      <c r="EB348" s="198" t="s">
        <v>470</v>
      </c>
      <c r="EC348" s="198"/>
      <c r="ED348" s="83"/>
      <c r="EE348" s="83" t="s">
        <v>470</v>
      </c>
      <c r="EF348" s="83"/>
      <c r="EG348" s="83"/>
      <c r="EH348" s="198" t="s">
        <v>470</v>
      </c>
      <c r="EI348" s="198"/>
      <c r="EJ348" s="83"/>
      <c r="EK348" s="198" t="s">
        <v>470</v>
      </c>
      <c r="EL348" s="198"/>
      <c r="EM348" s="83"/>
      <c r="EN348" s="198" t="s">
        <v>479</v>
      </c>
      <c r="EO348" s="198" t="s">
        <v>485</v>
      </c>
      <c r="EP348" s="83">
        <v>7</v>
      </c>
      <c r="EQ348" s="83" t="s">
        <v>470</v>
      </c>
      <c r="ER348" s="83"/>
      <c r="ES348" s="83"/>
      <c r="ET348" s="198" t="s">
        <v>470</v>
      </c>
      <c r="EU348" s="198"/>
      <c r="EV348" s="83"/>
      <c r="EW348" s="198" t="s">
        <v>486</v>
      </c>
      <c r="EX348" s="198" t="s">
        <v>487</v>
      </c>
      <c r="EY348" s="198">
        <v>15</v>
      </c>
      <c r="EZ348" s="198" t="s">
        <v>470</v>
      </c>
      <c r="FA348" s="198" t="s">
        <v>470</v>
      </c>
      <c r="FB348" s="198" t="s">
        <v>488</v>
      </c>
      <c r="FC348" s="198" t="s">
        <v>470</v>
      </c>
      <c r="FD348" s="198" t="s">
        <v>470</v>
      </c>
      <c r="FE348" s="198" t="s">
        <v>489</v>
      </c>
      <c r="FF348" s="198" t="s">
        <v>470</v>
      </c>
      <c r="FG348" s="198" t="s">
        <v>490</v>
      </c>
      <c r="FH348" s="198">
        <v>1</v>
      </c>
      <c r="FI348" s="198">
        <v>195</v>
      </c>
      <c r="FJ348" s="198" t="s">
        <v>491</v>
      </c>
      <c r="FK348" s="198" t="s">
        <v>492</v>
      </c>
      <c r="FL348" s="844" t="s">
        <v>493</v>
      </c>
      <c r="FM348" s="198" t="s">
        <v>494</v>
      </c>
      <c r="FN348" s="198" t="s">
        <v>495</v>
      </c>
      <c r="FO348" s="549" t="s">
        <v>496</v>
      </c>
    </row>
    <row r="349" spans="5:171" ht="104" customHeight="1" x14ac:dyDescent="0.2">
      <c r="E349" s="94" t="s">
        <v>9302</v>
      </c>
      <c r="F349" s="94" t="s">
        <v>9120</v>
      </c>
      <c r="G349" s="198" t="s">
        <v>357</v>
      </c>
      <c r="H349" s="198" t="s">
        <v>442</v>
      </c>
      <c r="I349" s="198"/>
      <c r="J349" s="198" t="s">
        <v>2094</v>
      </c>
      <c r="K349" s="198" t="s">
        <v>2479</v>
      </c>
      <c r="L349" s="578">
        <v>2007</v>
      </c>
      <c r="M349" s="822">
        <v>44317</v>
      </c>
      <c r="N349" s="822">
        <v>44926</v>
      </c>
      <c r="O349" s="198" t="s">
        <v>2480</v>
      </c>
      <c r="P349" s="198" t="s">
        <v>2481</v>
      </c>
      <c r="Q349" s="198" t="s">
        <v>2482</v>
      </c>
      <c r="R349" s="198" t="s">
        <v>656</v>
      </c>
      <c r="S349" s="198" t="s">
        <v>656</v>
      </c>
      <c r="T349" s="198" t="s">
        <v>2483</v>
      </c>
      <c r="U349" s="198" t="s">
        <v>2482</v>
      </c>
      <c r="V349" s="198" t="s">
        <v>656</v>
      </c>
      <c r="W349" s="198" t="s">
        <v>656</v>
      </c>
      <c r="X349" s="198" t="s">
        <v>2484</v>
      </c>
      <c r="Y349" s="198" t="s">
        <v>2482</v>
      </c>
      <c r="Z349" s="198"/>
      <c r="AA349" s="198"/>
      <c r="AB349" s="198"/>
      <c r="AC349" s="198"/>
      <c r="AD349" s="198"/>
      <c r="AE349" s="198"/>
      <c r="AF349" s="198"/>
      <c r="AG349" s="198"/>
      <c r="AH349" s="198" t="s">
        <v>2485</v>
      </c>
      <c r="AI349" s="198" t="s">
        <v>2485</v>
      </c>
      <c r="AJ349" s="198" t="s">
        <v>504</v>
      </c>
      <c r="AK349" s="198" t="s">
        <v>2486</v>
      </c>
      <c r="AL349" s="580">
        <f t="shared" si="41"/>
        <v>439.24599999999998</v>
      </c>
      <c r="AM349" s="504">
        <v>439.24599999999998</v>
      </c>
      <c r="AN349" s="516">
        <v>244.63</v>
      </c>
      <c r="AO349" s="137">
        <f>AN349/AL349</f>
        <v>0.55693165105658338</v>
      </c>
      <c r="AP349" s="137">
        <f>AN349/179007.82582</f>
        <v>1.366588297910427E-3</v>
      </c>
      <c r="AQ349" s="504">
        <v>133.98500000000001</v>
      </c>
      <c r="AR349" s="137">
        <f>AQ349/AL349</f>
        <v>0.30503408112993635</v>
      </c>
      <c r="AS349" s="137"/>
      <c r="AT349" s="520"/>
      <c r="AU349" s="137" t="s">
        <v>656</v>
      </c>
      <c r="AV349" s="520"/>
      <c r="AW349" s="137" t="s">
        <v>656</v>
      </c>
      <c r="AX349" s="520">
        <f>16.4+44.231</f>
        <v>60.631</v>
      </c>
      <c r="AY349" s="137">
        <f>AX349/AL349</f>
        <v>0.13803426781348038</v>
      </c>
      <c r="AZ349" s="520" t="s">
        <v>656</v>
      </c>
      <c r="BA349" s="137" t="s">
        <v>656</v>
      </c>
      <c r="BB349" s="198" t="s">
        <v>656</v>
      </c>
      <c r="BC349" s="198" t="s">
        <v>656</v>
      </c>
      <c r="BD349" s="198" t="s">
        <v>656</v>
      </c>
      <c r="BE349" s="198" t="s">
        <v>479</v>
      </c>
      <c r="BF349" s="198" t="s">
        <v>2487</v>
      </c>
      <c r="BG349" s="198" t="s">
        <v>656</v>
      </c>
      <c r="BH349" s="198">
        <v>24.597000000000001</v>
      </c>
      <c r="BI349" s="823">
        <v>466.6</v>
      </c>
      <c r="BJ349" s="137">
        <f>BI349/180814.51125</f>
        <v>2.5805450943860568E-3</v>
      </c>
      <c r="BK349" s="198"/>
      <c r="BL349" s="83">
        <v>257</v>
      </c>
      <c r="BM349" s="83">
        <v>165</v>
      </c>
      <c r="BN349" s="83"/>
      <c r="BO349" s="83">
        <v>18</v>
      </c>
      <c r="BP349" s="83"/>
      <c r="BQ349" s="83">
        <v>1</v>
      </c>
      <c r="BR349" s="83">
        <v>2</v>
      </c>
      <c r="BS349" s="83"/>
      <c r="BT349" s="83"/>
      <c r="BU349" s="83">
        <v>11</v>
      </c>
      <c r="BV349" s="83">
        <v>24</v>
      </c>
      <c r="BW349" s="83"/>
      <c r="BX349" s="83"/>
      <c r="BY349" s="83">
        <v>110</v>
      </c>
      <c r="BZ349" s="83">
        <v>7</v>
      </c>
      <c r="CA349" s="83"/>
      <c r="CB349" s="83"/>
      <c r="CC349" s="83"/>
      <c r="CD349" s="83"/>
      <c r="CE349" s="83"/>
      <c r="CF349" s="83"/>
      <c r="CG349" s="83"/>
      <c r="CH349" s="83"/>
      <c r="CI349" s="83"/>
      <c r="CJ349" s="83"/>
      <c r="CK349" s="83"/>
      <c r="CL349" s="824">
        <f t="shared" si="42"/>
        <v>173</v>
      </c>
      <c r="CM349" s="824">
        <f t="shared" si="40"/>
        <v>0</v>
      </c>
      <c r="CN349" s="198">
        <f>786.661+66.362+1.923</f>
        <v>854.94599999999991</v>
      </c>
      <c r="CO349" s="198" t="s">
        <v>2488</v>
      </c>
      <c r="CP349" s="198" t="s">
        <v>656</v>
      </c>
      <c r="CQ349" s="949">
        <f>CN349/CR349</f>
        <v>0.29455960557528021</v>
      </c>
      <c r="CR349" s="580">
        <v>2902.4549999999999</v>
      </c>
      <c r="CS349" s="580" t="s">
        <v>2489</v>
      </c>
      <c r="CT349" s="198" t="s">
        <v>479</v>
      </c>
      <c r="CU349" s="198" t="s">
        <v>2490</v>
      </c>
      <c r="CV349" s="1086" t="s">
        <v>2491</v>
      </c>
      <c r="CW349" s="198" t="s">
        <v>2492</v>
      </c>
      <c r="CX349" s="198">
        <v>5</v>
      </c>
      <c r="CY349" s="83" t="s">
        <v>656</v>
      </c>
      <c r="CZ349" s="83">
        <v>5</v>
      </c>
      <c r="DA349" s="198" t="s">
        <v>479</v>
      </c>
      <c r="DB349" s="198" t="s">
        <v>656</v>
      </c>
      <c r="DC349" s="83">
        <v>24465</v>
      </c>
      <c r="DD349" s="198" t="s">
        <v>479</v>
      </c>
      <c r="DE349" s="198" t="s">
        <v>656</v>
      </c>
      <c r="DF349" s="83">
        <v>4241</v>
      </c>
      <c r="DG349" s="198" t="s">
        <v>479</v>
      </c>
      <c r="DH349" s="198" t="s">
        <v>656</v>
      </c>
      <c r="DI349" s="83">
        <v>145</v>
      </c>
      <c r="DJ349" s="198" t="s">
        <v>470</v>
      </c>
      <c r="DK349" s="198" t="s">
        <v>656</v>
      </c>
      <c r="DL349" s="83" t="s">
        <v>656</v>
      </c>
      <c r="DM349" s="198" t="s">
        <v>470</v>
      </c>
      <c r="DN349" s="198" t="s">
        <v>656</v>
      </c>
      <c r="DO349" s="83" t="s">
        <v>656</v>
      </c>
      <c r="DP349" s="198" t="s">
        <v>479</v>
      </c>
      <c r="DQ349" s="198" t="s">
        <v>656</v>
      </c>
      <c r="DR349" s="83">
        <v>2</v>
      </c>
      <c r="DS349" s="198" t="s">
        <v>470</v>
      </c>
      <c r="DT349" s="198" t="s">
        <v>656</v>
      </c>
      <c r="DU349" s="83" t="s">
        <v>656</v>
      </c>
      <c r="DV349" s="198" t="s">
        <v>470</v>
      </c>
      <c r="DW349" s="198" t="s">
        <v>656</v>
      </c>
      <c r="DX349" s="83" t="s">
        <v>656</v>
      </c>
      <c r="DY349" s="198" t="s">
        <v>479</v>
      </c>
      <c r="DZ349" s="198" t="s">
        <v>2493</v>
      </c>
      <c r="EA349" s="83">
        <f>28767+740</f>
        <v>29507</v>
      </c>
      <c r="EB349" s="198" t="s">
        <v>479</v>
      </c>
      <c r="EC349" s="198" t="s">
        <v>2494</v>
      </c>
      <c r="ED349" s="83">
        <f>369715+5785</f>
        <v>375500</v>
      </c>
      <c r="EE349" s="198" t="s">
        <v>479</v>
      </c>
      <c r="EF349" s="198" t="s">
        <v>656</v>
      </c>
      <c r="EG349" s="83">
        <v>470</v>
      </c>
      <c r="EH349" s="198" t="s">
        <v>470</v>
      </c>
      <c r="EI349" s="198" t="s">
        <v>656</v>
      </c>
      <c r="EJ349" s="83" t="s">
        <v>656</v>
      </c>
      <c r="EK349" s="198" t="s">
        <v>470</v>
      </c>
      <c r="EL349" s="198" t="s">
        <v>656</v>
      </c>
      <c r="EM349" s="83" t="s">
        <v>656</v>
      </c>
      <c r="EN349" s="198" t="s">
        <v>479</v>
      </c>
      <c r="EO349" s="198" t="s">
        <v>656</v>
      </c>
      <c r="EP349" s="83">
        <v>48</v>
      </c>
      <c r="EQ349" s="198" t="s">
        <v>479</v>
      </c>
      <c r="ER349" s="198" t="s">
        <v>656</v>
      </c>
      <c r="ES349" s="83">
        <v>169</v>
      </c>
      <c r="ET349" s="198" t="s">
        <v>3407</v>
      </c>
      <c r="EU349" s="198" t="s">
        <v>656</v>
      </c>
      <c r="EV349" s="83">
        <v>88</v>
      </c>
      <c r="EW349" s="837">
        <v>1</v>
      </c>
      <c r="EX349" s="198" t="s">
        <v>656</v>
      </c>
      <c r="EY349" s="83">
        <v>28</v>
      </c>
      <c r="EZ349" s="198" t="s">
        <v>479</v>
      </c>
      <c r="FA349" s="198" t="s">
        <v>2495</v>
      </c>
      <c r="FB349" s="198" t="s">
        <v>2496</v>
      </c>
      <c r="FC349" s="198" t="s">
        <v>2497</v>
      </c>
      <c r="FD349" s="198" t="s">
        <v>2498</v>
      </c>
      <c r="FE349" s="198" t="s">
        <v>2499</v>
      </c>
      <c r="FF349" s="198" t="s">
        <v>2500</v>
      </c>
      <c r="FG349" s="198" t="s">
        <v>2501</v>
      </c>
      <c r="FH349" s="198">
        <v>58</v>
      </c>
      <c r="FI349" s="198">
        <v>1414</v>
      </c>
      <c r="FJ349" s="198" t="s">
        <v>2502</v>
      </c>
      <c r="FK349" s="198" t="s">
        <v>2503</v>
      </c>
      <c r="FL349" s="198" t="s">
        <v>2504</v>
      </c>
      <c r="FM349" s="198" t="s">
        <v>2505</v>
      </c>
      <c r="FN349" s="198" t="s">
        <v>2506</v>
      </c>
      <c r="FO349" s="198" t="s">
        <v>2507</v>
      </c>
    </row>
    <row r="350" spans="5:171" ht="44" customHeight="1" x14ac:dyDescent="0.2">
      <c r="E350" s="94" t="s">
        <v>9305</v>
      </c>
      <c r="F350" s="94" t="s">
        <v>9121</v>
      </c>
      <c r="G350" s="97" t="s">
        <v>357</v>
      </c>
      <c r="H350" s="97" t="s">
        <v>442</v>
      </c>
      <c r="I350" s="97" t="s">
        <v>8675</v>
      </c>
      <c r="J350" s="97" t="s">
        <v>8475</v>
      </c>
      <c r="K350" s="97" t="s">
        <v>470</v>
      </c>
      <c r="L350" s="502">
        <v>2022</v>
      </c>
      <c r="M350" s="841">
        <v>44697</v>
      </c>
      <c r="N350" s="841">
        <v>44926</v>
      </c>
      <c r="O350" s="841"/>
      <c r="P350" s="841"/>
      <c r="Q350" s="841"/>
      <c r="R350" s="841"/>
      <c r="S350" s="841"/>
      <c r="T350" s="841"/>
      <c r="U350" s="841"/>
      <c r="V350" s="841"/>
      <c r="W350" s="841"/>
      <c r="X350" s="841"/>
      <c r="Y350" s="841"/>
      <c r="Z350" s="97" t="s">
        <v>8050</v>
      </c>
      <c r="AA350" s="842" t="s">
        <v>7917</v>
      </c>
      <c r="AB350" s="97" t="s">
        <v>7753</v>
      </c>
      <c r="AC350" s="97" t="s">
        <v>7617</v>
      </c>
      <c r="AD350" s="97" t="s">
        <v>7410</v>
      </c>
      <c r="AE350" s="97" t="s">
        <v>7229</v>
      </c>
      <c r="AF350" s="97" t="s">
        <v>656</v>
      </c>
      <c r="AG350" s="97" t="s">
        <v>656</v>
      </c>
      <c r="AH350" s="97" t="s">
        <v>6960</v>
      </c>
      <c r="AI350" s="97" t="s">
        <v>9643</v>
      </c>
      <c r="AJ350" s="97" t="s">
        <v>6664</v>
      </c>
      <c r="AK350" s="97" t="s">
        <v>6420</v>
      </c>
      <c r="AL350" s="580">
        <f t="shared" si="41"/>
        <v>3.806</v>
      </c>
      <c r="AM350" s="504">
        <v>3.806</v>
      </c>
      <c r="AN350" s="516"/>
      <c r="AO350" s="97"/>
      <c r="AP350" s="97"/>
      <c r="AQ350" s="504">
        <v>3.36</v>
      </c>
      <c r="AR350" s="507">
        <f>AQ350/AL350</f>
        <v>0.88281660535995787</v>
      </c>
      <c r="AS350" s="507">
        <f>AQ350/1896.44</f>
        <v>1.771740735272405E-3</v>
      </c>
      <c r="AT350" s="516"/>
      <c r="AU350" s="507" t="s">
        <v>656</v>
      </c>
      <c r="AV350" s="516"/>
      <c r="AW350" s="507" t="s">
        <v>656</v>
      </c>
      <c r="AX350" s="516">
        <v>0.44600000000000001</v>
      </c>
      <c r="AY350" s="507">
        <f>AX350/AL350</f>
        <v>0.11718339464004204</v>
      </c>
      <c r="AZ350" s="516"/>
      <c r="BA350" s="507"/>
      <c r="BB350" s="507"/>
      <c r="BC350" s="507"/>
      <c r="BD350" s="507"/>
      <c r="BE350" s="507" t="s">
        <v>479</v>
      </c>
      <c r="BF350" s="507" t="s">
        <v>6284</v>
      </c>
      <c r="BG350" s="507" t="s">
        <v>656</v>
      </c>
      <c r="BH350" s="852">
        <v>6.3899999999999998E-3</v>
      </c>
      <c r="BI350" s="504">
        <v>0</v>
      </c>
      <c r="BJ350" s="507">
        <v>0</v>
      </c>
      <c r="BK350" s="96">
        <v>2</v>
      </c>
      <c r="BL350" s="96">
        <v>2</v>
      </c>
      <c r="BM350" s="96">
        <v>2</v>
      </c>
      <c r="BN350" s="96"/>
      <c r="BO350" s="96"/>
      <c r="BP350" s="96"/>
      <c r="BQ350" s="96"/>
      <c r="BR350" s="96"/>
      <c r="BS350" s="96"/>
      <c r="BT350" s="96"/>
      <c r="BU350" s="96"/>
      <c r="BV350" s="96"/>
      <c r="BW350" s="96"/>
      <c r="BX350" s="96">
        <v>1</v>
      </c>
      <c r="BY350" s="96">
        <v>1</v>
      </c>
      <c r="BZ350" s="96"/>
      <c r="CA350" s="96"/>
      <c r="CB350" s="96"/>
      <c r="CC350" s="96"/>
      <c r="CD350" s="96"/>
      <c r="CE350" s="96"/>
      <c r="CF350" s="96"/>
      <c r="CG350" s="96"/>
      <c r="CH350" s="96"/>
      <c r="CI350" s="96"/>
      <c r="CJ350" s="96"/>
      <c r="CK350" s="96"/>
      <c r="CL350" s="815">
        <f t="shared" si="42"/>
        <v>2</v>
      </c>
      <c r="CM350" s="824">
        <f t="shared" si="40"/>
        <v>0</v>
      </c>
      <c r="CN350" s="504">
        <v>24.091000000000001</v>
      </c>
      <c r="CO350" s="97"/>
      <c r="CP350" s="97"/>
      <c r="CQ350" s="97">
        <v>3.85</v>
      </c>
      <c r="CR350" s="504">
        <v>24.091000000000001</v>
      </c>
      <c r="CS350" s="887" t="s">
        <v>5826</v>
      </c>
      <c r="CT350" s="97" t="s">
        <v>470</v>
      </c>
      <c r="CU350" s="97" t="s">
        <v>656</v>
      </c>
      <c r="CV350" s="97" t="s">
        <v>656</v>
      </c>
      <c r="CW350" s="97" t="s">
        <v>656</v>
      </c>
      <c r="CX350" s="96" t="s">
        <v>656</v>
      </c>
      <c r="CY350" s="96" t="s">
        <v>656</v>
      </c>
      <c r="CZ350" s="96"/>
      <c r="DA350" s="97" t="s">
        <v>479</v>
      </c>
      <c r="DB350" s="97" t="s">
        <v>1876</v>
      </c>
      <c r="DC350" s="96">
        <v>928</v>
      </c>
      <c r="DD350" s="97" t="s">
        <v>479</v>
      </c>
      <c r="DE350" s="97" t="s">
        <v>5608</v>
      </c>
      <c r="DF350" s="96">
        <v>10</v>
      </c>
      <c r="DG350" s="96" t="s">
        <v>470</v>
      </c>
      <c r="DH350" s="96"/>
      <c r="DI350" s="96"/>
      <c r="DJ350" s="96" t="s">
        <v>470</v>
      </c>
      <c r="DK350" s="96"/>
      <c r="DL350" s="96"/>
      <c r="DM350" s="97" t="s">
        <v>470</v>
      </c>
      <c r="DN350" s="97"/>
      <c r="DO350" s="96"/>
      <c r="DP350" s="97" t="s">
        <v>470</v>
      </c>
      <c r="DQ350" s="97"/>
      <c r="DR350" s="96"/>
      <c r="DS350" s="97" t="s">
        <v>470</v>
      </c>
      <c r="DT350" s="97"/>
      <c r="DU350" s="96"/>
      <c r="DV350" s="97"/>
      <c r="DW350" s="97"/>
      <c r="DX350" s="96"/>
      <c r="DY350" s="97" t="s">
        <v>470</v>
      </c>
      <c r="DZ350" s="97"/>
      <c r="EA350" s="96"/>
      <c r="EB350" s="97" t="s">
        <v>479</v>
      </c>
      <c r="EC350" s="97" t="s">
        <v>640</v>
      </c>
      <c r="ED350" s="96">
        <v>928</v>
      </c>
      <c r="EE350" s="96" t="s">
        <v>470</v>
      </c>
      <c r="EF350" s="96"/>
      <c r="EG350" s="96"/>
      <c r="EH350" s="97" t="s">
        <v>470</v>
      </c>
      <c r="EI350" s="97"/>
      <c r="EJ350" s="96"/>
      <c r="EK350" s="97" t="s">
        <v>470</v>
      </c>
      <c r="EL350" s="97"/>
      <c r="EM350" s="96"/>
      <c r="EN350" s="97" t="s">
        <v>470</v>
      </c>
      <c r="EO350" s="97"/>
      <c r="EP350" s="96"/>
      <c r="EQ350" s="96" t="s">
        <v>479</v>
      </c>
      <c r="ER350" s="96" t="s">
        <v>920</v>
      </c>
      <c r="ES350" s="96">
        <v>9</v>
      </c>
      <c r="ET350" s="97"/>
      <c r="EU350" s="97"/>
      <c r="EV350" s="96"/>
      <c r="EW350" s="96"/>
      <c r="EX350" s="96"/>
      <c r="EY350" s="96"/>
      <c r="EZ350" s="97" t="s">
        <v>470</v>
      </c>
      <c r="FA350" s="97" t="s">
        <v>656</v>
      </c>
      <c r="FB350" s="842" t="s">
        <v>5077</v>
      </c>
      <c r="FC350" s="97" t="s">
        <v>656</v>
      </c>
      <c r="FD350" s="97" t="s">
        <v>656</v>
      </c>
      <c r="FE350" s="97" t="s">
        <v>656</v>
      </c>
      <c r="FF350" s="97" t="s">
        <v>656</v>
      </c>
      <c r="FG350" s="97" t="s">
        <v>4608</v>
      </c>
      <c r="FH350" s="97">
        <v>4</v>
      </c>
      <c r="FI350" s="97">
        <v>8</v>
      </c>
      <c r="FJ350" s="97" t="s">
        <v>4383</v>
      </c>
      <c r="FK350" s="97" t="s">
        <v>4197</v>
      </c>
      <c r="FL350" s="97" t="s">
        <v>3981</v>
      </c>
      <c r="FM350" s="97" t="s">
        <v>2502</v>
      </c>
      <c r="FN350" s="97" t="s">
        <v>3788</v>
      </c>
      <c r="FO350" s="97" t="s">
        <v>2504</v>
      </c>
    </row>
    <row r="351" spans="5:171" ht="52" customHeight="1" x14ac:dyDescent="0.2">
      <c r="E351" s="94" t="s">
        <v>9305</v>
      </c>
      <c r="F351" s="94" t="s">
        <v>9121</v>
      </c>
      <c r="G351" s="97" t="s">
        <v>357</v>
      </c>
      <c r="H351" s="97" t="s">
        <v>442</v>
      </c>
      <c r="I351" s="97" t="s">
        <v>8674</v>
      </c>
      <c r="J351" s="97" t="s">
        <v>8474</v>
      </c>
      <c r="K351" s="97" t="s">
        <v>8369</v>
      </c>
      <c r="L351" s="502">
        <v>2021</v>
      </c>
      <c r="M351" s="841" t="s">
        <v>8280</v>
      </c>
      <c r="N351" s="841" t="s">
        <v>8214</v>
      </c>
      <c r="O351" s="841"/>
      <c r="P351" s="841"/>
      <c r="Q351" s="841"/>
      <c r="R351" s="841"/>
      <c r="S351" s="841"/>
      <c r="T351" s="841"/>
      <c r="U351" s="841"/>
      <c r="V351" s="841"/>
      <c r="W351" s="841"/>
      <c r="X351" s="841"/>
      <c r="Y351" s="841"/>
      <c r="Z351" s="97" t="s">
        <v>8049</v>
      </c>
      <c r="AA351" s="97" t="s">
        <v>7916</v>
      </c>
      <c r="AB351" s="97" t="s">
        <v>7752</v>
      </c>
      <c r="AC351" s="97" t="s">
        <v>7616</v>
      </c>
      <c r="AD351" s="97" t="s">
        <v>7409</v>
      </c>
      <c r="AE351" s="97" t="s">
        <v>7228</v>
      </c>
      <c r="AF351" s="97" t="s">
        <v>7134</v>
      </c>
      <c r="AG351" s="97"/>
      <c r="AH351" s="97" t="s">
        <v>6959</v>
      </c>
      <c r="AI351" s="97" t="s">
        <v>6793</v>
      </c>
      <c r="AJ351" s="97" t="s">
        <v>6663</v>
      </c>
      <c r="AK351" s="97" t="s">
        <v>6419</v>
      </c>
      <c r="AL351" s="580">
        <f t="shared" si="41"/>
        <v>5.8590400000000002</v>
      </c>
      <c r="AM351" s="504">
        <v>5.8590400000000002</v>
      </c>
      <c r="AN351" s="516"/>
      <c r="AO351" s="97"/>
      <c r="AP351" s="97"/>
      <c r="AQ351" s="504">
        <v>4.9089999999999998</v>
      </c>
      <c r="AR351" s="507">
        <v>0.83779999999999999</v>
      </c>
      <c r="AS351" s="507"/>
      <c r="AT351" s="516">
        <v>0</v>
      </c>
      <c r="AU351" s="507">
        <v>4.0000000000000003E-5</v>
      </c>
      <c r="AV351" s="516">
        <v>0</v>
      </c>
      <c r="AW351" s="507">
        <v>0</v>
      </c>
      <c r="AX351" s="516">
        <v>0.95004</v>
      </c>
      <c r="AY351" s="507">
        <v>0.16209999999999999</v>
      </c>
      <c r="AZ351" s="516"/>
      <c r="BA351" s="507"/>
      <c r="BB351" s="507"/>
      <c r="BC351" s="507"/>
      <c r="BD351" s="507"/>
      <c r="BE351" s="507" t="s">
        <v>479</v>
      </c>
      <c r="BF351" s="507" t="s">
        <v>6283</v>
      </c>
      <c r="BG351" s="842" t="s">
        <v>6224</v>
      </c>
      <c r="BH351" s="852">
        <v>0.36599999999999999</v>
      </c>
      <c r="BI351" s="504">
        <v>5</v>
      </c>
      <c r="BJ351" s="507">
        <v>3.5000000000000001E-3</v>
      </c>
      <c r="BK351" s="96">
        <v>14</v>
      </c>
      <c r="BL351" s="96">
        <v>14</v>
      </c>
      <c r="BM351" s="96">
        <v>12</v>
      </c>
      <c r="BN351" s="96"/>
      <c r="BO351" s="96">
        <v>2</v>
      </c>
      <c r="BP351" s="96"/>
      <c r="BQ351" s="96"/>
      <c r="BR351" s="96"/>
      <c r="BS351" s="96"/>
      <c r="BT351" s="96"/>
      <c r="BU351" s="96">
        <v>3</v>
      </c>
      <c r="BV351" s="96">
        <v>2</v>
      </c>
      <c r="BW351" s="96"/>
      <c r="BX351" s="96">
        <v>2</v>
      </c>
      <c r="BY351" s="96">
        <v>3</v>
      </c>
      <c r="BZ351" s="96"/>
      <c r="CA351" s="96"/>
      <c r="CB351" s="96"/>
      <c r="CC351" s="96"/>
      <c r="CD351" s="96"/>
      <c r="CE351" s="96"/>
      <c r="CF351" s="96"/>
      <c r="CG351" s="96"/>
      <c r="CH351" s="96"/>
      <c r="CI351" s="96"/>
      <c r="CJ351" s="96"/>
      <c r="CK351" s="96"/>
      <c r="CL351" s="815">
        <f t="shared" si="42"/>
        <v>12</v>
      </c>
      <c r="CM351" s="824">
        <f t="shared" si="40"/>
        <v>0</v>
      </c>
      <c r="CN351" s="504">
        <v>16.192</v>
      </c>
      <c r="CO351" s="97" t="s">
        <v>470</v>
      </c>
      <c r="CP351" s="97" t="s">
        <v>656</v>
      </c>
      <c r="CQ351" s="97">
        <v>48.3</v>
      </c>
      <c r="CR351" s="504">
        <v>33.497</v>
      </c>
      <c r="CS351" s="887" t="s">
        <v>5826</v>
      </c>
      <c r="CT351" s="97" t="s">
        <v>470</v>
      </c>
      <c r="CU351" s="97"/>
      <c r="CV351" s="97"/>
      <c r="CW351" s="97"/>
      <c r="CX351" s="96"/>
      <c r="CY351" s="96"/>
      <c r="CZ351" s="96"/>
      <c r="DA351" s="97" t="s">
        <v>470</v>
      </c>
      <c r="DB351" s="97"/>
      <c r="DC351" s="96"/>
      <c r="DD351" s="97" t="s">
        <v>479</v>
      </c>
      <c r="DE351" s="97" t="s">
        <v>1007</v>
      </c>
      <c r="DF351" s="96">
        <v>1053</v>
      </c>
      <c r="DG351" s="96" t="s">
        <v>470</v>
      </c>
      <c r="DH351" s="96"/>
      <c r="DI351" s="96"/>
      <c r="DJ351" s="96" t="s">
        <v>470</v>
      </c>
      <c r="DK351" s="96"/>
      <c r="DL351" s="96"/>
      <c r="DM351" s="97" t="s">
        <v>470</v>
      </c>
      <c r="DN351" s="97"/>
      <c r="DO351" s="96"/>
      <c r="DP351" s="97" t="s">
        <v>470</v>
      </c>
      <c r="DQ351" s="97"/>
      <c r="DR351" s="96"/>
      <c r="DS351" s="97" t="s">
        <v>470</v>
      </c>
      <c r="DT351" s="97"/>
      <c r="DU351" s="96"/>
      <c r="DV351" s="97" t="s">
        <v>470</v>
      </c>
      <c r="DW351" s="97"/>
      <c r="DX351" s="96"/>
      <c r="DY351" s="97" t="s">
        <v>470</v>
      </c>
      <c r="DZ351" s="97"/>
      <c r="EA351" s="96"/>
      <c r="EB351" s="97" t="s">
        <v>470</v>
      </c>
      <c r="EC351" s="97"/>
      <c r="ED351" s="96"/>
      <c r="EE351" s="96" t="s">
        <v>470</v>
      </c>
      <c r="EF351" s="96"/>
      <c r="EG351" s="96"/>
      <c r="EH351" s="97" t="s">
        <v>470</v>
      </c>
      <c r="EI351" s="97"/>
      <c r="EJ351" s="96"/>
      <c r="EK351" s="97" t="s">
        <v>470</v>
      </c>
      <c r="EL351" s="97"/>
      <c r="EM351" s="96"/>
      <c r="EN351" s="97"/>
      <c r="EO351" s="97"/>
      <c r="EP351" s="96"/>
      <c r="EQ351" s="97" t="s">
        <v>479</v>
      </c>
      <c r="ER351" s="97" t="s">
        <v>5285</v>
      </c>
      <c r="ES351" s="96">
        <v>6</v>
      </c>
      <c r="ET351" s="97" t="s">
        <v>470</v>
      </c>
      <c r="EU351" s="97"/>
      <c r="EV351" s="96"/>
      <c r="EW351" s="96"/>
      <c r="EX351" s="96"/>
      <c r="EY351" s="96"/>
      <c r="EZ351" s="97" t="s">
        <v>470</v>
      </c>
      <c r="FA351" s="97"/>
      <c r="FB351" s="97" t="s">
        <v>5076</v>
      </c>
      <c r="FC351" s="97" t="s">
        <v>4956</v>
      </c>
      <c r="FD351" s="97"/>
      <c r="FE351" s="97" t="s">
        <v>4771</v>
      </c>
      <c r="FF351" s="97"/>
      <c r="FG351" s="97" t="s">
        <v>4607</v>
      </c>
      <c r="FH351" s="97">
        <v>2</v>
      </c>
      <c r="FI351" s="97">
        <v>15</v>
      </c>
      <c r="FJ351" s="97" t="s">
        <v>4382</v>
      </c>
      <c r="FK351" s="97" t="s">
        <v>4196</v>
      </c>
      <c r="FL351" s="97" t="s">
        <v>3980</v>
      </c>
      <c r="FM351" s="502" t="s">
        <v>2502</v>
      </c>
      <c r="FN351" s="97" t="s">
        <v>3788</v>
      </c>
      <c r="FO351" s="97" t="s">
        <v>2504</v>
      </c>
    </row>
    <row r="352" spans="5:171" ht="44" customHeight="1" x14ac:dyDescent="0.2">
      <c r="E352" s="94" t="s">
        <v>9305</v>
      </c>
      <c r="F352" s="94" t="s">
        <v>9121</v>
      </c>
      <c r="G352" s="97" t="s">
        <v>357</v>
      </c>
      <c r="H352" s="97" t="s">
        <v>442</v>
      </c>
      <c r="I352" s="97" t="s">
        <v>8673</v>
      </c>
      <c r="J352" s="97" t="s">
        <v>8473</v>
      </c>
      <c r="K352" s="97" t="s">
        <v>5242</v>
      </c>
      <c r="L352" s="502" t="s">
        <v>1887</v>
      </c>
      <c r="M352" s="841" t="s">
        <v>8279</v>
      </c>
      <c r="N352" s="841" t="s">
        <v>8213</v>
      </c>
      <c r="O352" s="841"/>
      <c r="P352" s="841"/>
      <c r="Q352" s="841"/>
      <c r="R352" s="841"/>
      <c r="S352" s="841"/>
      <c r="T352" s="841"/>
      <c r="U352" s="841"/>
      <c r="V352" s="841"/>
      <c r="W352" s="841"/>
      <c r="X352" s="841"/>
      <c r="Y352" s="841"/>
      <c r="Z352" s="97" t="s">
        <v>8048</v>
      </c>
      <c r="AA352" s="842" t="s">
        <v>7615</v>
      </c>
      <c r="AB352" s="97" t="s">
        <v>7751</v>
      </c>
      <c r="AC352" s="842" t="s">
        <v>7615</v>
      </c>
      <c r="AD352" s="97" t="s">
        <v>470</v>
      </c>
      <c r="AE352" s="97"/>
      <c r="AF352" s="97" t="s">
        <v>470</v>
      </c>
      <c r="AG352" s="97"/>
      <c r="AH352" s="97" t="s">
        <v>6958</v>
      </c>
      <c r="AI352" s="97" t="s">
        <v>6792</v>
      </c>
      <c r="AJ352" s="97" t="s">
        <v>6662</v>
      </c>
      <c r="AK352" s="97" t="s">
        <v>6418</v>
      </c>
      <c r="AL352" s="580">
        <f t="shared" si="41"/>
        <v>4.0330000000000004</v>
      </c>
      <c r="AM352" s="504">
        <v>4.0330000000000004</v>
      </c>
      <c r="AN352" s="516"/>
      <c r="AO352" s="97"/>
      <c r="AP352" s="97"/>
      <c r="AQ352" s="504">
        <v>3.766</v>
      </c>
      <c r="AR352" s="507">
        <v>0.93379999999999996</v>
      </c>
      <c r="AS352" s="507">
        <v>2.3E-3</v>
      </c>
      <c r="AT352" s="516"/>
      <c r="AU352" s="507"/>
      <c r="AV352" s="516"/>
      <c r="AW352" s="507"/>
      <c r="AX352" s="516">
        <v>0.26700000000000002</v>
      </c>
      <c r="AY352" s="507">
        <v>6.6199999999999995E-2</v>
      </c>
      <c r="AZ352" s="516"/>
      <c r="BA352" s="507"/>
      <c r="BB352" s="507"/>
      <c r="BC352" s="507"/>
      <c r="BD352" s="507"/>
      <c r="BE352" s="507" t="s">
        <v>479</v>
      </c>
      <c r="BF352" s="507" t="s">
        <v>6282</v>
      </c>
      <c r="BG352" s="507"/>
      <c r="BH352" s="852">
        <v>0.37</v>
      </c>
      <c r="BI352" s="504">
        <v>2</v>
      </c>
      <c r="BJ352" s="507">
        <v>1.4E-3</v>
      </c>
      <c r="BK352" s="96">
        <v>5</v>
      </c>
      <c r="BL352" s="96">
        <v>5</v>
      </c>
      <c r="BM352" s="96">
        <v>3</v>
      </c>
      <c r="BN352" s="96"/>
      <c r="BO352" s="96">
        <v>1</v>
      </c>
      <c r="BP352" s="96"/>
      <c r="BQ352" s="96"/>
      <c r="BR352" s="96">
        <v>1</v>
      </c>
      <c r="BS352" s="96"/>
      <c r="BT352" s="96"/>
      <c r="BU352" s="96"/>
      <c r="BV352" s="96"/>
      <c r="BW352" s="96"/>
      <c r="BX352" s="96"/>
      <c r="BY352" s="96"/>
      <c r="BZ352" s="96"/>
      <c r="CA352" s="96"/>
      <c r="CB352" s="96"/>
      <c r="CC352" s="96"/>
      <c r="CD352" s="96"/>
      <c r="CE352" s="96">
        <v>1</v>
      </c>
      <c r="CF352" s="96"/>
      <c r="CG352" s="96"/>
      <c r="CH352" s="96"/>
      <c r="CI352" s="96"/>
      <c r="CJ352" s="96"/>
      <c r="CK352" s="96"/>
      <c r="CL352" s="815">
        <f t="shared" si="42"/>
        <v>3</v>
      </c>
      <c r="CM352" s="824">
        <f t="shared" si="40"/>
        <v>0</v>
      </c>
      <c r="CN352" s="504">
        <v>14.661</v>
      </c>
      <c r="CO352" s="97" t="s">
        <v>470</v>
      </c>
      <c r="CP352" s="97"/>
      <c r="CQ352" s="97">
        <v>48.88</v>
      </c>
      <c r="CR352" s="504">
        <v>29.995999999999999</v>
      </c>
      <c r="CS352" s="887" t="s">
        <v>5836</v>
      </c>
      <c r="CT352" s="97" t="s">
        <v>470</v>
      </c>
      <c r="CU352" s="97"/>
      <c r="CV352" s="97"/>
      <c r="CW352" s="97"/>
      <c r="CX352" s="96"/>
      <c r="CY352" s="96"/>
      <c r="CZ352" s="96"/>
      <c r="DA352" s="97" t="s">
        <v>479</v>
      </c>
      <c r="DB352" s="97" t="s">
        <v>1877</v>
      </c>
      <c r="DC352" s="96">
        <v>518</v>
      </c>
      <c r="DD352" s="97" t="s">
        <v>479</v>
      </c>
      <c r="DE352" s="97" t="s">
        <v>1243</v>
      </c>
      <c r="DF352" s="96">
        <v>199</v>
      </c>
      <c r="DG352" s="96" t="s">
        <v>470</v>
      </c>
      <c r="DH352" s="96"/>
      <c r="DI352" s="96"/>
      <c r="DJ352" s="96" t="s">
        <v>470</v>
      </c>
      <c r="DK352" s="96"/>
      <c r="DL352" s="96"/>
      <c r="DM352" s="97" t="s">
        <v>470</v>
      </c>
      <c r="DN352" s="97"/>
      <c r="DO352" s="96"/>
      <c r="DP352" s="97" t="s">
        <v>470</v>
      </c>
      <c r="DQ352" s="97"/>
      <c r="DR352" s="96"/>
      <c r="DS352" s="97" t="s">
        <v>470</v>
      </c>
      <c r="DT352" s="97"/>
      <c r="DU352" s="96"/>
      <c r="DV352" s="97" t="s">
        <v>470</v>
      </c>
      <c r="DW352" s="97"/>
      <c r="DX352" s="96"/>
      <c r="DY352" s="97" t="s">
        <v>470</v>
      </c>
      <c r="DZ352" s="97"/>
      <c r="EA352" s="96"/>
      <c r="EB352" s="97" t="s">
        <v>479</v>
      </c>
      <c r="EC352" s="97" t="s">
        <v>1033</v>
      </c>
      <c r="ED352" s="96">
        <v>199</v>
      </c>
      <c r="EE352" s="96" t="s">
        <v>470</v>
      </c>
      <c r="EF352" s="96"/>
      <c r="EG352" s="96"/>
      <c r="EH352" s="97" t="s">
        <v>470</v>
      </c>
      <c r="EI352" s="97"/>
      <c r="EJ352" s="96"/>
      <c r="EK352" s="97" t="s">
        <v>470</v>
      </c>
      <c r="EL352" s="97"/>
      <c r="EM352" s="96"/>
      <c r="EN352" s="97" t="s">
        <v>470</v>
      </c>
      <c r="EO352" s="97"/>
      <c r="EP352" s="96"/>
      <c r="EQ352" s="96" t="s">
        <v>479</v>
      </c>
      <c r="ER352" s="96" t="s">
        <v>3012</v>
      </c>
      <c r="ES352" s="96">
        <v>7</v>
      </c>
      <c r="ET352" s="97" t="s">
        <v>470</v>
      </c>
      <c r="EU352" s="97"/>
      <c r="EV352" s="96"/>
      <c r="EW352" s="96"/>
      <c r="EX352" s="96"/>
      <c r="EY352" s="96"/>
      <c r="EZ352" s="97" t="s">
        <v>470</v>
      </c>
      <c r="FA352" s="97"/>
      <c r="FB352" s="842" t="s">
        <v>5075</v>
      </c>
      <c r="FC352" s="97"/>
      <c r="FD352" s="97"/>
      <c r="FE352" s="97"/>
      <c r="FF352" s="97" t="s">
        <v>470</v>
      </c>
      <c r="FG352" s="97"/>
      <c r="FH352" s="97"/>
      <c r="FI352" s="97"/>
      <c r="FJ352" s="97" t="s">
        <v>4381</v>
      </c>
      <c r="FK352" s="97" t="s">
        <v>4195</v>
      </c>
      <c r="FL352" s="97" t="s">
        <v>3979</v>
      </c>
      <c r="FM352" s="502" t="s">
        <v>2502</v>
      </c>
      <c r="FN352" s="97" t="s">
        <v>3788</v>
      </c>
      <c r="FO352" s="97" t="s">
        <v>2504</v>
      </c>
    </row>
    <row r="353" spans="5:171" ht="52" customHeight="1" x14ac:dyDescent="0.2">
      <c r="E353" s="94" t="s">
        <v>9305</v>
      </c>
      <c r="F353" s="94" t="s">
        <v>9121</v>
      </c>
      <c r="G353" s="97" t="s">
        <v>357</v>
      </c>
      <c r="H353" s="97" t="s">
        <v>442</v>
      </c>
      <c r="I353" s="97" t="s">
        <v>8672</v>
      </c>
      <c r="J353" s="97" t="s">
        <v>8472</v>
      </c>
      <c r="K353" s="97" t="s">
        <v>5242</v>
      </c>
      <c r="L353" s="502">
        <v>2021</v>
      </c>
      <c r="M353" s="841">
        <v>44407</v>
      </c>
      <c r="N353" s="841" t="s">
        <v>8212</v>
      </c>
      <c r="O353" s="841"/>
      <c r="P353" s="841"/>
      <c r="Q353" s="841"/>
      <c r="R353" s="841"/>
      <c r="S353" s="841"/>
      <c r="T353" s="841"/>
      <c r="U353" s="841"/>
      <c r="V353" s="841"/>
      <c r="W353" s="841"/>
      <c r="X353" s="841"/>
      <c r="Y353" s="841"/>
      <c r="Z353" s="97" t="s">
        <v>8047</v>
      </c>
      <c r="AA353" s="842" t="s">
        <v>7915</v>
      </c>
      <c r="AB353" s="97" t="s">
        <v>7750</v>
      </c>
      <c r="AC353" s="842" t="s">
        <v>5973</v>
      </c>
      <c r="AD353" s="97" t="s">
        <v>7408</v>
      </c>
      <c r="AE353" s="842" t="s">
        <v>7227</v>
      </c>
      <c r="AF353" s="97" t="s">
        <v>7133</v>
      </c>
      <c r="AG353" s="842" t="s">
        <v>7067</v>
      </c>
      <c r="AH353" s="97" t="s">
        <v>6957</v>
      </c>
      <c r="AI353" s="97" t="s">
        <v>6417</v>
      </c>
      <c r="AJ353" s="97" t="s">
        <v>6661</v>
      </c>
      <c r="AK353" s="97" t="s">
        <v>6417</v>
      </c>
      <c r="AL353" s="580">
        <f t="shared" si="41"/>
        <v>5.1219999999999999</v>
      </c>
      <c r="AM353" s="504">
        <v>5.1219999999999999</v>
      </c>
      <c r="AN353" s="516"/>
      <c r="AO353" s="97"/>
      <c r="AP353" s="97"/>
      <c r="AQ353" s="504">
        <v>4.9109999999999996</v>
      </c>
      <c r="AR353" s="507">
        <v>0.95879999999999999</v>
      </c>
      <c r="AS353" s="507">
        <v>1.9E-3</v>
      </c>
      <c r="AT353" s="516"/>
      <c r="AU353" s="507"/>
      <c r="AV353" s="516"/>
      <c r="AW353" s="507"/>
      <c r="AX353" s="516">
        <v>0.21099999999999999</v>
      </c>
      <c r="AY353" s="507">
        <v>4.1200000000000001E-2</v>
      </c>
      <c r="AZ353" s="516"/>
      <c r="BA353" s="507"/>
      <c r="BB353" s="507"/>
      <c r="BC353" s="507"/>
      <c r="BD353" s="507"/>
      <c r="BE353" s="507" t="s">
        <v>479</v>
      </c>
      <c r="BF353" s="507" t="s">
        <v>6281</v>
      </c>
      <c r="BG353" s="887" t="s">
        <v>5973</v>
      </c>
      <c r="BH353" s="852">
        <v>0.188</v>
      </c>
      <c r="BI353" s="504">
        <v>16</v>
      </c>
      <c r="BJ353" s="507">
        <v>7.3000000000000001E-3</v>
      </c>
      <c r="BK353" s="96">
        <v>15</v>
      </c>
      <c r="BL353" s="96">
        <v>15</v>
      </c>
      <c r="BM353" s="96">
        <v>12</v>
      </c>
      <c r="BN353" s="96"/>
      <c r="BO353" s="96">
        <v>5</v>
      </c>
      <c r="BP353" s="96"/>
      <c r="BQ353" s="96"/>
      <c r="BR353" s="96"/>
      <c r="BS353" s="96">
        <v>1</v>
      </c>
      <c r="BT353" s="96">
        <v>2</v>
      </c>
      <c r="BU353" s="96"/>
      <c r="BV353" s="96"/>
      <c r="BW353" s="96"/>
      <c r="BX353" s="96">
        <v>1</v>
      </c>
      <c r="BY353" s="96">
        <v>3</v>
      </c>
      <c r="BZ353" s="96"/>
      <c r="CA353" s="96"/>
      <c r="CB353" s="96"/>
      <c r="CC353" s="96"/>
      <c r="CD353" s="96"/>
      <c r="CE353" s="96"/>
      <c r="CF353" s="96"/>
      <c r="CG353" s="96"/>
      <c r="CH353" s="96"/>
      <c r="CI353" s="96"/>
      <c r="CJ353" s="96"/>
      <c r="CK353" s="96"/>
      <c r="CL353" s="815">
        <f t="shared" si="42"/>
        <v>12</v>
      </c>
      <c r="CM353" s="824">
        <f t="shared" si="40"/>
        <v>0</v>
      </c>
      <c r="CN353" s="504">
        <v>8.2210000000000001</v>
      </c>
      <c r="CO353" s="97" t="s">
        <v>6049</v>
      </c>
      <c r="CP353" s="842" t="s">
        <v>5973</v>
      </c>
      <c r="CQ353" s="97">
        <v>14.35</v>
      </c>
      <c r="CR353" s="504">
        <v>57.305999999999997</v>
      </c>
      <c r="CS353" s="887" t="s">
        <v>1902</v>
      </c>
      <c r="CT353" s="97" t="s">
        <v>470</v>
      </c>
      <c r="CU353" s="97"/>
      <c r="CV353" s="97"/>
      <c r="CW353" s="97"/>
      <c r="CX353" s="96"/>
      <c r="CY353" s="96"/>
      <c r="CZ353" s="96">
        <v>5</v>
      </c>
      <c r="DA353" s="97" t="s">
        <v>479</v>
      </c>
      <c r="DB353" s="97" t="s">
        <v>1877</v>
      </c>
      <c r="DC353" s="96">
        <v>1681</v>
      </c>
      <c r="DD353" s="97" t="s">
        <v>479</v>
      </c>
      <c r="DE353" s="97" t="s">
        <v>640</v>
      </c>
      <c r="DF353" s="96">
        <v>125</v>
      </c>
      <c r="DG353" s="96" t="s">
        <v>470</v>
      </c>
      <c r="DH353" s="96"/>
      <c r="DI353" s="96"/>
      <c r="DJ353" s="96" t="s">
        <v>470</v>
      </c>
      <c r="DK353" s="96"/>
      <c r="DL353" s="96"/>
      <c r="DM353" s="97" t="s">
        <v>470</v>
      </c>
      <c r="DN353" s="97"/>
      <c r="DO353" s="96"/>
      <c r="DP353" s="97" t="s">
        <v>470</v>
      </c>
      <c r="DQ353" s="97"/>
      <c r="DR353" s="96"/>
      <c r="DS353" s="97" t="s">
        <v>470</v>
      </c>
      <c r="DT353" s="97"/>
      <c r="DU353" s="96"/>
      <c r="DV353" s="97" t="s">
        <v>470</v>
      </c>
      <c r="DW353" s="97"/>
      <c r="DX353" s="96"/>
      <c r="DY353" s="97" t="s">
        <v>470</v>
      </c>
      <c r="DZ353" s="97"/>
      <c r="EA353" s="96"/>
      <c r="EB353" s="97" t="s">
        <v>470</v>
      </c>
      <c r="EC353" s="97"/>
      <c r="ED353" s="96"/>
      <c r="EE353" s="96" t="s">
        <v>470</v>
      </c>
      <c r="EF353" s="96"/>
      <c r="EG353" s="96"/>
      <c r="EH353" s="97" t="s">
        <v>470</v>
      </c>
      <c r="EI353" s="97"/>
      <c r="EJ353" s="96"/>
      <c r="EK353" s="97" t="s">
        <v>470</v>
      </c>
      <c r="EL353" s="97"/>
      <c r="EM353" s="96"/>
      <c r="EN353" s="97" t="s">
        <v>470</v>
      </c>
      <c r="EO353" s="97"/>
      <c r="EP353" s="96"/>
      <c r="EQ353" s="96" t="s">
        <v>479</v>
      </c>
      <c r="ER353" s="96" t="s">
        <v>5284</v>
      </c>
      <c r="ES353" s="96">
        <v>8</v>
      </c>
      <c r="ET353" s="97" t="s">
        <v>470</v>
      </c>
      <c r="EU353" s="97"/>
      <c r="EV353" s="96"/>
      <c r="EW353" s="96"/>
      <c r="EX353" s="96"/>
      <c r="EY353" s="96"/>
      <c r="EZ353" s="97" t="s">
        <v>470</v>
      </c>
      <c r="FA353" s="97"/>
      <c r="FB353" s="842" t="s">
        <v>5074</v>
      </c>
      <c r="FC353" s="97" t="s">
        <v>4955</v>
      </c>
      <c r="FD353" s="97" t="s">
        <v>470</v>
      </c>
      <c r="FE353" s="97" t="s">
        <v>4770</v>
      </c>
      <c r="FF353" s="97" t="s">
        <v>470</v>
      </c>
      <c r="FG353" s="97" t="s">
        <v>4606</v>
      </c>
      <c r="FH353" s="97">
        <v>15</v>
      </c>
      <c r="FI353" s="97">
        <v>260</v>
      </c>
      <c r="FJ353" s="97" t="s">
        <v>4380</v>
      </c>
      <c r="FK353" s="97" t="s">
        <v>4194</v>
      </c>
      <c r="FL353" s="842" t="s">
        <v>3978</v>
      </c>
      <c r="FM353" s="97" t="s">
        <v>2502</v>
      </c>
      <c r="FN353" s="97" t="s">
        <v>3788</v>
      </c>
      <c r="FO353" s="97" t="s">
        <v>2504</v>
      </c>
    </row>
    <row r="354" spans="5:171" ht="44" customHeight="1" x14ac:dyDescent="0.2">
      <c r="E354" s="94" t="s">
        <v>9305</v>
      </c>
      <c r="F354" s="94" t="s">
        <v>9121</v>
      </c>
      <c r="G354" s="97" t="s">
        <v>357</v>
      </c>
      <c r="H354" s="97" t="s">
        <v>442</v>
      </c>
      <c r="I354" s="97" t="s">
        <v>8671</v>
      </c>
      <c r="J354" s="97" t="s">
        <v>8471</v>
      </c>
      <c r="K354" s="97" t="s">
        <v>656</v>
      </c>
      <c r="L354" s="502">
        <v>2020</v>
      </c>
      <c r="M354" s="841">
        <v>44571</v>
      </c>
      <c r="N354" s="841">
        <v>44925</v>
      </c>
      <c r="O354" s="841"/>
      <c r="P354" s="841"/>
      <c r="Q354" s="841"/>
      <c r="R354" s="841"/>
      <c r="S354" s="841"/>
      <c r="T354" s="841"/>
      <c r="U354" s="841"/>
      <c r="V354" s="841"/>
      <c r="W354" s="841"/>
      <c r="X354" s="841"/>
      <c r="Y354" s="841"/>
      <c r="Z354" s="97"/>
      <c r="AA354" s="97"/>
      <c r="AB354" s="1087" t="s">
        <v>7749</v>
      </c>
      <c r="AC354" s="1088" t="s">
        <v>7614</v>
      </c>
      <c r="AD354" s="97" t="s">
        <v>7407</v>
      </c>
      <c r="AE354" s="97" t="s">
        <v>7226</v>
      </c>
      <c r="AF354" s="97"/>
      <c r="AG354" s="97"/>
      <c r="AH354" s="97" t="s">
        <v>6956</v>
      </c>
      <c r="AI354" s="97" t="s">
        <v>6416</v>
      </c>
      <c r="AJ354" s="97" t="s">
        <v>6661</v>
      </c>
      <c r="AK354" s="97" t="s">
        <v>6416</v>
      </c>
      <c r="AL354" s="580">
        <f t="shared" si="41"/>
        <v>11.525</v>
      </c>
      <c r="AM354" s="504">
        <v>11.525</v>
      </c>
      <c r="AN354" s="516"/>
      <c r="AO354" s="97"/>
      <c r="AP354" s="97"/>
      <c r="AQ354" s="504">
        <v>11.525</v>
      </c>
      <c r="AR354" s="507">
        <v>1</v>
      </c>
      <c r="AS354" s="507">
        <v>2.0999999999999999E-3</v>
      </c>
      <c r="AT354" s="516"/>
      <c r="AU354" s="507"/>
      <c r="AV354" s="516"/>
      <c r="AW354" s="507"/>
      <c r="AX354" s="516"/>
      <c r="AY354" s="507"/>
      <c r="AZ354" s="516"/>
      <c r="BA354" s="507"/>
      <c r="BB354" s="507"/>
      <c r="BC354" s="507"/>
      <c r="BD354" s="507"/>
      <c r="BE354" s="507" t="s">
        <v>470</v>
      </c>
      <c r="BF354" s="507"/>
      <c r="BG354" s="507"/>
      <c r="BH354" s="852"/>
      <c r="BI354" s="504">
        <v>10.227</v>
      </c>
      <c r="BJ354" s="507">
        <v>1.6999999999999999E-3</v>
      </c>
      <c r="BK354" s="96">
        <v>32</v>
      </c>
      <c r="BL354" s="96">
        <v>12</v>
      </c>
      <c r="BM354" s="96">
        <v>12</v>
      </c>
      <c r="BN354" s="96"/>
      <c r="BO354" s="96">
        <v>2</v>
      </c>
      <c r="BP354" s="96">
        <v>4</v>
      </c>
      <c r="BQ354" s="96"/>
      <c r="BR354" s="96"/>
      <c r="BS354" s="96"/>
      <c r="BT354" s="96"/>
      <c r="BU354" s="96"/>
      <c r="BV354" s="96">
        <v>3</v>
      </c>
      <c r="BW354" s="96"/>
      <c r="BX354" s="96">
        <v>1</v>
      </c>
      <c r="BY354" s="96">
        <v>2</v>
      </c>
      <c r="BZ354" s="96"/>
      <c r="CA354" s="96"/>
      <c r="CB354" s="96"/>
      <c r="CC354" s="96"/>
      <c r="CD354" s="96"/>
      <c r="CE354" s="96"/>
      <c r="CF354" s="96"/>
      <c r="CG354" s="96"/>
      <c r="CH354" s="96"/>
      <c r="CI354" s="96"/>
      <c r="CJ354" s="96"/>
      <c r="CK354" s="96"/>
      <c r="CL354" s="815">
        <f t="shared" si="42"/>
        <v>12</v>
      </c>
      <c r="CM354" s="824">
        <f t="shared" si="40"/>
        <v>0</v>
      </c>
      <c r="CN354" s="504">
        <v>47.576000000000001</v>
      </c>
      <c r="CO354" s="97" t="s">
        <v>6048</v>
      </c>
      <c r="CP354" s="97"/>
      <c r="CQ354" s="97">
        <v>28.3</v>
      </c>
      <c r="CR354" s="504">
        <v>160.90100000000001</v>
      </c>
      <c r="CS354" s="887" t="s">
        <v>5834</v>
      </c>
      <c r="CT354" s="97" t="s">
        <v>470</v>
      </c>
      <c r="CU354" s="97"/>
      <c r="CV354" s="97"/>
      <c r="CW354" s="97"/>
      <c r="CX354" s="96"/>
      <c r="CY354" s="96"/>
      <c r="CZ354" s="96"/>
      <c r="DA354" s="97" t="s">
        <v>479</v>
      </c>
      <c r="DB354" s="97"/>
      <c r="DC354" s="96">
        <v>1114</v>
      </c>
      <c r="DD354" s="97" t="s">
        <v>470</v>
      </c>
      <c r="DE354" s="97"/>
      <c r="DF354" s="96"/>
      <c r="DG354" s="96" t="s">
        <v>470</v>
      </c>
      <c r="DH354" s="96"/>
      <c r="DI354" s="96"/>
      <c r="DJ354" s="96" t="s">
        <v>470</v>
      </c>
      <c r="DK354" s="96"/>
      <c r="DL354" s="96"/>
      <c r="DM354" s="97" t="s">
        <v>470</v>
      </c>
      <c r="DN354" s="97"/>
      <c r="DO354" s="96"/>
      <c r="DP354" s="97" t="s">
        <v>470</v>
      </c>
      <c r="DQ354" s="97"/>
      <c r="DR354" s="96"/>
      <c r="DS354" s="97" t="s">
        <v>479</v>
      </c>
      <c r="DT354" s="97" t="s">
        <v>5522</v>
      </c>
      <c r="DU354" s="96">
        <v>32</v>
      </c>
      <c r="DV354" s="97"/>
      <c r="DW354" s="97"/>
      <c r="DX354" s="96"/>
      <c r="DY354" s="97" t="s">
        <v>470</v>
      </c>
      <c r="DZ354" s="97"/>
      <c r="EA354" s="96"/>
      <c r="EB354" s="97" t="s">
        <v>470</v>
      </c>
      <c r="EC354" s="97"/>
      <c r="ED354" s="96"/>
      <c r="EE354" s="96" t="s">
        <v>470</v>
      </c>
      <c r="EF354" s="96"/>
      <c r="EG354" s="96"/>
      <c r="EH354" s="97" t="s">
        <v>470</v>
      </c>
      <c r="EI354" s="97"/>
      <c r="EJ354" s="96"/>
      <c r="EK354" s="97" t="s">
        <v>470</v>
      </c>
      <c r="EL354" s="97"/>
      <c r="EM354" s="96"/>
      <c r="EN354" s="97" t="s">
        <v>479</v>
      </c>
      <c r="EO354" s="97" t="s">
        <v>1597</v>
      </c>
      <c r="EP354" s="96">
        <v>38</v>
      </c>
      <c r="EQ354" s="96" t="s">
        <v>470</v>
      </c>
      <c r="ER354" s="96"/>
      <c r="ES354" s="96"/>
      <c r="ET354" s="97"/>
      <c r="EU354" s="97"/>
      <c r="EV354" s="96"/>
      <c r="EW354" s="96"/>
      <c r="EX354" s="96"/>
      <c r="EY354" s="96"/>
      <c r="EZ354" s="97" t="s">
        <v>470</v>
      </c>
      <c r="FA354" s="97"/>
      <c r="FB354" s="97"/>
      <c r="FC354" s="97"/>
      <c r="FD354" s="97"/>
      <c r="FE354" s="97"/>
      <c r="FF354" s="97"/>
      <c r="FG354" s="97"/>
      <c r="FH354" s="97"/>
      <c r="FI354" s="97"/>
      <c r="FJ354" s="97" t="s">
        <v>4379</v>
      </c>
      <c r="FK354" s="97" t="s">
        <v>4193</v>
      </c>
      <c r="FL354" s="842" t="s">
        <v>3977</v>
      </c>
      <c r="FM354" s="97" t="s">
        <v>2502</v>
      </c>
      <c r="FN354" s="502" t="s">
        <v>3788</v>
      </c>
      <c r="FO354" s="502" t="s">
        <v>2504</v>
      </c>
    </row>
    <row r="355" spans="5:171" ht="52" customHeight="1" x14ac:dyDescent="0.2">
      <c r="E355" s="94" t="s">
        <v>9305</v>
      </c>
      <c r="F355" s="94" t="s">
        <v>9121</v>
      </c>
      <c r="G355" s="97" t="s">
        <v>357</v>
      </c>
      <c r="H355" s="97" t="s">
        <v>442</v>
      </c>
      <c r="I355" s="97" t="s">
        <v>8671</v>
      </c>
      <c r="J355" s="97" t="s">
        <v>8470</v>
      </c>
      <c r="K355" s="97" t="s">
        <v>8368</v>
      </c>
      <c r="L355" s="502">
        <v>2021</v>
      </c>
      <c r="M355" s="841">
        <v>44680</v>
      </c>
      <c r="N355" s="841">
        <v>44926</v>
      </c>
      <c r="O355" s="841"/>
      <c r="P355" s="841"/>
      <c r="Q355" s="841"/>
      <c r="R355" s="841"/>
      <c r="S355" s="841"/>
      <c r="T355" s="841"/>
      <c r="U355" s="841"/>
      <c r="V355" s="841"/>
      <c r="W355" s="841"/>
      <c r="X355" s="841"/>
      <c r="Y355" s="841"/>
      <c r="Z355" s="97" t="s">
        <v>8046</v>
      </c>
      <c r="AA355" s="842" t="s">
        <v>7914</v>
      </c>
      <c r="AB355" s="97" t="s">
        <v>7748</v>
      </c>
      <c r="AC355" s="97" t="s">
        <v>7613</v>
      </c>
      <c r="AD355" s="97" t="s">
        <v>7406</v>
      </c>
      <c r="AE355" s="842" t="s">
        <v>7226</v>
      </c>
      <c r="AF355" s="97"/>
      <c r="AG355" s="97"/>
      <c r="AH355" s="97" t="s">
        <v>6956</v>
      </c>
      <c r="AI355" s="97" t="s">
        <v>6791</v>
      </c>
      <c r="AJ355" s="97" t="s">
        <v>6660</v>
      </c>
      <c r="AK355" s="97" t="s">
        <v>6415</v>
      </c>
      <c r="AL355" s="580">
        <f t="shared" si="41"/>
        <v>11.709000000000001</v>
      </c>
      <c r="AM355" s="504">
        <v>11.709000000000001</v>
      </c>
      <c r="AN355" s="516"/>
      <c r="AO355" s="97"/>
      <c r="AP355" s="97"/>
      <c r="AQ355" s="504">
        <v>11.031000000000001</v>
      </c>
      <c r="AR355" s="507">
        <v>0.94199999999999995</v>
      </c>
      <c r="AS355" s="507">
        <v>2E-3</v>
      </c>
      <c r="AT355" s="516"/>
      <c r="AU355" s="507"/>
      <c r="AV355" s="516"/>
      <c r="AW355" s="507"/>
      <c r="AX355" s="516">
        <v>0.67800000000000005</v>
      </c>
      <c r="AY355" s="507">
        <v>5.8000000000000003E-2</v>
      </c>
      <c r="AZ355" s="516"/>
      <c r="BA355" s="507"/>
      <c r="BB355" s="507"/>
      <c r="BC355" s="507"/>
      <c r="BD355" s="507"/>
      <c r="BE355" s="507" t="s">
        <v>479</v>
      </c>
      <c r="BF355" s="507" t="s">
        <v>6280</v>
      </c>
      <c r="BG355" s="887" t="s">
        <v>6223</v>
      </c>
      <c r="BH355" s="852"/>
      <c r="BI355" s="504">
        <v>20</v>
      </c>
      <c r="BJ355" s="507">
        <v>3.0999999999999999E-3</v>
      </c>
      <c r="BK355" s="96">
        <v>72</v>
      </c>
      <c r="BL355" s="96">
        <v>8</v>
      </c>
      <c r="BM355" s="96">
        <v>8</v>
      </c>
      <c r="BN355" s="96"/>
      <c r="BO355" s="96">
        <v>3</v>
      </c>
      <c r="BP355" s="96"/>
      <c r="BQ355" s="96"/>
      <c r="BR355" s="96"/>
      <c r="BS355" s="96"/>
      <c r="BT355" s="96">
        <v>1</v>
      </c>
      <c r="BU355" s="96"/>
      <c r="BV355" s="96"/>
      <c r="BW355" s="96"/>
      <c r="BX355" s="96">
        <v>1</v>
      </c>
      <c r="BY355" s="96">
        <v>2</v>
      </c>
      <c r="BZ355" s="96"/>
      <c r="CA355" s="96">
        <v>1</v>
      </c>
      <c r="CB355" s="96"/>
      <c r="CC355" s="96"/>
      <c r="CD355" s="96"/>
      <c r="CE355" s="96"/>
      <c r="CF355" s="96"/>
      <c r="CG355" s="96"/>
      <c r="CH355" s="96"/>
      <c r="CI355" s="96"/>
      <c r="CJ355" s="96"/>
      <c r="CK355" s="96"/>
      <c r="CL355" s="815">
        <f t="shared" si="42"/>
        <v>8</v>
      </c>
      <c r="CM355" s="824">
        <f t="shared" si="40"/>
        <v>0</v>
      </c>
      <c r="CN355" s="504">
        <v>45.552</v>
      </c>
      <c r="CO355" s="97" t="s">
        <v>6047</v>
      </c>
      <c r="CP355" s="842" t="s">
        <v>5972</v>
      </c>
      <c r="CQ355" s="97">
        <v>28.3</v>
      </c>
      <c r="CR355" s="504">
        <v>160.90100000000001</v>
      </c>
      <c r="CS355" s="887" t="s">
        <v>5834</v>
      </c>
      <c r="CT355" s="97" t="s">
        <v>470</v>
      </c>
      <c r="CU355" s="97"/>
      <c r="CV355" s="97"/>
      <c r="CW355" s="97"/>
      <c r="CX355" s="96"/>
      <c r="CY355" s="96"/>
      <c r="CZ355" s="96">
        <v>3</v>
      </c>
      <c r="DA355" s="97" t="s">
        <v>479</v>
      </c>
      <c r="DB355" s="97" t="s">
        <v>1877</v>
      </c>
      <c r="DC355" s="96">
        <v>3261</v>
      </c>
      <c r="DD355" s="97" t="s">
        <v>479</v>
      </c>
      <c r="DE355" s="97" t="s">
        <v>1992</v>
      </c>
      <c r="DF355" s="96">
        <v>670</v>
      </c>
      <c r="DG355" s="96" t="s">
        <v>470</v>
      </c>
      <c r="DH355" s="96"/>
      <c r="DI355" s="96"/>
      <c r="DJ355" s="96" t="s">
        <v>470</v>
      </c>
      <c r="DK355" s="96"/>
      <c r="DL355" s="96"/>
      <c r="DM355" s="97" t="s">
        <v>470</v>
      </c>
      <c r="DN355" s="97"/>
      <c r="DO355" s="96"/>
      <c r="DP355" s="97" t="s">
        <v>470</v>
      </c>
      <c r="DQ355" s="97"/>
      <c r="DR355" s="96"/>
      <c r="DS355" s="97" t="s">
        <v>470</v>
      </c>
      <c r="DT355" s="97"/>
      <c r="DU355" s="96"/>
      <c r="DV355" s="97"/>
      <c r="DW355" s="97"/>
      <c r="DX355" s="96"/>
      <c r="DY355" s="97" t="s">
        <v>470</v>
      </c>
      <c r="DZ355" s="97"/>
      <c r="EA355" s="96"/>
      <c r="EB355" s="97" t="s">
        <v>470</v>
      </c>
      <c r="EC355" s="97"/>
      <c r="ED355" s="96"/>
      <c r="EE355" s="96" t="s">
        <v>470</v>
      </c>
      <c r="EF355" s="96"/>
      <c r="EG355" s="96"/>
      <c r="EH355" s="97" t="s">
        <v>470</v>
      </c>
      <c r="EI355" s="97"/>
      <c r="EJ355" s="96"/>
      <c r="EK355" s="97" t="s">
        <v>470</v>
      </c>
      <c r="EL355" s="97"/>
      <c r="EM355" s="96"/>
      <c r="EN355" s="97" t="s">
        <v>470</v>
      </c>
      <c r="EO355" s="97"/>
      <c r="EP355" s="96"/>
      <c r="EQ355" s="96" t="s">
        <v>479</v>
      </c>
      <c r="ER355" s="96" t="s">
        <v>5283</v>
      </c>
      <c r="ES355" s="96">
        <v>6</v>
      </c>
      <c r="ET355" s="97"/>
      <c r="EU355" s="97"/>
      <c r="EV355" s="96"/>
      <c r="EW355" s="96"/>
      <c r="EX355" s="96"/>
      <c r="EY355" s="96"/>
      <c r="EZ355" s="97" t="s">
        <v>470</v>
      </c>
      <c r="FA355" s="97"/>
      <c r="FB355" s="842" t="s">
        <v>5073</v>
      </c>
      <c r="FC355" s="97"/>
      <c r="FD355" s="842" t="s">
        <v>4896</v>
      </c>
      <c r="FE355" s="97" t="s">
        <v>4769</v>
      </c>
      <c r="FF355" s="97" t="s">
        <v>4700</v>
      </c>
      <c r="FG355" s="97" t="s">
        <v>4605</v>
      </c>
      <c r="FH355" s="97">
        <v>8</v>
      </c>
      <c r="FI355" s="97">
        <v>1246</v>
      </c>
      <c r="FJ355" s="97" t="s">
        <v>4379</v>
      </c>
      <c r="FK355" s="97" t="s">
        <v>4193</v>
      </c>
      <c r="FL355" s="842" t="s">
        <v>3977</v>
      </c>
      <c r="FM355" s="97" t="s">
        <v>2502</v>
      </c>
      <c r="FN355" s="502" t="s">
        <v>3788</v>
      </c>
      <c r="FO355" s="502" t="s">
        <v>2504</v>
      </c>
    </row>
    <row r="356" spans="5:171" ht="44" customHeight="1" x14ac:dyDescent="0.2">
      <c r="E356" s="94" t="s">
        <v>9305</v>
      </c>
      <c r="F356" s="94" t="s">
        <v>9121</v>
      </c>
      <c r="G356" s="97" t="s">
        <v>357</v>
      </c>
      <c r="H356" s="97" t="s">
        <v>442</v>
      </c>
      <c r="I356" s="97" t="s">
        <v>8670</v>
      </c>
      <c r="J356" s="97" t="s">
        <v>1414</v>
      </c>
      <c r="K356" s="97" t="s">
        <v>1414</v>
      </c>
      <c r="L356" s="502">
        <v>2021</v>
      </c>
      <c r="M356" s="900">
        <v>44711</v>
      </c>
      <c r="N356" s="900">
        <v>44825</v>
      </c>
      <c r="O356" s="900"/>
      <c r="P356" s="900"/>
      <c r="Q356" s="900"/>
      <c r="R356" s="900"/>
      <c r="S356" s="900"/>
      <c r="T356" s="900"/>
      <c r="U356" s="900"/>
      <c r="V356" s="900"/>
      <c r="W356" s="900"/>
      <c r="X356" s="900"/>
      <c r="Y356" s="900"/>
      <c r="Z356" s="97" t="s">
        <v>656</v>
      </c>
      <c r="AA356" s="97" t="s">
        <v>656</v>
      </c>
      <c r="AB356" s="97" t="s">
        <v>7747</v>
      </c>
      <c r="AC356" s="842" t="s">
        <v>6222</v>
      </c>
      <c r="AD356" s="97" t="s">
        <v>656</v>
      </c>
      <c r="AE356" s="97" t="s">
        <v>656</v>
      </c>
      <c r="AF356" s="97" t="s">
        <v>656</v>
      </c>
      <c r="AG356" s="97" t="s">
        <v>656</v>
      </c>
      <c r="AH356" s="97" t="s">
        <v>6955</v>
      </c>
      <c r="AI356" s="97" t="s">
        <v>6414</v>
      </c>
      <c r="AJ356" s="97" t="s">
        <v>6659</v>
      </c>
      <c r="AK356" s="97" t="s">
        <v>6414</v>
      </c>
      <c r="AL356" s="580">
        <f t="shared" si="41"/>
        <v>0.9</v>
      </c>
      <c r="AM356" s="504">
        <v>0.9</v>
      </c>
      <c r="AN356" s="516"/>
      <c r="AO356" s="97"/>
      <c r="AP356" s="97"/>
      <c r="AQ356" s="504">
        <v>0.85</v>
      </c>
      <c r="AR356" s="507">
        <v>0.94440000000000002</v>
      </c>
      <c r="AS356" s="507">
        <v>5.1000000000000004E-4</v>
      </c>
      <c r="AT356" s="516"/>
      <c r="AU356" s="507" t="s">
        <v>656</v>
      </c>
      <c r="AV356" s="516"/>
      <c r="AW356" s="507" t="s">
        <v>656</v>
      </c>
      <c r="AX356" s="516">
        <v>0.05</v>
      </c>
      <c r="AY356" s="507">
        <v>5.5599999999999997E-2</v>
      </c>
      <c r="AZ356" s="516"/>
      <c r="BA356" s="507"/>
      <c r="BB356" s="507"/>
      <c r="BC356" s="507"/>
      <c r="BD356" s="507"/>
      <c r="BE356" s="507" t="s">
        <v>479</v>
      </c>
      <c r="BF356" s="507" t="s">
        <v>6279</v>
      </c>
      <c r="BG356" s="887" t="s">
        <v>6222</v>
      </c>
      <c r="BH356" s="852" t="s">
        <v>656</v>
      </c>
      <c r="BI356" s="504" t="s">
        <v>656</v>
      </c>
      <c r="BJ356" s="507" t="s">
        <v>656</v>
      </c>
      <c r="BK356" s="96">
        <v>2</v>
      </c>
      <c r="BL356" s="96">
        <v>1</v>
      </c>
      <c r="BM356" s="96">
        <v>1</v>
      </c>
      <c r="BN356" s="96">
        <v>0</v>
      </c>
      <c r="BO356" s="96">
        <v>0</v>
      </c>
      <c r="BP356" s="96">
        <v>0</v>
      </c>
      <c r="BQ356" s="96">
        <v>0</v>
      </c>
      <c r="BR356" s="96">
        <v>0</v>
      </c>
      <c r="BS356" s="96">
        <v>0</v>
      </c>
      <c r="BT356" s="96">
        <v>0</v>
      </c>
      <c r="BU356" s="96">
        <v>0</v>
      </c>
      <c r="BV356" s="96">
        <v>0</v>
      </c>
      <c r="BW356" s="96">
        <v>0</v>
      </c>
      <c r="BX356" s="96">
        <v>0</v>
      </c>
      <c r="BY356" s="96">
        <v>0</v>
      </c>
      <c r="BZ356" s="96">
        <v>1</v>
      </c>
      <c r="CA356" s="96">
        <v>0</v>
      </c>
      <c r="CB356" s="96">
        <v>0</v>
      </c>
      <c r="CC356" s="96">
        <v>0</v>
      </c>
      <c r="CD356" s="96">
        <v>0</v>
      </c>
      <c r="CE356" s="96">
        <v>0</v>
      </c>
      <c r="CF356" s="96">
        <v>0</v>
      </c>
      <c r="CG356" s="96">
        <v>0</v>
      </c>
      <c r="CH356" s="96">
        <v>0</v>
      </c>
      <c r="CI356" s="96">
        <v>0</v>
      </c>
      <c r="CJ356" s="96">
        <v>0</v>
      </c>
      <c r="CK356" s="96">
        <v>0</v>
      </c>
      <c r="CL356" s="815">
        <f t="shared" si="42"/>
        <v>1</v>
      </c>
      <c r="CM356" s="824">
        <f t="shared" si="40"/>
        <v>0</v>
      </c>
      <c r="CN356" s="504">
        <v>6.8890000000000002</v>
      </c>
      <c r="CO356" s="97" t="s">
        <v>6046</v>
      </c>
      <c r="CP356" s="97" t="s">
        <v>656</v>
      </c>
      <c r="CQ356" s="886">
        <f>CN356/CR356</f>
        <v>0.18413877900138995</v>
      </c>
      <c r="CR356" s="504">
        <v>37.411999999999999</v>
      </c>
      <c r="CS356" s="887" t="s">
        <v>5834</v>
      </c>
      <c r="CT356" s="97" t="s">
        <v>470</v>
      </c>
      <c r="CU356" s="97" t="s">
        <v>656</v>
      </c>
      <c r="CV356" s="97" t="s">
        <v>656</v>
      </c>
      <c r="CW356" s="97" t="s">
        <v>656</v>
      </c>
      <c r="CX356" s="96" t="s">
        <v>656</v>
      </c>
      <c r="CY356" s="96" t="s">
        <v>656</v>
      </c>
      <c r="CZ356" s="96">
        <v>4</v>
      </c>
      <c r="DA356" s="97" t="s">
        <v>479</v>
      </c>
      <c r="DB356" s="97" t="s">
        <v>5691</v>
      </c>
      <c r="DC356" s="96">
        <v>400</v>
      </c>
      <c r="DD356" s="97" t="s">
        <v>470</v>
      </c>
      <c r="DE356" s="97" t="s">
        <v>656</v>
      </c>
      <c r="DF356" s="96" t="s">
        <v>656</v>
      </c>
      <c r="DG356" s="96" t="s">
        <v>470</v>
      </c>
      <c r="DH356" s="96" t="s">
        <v>656</v>
      </c>
      <c r="DI356" s="96" t="s">
        <v>656</v>
      </c>
      <c r="DJ356" s="96" t="s">
        <v>470</v>
      </c>
      <c r="DK356" s="96" t="s">
        <v>656</v>
      </c>
      <c r="DL356" s="96" t="s">
        <v>656</v>
      </c>
      <c r="DM356" s="97" t="s">
        <v>470</v>
      </c>
      <c r="DN356" s="97" t="s">
        <v>656</v>
      </c>
      <c r="DO356" s="96" t="s">
        <v>656</v>
      </c>
      <c r="DP356" s="97" t="s">
        <v>470</v>
      </c>
      <c r="DQ356" s="97" t="s">
        <v>656</v>
      </c>
      <c r="DR356" s="96" t="s">
        <v>656</v>
      </c>
      <c r="DS356" s="97" t="s">
        <v>470</v>
      </c>
      <c r="DT356" s="97" t="s">
        <v>656</v>
      </c>
      <c r="DU356" s="96" t="s">
        <v>656</v>
      </c>
      <c r="DV356" s="97" t="s">
        <v>656</v>
      </c>
      <c r="DW356" s="97" t="s">
        <v>656</v>
      </c>
      <c r="DX356" s="96" t="s">
        <v>656</v>
      </c>
      <c r="DY356" s="97" t="s">
        <v>470</v>
      </c>
      <c r="DZ356" s="97" t="s">
        <v>656</v>
      </c>
      <c r="EA356" s="96" t="s">
        <v>656</v>
      </c>
      <c r="EB356" s="97" t="s">
        <v>470</v>
      </c>
      <c r="EC356" s="97" t="s">
        <v>656</v>
      </c>
      <c r="ED356" s="96" t="s">
        <v>656</v>
      </c>
      <c r="EE356" s="96" t="s">
        <v>470</v>
      </c>
      <c r="EF356" s="96" t="s">
        <v>656</v>
      </c>
      <c r="EG356" s="96" t="s">
        <v>656</v>
      </c>
      <c r="EH356" s="97" t="s">
        <v>470</v>
      </c>
      <c r="EI356" s="97" t="s">
        <v>656</v>
      </c>
      <c r="EJ356" s="96" t="s">
        <v>656</v>
      </c>
      <c r="EK356" s="97" t="s">
        <v>470</v>
      </c>
      <c r="EL356" s="97" t="s">
        <v>656</v>
      </c>
      <c r="EM356" s="96" t="s">
        <v>656</v>
      </c>
      <c r="EN356" s="97" t="s">
        <v>470</v>
      </c>
      <c r="EO356" s="97" t="s">
        <v>656</v>
      </c>
      <c r="EP356" s="96" t="s">
        <v>656</v>
      </c>
      <c r="EQ356" s="96" t="s">
        <v>479</v>
      </c>
      <c r="ER356" s="96" t="s">
        <v>5282</v>
      </c>
      <c r="ES356" s="96">
        <v>9</v>
      </c>
      <c r="ET356" s="97" t="s">
        <v>656</v>
      </c>
      <c r="EU356" s="97" t="s">
        <v>656</v>
      </c>
      <c r="EV356" s="96" t="s">
        <v>656</v>
      </c>
      <c r="EW356" s="96"/>
      <c r="EX356" s="96"/>
      <c r="EY356" s="96"/>
      <c r="EZ356" s="97" t="s">
        <v>470</v>
      </c>
      <c r="FA356" s="97" t="s">
        <v>656</v>
      </c>
      <c r="FB356" s="842" t="s">
        <v>5072</v>
      </c>
      <c r="FC356" s="97" t="s">
        <v>656</v>
      </c>
      <c r="FD356" s="97" t="s">
        <v>656</v>
      </c>
      <c r="FE356" s="97" t="s">
        <v>4768</v>
      </c>
      <c r="FF356" s="97" t="s">
        <v>656</v>
      </c>
      <c r="FG356" s="97" t="s">
        <v>656</v>
      </c>
      <c r="FH356" s="97" t="s">
        <v>656</v>
      </c>
      <c r="FI356" s="97" t="s">
        <v>656</v>
      </c>
      <c r="FJ356" s="97" t="s">
        <v>4378</v>
      </c>
      <c r="FK356" s="97" t="s">
        <v>4192</v>
      </c>
      <c r="FL356" s="842" t="s">
        <v>3976</v>
      </c>
      <c r="FM356" s="97" t="s">
        <v>2502</v>
      </c>
      <c r="FN356" s="502" t="s">
        <v>3788</v>
      </c>
      <c r="FO356" s="502" t="s">
        <v>2504</v>
      </c>
    </row>
    <row r="357" spans="5:171" ht="52" customHeight="1" x14ac:dyDescent="0.2">
      <c r="E357" s="94" t="s">
        <v>9315</v>
      </c>
      <c r="F357" s="94" t="s">
        <v>9121</v>
      </c>
      <c r="G357" s="97" t="s">
        <v>357</v>
      </c>
      <c r="H357" s="97" t="s">
        <v>442</v>
      </c>
      <c r="I357" s="97" t="s">
        <v>8669</v>
      </c>
      <c r="J357" s="97" t="s">
        <v>8469</v>
      </c>
      <c r="K357" s="97" t="s">
        <v>656</v>
      </c>
      <c r="L357" s="502">
        <v>2021</v>
      </c>
      <c r="M357" s="841">
        <v>44593</v>
      </c>
      <c r="N357" s="841">
        <v>44926</v>
      </c>
      <c r="O357" s="841"/>
      <c r="P357" s="841"/>
      <c r="Q357" s="841"/>
      <c r="R357" s="841"/>
      <c r="S357" s="841"/>
      <c r="T357" s="841"/>
      <c r="U357" s="841"/>
      <c r="V357" s="841"/>
      <c r="W357" s="841"/>
      <c r="X357" s="841"/>
      <c r="Y357" s="841"/>
      <c r="Z357" s="97" t="s">
        <v>8045</v>
      </c>
      <c r="AA357" s="842" t="s">
        <v>7225</v>
      </c>
      <c r="AB357" s="97" t="s">
        <v>7746</v>
      </c>
      <c r="AC357" s="97" t="s">
        <v>7612</v>
      </c>
      <c r="AD357" s="97" t="s">
        <v>7405</v>
      </c>
      <c r="AE357" s="842" t="s">
        <v>7225</v>
      </c>
      <c r="AF357" s="97" t="s">
        <v>656</v>
      </c>
      <c r="AG357" s="97" t="s">
        <v>656</v>
      </c>
      <c r="AH357" s="97" t="s">
        <v>6954</v>
      </c>
      <c r="AI357" s="97" t="s">
        <v>6790</v>
      </c>
      <c r="AJ357" s="97" t="s">
        <v>504</v>
      </c>
      <c r="AK357" s="97" t="s">
        <v>6413</v>
      </c>
      <c r="AL357" s="580">
        <f t="shared" si="41"/>
        <v>7.9729999999999999</v>
      </c>
      <c r="AM357" s="504">
        <v>7.9729999999999999</v>
      </c>
      <c r="AN357" s="516"/>
      <c r="AO357" s="97"/>
      <c r="AP357" s="97"/>
      <c r="AQ357" s="504">
        <v>7.43</v>
      </c>
      <c r="AR357" s="507">
        <v>0.93200000000000005</v>
      </c>
      <c r="AS357" s="507">
        <v>2E-3</v>
      </c>
      <c r="AT357" s="516"/>
      <c r="AU357" s="507"/>
      <c r="AV357" s="516"/>
      <c r="AW357" s="507"/>
      <c r="AX357" s="516">
        <v>0.54300000000000004</v>
      </c>
      <c r="AY357" s="507">
        <v>6.8000000000000005E-2</v>
      </c>
      <c r="AZ357" s="516"/>
      <c r="BA357" s="507"/>
      <c r="BB357" s="507"/>
      <c r="BC357" s="507"/>
      <c r="BD357" s="507"/>
      <c r="BE357" s="507" t="s">
        <v>470</v>
      </c>
      <c r="BF357" s="507" t="s">
        <v>656</v>
      </c>
      <c r="BG357" s="507" t="s">
        <v>656</v>
      </c>
      <c r="BH357" s="852" t="s">
        <v>656</v>
      </c>
      <c r="BI357" s="504">
        <v>11.8</v>
      </c>
      <c r="BJ357" s="507">
        <v>4.0000000000000001E-3</v>
      </c>
      <c r="BK357" s="96">
        <v>10</v>
      </c>
      <c r="BL357" s="96">
        <v>10</v>
      </c>
      <c r="BM357" s="96">
        <v>9</v>
      </c>
      <c r="BN357" s="96" t="s">
        <v>656</v>
      </c>
      <c r="BO357" s="96">
        <v>2</v>
      </c>
      <c r="BP357" s="96" t="s">
        <v>656</v>
      </c>
      <c r="BQ357" s="96" t="s">
        <v>656</v>
      </c>
      <c r="BR357" s="96" t="s">
        <v>656</v>
      </c>
      <c r="BS357" s="96" t="s">
        <v>656</v>
      </c>
      <c r="BT357" s="96">
        <v>1</v>
      </c>
      <c r="BU357" s="96">
        <v>1</v>
      </c>
      <c r="BV357" s="96" t="s">
        <v>656</v>
      </c>
      <c r="BW357" s="96" t="s">
        <v>656</v>
      </c>
      <c r="BX357" s="96" t="s">
        <v>656</v>
      </c>
      <c r="BY357" s="96" t="s">
        <v>656</v>
      </c>
      <c r="BZ357" s="96" t="s">
        <v>656</v>
      </c>
      <c r="CA357" s="96" t="s">
        <v>656</v>
      </c>
      <c r="CB357" s="96" t="s">
        <v>656</v>
      </c>
      <c r="CC357" s="96" t="s">
        <v>656</v>
      </c>
      <c r="CD357" s="96" t="s">
        <v>656</v>
      </c>
      <c r="CE357" s="96" t="s">
        <v>656</v>
      </c>
      <c r="CF357" s="96" t="s">
        <v>656</v>
      </c>
      <c r="CG357" s="96">
        <v>5</v>
      </c>
      <c r="CH357" s="96" t="s">
        <v>656</v>
      </c>
      <c r="CI357" s="96" t="s">
        <v>656</v>
      </c>
      <c r="CJ357" s="96" t="s">
        <v>656</v>
      </c>
      <c r="CK357" s="96" t="s">
        <v>656</v>
      </c>
      <c r="CL357" s="815">
        <f t="shared" si="42"/>
        <v>9</v>
      </c>
      <c r="CM357" s="824">
        <f t="shared" si="40"/>
        <v>0</v>
      </c>
      <c r="CN357" s="504" t="s">
        <v>656</v>
      </c>
      <c r="CO357" s="97" t="s">
        <v>656</v>
      </c>
      <c r="CP357" s="97" t="s">
        <v>656</v>
      </c>
      <c r="CQ357" s="97" t="s">
        <v>656</v>
      </c>
      <c r="CR357" s="504">
        <v>97.037000000000006</v>
      </c>
      <c r="CS357" s="507" t="s">
        <v>5834</v>
      </c>
      <c r="CT357" s="97" t="s">
        <v>470</v>
      </c>
      <c r="CU357" s="97" t="s">
        <v>656</v>
      </c>
      <c r="CV357" s="97" t="s">
        <v>656</v>
      </c>
      <c r="CW357" s="97" t="s">
        <v>656</v>
      </c>
      <c r="CX357" s="97" t="s">
        <v>656</v>
      </c>
      <c r="CY357" s="97" t="s">
        <v>656</v>
      </c>
      <c r="CZ357" s="97" t="s">
        <v>656</v>
      </c>
      <c r="DA357" s="97" t="s">
        <v>479</v>
      </c>
      <c r="DB357" s="97" t="s">
        <v>1876</v>
      </c>
      <c r="DC357" s="96">
        <v>535</v>
      </c>
      <c r="DD357" s="97" t="s">
        <v>470</v>
      </c>
      <c r="DE357" s="97" t="s">
        <v>656</v>
      </c>
      <c r="DF357" s="97" t="s">
        <v>656</v>
      </c>
      <c r="DG357" s="97" t="s">
        <v>470</v>
      </c>
      <c r="DH357" s="97" t="s">
        <v>656</v>
      </c>
      <c r="DI357" s="97" t="s">
        <v>656</v>
      </c>
      <c r="DJ357" s="97" t="s">
        <v>470</v>
      </c>
      <c r="DK357" s="97" t="s">
        <v>656</v>
      </c>
      <c r="DL357" s="97" t="s">
        <v>656</v>
      </c>
      <c r="DM357" s="97" t="s">
        <v>470</v>
      </c>
      <c r="DN357" s="97" t="s">
        <v>656</v>
      </c>
      <c r="DO357" s="97" t="s">
        <v>656</v>
      </c>
      <c r="DP357" s="97" t="s">
        <v>470</v>
      </c>
      <c r="DQ357" s="97" t="s">
        <v>656</v>
      </c>
      <c r="DR357" s="97" t="s">
        <v>656</v>
      </c>
      <c r="DS357" s="97" t="s">
        <v>470</v>
      </c>
      <c r="DT357" s="97" t="s">
        <v>656</v>
      </c>
      <c r="DU357" s="97" t="s">
        <v>656</v>
      </c>
      <c r="DV357" s="97" t="s">
        <v>470</v>
      </c>
      <c r="DW357" s="97" t="s">
        <v>656</v>
      </c>
      <c r="DX357" s="97" t="s">
        <v>656</v>
      </c>
      <c r="DY357" s="97" t="s">
        <v>470</v>
      </c>
      <c r="DZ357" s="97" t="s">
        <v>656</v>
      </c>
      <c r="EA357" s="96" t="s">
        <v>656</v>
      </c>
      <c r="EB357" s="97" t="s">
        <v>470</v>
      </c>
      <c r="EC357" s="97" t="s">
        <v>656</v>
      </c>
      <c r="ED357" s="96" t="s">
        <v>656</v>
      </c>
      <c r="EE357" s="97" t="s">
        <v>470</v>
      </c>
      <c r="EF357" s="97" t="s">
        <v>656</v>
      </c>
      <c r="EG357" s="96" t="s">
        <v>656</v>
      </c>
      <c r="EH357" s="97" t="s">
        <v>470</v>
      </c>
      <c r="EI357" s="97" t="s">
        <v>656</v>
      </c>
      <c r="EJ357" s="96" t="s">
        <v>656</v>
      </c>
      <c r="EK357" s="97" t="s">
        <v>470</v>
      </c>
      <c r="EL357" s="97" t="s">
        <v>656</v>
      </c>
      <c r="EM357" s="96" t="s">
        <v>656</v>
      </c>
      <c r="EN357" s="97" t="s">
        <v>470</v>
      </c>
      <c r="EO357" s="97" t="s">
        <v>656</v>
      </c>
      <c r="EP357" s="96" t="s">
        <v>656</v>
      </c>
      <c r="EQ357" s="96" t="s">
        <v>479</v>
      </c>
      <c r="ER357" s="96" t="s">
        <v>5281</v>
      </c>
      <c r="ES357" s="96" t="s">
        <v>656</v>
      </c>
      <c r="ET357" s="97" t="s">
        <v>656</v>
      </c>
      <c r="EU357" s="97" t="s">
        <v>656</v>
      </c>
      <c r="EV357" s="96" t="s">
        <v>656</v>
      </c>
      <c r="EW357" s="96"/>
      <c r="EX357" s="96"/>
      <c r="EY357" s="96"/>
      <c r="EZ357" s="97" t="s">
        <v>470</v>
      </c>
      <c r="FA357" s="97" t="s">
        <v>656</v>
      </c>
      <c r="FB357" s="97" t="s">
        <v>5071</v>
      </c>
      <c r="FC357" s="97" t="s">
        <v>656</v>
      </c>
      <c r="FD357" s="97" t="s">
        <v>656</v>
      </c>
      <c r="FE357" s="97" t="s">
        <v>656</v>
      </c>
      <c r="FF357" s="97" t="s">
        <v>656</v>
      </c>
      <c r="FG357" s="97" t="s">
        <v>4604</v>
      </c>
      <c r="FH357" s="97">
        <v>17</v>
      </c>
      <c r="FI357" s="97">
        <v>286</v>
      </c>
      <c r="FJ357" s="1089" t="s">
        <v>4377</v>
      </c>
      <c r="FK357" s="1089" t="s">
        <v>4191</v>
      </c>
      <c r="FL357" s="97" t="s">
        <v>3975</v>
      </c>
      <c r="FM357" s="97" t="s">
        <v>2502</v>
      </c>
      <c r="FN357" s="502" t="s">
        <v>3788</v>
      </c>
      <c r="FO357" s="502" t="s">
        <v>2504</v>
      </c>
    </row>
    <row r="358" spans="5:171" ht="44" customHeight="1" x14ac:dyDescent="0.2">
      <c r="E358" s="94" t="s">
        <v>9305</v>
      </c>
      <c r="F358" s="94" t="s">
        <v>9121</v>
      </c>
      <c r="G358" s="97" t="s">
        <v>357</v>
      </c>
      <c r="H358" s="97" t="s">
        <v>442</v>
      </c>
      <c r="I358" s="97" t="s">
        <v>8668</v>
      </c>
      <c r="J358" s="97" t="s">
        <v>8468</v>
      </c>
      <c r="K358" s="97" t="s">
        <v>8367</v>
      </c>
      <c r="L358" s="502" t="s">
        <v>2968</v>
      </c>
      <c r="M358" s="841" t="s">
        <v>8278</v>
      </c>
      <c r="N358" s="841" t="s">
        <v>1949</v>
      </c>
      <c r="O358" s="841"/>
      <c r="P358" s="841"/>
      <c r="Q358" s="841"/>
      <c r="R358" s="841"/>
      <c r="S358" s="841"/>
      <c r="T358" s="841"/>
      <c r="U358" s="841"/>
      <c r="V358" s="841"/>
      <c r="W358" s="841"/>
      <c r="X358" s="841"/>
      <c r="Y358" s="841"/>
      <c r="Z358" s="97" t="s">
        <v>8044</v>
      </c>
      <c r="AA358" s="872" t="s">
        <v>7913</v>
      </c>
      <c r="AB358" s="97" t="s">
        <v>7745</v>
      </c>
      <c r="AC358" s="872" t="s">
        <v>7611</v>
      </c>
      <c r="AD358" s="97" t="s">
        <v>7404</v>
      </c>
      <c r="AE358" s="872" t="s">
        <v>7224</v>
      </c>
      <c r="AF358" s="97" t="s">
        <v>7132</v>
      </c>
      <c r="AG358" s="872" t="s">
        <v>7066</v>
      </c>
      <c r="AH358" s="97" t="s">
        <v>6953</v>
      </c>
      <c r="AI358" s="97" t="s">
        <v>6412</v>
      </c>
      <c r="AJ358" s="97" t="s">
        <v>6658</v>
      </c>
      <c r="AK358" s="97" t="s">
        <v>6412</v>
      </c>
      <c r="AL358" s="580">
        <f t="shared" si="41"/>
        <v>13.158000000000001</v>
      </c>
      <c r="AM358" s="504">
        <v>13.158000000000001</v>
      </c>
      <c r="AN358" s="516"/>
      <c r="AO358" s="97"/>
      <c r="AP358" s="97"/>
      <c r="AQ358" s="504">
        <v>11.659000000000001</v>
      </c>
      <c r="AR358" s="507">
        <f>AQ358/AL358</f>
        <v>0.8860769113847089</v>
      </c>
      <c r="AS358" s="507">
        <v>5.0000000000000001E-3</v>
      </c>
      <c r="AT358" s="516"/>
      <c r="AU358" s="507"/>
      <c r="AV358" s="516"/>
      <c r="AW358" s="507"/>
      <c r="AX358" s="516">
        <v>1.4990000000000001</v>
      </c>
      <c r="AY358" s="507">
        <v>0.1139</v>
      </c>
      <c r="AZ358" s="516"/>
      <c r="BA358" s="507"/>
      <c r="BB358" s="507"/>
      <c r="BC358" s="507"/>
      <c r="BD358" s="507"/>
      <c r="BE358" s="507" t="s">
        <v>470</v>
      </c>
      <c r="BF358" s="507" t="s">
        <v>470</v>
      </c>
      <c r="BG358" s="507" t="s">
        <v>470</v>
      </c>
      <c r="BH358" s="507" t="s">
        <v>470</v>
      </c>
      <c r="BI358" s="504">
        <v>12.712999999999999</v>
      </c>
      <c r="BJ358" s="507">
        <v>5.4999999999999997E-3</v>
      </c>
      <c r="BK358" s="96">
        <v>24</v>
      </c>
      <c r="BL358" s="96">
        <v>22</v>
      </c>
      <c r="BM358" s="96">
        <v>22</v>
      </c>
      <c r="BN358" s="96"/>
      <c r="BO358" s="96">
        <v>17</v>
      </c>
      <c r="BP358" s="96"/>
      <c r="BQ358" s="96"/>
      <c r="BR358" s="96"/>
      <c r="BS358" s="96"/>
      <c r="BT358" s="96">
        <v>2</v>
      </c>
      <c r="BU358" s="96"/>
      <c r="BV358" s="96"/>
      <c r="BW358" s="96"/>
      <c r="BX358" s="96"/>
      <c r="BY358" s="96">
        <v>1</v>
      </c>
      <c r="BZ358" s="96">
        <v>2</v>
      </c>
      <c r="CA358" s="96"/>
      <c r="CB358" s="96"/>
      <c r="CC358" s="96"/>
      <c r="CD358" s="96"/>
      <c r="CE358" s="96"/>
      <c r="CF358" s="96"/>
      <c r="CG358" s="96"/>
      <c r="CH358" s="96"/>
      <c r="CI358" s="96"/>
      <c r="CJ358" s="96"/>
      <c r="CK358" s="96"/>
      <c r="CL358" s="815">
        <f t="shared" si="42"/>
        <v>22</v>
      </c>
      <c r="CM358" s="824">
        <f t="shared" si="40"/>
        <v>0</v>
      </c>
      <c r="CN358" s="504">
        <v>10.462</v>
      </c>
      <c r="CO358" s="97" t="s">
        <v>6045</v>
      </c>
      <c r="CP358" s="97"/>
      <c r="CQ358" s="619">
        <v>18.195</v>
      </c>
      <c r="CR358" s="504">
        <v>54.546999999999997</v>
      </c>
      <c r="CS358" s="504" t="s">
        <v>5834</v>
      </c>
      <c r="CT358" s="97" t="s">
        <v>470</v>
      </c>
      <c r="CU358" s="97" t="s">
        <v>470</v>
      </c>
      <c r="CV358" s="97" t="s">
        <v>470</v>
      </c>
      <c r="CW358" s="97" t="s">
        <v>470</v>
      </c>
      <c r="CX358" s="97" t="s">
        <v>470</v>
      </c>
      <c r="CY358" s="97" t="s">
        <v>470</v>
      </c>
      <c r="CZ358" s="96">
        <v>25</v>
      </c>
      <c r="DA358" s="97" t="s">
        <v>479</v>
      </c>
      <c r="DB358" s="97" t="s">
        <v>5690</v>
      </c>
      <c r="DC358" s="504">
        <v>3.153</v>
      </c>
      <c r="DD358" s="97" t="s">
        <v>479</v>
      </c>
      <c r="DE358" s="97" t="s">
        <v>5607</v>
      </c>
      <c r="DF358" s="96">
        <v>562</v>
      </c>
      <c r="DG358" s="97" t="s">
        <v>470</v>
      </c>
      <c r="DH358" s="97" t="s">
        <v>470</v>
      </c>
      <c r="DI358" s="96">
        <v>0</v>
      </c>
      <c r="DJ358" s="97" t="s">
        <v>470</v>
      </c>
      <c r="DK358" s="97" t="s">
        <v>470</v>
      </c>
      <c r="DL358" s="96">
        <v>0</v>
      </c>
      <c r="DM358" s="97" t="s">
        <v>470</v>
      </c>
      <c r="DN358" s="97" t="s">
        <v>470</v>
      </c>
      <c r="DO358" s="96">
        <v>0</v>
      </c>
      <c r="DP358" s="97" t="s">
        <v>470</v>
      </c>
      <c r="DQ358" s="97" t="s">
        <v>470</v>
      </c>
      <c r="DR358" s="96">
        <v>0</v>
      </c>
      <c r="DS358" s="97" t="s">
        <v>470</v>
      </c>
      <c r="DT358" s="97" t="s">
        <v>470</v>
      </c>
      <c r="DU358" s="96">
        <v>0</v>
      </c>
      <c r="DV358" s="97" t="s">
        <v>470</v>
      </c>
      <c r="DW358" s="97" t="s">
        <v>470</v>
      </c>
      <c r="DX358" s="96">
        <v>0</v>
      </c>
      <c r="DY358" s="97" t="s">
        <v>470</v>
      </c>
      <c r="DZ358" s="97" t="s">
        <v>470</v>
      </c>
      <c r="EA358" s="96">
        <v>0</v>
      </c>
      <c r="EB358" s="97" t="s">
        <v>479</v>
      </c>
      <c r="EC358" s="97" t="s">
        <v>5395</v>
      </c>
      <c r="ED358" s="96">
        <v>582</v>
      </c>
      <c r="EE358" s="96" t="s">
        <v>479</v>
      </c>
      <c r="EF358" s="96" t="s">
        <v>1033</v>
      </c>
      <c r="EG358" s="96">
        <v>562</v>
      </c>
      <c r="EH358" s="97" t="s">
        <v>470</v>
      </c>
      <c r="EI358" s="97" t="s">
        <v>470</v>
      </c>
      <c r="EJ358" s="96">
        <v>0</v>
      </c>
      <c r="EK358" s="97" t="s">
        <v>470</v>
      </c>
      <c r="EL358" s="97" t="s">
        <v>470</v>
      </c>
      <c r="EM358" s="96">
        <v>0</v>
      </c>
      <c r="EN358" s="97" t="s">
        <v>479</v>
      </c>
      <c r="EO358" s="97" t="s">
        <v>5331</v>
      </c>
      <c r="EP358" s="96">
        <v>17</v>
      </c>
      <c r="EQ358" s="96" t="s">
        <v>479</v>
      </c>
      <c r="ER358" s="96" t="s">
        <v>640</v>
      </c>
      <c r="ES358" s="96">
        <v>9</v>
      </c>
      <c r="ET358" s="97" t="s">
        <v>470</v>
      </c>
      <c r="EU358" s="97" t="s">
        <v>470</v>
      </c>
      <c r="EV358" s="96">
        <v>0</v>
      </c>
      <c r="EW358" s="96"/>
      <c r="EX358" s="96"/>
      <c r="EY358" s="96"/>
      <c r="EZ358" s="97" t="s">
        <v>470</v>
      </c>
      <c r="FA358" s="97" t="s">
        <v>470</v>
      </c>
      <c r="FB358" s="872" t="s">
        <v>5070</v>
      </c>
      <c r="FC358" s="97" t="s">
        <v>470</v>
      </c>
      <c r="FD358" s="872" t="s">
        <v>4895</v>
      </c>
      <c r="FE358" s="97" t="s">
        <v>4767</v>
      </c>
      <c r="FF358" s="97" t="s">
        <v>4699</v>
      </c>
      <c r="FG358" s="97" t="s">
        <v>4603</v>
      </c>
      <c r="FH358" s="97">
        <v>4</v>
      </c>
      <c r="FI358" s="97">
        <v>70</v>
      </c>
      <c r="FJ358" s="97" t="s">
        <v>4376</v>
      </c>
      <c r="FK358" s="97" t="s">
        <v>4190</v>
      </c>
      <c r="FL358" s="97" t="s">
        <v>3974</v>
      </c>
      <c r="FM358" s="97" t="s">
        <v>2502</v>
      </c>
      <c r="FN358" s="502" t="s">
        <v>3788</v>
      </c>
      <c r="FO358" s="502" t="s">
        <v>2504</v>
      </c>
    </row>
    <row r="359" spans="5:171" ht="52" customHeight="1" x14ac:dyDescent="0.2">
      <c r="E359" s="94" t="s">
        <v>9305</v>
      </c>
      <c r="F359" s="94" t="s">
        <v>9121</v>
      </c>
      <c r="G359" s="97" t="s">
        <v>357</v>
      </c>
      <c r="H359" s="97" t="s">
        <v>442</v>
      </c>
      <c r="I359" s="97" t="s">
        <v>8667</v>
      </c>
      <c r="J359" s="97" t="s">
        <v>1414</v>
      </c>
      <c r="K359" s="97" t="s">
        <v>8366</v>
      </c>
      <c r="L359" s="502">
        <v>2022</v>
      </c>
      <c r="M359" s="841" t="s">
        <v>8277</v>
      </c>
      <c r="N359" s="841" t="s">
        <v>865</v>
      </c>
      <c r="O359" s="841"/>
      <c r="P359" s="841"/>
      <c r="Q359" s="841"/>
      <c r="R359" s="841"/>
      <c r="S359" s="841"/>
      <c r="T359" s="841"/>
      <c r="U359" s="841"/>
      <c r="V359" s="841"/>
      <c r="W359" s="841"/>
      <c r="X359" s="841"/>
      <c r="Y359" s="841"/>
      <c r="Z359" s="97" t="s">
        <v>8043</v>
      </c>
      <c r="AA359" s="97" t="s">
        <v>7912</v>
      </c>
      <c r="AB359" s="97" t="s">
        <v>7744</v>
      </c>
      <c r="AC359" s="872" t="s">
        <v>7610</v>
      </c>
      <c r="AD359" s="97" t="s">
        <v>7403</v>
      </c>
      <c r="AE359" s="97" t="s">
        <v>7223</v>
      </c>
      <c r="AF359" s="97" t="s">
        <v>7131</v>
      </c>
      <c r="AG359" s="97" t="s">
        <v>7065</v>
      </c>
      <c r="AH359" s="97" t="s">
        <v>6952</v>
      </c>
      <c r="AI359" s="97" t="s">
        <v>6789</v>
      </c>
      <c r="AJ359" s="97" t="s">
        <v>656</v>
      </c>
      <c r="AK359" s="97" t="s">
        <v>6411</v>
      </c>
      <c r="AL359" s="580">
        <f t="shared" si="41"/>
        <v>2.8109999999999999</v>
      </c>
      <c r="AM359" s="504">
        <v>2.8109999999999999</v>
      </c>
      <c r="AN359" s="516"/>
      <c r="AO359" s="97"/>
      <c r="AP359" s="97"/>
      <c r="AQ359" s="504">
        <v>2.6640000000000001</v>
      </c>
      <c r="AR359" s="507">
        <v>0.94769999999999999</v>
      </c>
      <c r="AS359" s="507">
        <v>6.4999999999999997E-4</v>
      </c>
      <c r="AT359" s="516">
        <v>0</v>
      </c>
      <c r="AU359" s="507">
        <v>0</v>
      </c>
      <c r="AV359" s="516">
        <v>0</v>
      </c>
      <c r="AW359" s="507">
        <v>0</v>
      </c>
      <c r="AX359" s="516">
        <v>0.14699999999999999</v>
      </c>
      <c r="AY359" s="507">
        <v>5.2299999999999999E-2</v>
      </c>
      <c r="AZ359" s="516"/>
      <c r="BA359" s="507"/>
      <c r="BB359" s="507"/>
      <c r="BC359" s="507"/>
      <c r="BD359" s="507"/>
      <c r="BE359" s="507" t="s">
        <v>479</v>
      </c>
      <c r="BF359" s="507" t="s">
        <v>6278</v>
      </c>
      <c r="BG359" s="507" t="s">
        <v>470</v>
      </c>
      <c r="BH359" s="852">
        <v>0.72</v>
      </c>
      <c r="BI359" s="504">
        <v>2.5150000000000001</v>
      </c>
      <c r="BJ359" s="507">
        <v>1E-4</v>
      </c>
      <c r="BK359" s="96">
        <v>8</v>
      </c>
      <c r="BL359" s="96">
        <v>8</v>
      </c>
      <c r="BM359" s="96">
        <v>5</v>
      </c>
      <c r="BN359" s="96">
        <v>0</v>
      </c>
      <c r="BO359" s="96">
        <v>1</v>
      </c>
      <c r="BP359" s="96">
        <v>0</v>
      </c>
      <c r="BQ359" s="96">
        <v>0</v>
      </c>
      <c r="BR359" s="96">
        <v>0</v>
      </c>
      <c r="BS359" s="96">
        <v>0</v>
      </c>
      <c r="BT359" s="96">
        <v>0</v>
      </c>
      <c r="BU359" s="96">
        <v>0</v>
      </c>
      <c r="BV359" s="96">
        <v>1</v>
      </c>
      <c r="BW359" s="96">
        <v>2</v>
      </c>
      <c r="BX359" s="96">
        <v>0</v>
      </c>
      <c r="BY359" s="96">
        <v>0</v>
      </c>
      <c r="BZ359" s="96">
        <v>1</v>
      </c>
      <c r="CA359" s="96">
        <v>0</v>
      </c>
      <c r="CB359" s="96">
        <v>0</v>
      </c>
      <c r="CC359" s="96">
        <v>0</v>
      </c>
      <c r="CD359" s="96">
        <v>0</v>
      </c>
      <c r="CE359" s="96">
        <v>0</v>
      </c>
      <c r="CF359" s="96">
        <v>0</v>
      </c>
      <c r="CG359" s="96">
        <v>0</v>
      </c>
      <c r="CH359" s="96">
        <v>0</v>
      </c>
      <c r="CI359" s="96">
        <v>0</v>
      </c>
      <c r="CJ359" s="96">
        <v>0</v>
      </c>
      <c r="CK359" s="96">
        <v>0</v>
      </c>
      <c r="CL359" s="815">
        <f t="shared" si="42"/>
        <v>5</v>
      </c>
      <c r="CM359" s="824">
        <f t="shared" si="40"/>
        <v>0</v>
      </c>
      <c r="CN359" s="504">
        <v>1.49</v>
      </c>
      <c r="CO359" s="97">
        <v>0</v>
      </c>
      <c r="CP359" s="97">
        <v>0</v>
      </c>
      <c r="CQ359" s="507" t="s">
        <v>5835</v>
      </c>
      <c r="CR359" s="504">
        <v>70.81</v>
      </c>
      <c r="CS359" s="507" t="s">
        <v>5835</v>
      </c>
      <c r="CT359" s="97" t="s">
        <v>470</v>
      </c>
      <c r="CU359" s="97" t="s">
        <v>470</v>
      </c>
      <c r="CV359" s="97"/>
      <c r="CW359" s="97">
        <v>0</v>
      </c>
      <c r="CX359" s="96">
        <v>0</v>
      </c>
      <c r="CY359" s="96">
        <v>0</v>
      </c>
      <c r="CZ359" s="96">
        <v>0</v>
      </c>
      <c r="DA359" s="97" t="s">
        <v>479</v>
      </c>
      <c r="DB359" s="97" t="s">
        <v>1877</v>
      </c>
      <c r="DC359" s="96">
        <v>300</v>
      </c>
      <c r="DD359" s="97" t="s">
        <v>479</v>
      </c>
      <c r="DE359" s="97" t="s">
        <v>5280</v>
      </c>
      <c r="DF359" s="96">
        <v>50</v>
      </c>
      <c r="DG359" s="96" t="s">
        <v>479</v>
      </c>
      <c r="DH359" s="96" t="s">
        <v>5280</v>
      </c>
      <c r="DI359" s="96">
        <v>15</v>
      </c>
      <c r="DJ359" s="96" t="s">
        <v>470</v>
      </c>
      <c r="DK359" s="96" t="s">
        <v>470</v>
      </c>
      <c r="DL359" s="96" t="s">
        <v>470</v>
      </c>
      <c r="DM359" s="97" t="s">
        <v>470</v>
      </c>
      <c r="DN359" s="97" t="s">
        <v>470</v>
      </c>
      <c r="DO359" s="96" t="s">
        <v>470</v>
      </c>
      <c r="DP359" s="97" t="s">
        <v>479</v>
      </c>
      <c r="DQ359" s="97" t="s">
        <v>5280</v>
      </c>
      <c r="DR359" s="96">
        <v>2</v>
      </c>
      <c r="DS359" s="97" t="s">
        <v>470</v>
      </c>
      <c r="DT359" s="97" t="s">
        <v>470</v>
      </c>
      <c r="DU359" s="96" t="s">
        <v>470</v>
      </c>
      <c r="DV359" s="97" t="s">
        <v>5501</v>
      </c>
      <c r="DW359" s="97" t="s">
        <v>470</v>
      </c>
      <c r="DX359" s="96" t="s">
        <v>470</v>
      </c>
      <c r="DY359" s="97" t="s">
        <v>470</v>
      </c>
      <c r="DZ359" s="97" t="s">
        <v>470</v>
      </c>
      <c r="EA359" s="96" t="s">
        <v>470</v>
      </c>
      <c r="EB359" s="97" t="s">
        <v>470</v>
      </c>
      <c r="EC359" s="97" t="s">
        <v>470</v>
      </c>
      <c r="ED359" s="96" t="s">
        <v>470</v>
      </c>
      <c r="EE359" s="96" t="s">
        <v>470</v>
      </c>
      <c r="EF359" s="96" t="s">
        <v>470</v>
      </c>
      <c r="EG359" s="96" t="s">
        <v>470</v>
      </c>
      <c r="EH359" s="97" t="s">
        <v>470</v>
      </c>
      <c r="EI359" s="97" t="s">
        <v>470</v>
      </c>
      <c r="EJ359" s="96" t="s">
        <v>470</v>
      </c>
      <c r="EK359" s="97" t="s">
        <v>470</v>
      </c>
      <c r="EL359" s="97" t="s">
        <v>470</v>
      </c>
      <c r="EM359" s="96" t="s">
        <v>470</v>
      </c>
      <c r="EN359" s="97" t="s">
        <v>470</v>
      </c>
      <c r="EO359" s="97" t="s">
        <v>470</v>
      </c>
      <c r="EP359" s="96" t="s">
        <v>470</v>
      </c>
      <c r="EQ359" s="96" t="s">
        <v>479</v>
      </c>
      <c r="ER359" s="96" t="s">
        <v>5280</v>
      </c>
      <c r="ES359" s="96">
        <v>20</v>
      </c>
      <c r="ET359" s="97" t="s">
        <v>470</v>
      </c>
      <c r="EU359" s="97" t="s">
        <v>470</v>
      </c>
      <c r="EV359" s="96" t="s">
        <v>470</v>
      </c>
      <c r="EW359" s="96"/>
      <c r="EX359" s="96"/>
      <c r="EY359" s="96"/>
      <c r="EZ359" s="97" t="s">
        <v>470</v>
      </c>
      <c r="FA359" s="97" t="s">
        <v>470</v>
      </c>
      <c r="FB359" s="97" t="s">
        <v>4894</v>
      </c>
      <c r="FC359" s="97" t="s">
        <v>470</v>
      </c>
      <c r="FD359" s="97" t="s">
        <v>4894</v>
      </c>
      <c r="FE359" s="97" t="s">
        <v>4766</v>
      </c>
      <c r="FF359" s="97" t="s">
        <v>4698</v>
      </c>
      <c r="FG359" s="97" t="s">
        <v>4602</v>
      </c>
      <c r="FH359" s="97">
        <v>8</v>
      </c>
      <c r="FI359" s="97">
        <v>35</v>
      </c>
      <c r="FJ359" s="97" t="s">
        <v>4375</v>
      </c>
      <c r="FK359" s="97" t="s">
        <v>4189</v>
      </c>
      <c r="FL359" s="97" t="s">
        <v>3973</v>
      </c>
      <c r="FM359" s="97" t="s">
        <v>2502</v>
      </c>
      <c r="FN359" s="502" t="s">
        <v>3788</v>
      </c>
      <c r="FO359" s="502" t="s">
        <v>2504</v>
      </c>
    </row>
    <row r="360" spans="5:171" ht="44" customHeight="1" x14ac:dyDescent="0.2">
      <c r="E360" s="94" t="s">
        <v>9305</v>
      </c>
      <c r="F360" s="94" t="s">
        <v>9121</v>
      </c>
      <c r="G360" s="97" t="s">
        <v>357</v>
      </c>
      <c r="H360" s="97" t="s">
        <v>442</v>
      </c>
      <c r="I360" s="97" t="s">
        <v>8666</v>
      </c>
      <c r="J360" s="97" t="s">
        <v>8365</v>
      </c>
      <c r="K360" s="97" t="s">
        <v>8365</v>
      </c>
      <c r="L360" s="502">
        <v>2022</v>
      </c>
      <c r="M360" s="841">
        <v>44676</v>
      </c>
      <c r="N360" s="841">
        <v>44902</v>
      </c>
      <c r="O360" s="841"/>
      <c r="P360" s="841"/>
      <c r="Q360" s="841"/>
      <c r="R360" s="841"/>
      <c r="S360" s="841"/>
      <c r="T360" s="841"/>
      <c r="U360" s="841"/>
      <c r="V360" s="841"/>
      <c r="W360" s="841"/>
      <c r="X360" s="841"/>
      <c r="Y360" s="841"/>
      <c r="Z360" s="97" t="s">
        <v>8042</v>
      </c>
      <c r="AA360" s="97" t="s">
        <v>656</v>
      </c>
      <c r="AB360" s="97" t="s">
        <v>7743</v>
      </c>
      <c r="AC360" s="97" t="s">
        <v>656</v>
      </c>
      <c r="AD360" s="97" t="s">
        <v>7402</v>
      </c>
      <c r="AE360" s="97" t="s">
        <v>7222</v>
      </c>
      <c r="AF360" s="97" t="s">
        <v>7130</v>
      </c>
      <c r="AG360" s="97" t="s">
        <v>7064</v>
      </c>
      <c r="AH360" s="97" t="s">
        <v>6951</v>
      </c>
      <c r="AI360" s="97" t="s">
        <v>6410</v>
      </c>
      <c r="AJ360" s="97" t="s">
        <v>6656</v>
      </c>
      <c r="AK360" s="97" t="s">
        <v>6410</v>
      </c>
      <c r="AL360" s="580">
        <f t="shared" si="41"/>
        <v>3.0380000000000003</v>
      </c>
      <c r="AM360" s="504">
        <v>3.0380000000000003</v>
      </c>
      <c r="AN360" s="516"/>
      <c r="AO360" s="97"/>
      <c r="AP360" s="97"/>
      <c r="AQ360" s="504">
        <v>2.7280000000000002</v>
      </c>
      <c r="AR360" s="507">
        <v>0.90169999999999995</v>
      </c>
      <c r="AS360" s="507">
        <v>5.0000000000000001E-4</v>
      </c>
      <c r="AT360" s="516"/>
      <c r="AU360" s="507"/>
      <c r="AV360" s="516"/>
      <c r="AW360" s="507"/>
      <c r="AX360" s="516">
        <v>0.31</v>
      </c>
      <c r="AY360" s="507">
        <v>0.10199999999999999</v>
      </c>
      <c r="AZ360" s="516"/>
      <c r="BA360" s="507"/>
      <c r="BB360" s="507"/>
      <c r="BC360" s="507"/>
      <c r="BD360" s="507"/>
      <c r="BE360" s="507" t="s">
        <v>470</v>
      </c>
      <c r="BF360" s="507"/>
      <c r="BG360" s="507"/>
      <c r="BH360" s="852"/>
      <c r="BI360" s="504">
        <v>3</v>
      </c>
      <c r="BJ360" s="507">
        <v>2.0000000000000001E-4</v>
      </c>
      <c r="BK360" s="96">
        <v>1</v>
      </c>
      <c r="BL360" s="96">
        <v>1</v>
      </c>
      <c r="BM360" s="96">
        <v>1</v>
      </c>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v>1</v>
      </c>
      <c r="CL360" s="815">
        <f t="shared" si="42"/>
        <v>1</v>
      </c>
      <c r="CM360" s="824">
        <f t="shared" si="40"/>
        <v>0</v>
      </c>
      <c r="CN360" s="504">
        <v>0.16300000000000001</v>
      </c>
      <c r="CO360" s="97" t="s">
        <v>6044</v>
      </c>
      <c r="CP360" s="97"/>
      <c r="CQ360" s="97">
        <v>0.12</v>
      </c>
      <c r="CR360" s="504">
        <v>127.304</v>
      </c>
      <c r="CS360" s="887" t="s">
        <v>5805</v>
      </c>
      <c r="CT360" s="97" t="s">
        <v>539</v>
      </c>
      <c r="CU360" s="97"/>
      <c r="CV360" s="97"/>
      <c r="CW360" s="97"/>
      <c r="CX360" s="96"/>
      <c r="CY360" s="96"/>
      <c r="CZ360" s="96">
        <v>4</v>
      </c>
      <c r="DA360" s="97" t="s">
        <v>470</v>
      </c>
      <c r="DB360" s="97"/>
      <c r="DC360" s="96"/>
      <c r="DD360" s="97" t="s">
        <v>540</v>
      </c>
      <c r="DE360" s="97" t="s">
        <v>5606</v>
      </c>
      <c r="DF360" s="96">
        <v>70</v>
      </c>
      <c r="DG360" s="96" t="s">
        <v>470</v>
      </c>
      <c r="DH360" s="96"/>
      <c r="DI360" s="96"/>
      <c r="DJ360" s="96" t="s">
        <v>470</v>
      </c>
      <c r="DK360" s="96"/>
      <c r="DL360" s="96"/>
      <c r="DM360" s="97" t="s">
        <v>470</v>
      </c>
      <c r="DN360" s="97"/>
      <c r="DO360" s="96"/>
      <c r="DP360" s="97" t="s">
        <v>470</v>
      </c>
      <c r="DQ360" s="97"/>
      <c r="DR360" s="96"/>
      <c r="DS360" s="97" t="s">
        <v>470</v>
      </c>
      <c r="DT360" s="97"/>
      <c r="DU360" s="96"/>
      <c r="DV360" s="97"/>
      <c r="DW360" s="97"/>
      <c r="DX360" s="96"/>
      <c r="DY360" s="97" t="s">
        <v>539</v>
      </c>
      <c r="DZ360" s="97"/>
      <c r="EA360" s="96"/>
      <c r="EB360" s="97" t="s">
        <v>470</v>
      </c>
      <c r="EC360" s="97"/>
      <c r="ED360" s="96"/>
      <c r="EE360" s="96" t="s">
        <v>470</v>
      </c>
      <c r="EF360" s="96"/>
      <c r="EG360" s="96"/>
      <c r="EH360" s="97" t="s">
        <v>470</v>
      </c>
      <c r="EI360" s="97"/>
      <c r="EJ360" s="96"/>
      <c r="EK360" s="97" t="s">
        <v>470</v>
      </c>
      <c r="EL360" s="97"/>
      <c r="EM360" s="96"/>
      <c r="EN360" s="97" t="s">
        <v>470</v>
      </c>
      <c r="EO360" s="97"/>
      <c r="EP360" s="96"/>
      <c r="EQ360" s="96" t="s">
        <v>470</v>
      </c>
      <c r="ER360" s="96"/>
      <c r="ES360" s="96"/>
      <c r="ET360" s="97" t="s">
        <v>5241</v>
      </c>
      <c r="EU360" s="97"/>
      <c r="EV360" s="96"/>
      <c r="EW360" s="96"/>
      <c r="EX360" s="96"/>
      <c r="EY360" s="96"/>
      <c r="EZ360" s="97" t="s">
        <v>539</v>
      </c>
      <c r="FA360" s="97"/>
      <c r="FB360" s="97" t="s">
        <v>470</v>
      </c>
      <c r="FC360" s="97"/>
      <c r="FD360" s="97"/>
      <c r="FE360" s="97"/>
      <c r="FF360" s="97"/>
      <c r="FG360" s="97" t="s">
        <v>4601</v>
      </c>
      <c r="FH360" s="97">
        <v>1</v>
      </c>
      <c r="FI360" s="97">
        <v>37</v>
      </c>
      <c r="FJ360" s="97" t="s">
        <v>4374</v>
      </c>
      <c r="FK360" s="97" t="s">
        <v>4188</v>
      </c>
      <c r="FL360" s="842" t="s">
        <v>3972</v>
      </c>
      <c r="FM360" s="97" t="s">
        <v>2502</v>
      </c>
      <c r="FN360" s="97" t="s">
        <v>3788</v>
      </c>
      <c r="FO360" s="97" t="s">
        <v>2504</v>
      </c>
    </row>
    <row r="361" spans="5:171" ht="52" customHeight="1" x14ac:dyDescent="0.2">
      <c r="E361" s="94" t="s">
        <v>9305</v>
      </c>
      <c r="F361" s="94" t="s">
        <v>9121</v>
      </c>
      <c r="G361" s="97" t="s">
        <v>357</v>
      </c>
      <c r="H361" s="97" t="s">
        <v>442</v>
      </c>
      <c r="I361" s="97" t="s">
        <v>8665</v>
      </c>
      <c r="J361" s="97" t="s">
        <v>8467</v>
      </c>
      <c r="K361" s="97" t="s">
        <v>8364</v>
      </c>
      <c r="L361" s="97" t="s">
        <v>8336</v>
      </c>
      <c r="M361" s="97" t="s">
        <v>8276</v>
      </c>
      <c r="N361" s="97" t="s">
        <v>8211</v>
      </c>
      <c r="O361" s="97"/>
      <c r="P361" s="97"/>
      <c r="Q361" s="97"/>
      <c r="R361" s="97"/>
      <c r="S361" s="97"/>
      <c r="T361" s="97"/>
      <c r="U361" s="97"/>
      <c r="V361" s="97"/>
      <c r="W361" s="97"/>
      <c r="X361" s="97"/>
      <c r="Y361" s="97"/>
      <c r="Z361" s="97"/>
      <c r="AA361" s="97"/>
      <c r="AB361" s="97" t="s">
        <v>7742</v>
      </c>
      <c r="AC361" s="97" t="s">
        <v>7609</v>
      </c>
      <c r="AD361" s="97" t="s">
        <v>7401</v>
      </c>
      <c r="AE361" s="97" t="s">
        <v>7221</v>
      </c>
      <c r="AF361" s="97" t="s">
        <v>7129</v>
      </c>
      <c r="AG361" s="97" t="s">
        <v>7063</v>
      </c>
      <c r="AH361" s="97" t="s">
        <v>6950</v>
      </c>
      <c r="AI361" s="97" t="s">
        <v>6409</v>
      </c>
      <c r="AJ361" s="97" t="s">
        <v>6657</v>
      </c>
      <c r="AK361" s="97" t="s">
        <v>6409</v>
      </c>
      <c r="AL361" s="580">
        <f t="shared" si="41"/>
        <v>0.748</v>
      </c>
      <c r="AM361" s="504">
        <v>0.748</v>
      </c>
      <c r="AN361" s="516"/>
      <c r="AO361" s="97"/>
      <c r="AP361" s="97"/>
      <c r="AQ361" s="504">
        <v>0.748</v>
      </c>
      <c r="AR361" s="507">
        <v>1</v>
      </c>
      <c r="AS361" s="1090">
        <v>2.0999999999999999E-5</v>
      </c>
      <c r="AT361" s="516">
        <v>0</v>
      </c>
      <c r="AU361" s="507">
        <v>0</v>
      </c>
      <c r="AV361" s="516">
        <v>0</v>
      </c>
      <c r="AW361" s="507">
        <v>0</v>
      </c>
      <c r="AX361" s="516">
        <v>0</v>
      </c>
      <c r="AY361" s="507">
        <v>0</v>
      </c>
      <c r="AZ361" s="516"/>
      <c r="BA361" s="507"/>
      <c r="BB361" s="507"/>
      <c r="BC361" s="507"/>
      <c r="BD361" s="507"/>
      <c r="BE361" s="507" t="s">
        <v>479</v>
      </c>
      <c r="BF361" s="507" t="s">
        <v>6277</v>
      </c>
      <c r="BG361" s="507"/>
      <c r="BH361" s="852">
        <v>0</v>
      </c>
      <c r="BI361" s="504">
        <v>0</v>
      </c>
      <c r="BJ361" s="507">
        <v>0</v>
      </c>
      <c r="BK361" s="96">
        <v>0</v>
      </c>
      <c r="BL361" s="96">
        <v>0</v>
      </c>
      <c r="BM361" s="96">
        <v>0</v>
      </c>
      <c r="BN361" s="96"/>
      <c r="BO361" s="96"/>
      <c r="BP361" s="96"/>
      <c r="BQ361" s="96"/>
      <c r="BR361" s="96"/>
      <c r="BS361" s="96"/>
      <c r="BT361" s="96"/>
      <c r="BU361" s="96"/>
      <c r="BV361" s="96"/>
      <c r="BW361" s="96"/>
      <c r="BX361" s="96"/>
      <c r="BY361" s="96">
        <v>1</v>
      </c>
      <c r="BZ361" s="96"/>
      <c r="CA361" s="96"/>
      <c r="CB361" s="96"/>
      <c r="CC361" s="96"/>
      <c r="CD361" s="96"/>
      <c r="CE361" s="96"/>
      <c r="CF361" s="96"/>
      <c r="CG361" s="96"/>
      <c r="CH361" s="96"/>
      <c r="CI361" s="96"/>
      <c r="CJ361" s="96"/>
      <c r="CK361" s="96"/>
      <c r="CL361" s="815">
        <f t="shared" ref="CL361:CL376" si="43">SUM(BN361:CK361)</f>
        <v>1</v>
      </c>
      <c r="CM361" s="824">
        <f t="shared" si="40"/>
        <v>0</v>
      </c>
      <c r="CN361" s="504">
        <v>20</v>
      </c>
      <c r="CO361" s="97"/>
      <c r="CP361" s="97"/>
      <c r="CQ361" s="886">
        <f>CN361/CR361</f>
        <v>0.27394258163488933</v>
      </c>
      <c r="CR361" s="504">
        <v>73.007999999999996</v>
      </c>
      <c r="CS361" s="887" t="s">
        <v>5834</v>
      </c>
      <c r="CT361" s="97" t="s">
        <v>470</v>
      </c>
      <c r="CU361" s="97" t="s">
        <v>470</v>
      </c>
      <c r="CV361" s="97" t="s">
        <v>470</v>
      </c>
      <c r="CW361" s="97" t="s">
        <v>470</v>
      </c>
      <c r="CX361" s="96">
        <v>0</v>
      </c>
      <c r="CY361" s="96">
        <v>0</v>
      </c>
      <c r="CZ361" s="96">
        <v>0</v>
      </c>
      <c r="DA361" s="97" t="s">
        <v>479</v>
      </c>
      <c r="DB361" s="97" t="s">
        <v>5689</v>
      </c>
      <c r="DC361" s="96">
        <v>648</v>
      </c>
      <c r="DD361" s="97" t="s">
        <v>479</v>
      </c>
      <c r="DE361" s="97" t="s">
        <v>5605</v>
      </c>
      <c r="DF361" s="96">
        <v>648</v>
      </c>
      <c r="DG361" s="96" t="s">
        <v>470</v>
      </c>
      <c r="DH361" s="96"/>
      <c r="DI361" s="96"/>
      <c r="DJ361" s="96" t="s">
        <v>470</v>
      </c>
      <c r="DK361" s="96"/>
      <c r="DL361" s="96"/>
      <c r="DM361" s="97" t="s">
        <v>470</v>
      </c>
      <c r="DN361" s="97"/>
      <c r="DO361" s="96"/>
      <c r="DP361" s="97" t="s">
        <v>470</v>
      </c>
      <c r="DQ361" s="97"/>
      <c r="DR361" s="96"/>
      <c r="DS361" s="97" t="s">
        <v>470</v>
      </c>
      <c r="DT361" s="97"/>
      <c r="DU361" s="96"/>
      <c r="DV361" s="97" t="s">
        <v>470</v>
      </c>
      <c r="DW361" s="97"/>
      <c r="DX361" s="96"/>
      <c r="DY361" s="97" t="s">
        <v>470</v>
      </c>
      <c r="DZ361" s="97"/>
      <c r="EA361" s="96"/>
      <c r="EB361" s="97" t="s">
        <v>479</v>
      </c>
      <c r="EC361" s="97" t="s">
        <v>2826</v>
      </c>
      <c r="ED361" s="96">
        <v>329</v>
      </c>
      <c r="EE361" s="96" t="s">
        <v>470</v>
      </c>
      <c r="EF361" s="96"/>
      <c r="EG361" s="96"/>
      <c r="EH361" s="97" t="s">
        <v>470</v>
      </c>
      <c r="EI361" s="97"/>
      <c r="EJ361" s="96"/>
      <c r="EK361" s="97" t="s">
        <v>470</v>
      </c>
      <c r="EL361" s="97"/>
      <c r="EM361" s="96"/>
      <c r="EN361" s="97" t="s">
        <v>540</v>
      </c>
      <c r="EO361" s="97" t="s">
        <v>2535</v>
      </c>
      <c r="EP361" s="96">
        <v>9</v>
      </c>
      <c r="EQ361" s="96"/>
      <c r="ER361" s="96"/>
      <c r="ES361" s="96"/>
      <c r="ET361" s="97"/>
      <c r="EU361" s="97"/>
      <c r="EV361" s="96"/>
      <c r="EW361" s="96"/>
      <c r="EX361" s="96"/>
      <c r="EY361" s="96"/>
      <c r="EZ361" s="97" t="s">
        <v>470</v>
      </c>
      <c r="FA361" s="97"/>
      <c r="FB361" s="842" t="s">
        <v>5069</v>
      </c>
      <c r="FC361" s="97"/>
      <c r="FD361" s="842" t="s">
        <v>4893</v>
      </c>
      <c r="FE361" s="97" t="s">
        <v>4765</v>
      </c>
      <c r="FF361" s="97" t="s">
        <v>4697</v>
      </c>
      <c r="FG361" s="97" t="s">
        <v>4600</v>
      </c>
      <c r="FH361" s="97">
        <v>16</v>
      </c>
      <c r="FI361" s="97">
        <v>1150</v>
      </c>
      <c r="FJ361" s="97" t="s">
        <v>4373</v>
      </c>
      <c r="FK361" s="97" t="s">
        <v>4187</v>
      </c>
      <c r="FL361" s="842" t="s">
        <v>3971</v>
      </c>
      <c r="FM361" s="97" t="s">
        <v>2502</v>
      </c>
      <c r="FN361" s="502" t="s">
        <v>3788</v>
      </c>
      <c r="FO361" s="502" t="s">
        <v>2504</v>
      </c>
    </row>
    <row r="362" spans="5:171" ht="44" customHeight="1" x14ac:dyDescent="0.2">
      <c r="E362" s="94" t="s">
        <v>9305</v>
      </c>
      <c r="F362" s="94" t="s">
        <v>9121</v>
      </c>
      <c r="G362" s="97" t="s">
        <v>357</v>
      </c>
      <c r="H362" s="97" t="s">
        <v>442</v>
      </c>
      <c r="I362" s="97" t="s">
        <v>8664</v>
      </c>
      <c r="J362" s="97" t="s">
        <v>8363</v>
      </c>
      <c r="K362" s="97" t="s">
        <v>8363</v>
      </c>
      <c r="L362" s="502">
        <v>2022</v>
      </c>
      <c r="M362" s="841" t="s">
        <v>8275</v>
      </c>
      <c r="N362" s="841" t="s">
        <v>8210</v>
      </c>
      <c r="O362" s="841"/>
      <c r="P362" s="841"/>
      <c r="Q362" s="841"/>
      <c r="R362" s="841"/>
      <c r="S362" s="841"/>
      <c r="T362" s="841"/>
      <c r="U362" s="841"/>
      <c r="V362" s="841"/>
      <c r="W362" s="841"/>
      <c r="X362" s="841"/>
      <c r="Y362" s="841"/>
      <c r="Z362" s="97"/>
      <c r="AA362" s="97"/>
      <c r="AB362" s="97" t="s">
        <v>7741</v>
      </c>
      <c r="AC362" s="97" t="s">
        <v>7608</v>
      </c>
      <c r="AD362" s="97" t="s">
        <v>7400</v>
      </c>
      <c r="AE362" s="97" t="s">
        <v>470</v>
      </c>
      <c r="AF362" s="97" t="s">
        <v>470</v>
      </c>
      <c r="AG362" s="97" t="s">
        <v>470</v>
      </c>
      <c r="AH362" s="97" t="s">
        <v>6949</v>
      </c>
      <c r="AI362" s="97" t="s">
        <v>6408</v>
      </c>
      <c r="AJ362" s="97" t="s">
        <v>6656</v>
      </c>
      <c r="AK362" s="97" t="s">
        <v>6408</v>
      </c>
      <c r="AL362" s="580">
        <f t="shared" si="41"/>
        <v>4.9960000000000004</v>
      </c>
      <c r="AM362" s="504">
        <v>4.9960000000000004</v>
      </c>
      <c r="AN362" s="516"/>
      <c r="AO362" s="97"/>
      <c r="AP362" s="97"/>
      <c r="AQ362" s="504">
        <v>2.7530000000000001</v>
      </c>
      <c r="AR362" s="507">
        <f>AQ362/AL362</f>
        <v>0.55104083266613291</v>
      </c>
      <c r="AS362" s="507">
        <v>1.6000000000000001E-3</v>
      </c>
      <c r="AT362" s="516"/>
      <c r="AU362" s="507"/>
      <c r="AV362" s="516"/>
      <c r="AW362" s="507"/>
      <c r="AX362" s="516">
        <v>2.2429999999999999</v>
      </c>
      <c r="AY362" s="507">
        <f>AX362/AL362</f>
        <v>0.44895916733386704</v>
      </c>
      <c r="AZ362" s="516"/>
      <c r="BA362" s="507"/>
      <c r="BB362" s="507"/>
      <c r="BC362" s="507"/>
      <c r="BD362" s="507"/>
      <c r="BE362" s="507" t="s">
        <v>479</v>
      </c>
      <c r="BF362" s="507" t="s">
        <v>6276</v>
      </c>
      <c r="BG362" s="507" t="s">
        <v>6221</v>
      </c>
      <c r="BH362" s="852">
        <v>0</v>
      </c>
      <c r="BI362" s="504">
        <v>3.093</v>
      </c>
      <c r="BJ362" s="507">
        <v>1.9E-3</v>
      </c>
      <c r="BK362" s="96">
        <v>4</v>
      </c>
      <c r="BL362" s="96">
        <v>4</v>
      </c>
      <c r="BM362" s="96">
        <v>4</v>
      </c>
      <c r="BN362" s="96"/>
      <c r="BO362" s="96">
        <v>2</v>
      </c>
      <c r="BP362" s="96"/>
      <c r="BQ362" s="96"/>
      <c r="BR362" s="96"/>
      <c r="BS362" s="96"/>
      <c r="BT362" s="96"/>
      <c r="BU362" s="96"/>
      <c r="BV362" s="96"/>
      <c r="BW362" s="96"/>
      <c r="BX362" s="96"/>
      <c r="BY362" s="96">
        <v>1</v>
      </c>
      <c r="BZ362" s="96">
        <v>1</v>
      </c>
      <c r="CA362" s="96"/>
      <c r="CB362" s="96"/>
      <c r="CC362" s="96"/>
      <c r="CD362" s="96"/>
      <c r="CE362" s="96"/>
      <c r="CF362" s="96"/>
      <c r="CG362" s="96"/>
      <c r="CH362" s="96"/>
      <c r="CI362" s="96"/>
      <c r="CJ362" s="96"/>
      <c r="CK362" s="96"/>
      <c r="CL362" s="815">
        <f t="shared" si="43"/>
        <v>4</v>
      </c>
      <c r="CM362" s="824">
        <f t="shared" si="40"/>
        <v>0</v>
      </c>
      <c r="CN362" s="504">
        <v>5</v>
      </c>
      <c r="CO362" s="97" t="s">
        <v>6043</v>
      </c>
      <c r="CP362" s="97" t="s">
        <v>3007</v>
      </c>
      <c r="CQ362" s="97">
        <v>13.6</v>
      </c>
      <c r="CR362" s="504">
        <v>36.707999999999998</v>
      </c>
      <c r="CS362" s="507" t="s">
        <v>3007</v>
      </c>
      <c r="CT362" s="97" t="s">
        <v>470</v>
      </c>
      <c r="CU362" s="97" t="s">
        <v>3007</v>
      </c>
      <c r="CV362" s="97" t="s">
        <v>3007</v>
      </c>
      <c r="CW362" s="97" t="s">
        <v>3007</v>
      </c>
      <c r="CX362" s="97" t="s">
        <v>3007</v>
      </c>
      <c r="CY362" s="97" t="s">
        <v>3007</v>
      </c>
      <c r="CZ362" s="96">
        <v>5</v>
      </c>
      <c r="DA362" s="97" t="s">
        <v>540</v>
      </c>
      <c r="DB362" s="97" t="s">
        <v>5688</v>
      </c>
      <c r="DC362" s="96">
        <v>861</v>
      </c>
      <c r="DD362" s="97" t="s">
        <v>479</v>
      </c>
      <c r="DE362" s="97" t="s">
        <v>5604</v>
      </c>
      <c r="DF362" s="96">
        <v>451</v>
      </c>
      <c r="DG362" s="96" t="s">
        <v>540</v>
      </c>
      <c r="DH362" s="96" t="s">
        <v>920</v>
      </c>
      <c r="DI362" s="96">
        <v>130</v>
      </c>
      <c r="DJ362" s="96" t="s">
        <v>540</v>
      </c>
      <c r="DK362" s="96" t="s">
        <v>920</v>
      </c>
      <c r="DL362" s="96">
        <v>130</v>
      </c>
      <c r="DM362" s="96" t="s">
        <v>470</v>
      </c>
      <c r="DN362" s="96" t="s">
        <v>470</v>
      </c>
      <c r="DO362" s="96" t="s">
        <v>470</v>
      </c>
      <c r="DP362" s="97" t="s">
        <v>470</v>
      </c>
      <c r="DQ362" s="97" t="s">
        <v>470</v>
      </c>
      <c r="DR362" s="96" t="s">
        <v>470</v>
      </c>
      <c r="DS362" s="96" t="s">
        <v>470</v>
      </c>
      <c r="DT362" s="96" t="s">
        <v>470</v>
      </c>
      <c r="DU362" s="96" t="s">
        <v>470</v>
      </c>
      <c r="DV362" s="96" t="s">
        <v>470</v>
      </c>
      <c r="DW362" s="96" t="s">
        <v>470</v>
      </c>
      <c r="DX362" s="96" t="s">
        <v>470</v>
      </c>
      <c r="DY362" s="96" t="s">
        <v>540</v>
      </c>
      <c r="DZ362" s="96" t="s">
        <v>5451</v>
      </c>
      <c r="EA362" s="96">
        <v>158</v>
      </c>
      <c r="EB362" s="97" t="s">
        <v>479</v>
      </c>
      <c r="EC362" s="97" t="s">
        <v>5394</v>
      </c>
      <c r="ED362" s="96">
        <v>840</v>
      </c>
      <c r="EE362" s="96" t="s">
        <v>540</v>
      </c>
      <c r="EF362" s="96" t="s">
        <v>920</v>
      </c>
      <c r="EG362" s="96">
        <v>470</v>
      </c>
      <c r="EH362" s="97" t="s">
        <v>470</v>
      </c>
      <c r="EI362" s="97" t="s">
        <v>470</v>
      </c>
      <c r="EJ362" s="96" t="s">
        <v>470</v>
      </c>
      <c r="EK362" s="97" t="s">
        <v>470</v>
      </c>
      <c r="EL362" s="96" t="s">
        <v>470</v>
      </c>
      <c r="EM362" s="96" t="s">
        <v>470</v>
      </c>
      <c r="EN362" s="96" t="s">
        <v>540</v>
      </c>
      <c r="EO362" s="96" t="s">
        <v>920</v>
      </c>
      <c r="EP362" s="96">
        <v>9</v>
      </c>
      <c r="EQ362" s="96" t="s">
        <v>470</v>
      </c>
      <c r="ER362" s="96" t="s">
        <v>470</v>
      </c>
      <c r="ES362" s="96" t="s">
        <v>470</v>
      </c>
      <c r="ET362" s="96" t="s">
        <v>470</v>
      </c>
      <c r="EU362" s="96" t="s">
        <v>470</v>
      </c>
      <c r="EV362" s="96" t="s">
        <v>470</v>
      </c>
      <c r="EW362" s="96"/>
      <c r="EX362" s="96"/>
      <c r="EY362" s="96"/>
      <c r="EZ362" s="96" t="s">
        <v>470</v>
      </c>
      <c r="FA362" s="96" t="s">
        <v>470</v>
      </c>
      <c r="FB362" s="1091" t="s">
        <v>5068</v>
      </c>
      <c r="FC362" s="97" t="s">
        <v>470</v>
      </c>
      <c r="FD362" s="97" t="s">
        <v>470</v>
      </c>
      <c r="FE362" s="97" t="s">
        <v>4764</v>
      </c>
      <c r="FF362" s="97" t="s">
        <v>4696</v>
      </c>
      <c r="FG362" s="97" t="s">
        <v>4599</v>
      </c>
      <c r="FH362" s="97">
        <v>1</v>
      </c>
      <c r="FI362" s="97">
        <v>16</v>
      </c>
      <c r="FJ362" s="1089" t="s">
        <v>4372</v>
      </c>
      <c r="FK362" s="1089" t="s">
        <v>4186</v>
      </c>
      <c r="FL362" s="97" t="s">
        <v>3970</v>
      </c>
      <c r="FM362" s="502" t="s">
        <v>2502</v>
      </c>
      <c r="FN362" s="502" t="s">
        <v>3788</v>
      </c>
      <c r="FO362" s="502" t="s">
        <v>2504</v>
      </c>
    </row>
    <row r="363" spans="5:171" ht="52" customHeight="1" x14ac:dyDescent="0.2">
      <c r="E363" s="94" t="s">
        <v>9305</v>
      </c>
      <c r="F363" s="94" t="s">
        <v>9121</v>
      </c>
      <c r="G363" s="97" t="s">
        <v>357</v>
      </c>
      <c r="H363" s="97" t="s">
        <v>442</v>
      </c>
      <c r="I363" s="97" t="s">
        <v>8663</v>
      </c>
      <c r="J363" s="97" t="s">
        <v>8466</v>
      </c>
      <c r="K363" s="97" t="s">
        <v>470</v>
      </c>
      <c r="L363" s="502">
        <v>2022</v>
      </c>
      <c r="M363" s="841">
        <v>44562</v>
      </c>
      <c r="N363" s="841">
        <v>44926</v>
      </c>
      <c r="O363" s="841"/>
      <c r="P363" s="841"/>
      <c r="Q363" s="841"/>
      <c r="R363" s="841"/>
      <c r="S363" s="841"/>
      <c r="T363" s="841"/>
      <c r="U363" s="841"/>
      <c r="V363" s="841"/>
      <c r="W363" s="841"/>
      <c r="X363" s="841"/>
      <c r="Y363" s="841"/>
      <c r="Z363" s="97"/>
      <c r="AA363" s="97"/>
      <c r="AB363" s="97" t="s">
        <v>7740</v>
      </c>
      <c r="AC363" s="97" t="s">
        <v>7607</v>
      </c>
      <c r="AD363" s="97" t="s">
        <v>7399</v>
      </c>
      <c r="AE363" s="97" t="s">
        <v>7220</v>
      </c>
      <c r="AF363" s="97" t="s">
        <v>7128</v>
      </c>
      <c r="AG363" s="97" t="s">
        <v>7062</v>
      </c>
      <c r="AH363" s="97" t="s">
        <v>6948</v>
      </c>
      <c r="AI363" s="97" t="s">
        <v>6407</v>
      </c>
      <c r="AJ363" s="97" t="s">
        <v>6655</v>
      </c>
      <c r="AK363" s="97" t="s">
        <v>6407</v>
      </c>
      <c r="AL363" s="580">
        <f t="shared" si="41"/>
        <v>13.370999999999999</v>
      </c>
      <c r="AM363" s="504">
        <v>13.370999999999999</v>
      </c>
      <c r="AN363" s="516"/>
      <c r="AO363" s="97"/>
      <c r="AP363" s="97"/>
      <c r="AQ363" s="504">
        <v>12.36</v>
      </c>
      <c r="AR363" s="507">
        <f>AQ363/AL363</f>
        <v>0.92438860219878849</v>
      </c>
      <c r="AS363" s="507">
        <v>5.1000000000000004E-3</v>
      </c>
      <c r="AT363" s="516"/>
      <c r="AU363" s="507"/>
      <c r="AV363" s="516"/>
      <c r="AW363" s="507"/>
      <c r="AX363" s="516">
        <v>1.0109999999999999</v>
      </c>
      <c r="AY363" s="507">
        <f>AX363/AL363</f>
        <v>7.561139780121158E-2</v>
      </c>
      <c r="AZ363" s="516"/>
      <c r="BA363" s="507"/>
      <c r="BB363" s="507"/>
      <c r="BC363" s="507"/>
      <c r="BD363" s="507"/>
      <c r="BE363" s="507" t="s">
        <v>470</v>
      </c>
      <c r="BF363" s="507" t="s">
        <v>656</v>
      </c>
      <c r="BG363" s="507" t="s">
        <v>656</v>
      </c>
      <c r="BH363" s="852" t="s">
        <v>656</v>
      </c>
      <c r="BI363" s="504">
        <v>0</v>
      </c>
      <c r="BJ363" s="507" t="s">
        <v>656</v>
      </c>
      <c r="BK363" s="96">
        <v>5</v>
      </c>
      <c r="BL363" s="96">
        <v>5</v>
      </c>
      <c r="BM363" s="96">
        <v>5</v>
      </c>
      <c r="BN363" s="96"/>
      <c r="BO363" s="96">
        <v>1</v>
      </c>
      <c r="BP363" s="96"/>
      <c r="BQ363" s="96"/>
      <c r="BR363" s="96"/>
      <c r="BS363" s="96"/>
      <c r="BT363" s="96"/>
      <c r="BU363" s="96"/>
      <c r="BV363" s="96">
        <v>1</v>
      </c>
      <c r="BW363" s="96"/>
      <c r="BX363" s="96"/>
      <c r="BY363" s="96">
        <v>3</v>
      </c>
      <c r="BZ363" s="96"/>
      <c r="CA363" s="96"/>
      <c r="CB363" s="96"/>
      <c r="CC363" s="96"/>
      <c r="CD363" s="96"/>
      <c r="CE363" s="96"/>
      <c r="CF363" s="96"/>
      <c r="CG363" s="96"/>
      <c r="CH363" s="96"/>
      <c r="CI363" s="96"/>
      <c r="CJ363" s="96"/>
      <c r="CK363" s="96"/>
      <c r="CL363" s="815">
        <f t="shared" si="43"/>
        <v>5</v>
      </c>
      <c r="CM363" s="824">
        <f t="shared" si="40"/>
        <v>0</v>
      </c>
      <c r="CN363" s="504">
        <v>23.5</v>
      </c>
      <c r="CO363" s="97" t="s">
        <v>6042</v>
      </c>
      <c r="CP363" s="97" t="s">
        <v>656</v>
      </c>
      <c r="CQ363" s="886">
        <f>CN363/CR363</f>
        <v>0.43925233644859812</v>
      </c>
      <c r="CR363" s="504">
        <v>53.5</v>
      </c>
      <c r="CS363" s="507" t="s">
        <v>5833</v>
      </c>
      <c r="CT363" s="97" t="s">
        <v>470</v>
      </c>
      <c r="CU363" s="97" t="s">
        <v>656</v>
      </c>
      <c r="CV363" s="97" t="s">
        <v>656</v>
      </c>
      <c r="CW363" s="97" t="s">
        <v>656</v>
      </c>
      <c r="CX363" s="96" t="s">
        <v>656</v>
      </c>
      <c r="CY363" s="96" t="s">
        <v>656</v>
      </c>
      <c r="CZ363" s="96">
        <v>15</v>
      </c>
      <c r="DA363" s="97" t="s">
        <v>479</v>
      </c>
      <c r="DB363" s="97" t="s">
        <v>5687</v>
      </c>
      <c r="DC363" s="96">
        <v>931</v>
      </c>
      <c r="DD363" s="97" t="s">
        <v>470</v>
      </c>
      <c r="DE363" s="97"/>
      <c r="DF363" s="96"/>
      <c r="DG363" s="96"/>
      <c r="DH363" s="96"/>
      <c r="DI363" s="96"/>
      <c r="DJ363" s="96" t="s">
        <v>470</v>
      </c>
      <c r="DK363" s="96"/>
      <c r="DL363" s="96"/>
      <c r="DM363" s="97" t="s">
        <v>470</v>
      </c>
      <c r="DN363" s="97"/>
      <c r="DO363" s="96"/>
      <c r="DP363" s="97" t="s">
        <v>470</v>
      </c>
      <c r="DQ363" s="97"/>
      <c r="DR363" s="96"/>
      <c r="DS363" s="97" t="s">
        <v>470</v>
      </c>
      <c r="DT363" s="97"/>
      <c r="DU363" s="96"/>
      <c r="DV363" s="97" t="s">
        <v>470</v>
      </c>
      <c r="DW363" s="97"/>
      <c r="DX363" s="96"/>
      <c r="DY363" s="97" t="s">
        <v>470</v>
      </c>
      <c r="DZ363" s="97"/>
      <c r="EA363" s="96"/>
      <c r="EB363" s="97" t="s">
        <v>470</v>
      </c>
      <c r="EC363" s="97"/>
      <c r="ED363" s="96"/>
      <c r="EE363" s="96" t="s">
        <v>470</v>
      </c>
      <c r="EF363" s="96"/>
      <c r="EG363" s="96"/>
      <c r="EH363" s="97" t="s">
        <v>470</v>
      </c>
      <c r="EI363" s="97"/>
      <c r="EJ363" s="96"/>
      <c r="EK363" s="97" t="s">
        <v>470</v>
      </c>
      <c r="EL363" s="97"/>
      <c r="EM363" s="96"/>
      <c r="EN363" s="97" t="s">
        <v>470</v>
      </c>
      <c r="EO363" s="97"/>
      <c r="EP363" s="96"/>
      <c r="EQ363" s="96" t="s">
        <v>479</v>
      </c>
      <c r="ER363" s="96" t="s">
        <v>640</v>
      </c>
      <c r="ES363" s="96">
        <v>5</v>
      </c>
      <c r="ET363" s="97"/>
      <c r="EU363" s="97"/>
      <c r="EV363" s="96"/>
      <c r="EW363" s="96"/>
      <c r="EX363" s="96"/>
      <c r="EY363" s="96"/>
      <c r="EZ363" s="97" t="s">
        <v>470</v>
      </c>
      <c r="FA363" s="97" t="s">
        <v>656</v>
      </c>
      <c r="FB363" s="97" t="s">
        <v>656</v>
      </c>
      <c r="FC363" s="97" t="s">
        <v>656</v>
      </c>
      <c r="FD363" s="97" t="s">
        <v>656</v>
      </c>
      <c r="FE363" s="97" t="s">
        <v>656</v>
      </c>
      <c r="FF363" s="97" t="s">
        <v>656</v>
      </c>
      <c r="FG363" s="97" t="s">
        <v>656</v>
      </c>
      <c r="FH363" s="97" t="s">
        <v>656</v>
      </c>
      <c r="FI363" s="97" t="s">
        <v>656</v>
      </c>
      <c r="FJ363" s="97" t="s">
        <v>4371</v>
      </c>
      <c r="FK363" s="97" t="s">
        <v>4185</v>
      </c>
      <c r="FL363" s="97" t="s">
        <v>3969</v>
      </c>
      <c r="FM363" s="97" t="s">
        <v>2502</v>
      </c>
      <c r="FN363" s="97" t="s">
        <v>3788</v>
      </c>
      <c r="FO363" s="97" t="s">
        <v>2504</v>
      </c>
    </row>
    <row r="364" spans="5:171" ht="44" customHeight="1" x14ac:dyDescent="0.2">
      <c r="E364" s="94" t="s">
        <v>9305</v>
      </c>
      <c r="F364" s="94" t="s">
        <v>9121</v>
      </c>
      <c r="G364" s="97" t="s">
        <v>357</v>
      </c>
      <c r="H364" s="97" t="s">
        <v>442</v>
      </c>
      <c r="I364" s="502" t="s">
        <v>8662</v>
      </c>
      <c r="J364" s="502" t="s">
        <v>8465</v>
      </c>
      <c r="K364" s="502" t="s">
        <v>8362</v>
      </c>
      <c r="L364" s="502">
        <v>2022</v>
      </c>
      <c r="M364" s="502" t="s">
        <v>8274</v>
      </c>
      <c r="N364" s="502" t="s">
        <v>8209</v>
      </c>
      <c r="O364" s="502"/>
      <c r="P364" s="502"/>
      <c r="Q364" s="502"/>
      <c r="R364" s="502"/>
      <c r="S364" s="502"/>
      <c r="T364" s="502"/>
      <c r="U364" s="502"/>
      <c r="V364" s="502"/>
      <c r="W364" s="502"/>
      <c r="X364" s="502"/>
      <c r="Y364" s="502"/>
      <c r="Z364" s="502"/>
      <c r="AA364" s="502"/>
      <c r="AB364" s="502" t="s">
        <v>7739</v>
      </c>
      <c r="AC364" s="502" t="s">
        <v>7606</v>
      </c>
      <c r="AD364" s="502"/>
      <c r="AE364" s="502"/>
      <c r="AF364" s="502"/>
      <c r="AG364" s="502"/>
      <c r="AH364" s="502" t="s">
        <v>6406</v>
      </c>
      <c r="AI364" s="502" t="s">
        <v>6406</v>
      </c>
      <c r="AJ364" s="502" t="s">
        <v>6654</v>
      </c>
      <c r="AK364" s="502" t="s">
        <v>6406</v>
      </c>
      <c r="AL364" s="580">
        <f t="shared" si="41"/>
        <v>2.8502999999999998</v>
      </c>
      <c r="AM364" s="504">
        <v>2.8502999999999998</v>
      </c>
      <c r="AN364" s="516"/>
      <c r="AO364" s="97"/>
      <c r="AP364" s="97"/>
      <c r="AQ364" s="852">
        <v>2.7679999999999998</v>
      </c>
      <c r="AR364" s="516">
        <v>97.1</v>
      </c>
      <c r="AS364" s="516">
        <v>0.26</v>
      </c>
      <c r="AT364" s="516"/>
      <c r="AU364" s="502"/>
      <c r="AV364" s="516"/>
      <c r="AW364" s="502"/>
      <c r="AX364" s="516">
        <v>8.2299999999999998E-2</v>
      </c>
      <c r="AY364" s="516">
        <v>2.9</v>
      </c>
      <c r="AZ364" s="516"/>
      <c r="BA364" s="516"/>
      <c r="BB364" s="516"/>
      <c r="BC364" s="516"/>
      <c r="BD364" s="516"/>
      <c r="BE364" s="502" t="s">
        <v>479</v>
      </c>
      <c r="BF364" s="502" t="s">
        <v>6275</v>
      </c>
      <c r="BG364" s="502" t="s">
        <v>656</v>
      </c>
      <c r="BH364" s="502" t="s">
        <v>656</v>
      </c>
      <c r="BI364" s="502">
        <v>2.7549999999999999</v>
      </c>
      <c r="BJ364" s="502">
        <v>0.28999999999999998</v>
      </c>
      <c r="BK364" s="502">
        <v>1</v>
      </c>
      <c r="BL364" s="502">
        <v>1</v>
      </c>
      <c r="BM364" s="502">
        <v>1</v>
      </c>
      <c r="BN364" s="502"/>
      <c r="BO364" s="502"/>
      <c r="BP364" s="502"/>
      <c r="BQ364" s="502"/>
      <c r="BR364" s="502"/>
      <c r="BS364" s="502"/>
      <c r="BT364" s="502"/>
      <c r="BU364" s="502">
        <v>1</v>
      </c>
      <c r="BV364" s="502"/>
      <c r="BW364" s="502"/>
      <c r="BX364" s="502"/>
      <c r="BY364" s="502"/>
      <c r="BZ364" s="502"/>
      <c r="CA364" s="502"/>
      <c r="CB364" s="502"/>
      <c r="CC364" s="502"/>
      <c r="CD364" s="502"/>
      <c r="CE364" s="502"/>
      <c r="CF364" s="502"/>
      <c r="CG364" s="502"/>
      <c r="CH364" s="502"/>
      <c r="CI364" s="502"/>
      <c r="CJ364" s="502"/>
      <c r="CK364" s="502"/>
      <c r="CL364" s="502">
        <f t="shared" si="43"/>
        <v>1</v>
      </c>
      <c r="CM364" s="824">
        <f t="shared" si="40"/>
        <v>0</v>
      </c>
      <c r="CN364" s="502">
        <v>2</v>
      </c>
      <c r="CO364" s="502" t="s">
        <v>6041</v>
      </c>
      <c r="CP364" s="502" t="s">
        <v>656</v>
      </c>
      <c r="CQ364" s="502">
        <f>CN364/CR364</f>
        <v>7.781495603454984E-2</v>
      </c>
      <c r="CR364" s="502">
        <v>25.702000000000002</v>
      </c>
      <c r="CS364" s="502" t="s">
        <v>5832</v>
      </c>
      <c r="CT364" s="502" t="s">
        <v>470</v>
      </c>
      <c r="CU364" s="502"/>
      <c r="CV364" s="502"/>
      <c r="CW364" s="502"/>
      <c r="CX364" s="502"/>
      <c r="CY364" s="502"/>
      <c r="CZ364" s="502">
        <v>2</v>
      </c>
      <c r="DA364" s="502" t="s">
        <v>479</v>
      </c>
      <c r="DB364" s="502" t="s">
        <v>5686</v>
      </c>
      <c r="DC364" s="502">
        <v>108</v>
      </c>
      <c r="DD364" s="502" t="s">
        <v>479</v>
      </c>
      <c r="DE364" s="502" t="s">
        <v>5603</v>
      </c>
      <c r="DF364" s="502">
        <v>65</v>
      </c>
      <c r="DG364" s="502" t="s">
        <v>470</v>
      </c>
      <c r="DH364" s="502"/>
      <c r="DI364" s="502"/>
      <c r="DJ364" s="502" t="s">
        <v>470</v>
      </c>
      <c r="DK364" s="502"/>
      <c r="DL364" s="502"/>
      <c r="DM364" s="502" t="s">
        <v>470</v>
      </c>
      <c r="DN364" s="502"/>
      <c r="DO364" s="502"/>
      <c r="DP364" s="502" t="s">
        <v>470</v>
      </c>
      <c r="DQ364" s="502"/>
      <c r="DR364" s="502"/>
      <c r="DS364" s="502" t="s">
        <v>470</v>
      </c>
      <c r="DT364" s="502"/>
      <c r="DU364" s="502"/>
      <c r="DV364" s="502"/>
      <c r="DW364" s="502"/>
      <c r="DX364" s="502"/>
      <c r="DY364" s="502" t="s">
        <v>470</v>
      </c>
      <c r="DZ364" s="502"/>
      <c r="EA364" s="502"/>
      <c r="EB364" s="502"/>
      <c r="EC364" s="502"/>
      <c r="ED364" s="502"/>
      <c r="EE364" s="502" t="s">
        <v>470</v>
      </c>
      <c r="EF364" s="502"/>
      <c r="EG364" s="502"/>
      <c r="EH364" s="502"/>
      <c r="EI364" s="502"/>
      <c r="EJ364" s="502"/>
      <c r="EK364" s="502" t="s">
        <v>470</v>
      </c>
      <c r="EL364" s="502"/>
      <c r="EM364" s="502"/>
      <c r="EN364" s="502" t="s">
        <v>470</v>
      </c>
      <c r="EO364" s="502"/>
      <c r="EP364" s="502"/>
      <c r="EQ364" s="502" t="s">
        <v>479</v>
      </c>
      <c r="ER364" s="502" t="s">
        <v>5279</v>
      </c>
      <c r="ES364" s="502">
        <v>10</v>
      </c>
      <c r="ET364" s="502"/>
      <c r="EU364" s="502"/>
      <c r="EV364" s="502"/>
      <c r="EW364" s="502"/>
      <c r="EX364" s="502"/>
      <c r="EY364" s="502"/>
      <c r="EZ364" s="502" t="s">
        <v>470</v>
      </c>
      <c r="FA364" s="502"/>
      <c r="FB364" s="502"/>
      <c r="FC364" s="502"/>
      <c r="FD364" s="502"/>
      <c r="FE364" s="502"/>
      <c r="FF364" s="502"/>
      <c r="FG364" s="502"/>
      <c r="FH364" s="502"/>
      <c r="FI364" s="502"/>
      <c r="FJ364" s="502" t="s">
        <v>4370</v>
      </c>
      <c r="FK364" s="502" t="s">
        <v>4184</v>
      </c>
      <c r="FL364" s="502" t="s">
        <v>3968</v>
      </c>
      <c r="FM364" s="97" t="s">
        <v>2502</v>
      </c>
      <c r="FN364" s="502" t="s">
        <v>3788</v>
      </c>
      <c r="FO364" s="502" t="s">
        <v>2504</v>
      </c>
    </row>
    <row r="365" spans="5:171" ht="52" customHeight="1" x14ac:dyDescent="0.2">
      <c r="E365" s="94" t="s">
        <v>9305</v>
      </c>
      <c r="F365" s="94" t="s">
        <v>9121</v>
      </c>
      <c r="G365" s="97" t="s">
        <v>357</v>
      </c>
      <c r="H365" s="97" t="s">
        <v>442</v>
      </c>
      <c r="I365" s="97" t="s">
        <v>8661</v>
      </c>
      <c r="J365" s="97" t="s">
        <v>8464</v>
      </c>
      <c r="K365" s="97" t="s">
        <v>656</v>
      </c>
      <c r="L365" s="502">
        <v>2022</v>
      </c>
      <c r="M365" s="841">
        <v>44609</v>
      </c>
      <c r="N365" s="841" t="s">
        <v>8208</v>
      </c>
      <c r="O365" s="841"/>
      <c r="P365" s="841"/>
      <c r="Q365" s="841"/>
      <c r="R365" s="841"/>
      <c r="S365" s="841"/>
      <c r="T365" s="841"/>
      <c r="U365" s="841"/>
      <c r="V365" s="841"/>
      <c r="W365" s="841"/>
      <c r="X365" s="841"/>
      <c r="Y365" s="841"/>
      <c r="Z365" s="97" t="s">
        <v>470</v>
      </c>
      <c r="AA365" s="97"/>
      <c r="AB365" s="97" t="s">
        <v>7738</v>
      </c>
      <c r="AC365" s="842" t="s">
        <v>7605</v>
      </c>
      <c r="AD365" s="97" t="s">
        <v>7398</v>
      </c>
      <c r="AE365" s="842" t="s">
        <v>7219</v>
      </c>
      <c r="AF365" s="97" t="s">
        <v>470</v>
      </c>
      <c r="AG365" s="97"/>
      <c r="AH365" s="97" t="s">
        <v>6947</v>
      </c>
      <c r="AI365" s="97" t="s">
        <v>6788</v>
      </c>
      <c r="AJ365" s="97" t="s">
        <v>6653</v>
      </c>
      <c r="AK365" s="97" t="s">
        <v>6405</v>
      </c>
      <c r="AL365" s="580">
        <f t="shared" si="41"/>
        <v>18.334</v>
      </c>
      <c r="AM365" s="504">
        <v>18.334</v>
      </c>
      <c r="AN365" s="516"/>
      <c r="AO365" s="97"/>
      <c r="AP365" s="97"/>
      <c r="AQ365" s="504">
        <v>17.847000000000001</v>
      </c>
      <c r="AR365" s="507">
        <f>AQ365/AL365</f>
        <v>0.97343732955165274</v>
      </c>
      <c r="AS365" s="507">
        <v>1.41E-2</v>
      </c>
      <c r="AT365" s="516"/>
      <c r="AU365" s="507"/>
      <c r="AV365" s="516"/>
      <c r="AW365" s="507"/>
      <c r="AX365" s="516">
        <v>0.48699999999999999</v>
      </c>
      <c r="AY365" s="507">
        <v>2.6599999999999999E-2</v>
      </c>
      <c r="AZ365" s="516"/>
      <c r="BA365" s="507"/>
      <c r="BB365" s="507"/>
      <c r="BC365" s="507"/>
      <c r="BD365" s="507"/>
      <c r="BE365" s="504" t="s">
        <v>479</v>
      </c>
      <c r="BF365" s="507" t="s">
        <v>6274</v>
      </c>
      <c r="BG365" s="507"/>
      <c r="BH365" s="852"/>
      <c r="BI365" s="504">
        <v>0</v>
      </c>
      <c r="BJ365" s="507"/>
      <c r="BK365" s="96">
        <v>1</v>
      </c>
      <c r="BL365" s="96">
        <v>1</v>
      </c>
      <c r="BM365" s="96">
        <v>1</v>
      </c>
      <c r="BN365" s="96"/>
      <c r="BO365" s="96"/>
      <c r="BP365" s="96"/>
      <c r="BQ365" s="96"/>
      <c r="BR365" s="96"/>
      <c r="BS365" s="96"/>
      <c r="BT365" s="96"/>
      <c r="BU365" s="96"/>
      <c r="BV365" s="96">
        <v>1</v>
      </c>
      <c r="BW365" s="96"/>
      <c r="BX365" s="96"/>
      <c r="BY365" s="96"/>
      <c r="BZ365" s="96"/>
      <c r="CA365" s="96"/>
      <c r="CB365" s="96"/>
      <c r="CC365" s="96"/>
      <c r="CD365" s="96"/>
      <c r="CE365" s="96"/>
      <c r="CF365" s="96"/>
      <c r="CG365" s="96"/>
      <c r="CH365" s="96"/>
      <c r="CI365" s="96"/>
      <c r="CJ365" s="96"/>
      <c r="CK365" s="96"/>
      <c r="CL365" s="815">
        <f t="shared" si="43"/>
        <v>1</v>
      </c>
      <c r="CM365" s="824">
        <f t="shared" si="40"/>
        <v>0</v>
      </c>
      <c r="CN365" s="504">
        <v>2.1</v>
      </c>
      <c r="CO365" s="97" t="s">
        <v>6040</v>
      </c>
      <c r="CP365" s="97" t="s">
        <v>656</v>
      </c>
      <c r="CQ365" s="612">
        <f>CN365/CR365*100</f>
        <v>1.8036743423030344</v>
      </c>
      <c r="CR365" s="97">
        <v>116.429</v>
      </c>
      <c r="CS365" s="887" t="s">
        <v>5831</v>
      </c>
      <c r="CT365" s="97" t="s">
        <v>470</v>
      </c>
      <c r="CU365" s="97"/>
      <c r="CV365" s="97"/>
      <c r="CW365" s="97"/>
      <c r="CX365" s="96"/>
      <c r="CY365" s="96"/>
      <c r="CZ365" s="96">
        <v>15</v>
      </c>
      <c r="DA365" s="97" t="s">
        <v>479</v>
      </c>
      <c r="DB365" s="97" t="s">
        <v>1876</v>
      </c>
      <c r="DC365" s="97">
        <v>210</v>
      </c>
      <c r="DD365" s="97" t="s">
        <v>479</v>
      </c>
      <c r="DE365" s="97" t="s">
        <v>5393</v>
      </c>
      <c r="DF365" s="97">
        <v>17</v>
      </c>
      <c r="DG365" s="96" t="s">
        <v>470</v>
      </c>
      <c r="DH365" s="96"/>
      <c r="DI365" s="96"/>
      <c r="DJ365" s="96" t="s">
        <v>470</v>
      </c>
      <c r="DK365" s="96"/>
      <c r="DL365" s="96"/>
      <c r="DM365" s="97" t="s">
        <v>470</v>
      </c>
      <c r="DN365" s="97"/>
      <c r="DO365" s="96"/>
      <c r="DP365" s="97" t="s">
        <v>470</v>
      </c>
      <c r="DQ365" s="97"/>
      <c r="DR365" s="96"/>
      <c r="DS365" s="97" t="s">
        <v>470</v>
      </c>
      <c r="DT365" s="97"/>
      <c r="DU365" s="96"/>
      <c r="DV365" s="97" t="s">
        <v>470</v>
      </c>
      <c r="DW365" s="97"/>
      <c r="DX365" s="96"/>
      <c r="DY365" s="97" t="s">
        <v>470</v>
      </c>
      <c r="DZ365" s="97"/>
      <c r="EA365" s="96"/>
      <c r="EB365" s="97" t="s">
        <v>479</v>
      </c>
      <c r="EC365" s="97" t="s">
        <v>5393</v>
      </c>
      <c r="ED365" s="96">
        <v>120</v>
      </c>
      <c r="EE365" s="96" t="s">
        <v>470</v>
      </c>
      <c r="EF365" s="96"/>
      <c r="EG365" s="96"/>
      <c r="EH365" s="97" t="s">
        <v>470</v>
      </c>
      <c r="EI365" s="97"/>
      <c r="EJ365" s="96"/>
      <c r="EK365" s="97" t="s">
        <v>470</v>
      </c>
      <c r="EL365" s="97"/>
      <c r="EM365" s="96"/>
      <c r="EN365" s="97"/>
      <c r="EO365" s="97"/>
      <c r="EP365" s="96"/>
      <c r="EQ365" s="96" t="s">
        <v>479</v>
      </c>
      <c r="ER365" s="96" t="s">
        <v>3012</v>
      </c>
      <c r="ES365" s="96">
        <v>10</v>
      </c>
      <c r="ET365" s="97"/>
      <c r="EU365" s="97"/>
      <c r="EV365" s="96"/>
      <c r="EW365" s="96"/>
      <c r="EX365" s="96"/>
      <c r="EY365" s="96"/>
      <c r="EZ365" s="97" t="s">
        <v>470</v>
      </c>
      <c r="FA365" s="97"/>
      <c r="FB365" s="97"/>
      <c r="FC365" s="97" t="s">
        <v>4954</v>
      </c>
      <c r="FD365" s="97"/>
      <c r="FE365" s="97"/>
      <c r="FF365" s="97"/>
      <c r="FG365" s="97" t="s">
        <v>4598</v>
      </c>
      <c r="FH365" s="97">
        <v>1</v>
      </c>
      <c r="FI365" s="97">
        <v>20</v>
      </c>
      <c r="FJ365" s="97" t="s">
        <v>4369</v>
      </c>
      <c r="FK365" s="97" t="s">
        <v>4183</v>
      </c>
      <c r="FL365" s="842" t="s">
        <v>3967</v>
      </c>
      <c r="FM365" s="97" t="s">
        <v>2502</v>
      </c>
      <c r="FN365" s="97" t="s">
        <v>3788</v>
      </c>
      <c r="FO365" s="97" t="s">
        <v>2504</v>
      </c>
    </row>
    <row r="366" spans="5:171" ht="44" customHeight="1" x14ac:dyDescent="0.2">
      <c r="E366" s="94" t="s">
        <v>9305</v>
      </c>
      <c r="F366" s="94" t="s">
        <v>9121</v>
      </c>
      <c r="G366" s="97" t="s">
        <v>357</v>
      </c>
      <c r="H366" s="97" t="s">
        <v>442</v>
      </c>
      <c r="I366" s="97" t="s">
        <v>8660</v>
      </c>
      <c r="J366" s="97" t="s">
        <v>8463</v>
      </c>
      <c r="K366" s="97" t="s">
        <v>656</v>
      </c>
      <c r="L366" s="502">
        <v>2022</v>
      </c>
      <c r="M366" s="841">
        <v>44652</v>
      </c>
      <c r="N366" s="841">
        <v>44908</v>
      </c>
      <c r="O366" s="841"/>
      <c r="P366" s="841"/>
      <c r="Q366" s="841"/>
      <c r="R366" s="841"/>
      <c r="S366" s="841"/>
      <c r="T366" s="841"/>
      <c r="U366" s="841"/>
      <c r="V366" s="841"/>
      <c r="W366" s="841"/>
      <c r="X366" s="841"/>
      <c r="Y366" s="841"/>
      <c r="Z366" s="97" t="s">
        <v>8041</v>
      </c>
      <c r="AA366" s="842" t="s">
        <v>7911</v>
      </c>
      <c r="AB366" s="97" t="s">
        <v>7737</v>
      </c>
      <c r="AC366" s="842" t="s">
        <v>7604</v>
      </c>
      <c r="AD366" s="97" t="s">
        <v>7397</v>
      </c>
      <c r="AE366" s="842" t="s">
        <v>7218</v>
      </c>
      <c r="AF366" s="97" t="s">
        <v>7127</v>
      </c>
      <c r="AG366" s="842" t="s">
        <v>7061</v>
      </c>
      <c r="AH366" s="97" t="s">
        <v>6946</v>
      </c>
      <c r="AI366" s="97" t="s">
        <v>6404</v>
      </c>
      <c r="AJ366" s="97" t="s">
        <v>6652</v>
      </c>
      <c r="AK366" s="97" t="s">
        <v>6404</v>
      </c>
      <c r="AL366" s="580">
        <f t="shared" si="41"/>
        <v>2.4849999999999999</v>
      </c>
      <c r="AM366" s="504">
        <v>2.4849999999999999</v>
      </c>
      <c r="AN366" s="516"/>
      <c r="AO366" s="97"/>
      <c r="AP366" s="97"/>
      <c r="AQ366" s="504">
        <v>2.1549999999999998</v>
      </c>
      <c r="AR366" s="507">
        <v>0.86719999999999997</v>
      </c>
      <c r="AS366" s="507">
        <v>8.0000000000000004E-4</v>
      </c>
      <c r="AT366" s="516"/>
      <c r="AU366" s="507" t="s">
        <v>656</v>
      </c>
      <c r="AV366" s="516"/>
      <c r="AW366" s="507" t="s">
        <v>656</v>
      </c>
      <c r="AX366" s="516">
        <v>0.33</v>
      </c>
      <c r="AY366" s="507">
        <v>0.1328</v>
      </c>
      <c r="AZ366" s="516"/>
      <c r="BA366" s="507"/>
      <c r="BB366" s="507"/>
      <c r="BC366" s="507"/>
      <c r="BD366" s="507"/>
      <c r="BE366" s="507" t="s">
        <v>479</v>
      </c>
      <c r="BF366" s="507" t="s">
        <v>6273</v>
      </c>
      <c r="BG366" s="887" t="s">
        <v>6220</v>
      </c>
      <c r="BH366" s="852">
        <v>9.4E-2</v>
      </c>
      <c r="BI366" s="504">
        <v>2.8957000000000002</v>
      </c>
      <c r="BJ366" s="507">
        <v>1.2999999999999999E-3</v>
      </c>
      <c r="BK366" s="96">
        <v>16</v>
      </c>
      <c r="BL366" s="96">
        <v>16</v>
      </c>
      <c r="BM366" s="96">
        <v>3</v>
      </c>
      <c r="BN366" s="96" t="s">
        <v>470</v>
      </c>
      <c r="BO366" s="96" t="s">
        <v>470</v>
      </c>
      <c r="BP366" s="96" t="s">
        <v>470</v>
      </c>
      <c r="BQ366" s="96" t="s">
        <v>470</v>
      </c>
      <c r="BR366" s="96" t="s">
        <v>470</v>
      </c>
      <c r="BS366" s="96" t="s">
        <v>470</v>
      </c>
      <c r="BT366" s="96" t="s">
        <v>470</v>
      </c>
      <c r="BU366" s="96" t="s">
        <v>470</v>
      </c>
      <c r="BV366" s="96">
        <v>1</v>
      </c>
      <c r="BW366" s="96" t="s">
        <v>470</v>
      </c>
      <c r="BX366" s="96" t="s">
        <v>470</v>
      </c>
      <c r="BY366" s="96">
        <v>1</v>
      </c>
      <c r="BZ366" s="96">
        <v>1</v>
      </c>
      <c r="CA366" s="96" t="s">
        <v>470</v>
      </c>
      <c r="CB366" s="96" t="s">
        <v>470</v>
      </c>
      <c r="CC366" s="96" t="s">
        <v>470</v>
      </c>
      <c r="CD366" s="96" t="s">
        <v>470</v>
      </c>
      <c r="CE366" s="96" t="s">
        <v>470</v>
      </c>
      <c r="CF366" s="96" t="s">
        <v>470</v>
      </c>
      <c r="CG366" s="96" t="s">
        <v>470</v>
      </c>
      <c r="CH366" s="96" t="s">
        <v>470</v>
      </c>
      <c r="CI366" s="96" t="s">
        <v>470</v>
      </c>
      <c r="CJ366" s="96" t="s">
        <v>470</v>
      </c>
      <c r="CK366" s="96" t="s">
        <v>470</v>
      </c>
      <c r="CL366" s="815">
        <f t="shared" si="43"/>
        <v>3</v>
      </c>
      <c r="CM366" s="824">
        <f t="shared" si="40"/>
        <v>0</v>
      </c>
      <c r="CN366" s="504">
        <v>4.2850000000000001</v>
      </c>
      <c r="CO366" s="97" t="s">
        <v>6039</v>
      </c>
      <c r="CP366" s="97" t="s">
        <v>470</v>
      </c>
      <c r="CQ366" s="97">
        <v>7.09</v>
      </c>
      <c r="CR366" s="504">
        <v>63.460999999999999</v>
      </c>
      <c r="CS366" s="887" t="s">
        <v>5830</v>
      </c>
      <c r="CT366" s="97" t="s">
        <v>470</v>
      </c>
      <c r="CU366" s="97" t="s">
        <v>470</v>
      </c>
      <c r="CV366" s="97" t="s">
        <v>470</v>
      </c>
      <c r="CW366" s="97" t="s">
        <v>470</v>
      </c>
      <c r="CX366" s="96" t="s">
        <v>470</v>
      </c>
      <c r="CY366" s="96" t="s">
        <v>470</v>
      </c>
      <c r="CZ366" s="96">
        <v>5</v>
      </c>
      <c r="DA366" s="97" t="s">
        <v>470</v>
      </c>
      <c r="DB366" s="97" t="s">
        <v>470</v>
      </c>
      <c r="DC366" s="96" t="s">
        <v>470</v>
      </c>
      <c r="DD366" s="97" t="s">
        <v>479</v>
      </c>
      <c r="DE366" s="97" t="s">
        <v>640</v>
      </c>
      <c r="DF366" s="96">
        <v>225</v>
      </c>
      <c r="DG366" s="96" t="s">
        <v>470</v>
      </c>
      <c r="DH366" s="96" t="s">
        <v>470</v>
      </c>
      <c r="DI366" s="96" t="s">
        <v>470</v>
      </c>
      <c r="DJ366" s="96" t="s">
        <v>470</v>
      </c>
      <c r="DK366" s="96" t="s">
        <v>470</v>
      </c>
      <c r="DL366" s="96" t="s">
        <v>470</v>
      </c>
      <c r="DM366" s="97" t="s">
        <v>470</v>
      </c>
      <c r="DN366" s="97" t="s">
        <v>470</v>
      </c>
      <c r="DO366" s="96" t="s">
        <v>470</v>
      </c>
      <c r="DP366" s="97" t="s">
        <v>470</v>
      </c>
      <c r="DQ366" s="97" t="s">
        <v>470</v>
      </c>
      <c r="DR366" s="97" t="s">
        <v>470</v>
      </c>
      <c r="DS366" s="97" t="s">
        <v>470</v>
      </c>
      <c r="DT366" s="97" t="s">
        <v>470</v>
      </c>
      <c r="DU366" s="97" t="s">
        <v>470</v>
      </c>
      <c r="DV366" s="97" t="s">
        <v>470</v>
      </c>
      <c r="DW366" s="97" t="s">
        <v>470</v>
      </c>
      <c r="DX366" s="97" t="s">
        <v>470</v>
      </c>
      <c r="DY366" s="97" t="s">
        <v>470</v>
      </c>
      <c r="DZ366" s="97" t="s">
        <v>470</v>
      </c>
      <c r="EA366" s="97" t="s">
        <v>470</v>
      </c>
      <c r="EB366" s="97" t="s">
        <v>479</v>
      </c>
      <c r="EC366" s="97" t="s">
        <v>1877</v>
      </c>
      <c r="ED366" s="96">
        <v>2337</v>
      </c>
      <c r="EE366" s="97" t="s">
        <v>470</v>
      </c>
      <c r="EF366" s="97" t="s">
        <v>470</v>
      </c>
      <c r="EG366" s="97" t="s">
        <v>470</v>
      </c>
      <c r="EH366" s="97" t="s">
        <v>470</v>
      </c>
      <c r="EI366" s="97" t="s">
        <v>470</v>
      </c>
      <c r="EJ366" s="97" t="s">
        <v>470</v>
      </c>
      <c r="EK366" s="97" t="s">
        <v>470</v>
      </c>
      <c r="EL366" s="97" t="s">
        <v>470</v>
      </c>
      <c r="EM366" s="97" t="s">
        <v>470</v>
      </c>
      <c r="EN366" s="97" t="s">
        <v>470</v>
      </c>
      <c r="EO366" s="97" t="s">
        <v>470</v>
      </c>
      <c r="EP366" s="97" t="s">
        <v>470</v>
      </c>
      <c r="EQ366" s="97" t="s">
        <v>479</v>
      </c>
      <c r="ER366" s="97" t="s">
        <v>5278</v>
      </c>
      <c r="ES366" s="97">
        <v>7</v>
      </c>
      <c r="ET366" s="97" t="s">
        <v>470</v>
      </c>
      <c r="EU366" s="97" t="s">
        <v>470</v>
      </c>
      <c r="EV366" s="97" t="s">
        <v>470</v>
      </c>
      <c r="EW366" s="97"/>
      <c r="EX366" s="97"/>
      <c r="EY366" s="97"/>
      <c r="EZ366" s="97" t="s">
        <v>470</v>
      </c>
      <c r="FA366" s="97" t="s">
        <v>470</v>
      </c>
      <c r="FB366" s="97" t="s">
        <v>479</v>
      </c>
      <c r="FC366" s="842" t="s">
        <v>4953</v>
      </c>
      <c r="FD366" s="97" t="s">
        <v>470</v>
      </c>
      <c r="FE366" s="97" t="s">
        <v>470</v>
      </c>
      <c r="FF366" s="97" t="s">
        <v>470</v>
      </c>
      <c r="FG366" s="97" t="s">
        <v>4597</v>
      </c>
      <c r="FH366" s="97">
        <v>10</v>
      </c>
      <c r="FI366" s="97">
        <v>250</v>
      </c>
      <c r="FJ366" s="97" t="s">
        <v>4368</v>
      </c>
      <c r="FK366" s="97" t="s">
        <v>4182</v>
      </c>
      <c r="FL366" s="842" t="s">
        <v>3966</v>
      </c>
      <c r="FM366" s="97" t="s">
        <v>2502</v>
      </c>
      <c r="FN366" s="502" t="s">
        <v>3788</v>
      </c>
      <c r="FO366" s="502" t="s">
        <v>2504</v>
      </c>
    </row>
    <row r="367" spans="5:171" ht="52" customHeight="1" x14ac:dyDescent="0.2">
      <c r="E367" s="94" t="s">
        <v>9305</v>
      </c>
      <c r="F367" s="94" t="s">
        <v>9121</v>
      </c>
      <c r="G367" s="97" t="s">
        <v>357</v>
      </c>
      <c r="H367" s="97" t="s">
        <v>442</v>
      </c>
      <c r="I367" s="97" t="s">
        <v>8659</v>
      </c>
      <c r="J367" s="97" t="s">
        <v>1414</v>
      </c>
      <c r="K367" s="97" t="s">
        <v>1414</v>
      </c>
      <c r="L367" s="502">
        <v>2022</v>
      </c>
      <c r="M367" s="841">
        <v>44312</v>
      </c>
      <c r="N367" s="841">
        <v>44926</v>
      </c>
      <c r="O367" s="841"/>
      <c r="P367" s="841"/>
      <c r="Q367" s="841"/>
      <c r="R367" s="841"/>
      <c r="S367" s="841"/>
      <c r="T367" s="841"/>
      <c r="U367" s="841"/>
      <c r="V367" s="841"/>
      <c r="W367" s="841"/>
      <c r="X367" s="841"/>
      <c r="Y367" s="841"/>
      <c r="Z367" s="97" t="s">
        <v>8040</v>
      </c>
      <c r="AA367" s="842" t="s">
        <v>5067</v>
      </c>
      <c r="AB367" s="97" t="s">
        <v>7736</v>
      </c>
      <c r="AC367" s="842" t="s">
        <v>5067</v>
      </c>
      <c r="AD367" s="97" t="s">
        <v>7396</v>
      </c>
      <c r="AE367" s="842" t="s">
        <v>7217</v>
      </c>
      <c r="AF367" s="97" t="s">
        <v>470</v>
      </c>
      <c r="AG367" s="97"/>
      <c r="AH367" s="97" t="s">
        <v>6945</v>
      </c>
      <c r="AI367" s="97" t="s">
        <v>6403</v>
      </c>
      <c r="AJ367" s="97" t="s">
        <v>6651</v>
      </c>
      <c r="AK367" s="97" t="s">
        <v>6403</v>
      </c>
      <c r="AL367" s="580">
        <f t="shared" si="41"/>
        <v>1.6824680299999999</v>
      </c>
      <c r="AM367" s="504">
        <v>1.6824680299999999</v>
      </c>
      <c r="AN367" s="516"/>
      <c r="AO367" s="97"/>
      <c r="AP367" s="97"/>
      <c r="AQ367" s="504">
        <v>1.4333777599999999</v>
      </c>
      <c r="AR367" s="507">
        <v>0.86899999999999999</v>
      </c>
      <c r="AS367" s="507">
        <v>1.2999999999999999E-3</v>
      </c>
      <c r="AT367" s="516"/>
      <c r="AU367" s="507"/>
      <c r="AV367" s="516"/>
      <c r="AW367" s="507"/>
      <c r="AX367" s="516">
        <v>0.24909027</v>
      </c>
      <c r="AY367" s="507">
        <v>0.16900000000000001</v>
      </c>
      <c r="AZ367" s="516"/>
      <c r="BA367" s="507"/>
      <c r="BB367" s="507"/>
      <c r="BC367" s="507"/>
      <c r="BD367" s="507"/>
      <c r="BE367" s="507" t="s">
        <v>479</v>
      </c>
      <c r="BF367" s="507" t="s">
        <v>6272</v>
      </c>
      <c r="BG367" s="887" t="s">
        <v>5067</v>
      </c>
      <c r="BH367" s="852">
        <v>0.09</v>
      </c>
      <c r="BI367" s="504">
        <v>10.8</v>
      </c>
      <c r="BJ367" s="507">
        <v>3.8500000000000001E-3</v>
      </c>
      <c r="BK367" s="96">
        <v>18</v>
      </c>
      <c r="BL367" s="96">
        <v>18</v>
      </c>
      <c r="BM367" s="96">
        <v>16</v>
      </c>
      <c r="BN367" s="96">
        <v>0</v>
      </c>
      <c r="BO367" s="96">
        <v>2</v>
      </c>
      <c r="BP367" s="96">
        <v>1</v>
      </c>
      <c r="BQ367" s="96">
        <v>0</v>
      </c>
      <c r="BR367" s="96">
        <v>0</v>
      </c>
      <c r="BS367" s="96">
        <v>0</v>
      </c>
      <c r="BT367" s="96">
        <v>0</v>
      </c>
      <c r="BU367" s="96">
        <v>0</v>
      </c>
      <c r="BV367" s="96">
        <v>0</v>
      </c>
      <c r="BW367" s="96">
        <v>0</v>
      </c>
      <c r="BX367" s="96">
        <v>0</v>
      </c>
      <c r="BY367" s="96">
        <v>0</v>
      </c>
      <c r="BZ367" s="96">
        <v>0</v>
      </c>
      <c r="CA367" s="96">
        <v>0</v>
      </c>
      <c r="CB367" s="96">
        <v>0</v>
      </c>
      <c r="CC367" s="96">
        <v>0</v>
      </c>
      <c r="CD367" s="96">
        <v>0</v>
      </c>
      <c r="CE367" s="96">
        <v>0</v>
      </c>
      <c r="CF367" s="96">
        <v>0</v>
      </c>
      <c r="CG367" s="96">
        <v>0</v>
      </c>
      <c r="CH367" s="96">
        <v>0</v>
      </c>
      <c r="CI367" s="96">
        <v>0</v>
      </c>
      <c r="CJ367" s="96">
        <v>0</v>
      </c>
      <c r="CK367" s="96">
        <v>0</v>
      </c>
      <c r="CL367" s="815">
        <f t="shared" si="43"/>
        <v>3</v>
      </c>
      <c r="CM367" s="824">
        <f t="shared" si="40"/>
        <v>0</v>
      </c>
      <c r="CN367" s="504">
        <v>1.2589999999999999</v>
      </c>
      <c r="CO367" s="97" t="s">
        <v>6038</v>
      </c>
      <c r="CP367" s="842" t="s">
        <v>5067</v>
      </c>
      <c r="CQ367" s="97">
        <v>1.98</v>
      </c>
      <c r="CR367" s="504">
        <v>63.454999999999998</v>
      </c>
      <c r="CS367" s="887" t="s">
        <v>5826</v>
      </c>
      <c r="CT367" s="97" t="s">
        <v>470</v>
      </c>
      <c r="CU367" s="97"/>
      <c r="CV367" s="97"/>
      <c r="CW367" s="97"/>
      <c r="CX367" s="96"/>
      <c r="CY367" s="96"/>
      <c r="CZ367" s="96">
        <v>20</v>
      </c>
      <c r="DA367" s="97"/>
      <c r="DB367" s="97"/>
      <c r="DC367" s="96"/>
      <c r="DD367" s="97" t="s">
        <v>479</v>
      </c>
      <c r="DE367" s="97" t="s">
        <v>1033</v>
      </c>
      <c r="DF367" s="96">
        <v>1308</v>
      </c>
      <c r="DG367" s="96"/>
      <c r="DH367" s="96"/>
      <c r="DI367" s="96"/>
      <c r="DJ367" s="96"/>
      <c r="DK367" s="96"/>
      <c r="DL367" s="96"/>
      <c r="DM367" s="97"/>
      <c r="DN367" s="97"/>
      <c r="DO367" s="96"/>
      <c r="DP367" s="97"/>
      <c r="DQ367" s="97"/>
      <c r="DR367" s="96"/>
      <c r="DS367" s="97"/>
      <c r="DT367" s="97"/>
      <c r="DU367" s="96"/>
      <c r="DV367" s="97"/>
      <c r="DW367" s="97"/>
      <c r="DX367" s="96"/>
      <c r="DY367" s="97"/>
      <c r="DZ367" s="97"/>
      <c r="EA367" s="96"/>
      <c r="EB367" s="97"/>
      <c r="EC367" s="97"/>
      <c r="ED367" s="96"/>
      <c r="EE367" s="96"/>
      <c r="EF367" s="96"/>
      <c r="EG367" s="96"/>
      <c r="EH367" s="97"/>
      <c r="EI367" s="97"/>
      <c r="EJ367" s="96"/>
      <c r="EK367" s="97"/>
      <c r="EL367" s="97"/>
      <c r="EM367" s="96"/>
      <c r="EN367" s="97"/>
      <c r="EO367" s="97"/>
      <c r="EP367" s="96"/>
      <c r="EQ367" s="96" t="s">
        <v>479</v>
      </c>
      <c r="ER367" s="96" t="s">
        <v>640</v>
      </c>
      <c r="ES367" s="96">
        <v>9</v>
      </c>
      <c r="ET367" s="97"/>
      <c r="EU367" s="97"/>
      <c r="EV367" s="96"/>
      <c r="EW367" s="96"/>
      <c r="EX367" s="96"/>
      <c r="EY367" s="96"/>
      <c r="EZ367" s="97" t="s">
        <v>470</v>
      </c>
      <c r="FA367" s="97" t="s">
        <v>656</v>
      </c>
      <c r="FB367" s="842" t="s">
        <v>5067</v>
      </c>
      <c r="FC367" s="97" t="s">
        <v>656</v>
      </c>
      <c r="FD367" s="97" t="s">
        <v>656</v>
      </c>
      <c r="FE367" s="97" t="s">
        <v>656</v>
      </c>
      <c r="FF367" s="97" t="s">
        <v>656</v>
      </c>
      <c r="FG367" s="97" t="s">
        <v>656</v>
      </c>
      <c r="FH367" s="97" t="s">
        <v>656</v>
      </c>
      <c r="FI367" s="97" t="s">
        <v>656</v>
      </c>
      <c r="FJ367" s="97" t="s">
        <v>4367</v>
      </c>
      <c r="FK367" s="97" t="s">
        <v>4181</v>
      </c>
      <c r="FL367" s="842" t="s">
        <v>3965</v>
      </c>
      <c r="FM367" s="97" t="s">
        <v>2502</v>
      </c>
      <c r="FN367" s="502" t="s">
        <v>3788</v>
      </c>
      <c r="FO367" s="502" t="s">
        <v>2504</v>
      </c>
    </row>
    <row r="368" spans="5:171" ht="44" customHeight="1" x14ac:dyDescent="0.2">
      <c r="E368" s="94" t="s">
        <v>9305</v>
      </c>
      <c r="F368" s="94" t="s">
        <v>9121</v>
      </c>
      <c r="G368" s="97" t="s">
        <v>357</v>
      </c>
      <c r="H368" s="97" t="s">
        <v>442</v>
      </c>
      <c r="I368" s="97" t="s">
        <v>8658</v>
      </c>
      <c r="J368" s="97" t="s">
        <v>8361</v>
      </c>
      <c r="K368" s="97" t="s">
        <v>8361</v>
      </c>
      <c r="L368" s="502">
        <v>2022</v>
      </c>
      <c r="M368" s="841">
        <v>44867</v>
      </c>
      <c r="N368" s="841">
        <v>44926</v>
      </c>
      <c r="O368" s="841"/>
      <c r="P368" s="841"/>
      <c r="Q368" s="841"/>
      <c r="R368" s="841"/>
      <c r="S368" s="841"/>
      <c r="T368" s="841"/>
      <c r="U368" s="841"/>
      <c r="V368" s="841"/>
      <c r="W368" s="841"/>
      <c r="X368" s="841"/>
      <c r="Y368" s="841"/>
      <c r="Z368" s="97" t="s">
        <v>8039</v>
      </c>
      <c r="AA368" s="872" t="s">
        <v>7910</v>
      </c>
      <c r="AB368" s="97" t="s">
        <v>7735</v>
      </c>
      <c r="AC368" s="97" t="s">
        <v>7603</v>
      </c>
      <c r="AD368" s="97" t="s">
        <v>7395</v>
      </c>
      <c r="AE368" s="97"/>
      <c r="AF368" s="97" t="s">
        <v>7126</v>
      </c>
      <c r="AG368" s="872" t="s">
        <v>7060</v>
      </c>
      <c r="AH368" s="97" t="s">
        <v>6944</v>
      </c>
      <c r="AI368" s="97" t="s">
        <v>6787</v>
      </c>
      <c r="AJ368" s="97" t="s">
        <v>6650</v>
      </c>
      <c r="AK368" s="97" t="s">
        <v>6402</v>
      </c>
      <c r="AL368" s="580">
        <f t="shared" si="41"/>
        <v>0.51700000000000002</v>
      </c>
      <c r="AM368" s="504">
        <v>0.51700000000000002</v>
      </c>
      <c r="AN368" s="516"/>
      <c r="AO368" s="97"/>
      <c r="AP368" s="97"/>
      <c r="AQ368" s="504">
        <v>0.183</v>
      </c>
      <c r="AR368" s="507">
        <v>0.35399999999999998</v>
      </c>
      <c r="AS368" s="507">
        <v>2.0000000000000001E-4</v>
      </c>
      <c r="AT368" s="516"/>
      <c r="AU368" s="507"/>
      <c r="AV368" s="516"/>
      <c r="AW368" s="507"/>
      <c r="AX368" s="516">
        <v>0.33400000000000002</v>
      </c>
      <c r="AY368" s="507">
        <f>AX368/AL368</f>
        <v>0.64603481624758219</v>
      </c>
      <c r="AZ368" s="516"/>
      <c r="BA368" s="507"/>
      <c r="BB368" s="507"/>
      <c r="BC368" s="507"/>
      <c r="BD368" s="507"/>
      <c r="BE368" s="507" t="s">
        <v>470</v>
      </c>
      <c r="BF368" s="507" t="s">
        <v>470</v>
      </c>
      <c r="BG368" s="507" t="s">
        <v>470</v>
      </c>
      <c r="BH368" s="852" t="s">
        <v>470</v>
      </c>
      <c r="BI368" s="504">
        <v>17.260000000000002</v>
      </c>
      <c r="BJ368" s="507">
        <v>1.15E-2</v>
      </c>
      <c r="BK368" s="96">
        <v>1</v>
      </c>
      <c r="BL368" s="96">
        <v>1</v>
      </c>
      <c r="BM368" s="96">
        <v>1</v>
      </c>
      <c r="BN368" s="96">
        <v>0</v>
      </c>
      <c r="BO368" s="96">
        <v>0</v>
      </c>
      <c r="BP368" s="96">
        <v>0</v>
      </c>
      <c r="BQ368" s="96">
        <v>0</v>
      </c>
      <c r="BR368" s="96">
        <v>0</v>
      </c>
      <c r="BS368" s="96">
        <v>0</v>
      </c>
      <c r="BT368" s="96">
        <v>0</v>
      </c>
      <c r="BU368" s="96">
        <v>0</v>
      </c>
      <c r="BV368" s="96">
        <v>0</v>
      </c>
      <c r="BW368" s="96">
        <v>1</v>
      </c>
      <c r="BX368" s="96">
        <v>0</v>
      </c>
      <c r="BY368" s="96">
        <v>0</v>
      </c>
      <c r="BZ368" s="96">
        <v>0</v>
      </c>
      <c r="CA368" s="96">
        <v>0</v>
      </c>
      <c r="CB368" s="96">
        <v>0</v>
      </c>
      <c r="CC368" s="96">
        <v>0</v>
      </c>
      <c r="CD368" s="96">
        <v>0</v>
      </c>
      <c r="CE368" s="96">
        <v>0</v>
      </c>
      <c r="CF368" s="96">
        <v>0</v>
      </c>
      <c r="CG368" s="96">
        <v>0</v>
      </c>
      <c r="CH368" s="96">
        <v>0</v>
      </c>
      <c r="CI368" s="96">
        <v>0</v>
      </c>
      <c r="CJ368" s="96">
        <v>0</v>
      </c>
      <c r="CK368" s="96">
        <v>0</v>
      </c>
      <c r="CL368" s="815">
        <f t="shared" si="43"/>
        <v>1</v>
      </c>
      <c r="CM368" s="824">
        <f t="shared" si="40"/>
        <v>0</v>
      </c>
      <c r="CN368" s="504">
        <v>0.9</v>
      </c>
      <c r="CO368" s="97" t="s">
        <v>6037</v>
      </c>
      <c r="CP368" s="97" t="s">
        <v>470</v>
      </c>
      <c r="CQ368" s="516">
        <f>CN368/CR368*100</f>
        <v>3.6457911366766593</v>
      </c>
      <c r="CR368" s="504">
        <v>24.686</v>
      </c>
      <c r="CS368" s="507" t="s">
        <v>5829</v>
      </c>
      <c r="CT368" s="97" t="s">
        <v>470</v>
      </c>
      <c r="CU368" s="97" t="s">
        <v>470</v>
      </c>
      <c r="CV368" s="97" t="s">
        <v>470</v>
      </c>
      <c r="CW368" s="97" t="s">
        <v>470</v>
      </c>
      <c r="CX368" s="96">
        <v>0</v>
      </c>
      <c r="CY368" s="96">
        <v>0</v>
      </c>
      <c r="CZ368" s="96">
        <v>2</v>
      </c>
      <c r="DA368" s="97" t="s">
        <v>479</v>
      </c>
      <c r="DB368" s="97" t="s">
        <v>1876</v>
      </c>
      <c r="DC368" s="96">
        <v>81</v>
      </c>
      <c r="DD368" s="97" t="s">
        <v>479</v>
      </c>
      <c r="DE368" s="97" t="s">
        <v>5392</v>
      </c>
      <c r="DF368" s="96">
        <v>25</v>
      </c>
      <c r="DG368" s="96" t="s">
        <v>470</v>
      </c>
      <c r="DH368" s="96"/>
      <c r="DI368" s="96"/>
      <c r="DJ368" s="96" t="s">
        <v>470</v>
      </c>
      <c r="DK368" s="96"/>
      <c r="DL368" s="96"/>
      <c r="DM368" s="97" t="s">
        <v>470</v>
      </c>
      <c r="DN368" s="97"/>
      <c r="DO368" s="96"/>
      <c r="DP368" s="97" t="s">
        <v>470</v>
      </c>
      <c r="DQ368" s="97"/>
      <c r="DR368" s="96"/>
      <c r="DS368" s="97" t="s">
        <v>470</v>
      </c>
      <c r="DT368" s="97"/>
      <c r="DU368" s="96"/>
      <c r="DV368" s="97" t="s">
        <v>470</v>
      </c>
      <c r="DW368" s="97"/>
      <c r="DX368" s="96"/>
      <c r="DY368" s="97" t="s">
        <v>470</v>
      </c>
      <c r="DZ368" s="97"/>
      <c r="EA368" s="96"/>
      <c r="EB368" s="97" t="s">
        <v>479</v>
      </c>
      <c r="EC368" s="97" t="s">
        <v>5392</v>
      </c>
      <c r="ED368" s="96">
        <v>19</v>
      </c>
      <c r="EE368" s="96" t="s">
        <v>470</v>
      </c>
      <c r="EF368" s="96"/>
      <c r="EG368" s="96"/>
      <c r="EH368" s="97" t="s">
        <v>470</v>
      </c>
      <c r="EI368" s="97"/>
      <c r="EJ368" s="96"/>
      <c r="EK368" s="97" t="s">
        <v>470</v>
      </c>
      <c r="EL368" s="97"/>
      <c r="EM368" s="96"/>
      <c r="EN368" s="97" t="s">
        <v>470</v>
      </c>
      <c r="EO368" s="97"/>
      <c r="EP368" s="96"/>
      <c r="EQ368" s="96" t="s">
        <v>470</v>
      </c>
      <c r="ER368" s="96"/>
      <c r="ES368" s="96"/>
      <c r="ET368" s="97" t="s">
        <v>479</v>
      </c>
      <c r="EU368" s="97" t="s">
        <v>5227</v>
      </c>
      <c r="EV368" s="96">
        <v>81</v>
      </c>
      <c r="EW368" s="96"/>
      <c r="EX368" s="96"/>
      <c r="EY368" s="96"/>
      <c r="EZ368" s="97" t="s">
        <v>470</v>
      </c>
      <c r="FA368" s="97" t="s">
        <v>470</v>
      </c>
      <c r="FB368" s="97" t="s">
        <v>470</v>
      </c>
      <c r="FC368" s="97" t="s">
        <v>470</v>
      </c>
      <c r="FD368" s="97" t="s">
        <v>470</v>
      </c>
      <c r="FE368" s="97" t="s">
        <v>470</v>
      </c>
      <c r="FF368" s="97" t="s">
        <v>470</v>
      </c>
      <c r="FG368" s="97" t="s">
        <v>470</v>
      </c>
      <c r="FH368" s="97" t="s">
        <v>470</v>
      </c>
      <c r="FI368" s="97" t="s">
        <v>470</v>
      </c>
      <c r="FJ368" s="97" t="s">
        <v>4366</v>
      </c>
      <c r="FK368" s="97" t="s">
        <v>4180</v>
      </c>
      <c r="FL368" s="872" t="s">
        <v>3964</v>
      </c>
      <c r="FM368" s="97" t="s">
        <v>2502</v>
      </c>
      <c r="FN368" s="502" t="s">
        <v>3788</v>
      </c>
      <c r="FO368" s="502" t="s">
        <v>2504</v>
      </c>
    </row>
    <row r="369" spans="5:171" ht="52" customHeight="1" x14ac:dyDescent="0.2">
      <c r="E369" s="94" t="s">
        <v>9305</v>
      </c>
      <c r="F369" s="94" t="s">
        <v>9121</v>
      </c>
      <c r="G369" s="97" t="s">
        <v>357</v>
      </c>
      <c r="H369" s="97" t="s">
        <v>442</v>
      </c>
      <c r="I369" s="97" t="s">
        <v>8657</v>
      </c>
      <c r="J369" s="97" t="s">
        <v>8462</v>
      </c>
      <c r="K369" s="97" t="s">
        <v>8360</v>
      </c>
      <c r="L369" s="502">
        <v>2021</v>
      </c>
      <c r="M369" s="841" t="s">
        <v>8273</v>
      </c>
      <c r="N369" s="841">
        <v>44923</v>
      </c>
      <c r="O369" s="841"/>
      <c r="P369" s="841"/>
      <c r="Q369" s="841"/>
      <c r="R369" s="841"/>
      <c r="S369" s="841"/>
      <c r="T369" s="841"/>
      <c r="U369" s="841"/>
      <c r="V369" s="841"/>
      <c r="W369" s="841"/>
      <c r="X369" s="841"/>
      <c r="Y369" s="841"/>
      <c r="Z369" s="97"/>
      <c r="AA369" s="97"/>
      <c r="AB369" s="97" t="s">
        <v>7734</v>
      </c>
      <c r="AC369" s="97" t="s">
        <v>7602</v>
      </c>
      <c r="AD369" s="97" t="s">
        <v>7394</v>
      </c>
      <c r="AE369" s="842" t="s">
        <v>7216</v>
      </c>
      <c r="AF369" s="97"/>
      <c r="AG369" s="97"/>
      <c r="AH369" s="97" t="s">
        <v>6943</v>
      </c>
      <c r="AI369" s="97" t="s">
        <v>6786</v>
      </c>
      <c r="AJ369" s="97" t="s">
        <v>6649</v>
      </c>
      <c r="AK369" s="97" t="s">
        <v>6401</v>
      </c>
      <c r="AL369" s="580">
        <f t="shared" si="41"/>
        <v>19.591999999999999</v>
      </c>
      <c r="AM369" s="504">
        <v>19.591999999999999</v>
      </c>
      <c r="AN369" s="516"/>
      <c r="AO369" s="97"/>
      <c r="AP369" s="97"/>
      <c r="AQ369" s="504">
        <v>17.791</v>
      </c>
      <c r="AR369" s="507">
        <v>0.90800000000000003</v>
      </c>
      <c r="AS369" s="507">
        <v>6.1999999999999998E-3</v>
      </c>
      <c r="AT369" s="516"/>
      <c r="AU369" s="507"/>
      <c r="AV369" s="516"/>
      <c r="AW369" s="507"/>
      <c r="AX369" s="516">
        <v>1.8009999999999999</v>
      </c>
      <c r="AY369" s="507">
        <v>9.1899999999999996E-2</v>
      </c>
      <c r="AZ369" s="516"/>
      <c r="BA369" s="507"/>
      <c r="BB369" s="507"/>
      <c r="BC369" s="507"/>
      <c r="BD369" s="507"/>
      <c r="BE369" s="507" t="s">
        <v>479</v>
      </c>
      <c r="BF369" s="507" t="s">
        <v>6271</v>
      </c>
      <c r="BG369" s="507"/>
      <c r="BH369" s="852">
        <v>0.502</v>
      </c>
      <c r="BI369" s="504">
        <v>9.9339999999999993</v>
      </c>
      <c r="BJ369" s="507">
        <v>4.0000000000000001E-3</v>
      </c>
      <c r="BK369" s="96">
        <v>13</v>
      </c>
      <c r="BL369" s="96">
        <v>12</v>
      </c>
      <c r="BM369" s="96">
        <v>8</v>
      </c>
      <c r="BN369" s="96"/>
      <c r="BO369" s="96">
        <v>2</v>
      </c>
      <c r="BP369" s="96"/>
      <c r="BQ369" s="96"/>
      <c r="BR369" s="96"/>
      <c r="BS369" s="96"/>
      <c r="BT369" s="96">
        <v>1</v>
      </c>
      <c r="BU369" s="96"/>
      <c r="BV369" s="96">
        <v>2</v>
      </c>
      <c r="BW369" s="96"/>
      <c r="BX369" s="96"/>
      <c r="BY369" s="96">
        <v>3</v>
      </c>
      <c r="BZ369" s="96"/>
      <c r="CA369" s="96"/>
      <c r="CB369" s="96"/>
      <c r="CC369" s="96"/>
      <c r="CD369" s="96"/>
      <c r="CE369" s="96"/>
      <c r="CF369" s="96"/>
      <c r="CG369" s="96"/>
      <c r="CH369" s="96"/>
      <c r="CI369" s="96"/>
      <c r="CJ369" s="96"/>
      <c r="CK369" s="96"/>
      <c r="CL369" s="815">
        <f t="shared" si="43"/>
        <v>8</v>
      </c>
      <c r="CM369" s="824">
        <f t="shared" si="40"/>
        <v>0</v>
      </c>
      <c r="CN369" s="504">
        <v>15.866</v>
      </c>
      <c r="CO369" s="97" t="s">
        <v>6036</v>
      </c>
      <c r="CP369" s="97"/>
      <c r="CQ369" s="97">
        <v>22.58</v>
      </c>
      <c r="CR369" s="504">
        <v>70.262</v>
      </c>
      <c r="CS369" s="887" t="s">
        <v>5826</v>
      </c>
      <c r="CT369" s="97" t="s">
        <v>470</v>
      </c>
      <c r="CU369" s="97"/>
      <c r="CV369" s="97"/>
      <c r="CW369" s="97"/>
      <c r="CX369" s="96"/>
      <c r="CY369" s="96"/>
      <c r="CZ369" s="96">
        <v>4</v>
      </c>
      <c r="DA369" s="97" t="s">
        <v>470</v>
      </c>
      <c r="DB369" s="97"/>
      <c r="DC369" s="96">
        <v>8150</v>
      </c>
      <c r="DD369" s="97" t="s">
        <v>479</v>
      </c>
      <c r="DE369" s="97"/>
      <c r="DF369" s="96">
        <v>97</v>
      </c>
      <c r="DG369" s="96" t="s">
        <v>470</v>
      </c>
      <c r="DH369" s="96"/>
      <c r="DI369" s="96"/>
      <c r="DJ369" s="96" t="s">
        <v>470</v>
      </c>
      <c r="DK369" s="96"/>
      <c r="DL369" s="96"/>
      <c r="DM369" s="96" t="s">
        <v>470</v>
      </c>
      <c r="DN369" s="97"/>
      <c r="DO369" s="96"/>
      <c r="DP369" s="96" t="s">
        <v>470</v>
      </c>
      <c r="DQ369" s="97"/>
      <c r="DR369" s="96"/>
      <c r="DS369" s="96" t="s">
        <v>470</v>
      </c>
      <c r="DT369" s="97"/>
      <c r="DU369" s="96"/>
      <c r="DV369" s="96" t="s">
        <v>470</v>
      </c>
      <c r="DW369" s="97"/>
      <c r="DX369" s="96"/>
      <c r="DY369" s="96" t="s">
        <v>470</v>
      </c>
      <c r="DZ369" s="97"/>
      <c r="EA369" s="96"/>
      <c r="EB369" s="96" t="s">
        <v>470</v>
      </c>
      <c r="EC369" s="97"/>
      <c r="ED369" s="96"/>
      <c r="EE369" s="96" t="s">
        <v>470</v>
      </c>
      <c r="EF369" s="96"/>
      <c r="EG369" s="96"/>
      <c r="EH369" s="96" t="s">
        <v>470</v>
      </c>
      <c r="EI369" s="97"/>
      <c r="EJ369" s="96"/>
      <c r="EK369" s="96" t="s">
        <v>470</v>
      </c>
      <c r="EL369" s="97"/>
      <c r="EM369" s="96"/>
      <c r="EN369" s="96" t="s">
        <v>470</v>
      </c>
      <c r="EO369" s="97"/>
      <c r="EP369" s="96"/>
      <c r="EQ369" s="96" t="s">
        <v>479</v>
      </c>
      <c r="ER369" s="96"/>
      <c r="ES369" s="96">
        <v>12</v>
      </c>
      <c r="ET369" s="96" t="s">
        <v>470</v>
      </c>
      <c r="EU369" s="97"/>
      <c r="EV369" s="96"/>
      <c r="EW369" s="96"/>
      <c r="EX369" s="96"/>
      <c r="EY369" s="96"/>
      <c r="EZ369" s="97" t="s">
        <v>470</v>
      </c>
      <c r="FA369" s="97"/>
      <c r="FB369" s="842" t="s">
        <v>4892</v>
      </c>
      <c r="FC369" s="97"/>
      <c r="FD369" s="97" t="s">
        <v>4892</v>
      </c>
      <c r="FE369" s="97" t="s">
        <v>4763</v>
      </c>
      <c r="FF369" s="842" t="s">
        <v>4695</v>
      </c>
      <c r="FG369" s="97" t="s">
        <v>4596</v>
      </c>
      <c r="FH369" s="97" t="s">
        <v>4576</v>
      </c>
      <c r="FI369" s="97" t="s">
        <v>2629</v>
      </c>
      <c r="FJ369" s="97" t="s">
        <v>4365</v>
      </c>
      <c r="FK369" s="97">
        <v>88654742125</v>
      </c>
      <c r="FL369" s="842" t="s">
        <v>3963</v>
      </c>
      <c r="FM369" s="97" t="s">
        <v>2502</v>
      </c>
      <c r="FN369" s="502" t="s">
        <v>3788</v>
      </c>
      <c r="FO369" s="502" t="s">
        <v>2504</v>
      </c>
    </row>
    <row r="370" spans="5:171" ht="44" customHeight="1" x14ac:dyDescent="0.2">
      <c r="E370" s="94" t="s">
        <v>9305</v>
      </c>
      <c r="F370" s="94" t="s">
        <v>9121</v>
      </c>
      <c r="G370" s="97" t="s">
        <v>357</v>
      </c>
      <c r="H370" s="97" t="s">
        <v>442</v>
      </c>
      <c r="I370" s="502" t="s">
        <v>8657</v>
      </c>
      <c r="J370" s="502" t="s">
        <v>8461</v>
      </c>
      <c r="K370" s="502" t="s">
        <v>8359</v>
      </c>
      <c r="L370" s="502">
        <v>2018</v>
      </c>
      <c r="M370" s="841">
        <v>44229</v>
      </c>
      <c r="N370" s="841">
        <v>44659</v>
      </c>
      <c r="O370" s="841"/>
      <c r="P370" s="841"/>
      <c r="Q370" s="841"/>
      <c r="R370" s="841"/>
      <c r="S370" s="841"/>
      <c r="T370" s="841"/>
      <c r="U370" s="841"/>
      <c r="V370" s="841"/>
      <c r="W370" s="841"/>
      <c r="X370" s="841"/>
      <c r="Y370" s="841"/>
      <c r="Z370" s="502" t="s">
        <v>8038</v>
      </c>
      <c r="AA370" s="502" t="s">
        <v>7909</v>
      </c>
      <c r="AB370" s="502" t="s">
        <v>656</v>
      </c>
      <c r="AC370" s="502" t="s">
        <v>656</v>
      </c>
      <c r="AD370" s="502" t="s">
        <v>7393</v>
      </c>
      <c r="AE370" s="502" t="s">
        <v>7215</v>
      </c>
      <c r="AF370" s="502" t="s">
        <v>656</v>
      </c>
      <c r="AG370" s="502" t="s">
        <v>656</v>
      </c>
      <c r="AH370" s="502" t="s">
        <v>6400</v>
      </c>
      <c r="AI370" s="502" t="s">
        <v>6400</v>
      </c>
      <c r="AJ370" s="502" t="s">
        <v>6648</v>
      </c>
      <c r="AK370" s="502" t="s">
        <v>6400</v>
      </c>
      <c r="AL370" s="580">
        <f t="shared" si="41"/>
        <v>0.5</v>
      </c>
      <c r="AM370" s="504">
        <v>0.5</v>
      </c>
      <c r="AN370" s="516"/>
      <c r="AO370" s="97"/>
      <c r="AP370" s="97"/>
      <c r="AQ370" s="504">
        <v>0.4</v>
      </c>
      <c r="AR370" s="507">
        <v>0.8</v>
      </c>
      <c r="AS370" s="507">
        <v>1.3999999999999999E-4</v>
      </c>
      <c r="AT370" s="516"/>
      <c r="AU370" s="507"/>
      <c r="AV370" s="516"/>
      <c r="AW370" s="507"/>
      <c r="AX370" s="516">
        <v>0.1</v>
      </c>
      <c r="AY370" s="507">
        <v>0.2</v>
      </c>
      <c r="AZ370" s="516"/>
      <c r="BA370" s="507"/>
      <c r="BB370" s="507"/>
      <c r="BC370" s="507"/>
      <c r="BD370" s="507"/>
      <c r="BE370" s="507" t="s">
        <v>470</v>
      </c>
      <c r="BF370" s="507"/>
      <c r="BG370" s="507"/>
      <c r="BH370" s="852"/>
      <c r="BI370" s="504">
        <v>0</v>
      </c>
      <c r="BJ370" s="507"/>
      <c r="BK370" s="96">
        <v>6</v>
      </c>
      <c r="BL370" s="96">
        <v>6</v>
      </c>
      <c r="BM370" s="96">
        <v>6</v>
      </c>
      <c r="BN370" s="96">
        <v>0</v>
      </c>
      <c r="BO370" s="96">
        <v>6</v>
      </c>
      <c r="BP370" s="96">
        <v>0</v>
      </c>
      <c r="BQ370" s="96">
        <v>0</v>
      </c>
      <c r="BR370" s="96">
        <v>0</v>
      </c>
      <c r="BS370" s="96">
        <v>0</v>
      </c>
      <c r="BT370" s="96">
        <v>0</v>
      </c>
      <c r="BU370" s="96">
        <v>0</v>
      </c>
      <c r="BV370" s="96">
        <v>0</v>
      </c>
      <c r="BW370" s="96">
        <v>0</v>
      </c>
      <c r="BX370" s="96">
        <v>0</v>
      </c>
      <c r="BY370" s="96">
        <v>0</v>
      </c>
      <c r="BZ370" s="96">
        <v>0</v>
      </c>
      <c r="CA370" s="96">
        <v>0</v>
      </c>
      <c r="CB370" s="96">
        <v>0</v>
      </c>
      <c r="CC370" s="96">
        <v>0</v>
      </c>
      <c r="CD370" s="96">
        <v>0</v>
      </c>
      <c r="CE370" s="96">
        <v>0</v>
      </c>
      <c r="CF370" s="96">
        <v>0</v>
      </c>
      <c r="CG370" s="96">
        <v>0</v>
      </c>
      <c r="CH370" s="96">
        <v>0</v>
      </c>
      <c r="CI370" s="96">
        <v>0</v>
      </c>
      <c r="CJ370" s="96">
        <v>0</v>
      </c>
      <c r="CK370" s="96">
        <v>0</v>
      </c>
      <c r="CL370" s="815">
        <f t="shared" si="43"/>
        <v>6</v>
      </c>
      <c r="CM370" s="824">
        <f t="shared" si="40"/>
        <v>0</v>
      </c>
      <c r="CN370" s="504">
        <v>4.4999999999999998E-2</v>
      </c>
      <c r="CO370" s="504" t="s">
        <v>6035</v>
      </c>
      <c r="CP370" s="97" t="s">
        <v>656</v>
      </c>
      <c r="CQ370" s="97">
        <v>0.06</v>
      </c>
      <c r="CR370" s="504">
        <v>69.41</v>
      </c>
      <c r="CS370" s="504" t="s">
        <v>5826</v>
      </c>
      <c r="CT370" s="97" t="s">
        <v>470</v>
      </c>
      <c r="CU370" s="97"/>
      <c r="CV370" s="97"/>
      <c r="CW370" s="97"/>
      <c r="CX370" s="96"/>
      <c r="CY370" s="96"/>
      <c r="CZ370" s="96">
        <v>4</v>
      </c>
      <c r="DA370" s="97" t="s">
        <v>470</v>
      </c>
      <c r="DB370" s="97"/>
      <c r="DC370" s="96"/>
      <c r="DD370" s="97" t="s">
        <v>479</v>
      </c>
      <c r="DE370" s="97" t="s">
        <v>2533</v>
      </c>
      <c r="DF370" s="96">
        <v>18</v>
      </c>
      <c r="DG370" s="96" t="s">
        <v>470</v>
      </c>
      <c r="DH370" s="96"/>
      <c r="DI370" s="96"/>
      <c r="DJ370" s="96" t="s">
        <v>470</v>
      </c>
      <c r="DK370" s="96"/>
      <c r="DL370" s="96"/>
      <c r="DM370" s="97" t="s">
        <v>470</v>
      </c>
      <c r="DN370" s="97"/>
      <c r="DO370" s="96"/>
      <c r="DP370" s="97" t="s">
        <v>470</v>
      </c>
      <c r="DQ370" s="97"/>
      <c r="DR370" s="96"/>
      <c r="DS370" s="97" t="s">
        <v>470</v>
      </c>
      <c r="DT370" s="97"/>
      <c r="DU370" s="96"/>
      <c r="DV370" s="97"/>
      <c r="DW370" s="97"/>
      <c r="DX370" s="96"/>
      <c r="DY370" s="97" t="s">
        <v>470</v>
      </c>
      <c r="DZ370" s="97"/>
      <c r="EA370" s="96"/>
      <c r="EB370" s="97" t="s">
        <v>470</v>
      </c>
      <c r="EC370" s="97"/>
      <c r="ED370" s="96"/>
      <c r="EE370" s="96" t="s">
        <v>470</v>
      </c>
      <c r="EF370" s="96"/>
      <c r="EG370" s="96"/>
      <c r="EH370" s="97" t="s">
        <v>470</v>
      </c>
      <c r="EI370" s="97"/>
      <c r="EJ370" s="96"/>
      <c r="EK370" s="97" t="s">
        <v>470</v>
      </c>
      <c r="EL370" s="97"/>
      <c r="EM370" s="96"/>
      <c r="EN370" s="97"/>
      <c r="EO370" s="97"/>
      <c r="EP370" s="96"/>
      <c r="EQ370" s="96" t="s">
        <v>479</v>
      </c>
      <c r="ER370" s="96" t="s">
        <v>5277</v>
      </c>
      <c r="ES370" s="96">
        <v>10</v>
      </c>
      <c r="ET370" s="97"/>
      <c r="EU370" s="97"/>
      <c r="EV370" s="96"/>
      <c r="EW370" s="96"/>
      <c r="EX370" s="96"/>
      <c r="EY370" s="96"/>
      <c r="EZ370" s="96" t="s">
        <v>470</v>
      </c>
      <c r="FA370" s="97"/>
      <c r="FB370" s="96" t="s">
        <v>5066</v>
      </c>
      <c r="FC370" s="96" t="s">
        <v>656</v>
      </c>
      <c r="FD370" s="96" t="s">
        <v>656</v>
      </c>
      <c r="FE370" s="96" t="s">
        <v>656</v>
      </c>
      <c r="FF370" s="96" t="s">
        <v>656</v>
      </c>
      <c r="FG370" s="96" t="s">
        <v>656</v>
      </c>
      <c r="FH370" s="96" t="s">
        <v>656</v>
      </c>
      <c r="FI370" s="96" t="s">
        <v>656</v>
      </c>
      <c r="FJ370" s="97" t="s">
        <v>4364</v>
      </c>
      <c r="FK370" s="97">
        <v>8654740494</v>
      </c>
      <c r="FL370" s="872" t="s">
        <v>3962</v>
      </c>
      <c r="FM370" s="97" t="s">
        <v>2502</v>
      </c>
      <c r="FN370" s="502" t="s">
        <v>3788</v>
      </c>
      <c r="FO370" s="502" t="s">
        <v>2504</v>
      </c>
    </row>
    <row r="371" spans="5:171" ht="52" customHeight="1" x14ac:dyDescent="0.2">
      <c r="E371" s="94" t="s">
        <v>9305</v>
      </c>
      <c r="F371" s="94" t="s">
        <v>9121</v>
      </c>
      <c r="G371" s="97" t="s">
        <v>357</v>
      </c>
      <c r="H371" s="97" t="s">
        <v>442</v>
      </c>
      <c r="I371" s="97" t="s">
        <v>8656</v>
      </c>
      <c r="J371" s="97" t="s">
        <v>8358</v>
      </c>
      <c r="K371" s="97" t="s">
        <v>8358</v>
      </c>
      <c r="L371" s="502">
        <v>2021</v>
      </c>
      <c r="M371" s="841">
        <v>44641</v>
      </c>
      <c r="N371" s="841">
        <v>44844</v>
      </c>
      <c r="O371" s="841"/>
      <c r="P371" s="841"/>
      <c r="Q371" s="841"/>
      <c r="R371" s="841"/>
      <c r="S371" s="841"/>
      <c r="T371" s="841"/>
      <c r="U371" s="841"/>
      <c r="V371" s="841"/>
      <c r="W371" s="841"/>
      <c r="X371" s="841"/>
      <c r="Y371" s="841"/>
      <c r="Z371" s="97" t="s">
        <v>8037</v>
      </c>
      <c r="AA371" s="842" t="s">
        <v>7908</v>
      </c>
      <c r="AB371" s="97" t="s">
        <v>7733</v>
      </c>
      <c r="AC371" s="842" t="s">
        <v>7601</v>
      </c>
      <c r="AD371" s="97" t="s">
        <v>7392</v>
      </c>
      <c r="AE371" s="842" t="s">
        <v>7214</v>
      </c>
      <c r="AF371" s="97" t="s">
        <v>656</v>
      </c>
      <c r="AG371" s="97" t="s">
        <v>656</v>
      </c>
      <c r="AH371" s="97" t="s">
        <v>6942</v>
      </c>
      <c r="AI371" s="97" t="s">
        <v>6785</v>
      </c>
      <c r="AJ371" s="97" t="s">
        <v>6647</v>
      </c>
      <c r="AK371" s="97" t="s">
        <v>6399</v>
      </c>
      <c r="AL371" s="580">
        <f t="shared" si="41"/>
        <v>2.9009999999999998</v>
      </c>
      <c r="AM371" s="504">
        <v>2.9009999999999998</v>
      </c>
      <c r="AN371" s="516"/>
      <c r="AO371" s="97"/>
      <c r="AP371" s="97"/>
      <c r="AQ371" s="504">
        <v>2.7719999999999998</v>
      </c>
      <c r="AR371" s="507">
        <v>0.95550000000000002</v>
      </c>
      <c r="AS371" s="507">
        <v>6.4000000000000005E-4</v>
      </c>
      <c r="AT371" s="516"/>
      <c r="AU371" s="507"/>
      <c r="AV371" s="516"/>
      <c r="AW371" s="507"/>
      <c r="AX371" s="516">
        <v>0.129</v>
      </c>
      <c r="AY371" s="507">
        <v>4.4499999999999998E-2</v>
      </c>
      <c r="AZ371" s="516"/>
      <c r="BA371" s="507"/>
      <c r="BB371" s="507"/>
      <c r="BC371" s="507"/>
      <c r="BD371" s="507"/>
      <c r="BE371" s="507" t="s">
        <v>479</v>
      </c>
      <c r="BF371" s="507" t="s">
        <v>6270</v>
      </c>
      <c r="BG371" s="507" t="s">
        <v>656</v>
      </c>
      <c r="BH371" s="852">
        <v>0</v>
      </c>
      <c r="BI371" s="504">
        <v>3</v>
      </c>
      <c r="BJ371" s="507">
        <v>6.9999999999999999E-4</v>
      </c>
      <c r="BK371" s="96">
        <v>3</v>
      </c>
      <c r="BL371" s="96">
        <v>3</v>
      </c>
      <c r="BM371" s="96">
        <v>3</v>
      </c>
      <c r="BN371" s="96">
        <v>0</v>
      </c>
      <c r="BO371" s="96">
        <v>0</v>
      </c>
      <c r="BP371" s="96">
        <v>3</v>
      </c>
      <c r="BQ371" s="96">
        <v>0</v>
      </c>
      <c r="BR371" s="96">
        <v>0</v>
      </c>
      <c r="BS371" s="96">
        <v>0</v>
      </c>
      <c r="BT371" s="96">
        <v>0</v>
      </c>
      <c r="BU371" s="96">
        <v>0</v>
      </c>
      <c r="BV371" s="96">
        <v>0</v>
      </c>
      <c r="BW371" s="96">
        <v>0</v>
      </c>
      <c r="BX371" s="96">
        <v>0</v>
      </c>
      <c r="BY371" s="96">
        <v>0</v>
      </c>
      <c r="BZ371" s="96">
        <v>0</v>
      </c>
      <c r="CA371" s="96">
        <v>0</v>
      </c>
      <c r="CB371" s="96">
        <v>0</v>
      </c>
      <c r="CC371" s="96">
        <v>0</v>
      </c>
      <c r="CD371" s="96">
        <v>0</v>
      </c>
      <c r="CE371" s="96">
        <v>0</v>
      </c>
      <c r="CF371" s="96">
        <v>0</v>
      </c>
      <c r="CG371" s="96">
        <v>0</v>
      </c>
      <c r="CH371" s="96">
        <v>0</v>
      </c>
      <c r="CI371" s="96">
        <v>0</v>
      </c>
      <c r="CJ371" s="96">
        <v>0</v>
      </c>
      <c r="CK371" s="96">
        <v>0</v>
      </c>
      <c r="CL371" s="815">
        <f t="shared" si="43"/>
        <v>3</v>
      </c>
      <c r="CM371" s="824">
        <f t="shared" si="40"/>
        <v>0</v>
      </c>
      <c r="CN371" s="504">
        <v>0.91700000000000004</v>
      </c>
      <c r="CO371" s="97" t="s">
        <v>6034</v>
      </c>
      <c r="CP371" s="97" t="s">
        <v>656</v>
      </c>
      <c r="CQ371" s="97">
        <v>0.81</v>
      </c>
      <c r="CR371" s="504">
        <v>107.34099999999999</v>
      </c>
      <c r="CS371" s="887" t="s">
        <v>5826</v>
      </c>
      <c r="CT371" s="97" t="s">
        <v>470</v>
      </c>
      <c r="CU371" s="97" t="s">
        <v>656</v>
      </c>
      <c r="CV371" s="97" t="s">
        <v>656</v>
      </c>
      <c r="CW371" s="97" t="s">
        <v>656</v>
      </c>
      <c r="CX371" s="96" t="s">
        <v>656</v>
      </c>
      <c r="CY371" s="96" t="s">
        <v>656</v>
      </c>
      <c r="CZ371" s="96">
        <v>2</v>
      </c>
      <c r="DA371" s="97" t="s">
        <v>470</v>
      </c>
      <c r="DB371" s="97" t="s">
        <v>656</v>
      </c>
      <c r="DC371" s="96" t="s">
        <v>656</v>
      </c>
      <c r="DD371" s="97" t="s">
        <v>479</v>
      </c>
      <c r="DE371" s="97" t="s">
        <v>5602</v>
      </c>
      <c r="DF371" s="96">
        <v>132</v>
      </c>
      <c r="DG371" s="96" t="s">
        <v>470</v>
      </c>
      <c r="DH371" s="96" t="s">
        <v>656</v>
      </c>
      <c r="DI371" s="96" t="s">
        <v>656</v>
      </c>
      <c r="DJ371" s="96" t="s">
        <v>470</v>
      </c>
      <c r="DK371" s="96" t="s">
        <v>656</v>
      </c>
      <c r="DL371" s="96" t="s">
        <v>656</v>
      </c>
      <c r="DM371" s="97" t="s">
        <v>470</v>
      </c>
      <c r="DN371" s="97" t="s">
        <v>656</v>
      </c>
      <c r="DO371" s="96" t="s">
        <v>656</v>
      </c>
      <c r="DP371" s="97" t="s">
        <v>470</v>
      </c>
      <c r="DQ371" s="97" t="s">
        <v>656</v>
      </c>
      <c r="DR371" s="96" t="s">
        <v>656</v>
      </c>
      <c r="DS371" s="97" t="s">
        <v>470</v>
      </c>
      <c r="DT371" s="97" t="s">
        <v>656</v>
      </c>
      <c r="DU371" s="96" t="s">
        <v>656</v>
      </c>
      <c r="DV371" s="97" t="s">
        <v>470</v>
      </c>
      <c r="DW371" s="97" t="s">
        <v>656</v>
      </c>
      <c r="DX371" s="96" t="s">
        <v>656</v>
      </c>
      <c r="DY371" s="97" t="s">
        <v>470</v>
      </c>
      <c r="DZ371" s="97" t="s">
        <v>656</v>
      </c>
      <c r="EA371" s="96" t="s">
        <v>656</v>
      </c>
      <c r="EB371" s="97" t="s">
        <v>470</v>
      </c>
      <c r="EC371" s="97" t="s">
        <v>656</v>
      </c>
      <c r="ED371" s="96" t="s">
        <v>656</v>
      </c>
      <c r="EE371" s="96" t="s">
        <v>470</v>
      </c>
      <c r="EF371" s="96" t="s">
        <v>656</v>
      </c>
      <c r="EG371" s="96" t="s">
        <v>656</v>
      </c>
      <c r="EH371" s="97" t="s">
        <v>470</v>
      </c>
      <c r="EI371" s="97" t="s">
        <v>656</v>
      </c>
      <c r="EJ371" s="96" t="s">
        <v>656</v>
      </c>
      <c r="EK371" s="97" t="s">
        <v>470</v>
      </c>
      <c r="EL371" s="97" t="s">
        <v>656</v>
      </c>
      <c r="EM371" s="96" t="s">
        <v>656</v>
      </c>
      <c r="EN371" s="97" t="s">
        <v>470</v>
      </c>
      <c r="EO371" s="97" t="s">
        <v>656</v>
      </c>
      <c r="EP371" s="96" t="s">
        <v>656</v>
      </c>
      <c r="EQ371" s="96" t="s">
        <v>479</v>
      </c>
      <c r="ER371" s="96" t="s">
        <v>5276</v>
      </c>
      <c r="ES371" s="96">
        <v>6</v>
      </c>
      <c r="ET371" s="97" t="s">
        <v>470</v>
      </c>
      <c r="EU371" s="97" t="s">
        <v>656</v>
      </c>
      <c r="EV371" s="96" t="s">
        <v>656</v>
      </c>
      <c r="EW371" s="96"/>
      <c r="EX371" s="96"/>
      <c r="EY371" s="96"/>
      <c r="EZ371" s="97" t="s">
        <v>470</v>
      </c>
      <c r="FA371" s="97" t="s">
        <v>656</v>
      </c>
      <c r="FB371" s="935" t="s">
        <v>5065</v>
      </c>
      <c r="FC371" s="935" t="s">
        <v>4952</v>
      </c>
      <c r="FD371" s="97" t="s">
        <v>656</v>
      </c>
      <c r="FE371" s="97" t="s">
        <v>4762</v>
      </c>
      <c r="FF371" s="97" t="s">
        <v>4694</v>
      </c>
      <c r="FG371" s="97" t="s">
        <v>4595</v>
      </c>
      <c r="FH371" s="97">
        <v>8</v>
      </c>
      <c r="FI371" s="97">
        <v>75</v>
      </c>
      <c r="FJ371" s="522" t="s">
        <v>4363</v>
      </c>
      <c r="FK371" s="522" t="s">
        <v>4179</v>
      </c>
      <c r="FL371" s="935" t="s">
        <v>3961</v>
      </c>
      <c r="FM371" s="97" t="s">
        <v>2502</v>
      </c>
      <c r="FN371" s="502" t="s">
        <v>3788</v>
      </c>
      <c r="FO371" s="502" t="s">
        <v>2504</v>
      </c>
    </row>
    <row r="372" spans="5:171" ht="44" customHeight="1" x14ac:dyDescent="0.2">
      <c r="E372" s="94" t="s">
        <v>9305</v>
      </c>
      <c r="F372" s="94" t="s">
        <v>9121</v>
      </c>
      <c r="G372" s="97" t="s">
        <v>357</v>
      </c>
      <c r="H372" s="97" t="s">
        <v>442</v>
      </c>
      <c r="I372" s="97" t="s">
        <v>8655</v>
      </c>
      <c r="J372" s="97" t="s">
        <v>8357</v>
      </c>
      <c r="K372" s="97" t="s">
        <v>8357</v>
      </c>
      <c r="L372" s="502">
        <v>2022</v>
      </c>
      <c r="M372" s="841">
        <v>44835</v>
      </c>
      <c r="N372" s="841">
        <v>44926</v>
      </c>
      <c r="O372" s="841"/>
      <c r="P372" s="841"/>
      <c r="Q372" s="841"/>
      <c r="R372" s="841"/>
      <c r="S372" s="841"/>
      <c r="T372" s="841"/>
      <c r="U372" s="841"/>
      <c r="V372" s="841"/>
      <c r="W372" s="841"/>
      <c r="X372" s="841"/>
      <c r="Y372" s="841"/>
      <c r="Z372" s="97" t="s">
        <v>8036</v>
      </c>
      <c r="AA372" s="842" t="s">
        <v>7907</v>
      </c>
      <c r="AB372" s="97" t="s">
        <v>7732</v>
      </c>
      <c r="AC372" s="1092" t="s">
        <v>7600</v>
      </c>
      <c r="AD372" s="97" t="s">
        <v>7391</v>
      </c>
      <c r="AE372" s="1092" t="s">
        <v>7213</v>
      </c>
      <c r="AF372" s="97" t="s">
        <v>470</v>
      </c>
      <c r="AG372" s="97" t="s">
        <v>470</v>
      </c>
      <c r="AH372" s="97" t="s">
        <v>6398</v>
      </c>
      <c r="AI372" s="97" t="s">
        <v>6398</v>
      </c>
      <c r="AJ372" s="97" t="s">
        <v>6646</v>
      </c>
      <c r="AK372" s="97" t="s">
        <v>6398</v>
      </c>
      <c r="AL372" s="580">
        <f t="shared" si="41"/>
        <v>0.51600000000000001</v>
      </c>
      <c r="AM372" s="504">
        <v>0.51600000000000001</v>
      </c>
      <c r="AN372" s="516"/>
      <c r="AO372" s="97"/>
      <c r="AP372" s="97"/>
      <c r="AQ372" s="504">
        <v>0.44900000000000001</v>
      </c>
      <c r="AR372" s="507">
        <v>0.87019999999999997</v>
      </c>
      <c r="AS372" s="507">
        <v>6.9999999999999994E-5</v>
      </c>
      <c r="AT372" s="516"/>
      <c r="AU372" s="507"/>
      <c r="AV372" s="516"/>
      <c r="AW372" s="507"/>
      <c r="AX372" s="516">
        <v>6.7000000000000004E-2</v>
      </c>
      <c r="AY372" s="507">
        <v>0.1298</v>
      </c>
      <c r="AZ372" s="516"/>
      <c r="BA372" s="507"/>
      <c r="BB372" s="507"/>
      <c r="BC372" s="507"/>
      <c r="BD372" s="507"/>
      <c r="BE372" s="507" t="s">
        <v>470</v>
      </c>
      <c r="BF372" s="507"/>
      <c r="BG372" s="507"/>
      <c r="BH372" s="852"/>
      <c r="BI372" s="504">
        <v>0</v>
      </c>
      <c r="BJ372" s="507"/>
      <c r="BK372" s="96">
        <v>1</v>
      </c>
      <c r="BL372" s="96">
        <v>1</v>
      </c>
      <c r="BM372" s="96">
        <v>1</v>
      </c>
      <c r="BN372" s="96"/>
      <c r="BO372" s="96"/>
      <c r="BP372" s="96">
        <v>1</v>
      </c>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815">
        <f t="shared" si="43"/>
        <v>1</v>
      </c>
      <c r="CM372" s="824">
        <f t="shared" si="40"/>
        <v>0</v>
      </c>
      <c r="CN372" s="854"/>
      <c r="CO372" s="96" t="s">
        <v>470</v>
      </c>
      <c r="CP372" s="854"/>
      <c r="CQ372" s="854"/>
      <c r="CR372" s="504">
        <v>211.066</v>
      </c>
      <c r="CS372" s="507" t="s">
        <v>5828</v>
      </c>
      <c r="CT372" s="97" t="s">
        <v>470</v>
      </c>
      <c r="CU372" s="97" t="s">
        <v>470</v>
      </c>
      <c r="CV372" s="97" t="s">
        <v>470</v>
      </c>
      <c r="CW372" s="97" t="s">
        <v>470</v>
      </c>
      <c r="CX372" s="97" t="s">
        <v>470</v>
      </c>
      <c r="CY372" s="97" t="s">
        <v>470</v>
      </c>
      <c r="CZ372" s="97">
        <v>10</v>
      </c>
      <c r="DA372" s="97" t="s">
        <v>470</v>
      </c>
      <c r="DB372" s="97"/>
      <c r="DC372" s="96"/>
      <c r="DD372" s="97" t="s">
        <v>479</v>
      </c>
      <c r="DE372" s="97" t="s">
        <v>2533</v>
      </c>
      <c r="DF372" s="96">
        <v>98</v>
      </c>
      <c r="DG372" s="97" t="s">
        <v>470</v>
      </c>
      <c r="DH372" s="96"/>
      <c r="DI372" s="96"/>
      <c r="DJ372" s="97" t="s">
        <v>470</v>
      </c>
      <c r="DK372" s="96"/>
      <c r="DL372" s="96"/>
      <c r="DM372" s="97" t="s">
        <v>470</v>
      </c>
      <c r="DN372" s="97"/>
      <c r="DO372" s="96"/>
      <c r="DP372" s="97" t="s">
        <v>470</v>
      </c>
      <c r="DQ372" s="97"/>
      <c r="DR372" s="96"/>
      <c r="DS372" s="97" t="s">
        <v>470</v>
      </c>
      <c r="DT372" s="97"/>
      <c r="DU372" s="96"/>
      <c r="DV372" s="97" t="s">
        <v>470</v>
      </c>
      <c r="DW372" s="97"/>
      <c r="DX372" s="96"/>
      <c r="DY372" s="97" t="s">
        <v>470</v>
      </c>
      <c r="DZ372" s="97"/>
      <c r="EA372" s="96"/>
      <c r="EB372" s="97" t="s">
        <v>470</v>
      </c>
      <c r="EC372" s="97"/>
      <c r="ED372" s="96"/>
      <c r="EE372" s="96" t="s">
        <v>470</v>
      </c>
      <c r="EF372" s="96"/>
      <c r="EG372" s="96"/>
      <c r="EH372" s="96" t="s">
        <v>470</v>
      </c>
      <c r="EI372" s="97"/>
      <c r="EJ372" s="96"/>
      <c r="EK372" s="96" t="s">
        <v>470</v>
      </c>
      <c r="EL372" s="97"/>
      <c r="EM372" s="96"/>
      <c r="EN372" s="96" t="s">
        <v>470</v>
      </c>
      <c r="EO372" s="97"/>
      <c r="EP372" s="96"/>
      <c r="EQ372" s="96" t="s">
        <v>470</v>
      </c>
      <c r="ER372" s="96"/>
      <c r="ES372" s="96"/>
      <c r="ET372" s="97" t="s">
        <v>5240</v>
      </c>
      <c r="EU372" s="97" t="s">
        <v>5226</v>
      </c>
      <c r="EV372" s="96">
        <v>7</v>
      </c>
      <c r="EW372" s="96"/>
      <c r="EX372" s="96"/>
      <c r="EY372" s="96"/>
      <c r="EZ372" s="97" t="s">
        <v>470</v>
      </c>
      <c r="FA372" s="97" t="s">
        <v>470</v>
      </c>
      <c r="FB372" s="1092" t="s">
        <v>5064</v>
      </c>
      <c r="FC372" s="97" t="s">
        <v>470</v>
      </c>
      <c r="FD372" s="97" t="s">
        <v>470</v>
      </c>
      <c r="FE372" s="97" t="s">
        <v>470</v>
      </c>
      <c r="FF372" s="97" t="s">
        <v>470</v>
      </c>
      <c r="FG372" s="97" t="s">
        <v>470</v>
      </c>
      <c r="FH372" s="97" t="s">
        <v>470</v>
      </c>
      <c r="FI372" s="97" t="s">
        <v>470</v>
      </c>
      <c r="FJ372" s="97" t="s">
        <v>4362</v>
      </c>
      <c r="FK372" s="97" t="s">
        <v>4178</v>
      </c>
      <c r="FL372" s="97" t="s">
        <v>3960</v>
      </c>
      <c r="FM372" s="97" t="s">
        <v>2502</v>
      </c>
      <c r="FN372" s="97" t="s">
        <v>3788</v>
      </c>
      <c r="FO372" s="97" t="s">
        <v>2504</v>
      </c>
    </row>
    <row r="373" spans="5:171" ht="52" customHeight="1" x14ac:dyDescent="0.2">
      <c r="E373" s="94" t="s">
        <v>9305</v>
      </c>
      <c r="F373" s="94" t="s">
        <v>9121</v>
      </c>
      <c r="G373" s="97" t="s">
        <v>357</v>
      </c>
      <c r="H373" s="97" t="s">
        <v>442</v>
      </c>
      <c r="I373" s="97" t="s">
        <v>8654</v>
      </c>
      <c r="J373" s="97" t="s">
        <v>8460</v>
      </c>
      <c r="K373" s="97" t="s">
        <v>656</v>
      </c>
      <c r="L373" s="502" t="s">
        <v>8335</v>
      </c>
      <c r="M373" s="841" t="s">
        <v>8272</v>
      </c>
      <c r="N373" s="841" t="s">
        <v>8207</v>
      </c>
      <c r="O373" s="841"/>
      <c r="P373" s="841"/>
      <c r="Q373" s="841"/>
      <c r="R373" s="841"/>
      <c r="S373" s="841"/>
      <c r="T373" s="841"/>
      <c r="U373" s="841"/>
      <c r="V373" s="841"/>
      <c r="W373" s="841"/>
      <c r="X373" s="841"/>
      <c r="Y373" s="841"/>
      <c r="Z373" s="97" t="s">
        <v>8035</v>
      </c>
      <c r="AA373" s="97" t="s">
        <v>5063</v>
      </c>
      <c r="AB373" s="97" t="s">
        <v>7731</v>
      </c>
      <c r="AC373" s="97" t="s">
        <v>5063</v>
      </c>
      <c r="AD373" s="97" t="s">
        <v>656</v>
      </c>
      <c r="AE373" s="97" t="s">
        <v>656</v>
      </c>
      <c r="AF373" s="97" t="s">
        <v>656</v>
      </c>
      <c r="AG373" s="97" t="s">
        <v>656</v>
      </c>
      <c r="AH373" s="97" t="s">
        <v>6941</v>
      </c>
      <c r="AI373" s="97" t="s">
        <v>6397</v>
      </c>
      <c r="AJ373" s="97" t="s">
        <v>6645</v>
      </c>
      <c r="AK373" s="97" t="s">
        <v>6397</v>
      </c>
      <c r="AL373" s="580">
        <f t="shared" si="41"/>
        <v>1.1599999999999999</v>
      </c>
      <c r="AM373" s="504">
        <v>1.1599999999999999</v>
      </c>
      <c r="AN373" s="516"/>
      <c r="AO373" s="97"/>
      <c r="AP373" s="97"/>
      <c r="AQ373" s="1093">
        <v>1.1599999999999999</v>
      </c>
      <c r="AR373" s="507">
        <v>0.98309999999999997</v>
      </c>
      <c r="AS373" s="507">
        <v>2.3999999999999998E-3</v>
      </c>
      <c r="AT373" s="516"/>
      <c r="AU373" s="507"/>
      <c r="AV373" s="516"/>
      <c r="AW373" s="507"/>
      <c r="AX373" s="516" t="s">
        <v>6343</v>
      </c>
      <c r="AY373" s="507">
        <v>1.6899999999999998E-2</v>
      </c>
      <c r="AZ373" s="516"/>
      <c r="BA373" s="507"/>
      <c r="BB373" s="507"/>
      <c r="BC373" s="507"/>
      <c r="BD373" s="507"/>
      <c r="BE373" s="507" t="s">
        <v>479</v>
      </c>
      <c r="BF373" s="507"/>
      <c r="BG373" s="507"/>
      <c r="BH373" s="852">
        <v>0</v>
      </c>
      <c r="BI373" s="1094">
        <v>3</v>
      </c>
      <c r="BJ373" s="507">
        <v>2.3999999999999998E-3</v>
      </c>
      <c r="BK373" s="96">
        <v>1</v>
      </c>
      <c r="BL373" s="96">
        <v>1</v>
      </c>
      <c r="BM373" s="96">
        <v>1</v>
      </c>
      <c r="BN373" s="96"/>
      <c r="BO373" s="96"/>
      <c r="BP373" s="96"/>
      <c r="BQ373" s="96"/>
      <c r="BR373" s="96"/>
      <c r="BS373" s="96"/>
      <c r="BT373" s="96"/>
      <c r="BU373" s="96"/>
      <c r="BV373" s="96"/>
      <c r="BW373" s="96"/>
      <c r="BX373" s="96"/>
      <c r="BY373" s="96"/>
      <c r="BZ373" s="96">
        <v>1</v>
      </c>
      <c r="CA373" s="96"/>
      <c r="CB373" s="96"/>
      <c r="CC373" s="96"/>
      <c r="CD373" s="96"/>
      <c r="CE373" s="96"/>
      <c r="CF373" s="96"/>
      <c r="CG373" s="96"/>
      <c r="CH373" s="96"/>
      <c r="CI373" s="96"/>
      <c r="CJ373" s="96"/>
      <c r="CK373" s="96"/>
      <c r="CL373" s="815">
        <f t="shared" si="43"/>
        <v>1</v>
      </c>
      <c r="CM373" s="824">
        <f t="shared" si="40"/>
        <v>0</v>
      </c>
      <c r="CN373" s="1094">
        <v>13.25</v>
      </c>
      <c r="CO373" s="97" t="s">
        <v>6033</v>
      </c>
      <c r="CP373" s="97" t="s">
        <v>656</v>
      </c>
      <c r="CQ373" s="97">
        <v>65.83</v>
      </c>
      <c r="CR373" s="1094">
        <v>20.13</v>
      </c>
      <c r="CS373" s="507" t="s">
        <v>5827</v>
      </c>
      <c r="CT373" s="97" t="s">
        <v>470</v>
      </c>
      <c r="CU373" s="97"/>
      <c r="CV373" s="97"/>
      <c r="CW373" s="97"/>
      <c r="CX373" s="96"/>
      <c r="CY373" s="96"/>
      <c r="CZ373" s="96"/>
      <c r="DA373" s="97" t="s">
        <v>479</v>
      </c>
      <c r="DB373" s="97" t="s">
        <v>5685</v>
      </c>
      <c r="DC373" s="96" t="s">
        <v>5660</v>
      </c>
      <c r="DD373" s="97" t="s">
        <v>479</v>
      </c>
      <c r="DE373" s="97" t="s">
        <v>5063</v>
      </c>
      <c r="DF373" s="96">
        <v>95</v>
      </c>
      <c r="DG373" s="96" t="s">
        <v>470</v>
      </c>
      <c r="DH373" s="96"/>
      <c r="DI373" s="96"/>
      <c r="DJ373" s="96" t="s">
        <v>470</v>
      </c>
      <c r="DK373" s="96"/>
      <c r="DL373" s="96"/>
      <c r="DM373" s="97" t="s">
        <v>470</v>
      </c>
      <c r="DN373" s="97"/>
      <c r="DO373" s="96"/>
      <c r="DP373" s="97" t="s">
        <v>470</v>
      </c>
      <c r="DQ373" s="97"/>
      <c r="DR373" s="96"/>
      <c r="DS373" s="97" t="s">
        <v>470</v>
      </c>
      <c r="DT373" s="97"/>
      <c r="DU373" s="96"/>
      <c r="DV373" s="97"/>
      <c r="DW373" s="97"/>
      <c r="DX373" s="96"/>
      <c r="DY373" s="97" t="s">
        <v>470</v>
      </c>
      <c r="DZ373" s="97"/>
      <c r="EA373" s="96"/>
      <c r="EB373" s="97" t="s">
        <v>479</v>
      </c>
      <c r="EC373" s="97" t="s">
        <v>5391</v>
      </c>
      <c r="ED373" s="96" t="s">
        <v>5380</v>
      </c>
      <c r="EE373" s="96" t="s">
        <v>470</v>
      </c>
      <c r="EF373" s="96"/>
      <c r="EG373" s="96"/>
      <c r="EH373" s="97" t="s">
        <v>470</v>
      </c>
      <c r="EI373" s="97"/>
      <c r="EJ373" s="96"/>
      <c r="EK373" s="97" t="s">
        <v>470</v>
      </c>
      <c r="EL373" s="97"/>
      <c r="EM373" s="96"/>
      <c r="EN373" s="97" t="s">
        <v>470</v>
      </c>
      <c r="EO373" s="97"/>
      <c r="EP373" s="96"/>
      <c r="EQ373" s="96" t="s">
        <v>470</v>
      </c>
      <c r="ER373" s="96"/>
      <c r="ES373" s="96"/>
      <c r="ET373" s="97"/>
      <c r="EU373" s="97"/>
      <c r="EV373" s="96"/>
      <c r="EW373" s="96"/>
      <c r="EX373" s="96"/>
      <c r="EY373" s="96"/>
      <c r="EZ373" s="97" t="s">
        <v>470</v>
      </c>
      <c r="FA373" s="97"/>
      <c r="FB373" s="97" t="s">
        <v>5063</v>
      </c>
      <c r="FC373" s="97"/>
      <c r="FD373" s="97"/>
      <c r="FE373" s="97"/>
      <c r="FF373" s="97"/>
      <c r="FG373" s="97" t="s">
        <v>4594</v>
      </c>
      <c r="FH373" s="97">
        <v>7</v>
      </c>
      <c r="FI373" s="97">
        <v>200</v>
      </c>
      <c r="FJ373" s="97" t="s">
        <v>4361</v>
      </c>
      <c r="FK373" s="97" t="s">
        <v>4177</v>
      </c>
      <c r="FL373" s="97" t="s">
        <v>3959</v>
      </c>
      <c r="FM373" s="97" t="s">
        <v>2502</v>
      </c>
      <c r="FN373" s="502" t="s">
        <v>3788</v>
      </c>
      <c r="FO373" s="502" t="s">
        <v>2504</v>
      </c>
    </row>
    <row r="374" spans="5:171" ht="44" customHeight="1" x14ac:dyDescent="0.2">
      <c r="E374" s="94" t="s">
        <v>9305</v>
      </c>
      <c r="F374" s="94" t="s">
        <v>9121</v>
      </c>
      <c r="G374" s="97" t="s">
        <v>357</v>
      </c>
      <c r="H374" s="97" t="s">
        <v>442</v>
      </c>
      <c r="I374" s="97" t="s">
        <v>8653</v>
      </c>
      <c r="J374" s="98" t="s">
        <v>8459</v>
      </c>
      <c r="K374" s="97" t="s">
        <v>656</v>
      </c>
      <c r="L374" s="502">
        <v>2022</v>
      </c>
      <c r="M374" s="841">
        <v>44384</v>
      </c>
      <c r="N374" s="841">
        <v>44918</v>
      </c>
      <c r="O374" s="841"/>
      <c r="P374" s="841"/>
      <c r="Q374" s="841"/>
      <c r="R374" s="841"/>
      <c r="S374" s="841"/>
      <c r="T374" s="841"/>
      <c r="U374" s="841"/>
      <c r="V374" s="841"/>
      <c r="W374" s="841"/>
      <c r="X374" s="841"/>
      <c r="Y374" s="841"/>
      <c r="Z374" s="97" t="s">
        <v>656</v>
      </c>
      <c r="AA374" s="97"/>
      <c r="AB374" s="97" t="s">
        <v>7730</v>
      </c>
      <c r="AC374" s="97" t="s">
        <v>6219</v>
      </c>
      <c r="AD374" s="97"/>
      <c r="AE374" s="97"/>
      <c r="AF374" s="97"/>
      <c r="AG374" s="97"/>
      <c r="AH374" s="97" t="s">
        <v>6940</v>
      </c>
      <c r="AI374" s="97" t="s">
        <v>6784</v>
      </c>
      <c r="AJ374" s="97" t="s">
        <v>6644</v>
      </c>
      <c r="AK374" s="97" t="s">
        <v>6396</v>
      </c>
      <c r="AL374" s="580">
        <f t="shared" si="41"/>
        <v>0.57899999999999996</v>
      </c>
      <c r="AM374" s="504">
        <v>0.57899999999999996</v>
      </c>
      <c r="AN374" s="516"/>
      <c r="AO374" s="97"/>
      <c r="AP374" s="97"/>
      <c r="AQ374" s="504">
        <v>0.57199999999999995</v>
      </c>
      <c r="AR374" s="507">
        <v>0.9879</v>
      </c>
      <c r="AS374" s="507">
        <f>AL374/1321.72</f>
        <v>4.3806555094876368E-4</v>
      </c>
      <c r="AT374" s="516"/>
      <c r="AU374" s="507"/>
      <c r="AV374" s="516"/>
      <c r="AW374" s="507"/>
      <c r="AX374" s="516">
        <v>7.0000000000000001E-3</v>
      </c>
      <c r="AY374" s="507">
        <v>1.21E-2</v>
      </c>
      <c r="AZ374" s="516"/>
      <c r="BA374" s="507"/>
      <c r="BB374" s="507"/>
      <c r="BC374" s="507"/>
      <c r="BD374" s="507"/>
      <c r="BE374" s="507" t="s">
        <v>479</v>
      </c>
      <c r="BF374" s="507" t="s">
        <v>6269</v>
      </c>
      <c r="BG374" s="97" t="s">
        <v>6219</v>
      </c>
      <c r="BH374" s="852">
        <v>0</v>
      </c>
      <c r="BI374" s="504">
        <v>2.11</v>
      </c>
      <c r="BJ374" s="507">
        <v>1.5E-3</v>
      </c>
      <c r="BK374" s="96">
        <v>1</v>
      </c>
      <c r="BL374" s="96">
        <v>1</v>
      </c>
      <c r="BM374" s="96">
        <v>1</v>
      </c>
      <c r="BN374" s="96"/>
      <c r="BO374" s="96"/>
      <c r="BP374" s="96"/>
      <c r="BQ374" s="96"/>
      <c r="BR374" s="96"/>
      <c r="BS374" s="96"/>
      <c r="BT374" s="96"/>
      <c r="BU374" s="96">
        <v>1</v>
      </c>
      <c r="BV374" s="96"/>
      <c r="BW374" s="96"/>
      <c r="BX374" s="96"/>
      <c r="BY374" s="96"/>
      <c r="BZ374" s="96"/>
      <c r="CA374" s="96"/>
      <c r="CB374" s="96"/>
      <c r="CC374" s="96"/>
      <c r="CD374" s="96"/>
      <c r="CE374" s="96"/>
      <c r="CF374" s="96"/>
      <c r="CG374" s="96"/>
      <c r="CH374" s="96"/>
      <c r="CI374" s="96"/>
      <c r="CJ374" s="96"/>
      <c r="CK374" s="96"/>
      <c r="CL374" s="815">
        <f t="shared" si="43"/>
        <v>1</v>
      </c>
      <c r="CM374" s="824">
        <f t="shared" si="40"/>
        <v>0</v>
      </c>
      <c r="CN374" s="612">
        <v>0.5</v>
      </c>
      <c r="CO374" s="96" t="s">
        <v>6032</v>
      </c>
      <c r="CP374" s="96" t="s">
        <v>656</v>
      </c>
      <c r="CQ374" s="612">
        <v>1.7</v>
      </c>
      <c r="CR374" s="612">
        <v>29.63</v>
      </c>
      <c r="CS374" s="96" t="s">
        <v>5826</v>
      </c>
      <c r="CT374" s="97" t="s">
        <v>470</v>
      </c>
      <c r="CU374" s="97"/>
      <c r="CV374" s="97"/>
      <c r="CW374" s="97"/>
      <c r="CX374" s="96"/>
      <c r="CY374" s="96"/>
      <c r="CZ374" s="96"/>
      <c r="DA374" s="97" t="s">
        <v>479</v>
      </c>
      <c r="DB374" s="97" t="s">
        <v>470</v>
      </c>
      <c r="DC374" s="96">
        <v>1260</v>
      </c>
      <c r="DD374" s="97" t="s">
        <v>479</v>
      </c>
      <c r="DE374" s="97"/>
      <c r="DF374" s="96">
        <v>20</v>
      </c>
      <c r="DG374" s="96" t="s">
        <v>470</v>
      </c>
      <c r="DH374" s="96"/>
      <c r="DI374" s="96"/>
      <c r="DJ374" s="96" t="s">
        <v>470</v>
      </c>
      <c r="DK374" s="96"/>
      <c r="DL374" s="96"/>
      <c r="DM374" s="97" t="s">
        <v>470</v>
      </c>
      <c r="DN374" s="97"/>
      <c r="DO374" s="96"/>
      <c r="DP374" s="97" t="s">
        <v>470</v>
      </c>
      <c r="DQ374" s="97"/>
      <c r="DR374" s="96"/>
      <c r="DS374" s="97" t="s">
        <v>470</v>
      </c>
      <c r="DT374" s="97"/>
      <c r="DU374" s="96"/>
      <c r="DV374" s="97" t="s">
        <v>5500</v>
      </c>
      <c r="DW374" s="97"/>
      <c r="DX374" s="96"/>
      <c r="DY374" s="97" t="s">
        <v>470</v>
      </c>
      <c r="DZ374" s="97"/>
      <c r="EA374" s="96"/>
      <c r="EB374" s="97" t="s">
        <v>470</v>
      </c>
      <c r="EC374" s="97"/>
      <c r="ED374" s="96"/>
      <c r="EE374" s="96" t="s">
        <v>470</v>
      </c>
      <c r="EF374" s="96"/>
      <c r="EG374" s="96"/>
      <c r="EH374" s="97" t="s">
        <v>470</v>
      </c>
      <c r="EI374" s="97"/>
      <c r="EJ374" s="96"/>
      <c r="EK374" s="97" t="s">
        <v>470</v>
      </c>
      <c r="EL374" s="97"/>
      <c r="EM374" s="96"/>
      <c r="EN374" s="97" t="s">
        <v>470</v>
      </c>
      <c r="EO374" s="97"/>
      <c r="EP374" s="96"/>
      <c r="EQ374" s="96" t="s">
        <v>479</v>
      </c>
      <c r="ER374" s="96" t="s">
        <v>5275</v>
      </c>
      <c r="ES374" s="96">
        <v>5</v>
      </c>
      <c r="ET374" s="97" t="s">
        <v>470</v>
      </c>
      <c r="EU374" s="97"/>
      <c r="EV374" s="96"/>
      <c r="EW374" s="96"/>
      <c r="EX374" s="96"/>
      <c r="EY374" s="96"/>
      <c r="EZ374" s="97" t="s">
        <v>470</v>
      </c>
      <c r="FA374" s="97"/>
      <c r="FB374" s="97"/>
      <c r="FC374" s="97"/>
      <c r="FD374" s="97"/>
      <c r="FE374" s="97"/>
      <c r="FF374" s="97"/>
      <c r="FG374" s="97" t="s">
        <v>4593</v>
      </c>
      <c r="FH374" s="97">
        <v>8</v>
      </c>
      <c r="FI374" s="97">
        <v>189</v>
      </c>
      <c r="FJ374" s="97" t="s">
        <v>4360</v>
      </c>
      <c r="FK374" s="97">
        <v>88654631137</v>
      </c>
      <c r="FL374" s="872" t="s">
        <v>3958</v>
      </c>
      <c r="FM374" s="97" t="s">
        <v>2502</v>
      </c>
      <c r="FN374" s="502" t="s">
        <v>3788</v>
      </c>
      <c r="FO374" s="502" t="s">
        <v>2504</v>
      </c>
    </row>
    <row r="375" spans="5:171" ht="104" customHeight="1" x14ac:dyDescent="0.2">
      <c r="E375" s="94" t="s">
        <v>9302</v>
      </c>
      <c r="F375" s="94" t="s">
        <v>9120</v>
      </c>
      <c r="G375" s="198" t="s">
        <v>358</v>
      </c>
      <c r="H375" s="198" t="s">
        <v>443</v>
      </c>
      <c r="I375" s="198"/>
      <c r="J375" s="550" t="s">
        <v>2401</v>
      </c>
      <c r="K375" s="550" t="s">
        <v>2402</v>
      </c>
      <c r="L375" s="1095">
        <v>2012</v>
      </c>
      <c r="M375" s="1096">
        <v>44713</v>
      </c>
      <c r="N375" s="1096">
        <v>44896</v>
      </c>
      <c r="O375" s="550" t="s">
        <v>2403</v>
      </c>
      <c r="P375" s="550" t="s">
        <v>2404</v>
      </c>
      <c r="Q375" s="1097" t="s">
        <v>2405</v>
      </c>
      <c r="R375" s="895" t="s">
        <v>539</v>
      </c>
      <c r="S375" s="895" t="s">
        <v>539</v>
      </c>
      <c r="T375" s="895" t="s">
        <v>2406</v>
      </c>
      <c r="U375" s="1098" t="s">
        <v>2407</v>
      </c>
      <c r="V375" s="895" t="s">
        <v>539</v>
      </c>
      <c r="W375" s="895" t="s">
        <v>539</v>
      </c>
      <c r="X375" s="895" t="s">
        <v>2408</v>
      </c>
      <c r="Y375" s="1098" t="s">
        <v>2409</v>
      </c>
      <c r="Z375" s="1098"/>
      <c r="AA375" s="1098"/>
      <c r="AB375" s="1098"/>
      <c r="AC375" s="1098"/>
      <c r="AD375" s="1098"/>
      <c r="AE375" s="1098"/>
      <c r="AF375" s="1098"/>
      <c r="AG375" s="1098"/>
      <c r="AH375" s="550" t="s">
        <v>2410</v>
      </c>
      <c r="AI375" s="550" t="s">
        <v>2411</v>
      </c>
      <c r="AJ375" s="550" t="s">
        <v>504</v>
      </c>
      <c r="AK375" s="550" t="s">
        <v>2412</v>
      </c>
      <c r="AL375" s="580">
        <f t="shared" si="41"/>
        <v>322.12200000000001</v>
      </c>
      <c r="AM375" s="504">
        <v>322.12200000000001</v>
      </c>
      <c r="AN375" s="516">
        <v>321.8</v>
      </c>
      <c r="AO375" s="1099">
        <v>0.999</v>
      </c>
      <c r="AP375" s="1099">
        <v>4.7000000000000002E-3</v>
      </c>
      <c r="AQ375" s="1100">
        <v>0.32200000000000001</v>
      </c>
      <c r="AR375" s="1099">
        <v>1E-3</v>
      </c>
      <c r="AS375" s="1099"/>
      <c r="AT375" s="1074">
        <v>0</v>
      </c>
      <c r="AU375" s="895">
        <v>0</v>
      </c>
      <c r="AV375" s="1074">
        <v>0</v>
      </c>
      <c r="AW375" s="895">
        <v>0</v>
      </c>
      <c r="AX375" s="1074"/>
      <c r="AY375" s="895"/>
      <c r="AZ375" s="1074">
        <v>0</v>
      </c>
      <c r="BA375" s="895">
        <v>0</v>
      </c>
      <c r="BB375" s="895" t="s">
        <v>539</v>
      </c>
      <c r="BC375" s="895" t="s">
        <v>539</v>
      </c>
      <c r="BD375" s="895" t="s">
        <v>539</v>
      </c>
      <c r="BE375" s="550" t="s">
        <v>540</v>
      </c>
      <c r="BF375" s="895"/>
      <c r="BG375" s="895"/>
      <c r="BH375" s="895"/>
      <c r="BI375" s="550">
        <v>0</v>
      </c>
      <c r="BJ375" s="1099">
        <v>0</v>
      </c>
      <c r="BK375" s="895">
        <v>733</v>
      </c>
      <c r="BL375" s="895">
        <v>484</v>
      </c>
      <c r="BM375" s="895">
        <v>484</v>
      </c>
      <c r="BN375" s="895">
        <v>109</v>
      </c>
      <c r="BO375" s="895">
        <v>209</v>
      </c>
      <c r="BP375" s="895">
        <v>50</v>
      </c>
      <c r="BQ375" s="895">
        <v>0</v>
      </c>
      <c r="BR375" s="895">
        <v>0</v>
      </c>
      <c r="BS375" s="895">
        <v>12</v>
      </c>
      <c r="BT375" s="895">
        <v>3</v>
      </c>
      <c r="BU375" s="895">
        <v>7</v>
      </c>
      <c r="BV375" s="895">
        <v>2</v>
      </c>
      <c r="BW375" s="895">
        <v>9</v>
      </c>
      <c r="BX375" s="895">
        <v>15</v>
      </c>
      <c r="BY375" s="895">
        <v>18</v>
      </c>
      <c r="BZ375" s="895">
        <v>32</v>
      </c>
      <c r="CA375" s="895">
        <v>12</v>
      </c>
      <c r="CB375" s="895">
        <v>0</v>
      </c>
      <c r="CC375" s="895">
        <v>0</v>
      </c>
      <c r="CD375" s="895">
        <v>1</v>
      </c>
      <c r="CE375" s="895">
        <v>4</v>
      </c>
      <c r="CF375" s="895">
        <v>0</v>
      </c>
      <c r="CG375" s="895">
        <v>0</v>
      </c>
      <c r="CH375" s="895"/>
      <c r="CI375" s="895"/>
      <c r="CJ375" s="895"/>
      <c r="CK375" s="895">
        <v>1</v>
      </c>
      <c r="CL375" s="1095">
        <f t="shared" si="43"/>
        <v>484</v>
      </c>
      <c r="CM375" s="824">
        <f t="shared" si="40"/>
        <v>0</v>
      </c>
      <c r="CN375" s="591">
        <v>856.62099999999998</v>
      </c>
      <c r="CO375" s="550" t="s">
        <v>2413</v>
      </c>
      <c r="CP375" s="550"/>
      <c r="CQ375" s="1099">
        <v>0.87480000000000002</v>
      </c>
      <c r="CR375" s="591">
        <v>979.17100000000005</v>
      </c>
      <c r="CS375" s="1101" t="s">
        <v>2414</v>
      </c>
      <c r="CT375" s="550" t="s">
        <v>539</v>
      </c>
      <c r="CU375" s="550"/>
      <c r="CV375" s="550"/>
      <c r="CW375" s="895"/>
      <c r="CX375" s="895"/>
      <c r="CY375" s="895"/>
      <c r="CZ375" s="895">
        <v>1</v>
      </c>
      <c r="DA375" s="550" t="s">
        <v>540</v>
      </c>
      <c r="DB375" s="550" t="s">
        <v>2415</v>
      </c>
      <c r="DC375" s="895">
        <v>300000</v>
      </c>
      <c r="DD375" s="550" t="s">
        <v>540</v>
      </c>
      <c r="DE375" s="550" t="s">
        <v>2416</v>
      </c>
      <c r="DF375" s="895">
        <v>15000</v>
      </c>
      <c r="DG375" s="550" t="s">
        <v>539</v>
      </c>
      <c r="DH375" s="550"/>
      <c r="DI375" s="550"/>
      <c r="DJ375" s="550" t="s">
        <v>539</v>
      </c>
      <c r="DK375" s="550"/>
      <c r="DL375" s="550"/>
      <c r="DM375" s="550" t="s">
        <v>539</v>
      </c>
      <c r="DN375" s="550"/>
      <c r="DO375" s="550"/>
      <c r="DP375" s="550" t="s">
        <v>539</v>
      </c>
      <c r="DQ375" s="550"/>
      <c r="DR375" s="550"/>
      <c r="DS375" s="550" t="s">
        <v>539</v>
      </c>
      <c r="DT375" s="550"/>
      <c r="DU375" s="895"/>
      <c r="DV375" s="550"/>
      <c r="DW375" s="550"/>
      <c r="DX375" s="895"/>
      <c r="DY375" s="550" t="s">
        <v>539</v>
      </c>
      <c r="DZ375" s="550"/>
      <c r="EA375" s="895"/>
      <c r="EB375" s="550" t="s">
        <v>540</v>
      </c>
      <c r="EC375" s="550" t="s">
        <v>2417</v>
      </c>
      <c r="ED375" s="895">
        <v>15000</v>
      </c>
      <c r="EE375" s="895" t="s">
        <v>539</v>
      </c>
      <c r="EF375" s="895"/>
      <c r="EG375" s="895"/>
      <c r="EH375" s="550" t="s">
        <v>539</v>
      </c>
      <c r="EI375" s="550"/>
      <c r="EJ375" s="895"/>
      <c r="EK375" s="550" t="s">
        <v>539</v>
      </c>
      <c r="EL375" s="550"/>
      <c r="EM375" s="895"/>
      <c r="EN375" s="550" t="s">
        <v>539</v>
      </c>
      <c r="EO375" s="550"/>
      <c r="EP375" s="895"/>
      <c r="EQ375" s="895" t="s">
        <v>539</v>
      </c>
      <c r="ER375" s="895"/>
      <c r="ES375" s="895"/>
      <c r="ET375" s="550"/>
      <c r="EU375" s="550"/>
      <c r="EV375" s="895"/>
      <c r="EW375" s="550" t="s">
        <v>2418</v>
      </c>
      <c r="EX375" s="550" t="s">
        <v>2419</v>
      </c>
      <c r="EY375" s="1102">
        <v>251</v>
      </c>
      <c r="EZ375" s="550" t="s">
        <v>539</v>
      </c>
      <c r="FA375" s="550"/>
      <c r="FB375" s="550" t="s">
        <v>2420</v>
      </c>
      <c r="FC375" s="550"/>
      <c r="FD375" s="550" t="s">
        <v>2421</v>
      </c>
      <c r="FE375" s="550" t="s">
        <v>2422</v>
      </c>
      <c r="FF375" s="550"/>
      <c r="FG375" s="550" t="s">
        <v>2423</v>
      </c>
      <c r="FH375" s="550"/>
      <c r="FI375" s="550"/>
      <c r="FJ375" s="550" t="s">
        <v>2424</v>
      </c>
      <c r="FK375" s="550" t="s">
        <v>2425</v>
      </c>
      <c r="FL375" s="550" t="s">
        <v>2426</v>
      </c>
      <c r="FM375" s="550" t="s">
        <v>470</v>
      </c>
      <c r="FN375" s="550" t="s">
        <v>470</v>
      </c>
      <c r="FO375" s="550" t="s">
        <v>470</v>
      </c>
    </row>
    <row r="376" spans="5:171" ht="104" customHeight="1" x14ac:dyDescent="0.2">
      <c r="E376" s="94" t="s">
        <v>9303</v>
      </c>
      <c r="F376" s="94" t="s">
        <v>9120</v>
      </c>
      <c r="G376" s="198" t="s">
        <v>358</v>
      </c>
      <c r="H376" s="198" t="s">
        <v>443</v>
      </c>
      <c r="I376" s="198"/>
      <c r="J376" s="550" t="s">
        <v>2440</v>
      </c>
      <c r="K376" s="550"/>
      <c r="L376" s="1095">
        <v>2020</v>
      </c>
      <c r="M376" s="1103">
        <v>44562</v>
      </c>
      <c r="N376" s="1103">
        <v>44926</v>
      </c>
      <c r="O376" s="550" t="s">
        <v>2441</v>
      </c>
      <c r="P376" s="550" t="s">
        <v>2442</v>
      </c>
      <c r="Q376" s="1097" t="s">
        <v>2443</v>
      </c>
      <c r="R376" s="550"/>
      <c r="S376" s="550"/>
      <c r="T376" s="550"/>
      <c r="U376" s="550"/>
      <c r="V376" s="550"/>
      <c r="W376" s="550"/>
      <c r="X376" s="550"/>
      <c r="Y376" s="550"/>
      <c r="Z376" s="550"/>
      <c r="AA376" s="550"/>
      <c r="AB376" s="550"/>
      <c r="AC376" s="550"/>
      <c r="AD376" s="550"/>
      <c r="AE376" s="550"/>
      <c r="AF376" s="550"/>
      <c r="AG376" s="550"/>
      <c r="AH376" s="550" t="s">
        <v>2444</v>
      </c>
      <c r="AI376" s="550" t="s">
        <v>2444</v>
      </c>
      <c r="AJ376" s="550" t="s">
        <v>504</v>
      </c>
      <c r="AK376" s="550" t="s">
        <v>2445</v>
      </c>
      <c r="AL376" s="580">
        <f t="shared" si="41"/>
        <v>6.2629999999999999</v>
      </c>
      <c r="AM376" s="504">
        <v>6.2629999999999999</v>
      </c>
      <c r="AN376" s="516">
        <v>0.125</v>
      </c>
      <c r="AO376" s="1099">
        <v>0.02</v>
      </c>
      <c r="AP376" s="1099">
        <v>0</v>
      </c>
      <c r="AQ376" s="1100">
        <v>6.0000000000000001E-3</v>
      </c>
      <c r="AR376" s="1099">
        <v>1E-3</v>
      </c>
      <c r="AS376" s="1099"/>
      <c r="AT376" s="1074"/>
      <c r="AU376" s="1099"/>
      <c r="AV376" s="1074"/>
      <c r="AW376" s="1099"/>
      <c r="AX376" s="1074"/>
      <c r="AY376" s="1099"/>
      <c r="AZ376" s="1074">
        <v>6.1319999999999997</v>
      </c>
      <c r="BA376" s="1099">
        <v>0.98</v>
      </c>
      <c r="BB376" s="550" t="s">
        <v>2446</v>
      </c>
      <c r="BC376" s="550" t="s">
        <v>875</v>
      </c>
      <c r="BD376" s="550" t="s">
        <v>2444</v>
      </c>
      <c r="BE376" s="550" t="s">
        <v>540</v>
      </c>
      <c r="BF376" s="550" t="s">
        <v>2447</v>
      </c>
      <c r="BG376" s="550"/>
      <c r="BH376" s="550">
        <v>2.7839999999999998</v>
      </c>
      <c r="BI376" s="591">
        <v>0.26600000000000001</v>
      </c>
      <c r="BJ376" s="1099">
        <v>0</v>
      </c>
      <c r="BK376" s="895">
        <v>100</v>
      </c>
      <c r="BL376" s="895">
        <v>100</v>
      </c>
      <c r="BM376" s="895">
        <v>4</v>
      </c>
      <c r="BN376" s="895"/>
      <c r="BO376" s="895">
        <v>2</v>
      </c>
      <c r="BP376" s="895"/>
      <c r="BQ376" s="895"/>
      <c r="BR376" s="895"/>
      <c r="BS376" s="895"/>
      <c r="BT376" s="895"/>
      <c r="BU376" s="895"/>
      <c r="BV376" s="895"/>
      <c r="BW376" s="895"/>
      <c r="BX376" s="895"/>
      <c r="BY376" s="895">
        <v>2</v>
      </c>
      <c r="BZ376" s="895"/>
      <c r="CA376" s="895"/>
      <c r="CB376" s="895"/>
      <c r="CC376" s="895"/>
      <c r="CD376" s="895"/>
      <c r="CE376" s="895"/>
      <c r="CF376" s="895"/>
      <c r="CG376" s="895"/>
      <c r="CH376" s="895"/>
      <c r="CI376" s="895"/>
      <c r="CJ376" s="895"/>
      <c r="CK376" s="895"/>
      <c r="CL376" s="1095">
        <f t="shared" si="43"/>
        <v>4</v>
      </c>
      <c r="CM376" s="824">
        <f t="shared" si="40"/>
        <v>0</v>
      </c>
      <c r="CN376" s="591">
        <v>0.378</v>
      </c>
      <c r="CO376" s="550" t="s">
        <v>539</v>
      </c>
      <c r="CP376" s="550"/>
      <c r="CQ376" s="1099">
        <f>CN376/CR376</f>
        <v>3.8604084475541041E-4</v>
      </c>
      <c r="CR376" s="591">
        <v>979.17100000000005</v>
      </c>
      <c r="CS376" s="1101" t="s">
        <v>2414</v>
      </c>
      <c r="CT376" s="550" t="s">
        <v>539</v>
      </c>
      <c r="CU376" s="550"/>
      <c r="CV376" s="550"/>
      <c r="CW376" s="550"/>
      <c r="CX376" s="895"/>
      <c r="CY376" s="895"/>
      <c r="CZ376" s="895"/>
      <c r="DA376" s="550" t="s">
        <v>539</v>
      </c>
      <c r="DB376" s="550"/>
      <c r="DC376" s="895"/>
      <c r="DD376" s="550" t="s">
        <v>540</v>
      </c>
      <c r="DE376" s="550" t="s">
        <v>541</v>
      </c>
      <c r="DF376" s="895">
        <v>71</v>
      </c>
      <c r="DG376" s="895" t="s">
        <v>539</v>
      </c>
      <c r="DH376" s="895"/>
      <c r="DI376" s="895"/>
      <c r="DJ376" s="895" t="s">
        <v>539</v>
      </c>
      <c r="DK376" s="895"/>
      <c r="DL376" s="895"/>
      <c r="DM376" s="550" t="s">
        <v>539</v>
      </c>
      <c r="DN376" s="550"/>
      <c r="DO376" s="895"/>
      <c r="DP376" s="550" t="s">
        <v>539</v>
      </c>
      <c r="DQ376" s="550"/>
      <c r="DR376" s="895"/>
      <c r="DS376" s="550" t="s">
        <v>539</v>
      </c>
      <c r="DT376" s="550"/>
      <c r="DU376" s="895"/>
      <c r="DV376" s="550" t="s">
        <v>539</v>
      </c>
      <c r="DW376" s="550"/>
      <c r="DX376" s="895"/>
      <c r="DY376" s="550" t="s">
        <v>539</v>
      </c>
      <c r="DZ376" s="550"/>
      <c r="EA376" s="895"/>
      <c r="EB376" s="550" t="s">
        <v>539</v>
      </c>
      <c r="EC376" s="550"/>
      <c r="ED376" s="895"/>
      <c r="EE376" s="895" t="s">
        <v>539</v>
      </c>
      <c r="EF376" s="895"/>
      <c r="EG376" s="895"/>
      <c r="EH376" s="550" t="s">
        <v>539</v>
      </c>
      <c r="EI376" s="550"/>
      <c r="EJ376" s="895"/>
      <c r="EK376" s="550" t="s">
        <v>539</v>
      </c>
      <c r="EL376" s="550"/>
      <c r="EM376" s="895"/>
      <c r="EN376" s="550" t="s">
        <v>539</v>
      </c>
      <c r="EO376" s="550"/>
      <c r="EP376" s="895"/>
      <c r="EQ376" s="895" t="s">
        <v>539</v>
      </c>
      <c r="ER376" s="895"/>
      <c r="ES376" s="895"/>
      <c r="ET376" s="550" t="s">
        <v>540</v>
      </c>
      <c r="EU376" s="550" t="s">
        <v>2448</v>
      </c>
      <c r="EV376" s="895"/>
      <c r="EW376" s="995">
        <v>1</v>
      </c>
      <c r="EX376" s="550"/>
      <c r="EY376" s="1102">
        <v>18</v>
      </c>
      <c r="EZ376" s="550" t="s">
        <v>539</v>
      </c>
      <c r="FA376" s="550"/>
      <c r="FB376" s="1097" t="s">
        <v>2449</v>
      </c>
      <c r="FC376" s="550"/>
      <c r="FD376" s="550"/>
      <c r="FE376" s="550" t="s">
        <v>2450</v>
      </c>
      <c r="FF376" s="550" t="s">
        <v>539</v>
      </c>
      <c r="FG376" s="550" t="s">
        <v>2451</v>
      </c>
      <c r="FH376" s="550"/>
      <c r="FI376" s="550"/>
      <c r="FJ376" s="550" t="s">
        <v>2452</v>
      </c>
      <c r="FK376" s="895" t="s">
        <v>2453</v>
      </c>
      <c r="FL376" s="1097" t="s">
        <v>2454</v>
      </c>
      <c r="FM376" s="550"/>
      <c r="FN376" s="550"/>
      <c r="FO376" s="550"/>
    </row>
    <row r="377" spans="5:171" ht="104" customHeight="1" x14ac:dyDescent="0.2">
      <c r="E377" s="94" t="s">
        <v>9304</v>
      </c>
      <c r="F377" s="94" t="s">
        <v>9120</v>
      </c>
      <c r="G377" s="198" t="s">
        <v>358</v>
      </c>
      <c r="H377" s="198" t="s">
        <v>443</v>
      </c>
      <c r="I377" s="198"/>
      <c r="J377" s="550" t="s">
        <v>840</v>
      </c>
      <c r="K377" s="550" t="s">
        <v>840</v>
      </c>
      <c r="L377" s="1095">
        <v>2018</v>
      </c>
      <c r="M377" s="1103">
        <v>44440</v>
      </c>
      <c r="N377" s="1103">
        <v>44651</v>
      </c>
      <c r="O377" s="550" t="s">
        <v>2464</v>
      </c>
      <c r="P377" s="550" t="s">
        <v>2465</v>
      </c>
      <c r="Q377" s="1097" t="s">
        <v>2405</v>
      </c>
      <c r="R377" s="550"/>
      <c r="S377" s="550"/>
      <c r="T377" s="550"/>
      <c r="U377" s="550"/>
      <c r="V377" s="550"/>
      <c r="W377" s="550"/>
      <c r="X377" s="550"/>
      <c r="Y377" s="550"/>
      <c r="Z377" s="550"/>
      <c r="AA377" s="550"/>
      <c r="AB377" s="550"/>
      <c r="AC377" s="550"/>
      <c r="AD377" s="550"/>
      <c r="AE377" s="550"/>
      <c r="AF377" s="550"/>
      <c r="AG377" s="550"/>
      <c r="AH377" s="550" t="s">
        <v>2466</v>
      </c>
      <c r="AI377" s="550" t="s">
        <v>2467</v>
      </c>
      <c r="AJ377" s="550" t="s">
        <v>477</v>
      </c>
      <c r="AK377" s="550" t="s">
        <v>2412</v>
      </c>
      <c r="AL377" s="580">
        <f t="shared" si="41"/>
        <v>776.93999999999994</v>
      </c>
      <c r="AM377" s="504">
        <v>776.93999999999994</v>
      </c>
      <c r="AN377" s="516">
        <v>15.47</v>
      </c>
      <c r="AO377" s="1099">
        <v>0.02</v>
      </c>
      <c r="AP377" s="1099">
        <v>2.0000000000000001E-4</v>
      </c>
      <c r="AQ377" s="1104">
        <v>3.08</v>
      </c>
      <c r="AR377" s="1099">
        <v>4.0000000000000001E-3</v>
      </c>
      <c r="AS377" s="1099"/>
      <c r="AT377" s="1074">
        <v>0.09</v>
      </c>
      <c r="AU377" s="1099">
        <v>1E-4</v>
      </c>
      <c r="AV377" s="1074">
        <v>0</v>
      </c>
      <c r="AW377" s="1099">
        <v>0</v>
      </c>
      <c r="AX377" s="1074"/>
      <c r="AY377" s="1099"/>
      <c r="AZ377" s="1074">
        <v>758.3</v>
      </c>
      <c r="BA377" s="550">
        <v>97.6</v>
      </c>
      <c r="BB377" s="550" t="s">
        <v>2468</v>
      </c>
      <c r="BC377" s="550" t="s">
        <v>2469</v>
      </c>
      <c r="BD377" s="550" t="s">
        <v>2467</v>
      </c>
      <c r="BE377" s="550"/>
      <c r="BF377" s="550"/>
      <c r="BG377" s="1099"/>
      <c r="BH377" s="1099"/>
      <c r="BI377" s="1102">
        <v>5.2</v>
      </c>
      <c r="BJ377" s="1105">
        <v>0.01</v>
      </c>
      <c r="BK377" s="895"/>
      <c r="BL377" s="895"/>
      <c r="BM377" s="895"/>
      <c r="BN377" s="895"/>
      <c r="BO377" s="895"/>
      <c r="BP377" s="895"/>
      <c r="BQ377" s="895"/>
      <c r="BR377" s="895"/>
      <c r="BS377" s="895"/>
      <c r="BT377" s="895"/>
      <c r="BU377" s="895"/>
      <c r="BV377" s="895"/>
      <c r="BW377" s="895">
        <v>101</v>
      </c>
      <c r="BX377" s="895"/>
      <c r="BY377" s="895"/>
      <c r="BZ377" s="895"/>
      <c r="CA377" s="895"/>
      <c r="CB377" s="895"/>
      <c r="CC377" s="895"/>
      <c r="CD377" s="895"/>
      <c r="CE377" s="895"/>
      <c r="CF377" s="895"/>
      <c r="CG377" s="1106"/>
      <c r="CH377" s="591"/>
      <c r="CI377" s="550"/>
      <c r="CJ377" s="550"/>
      <c r="CK377" s="895">
        <v>138</v>
      </c>
      <c r="CL377" s="1095">
        <v>239</v>
      </c>
      <c r="CM377" s="824">
        <f t="shared" si="40"/>
        <v>0</v>
      </c>
      <c r="CN377" s="1102">
        <v>837.9</v>
      </c>
      <c r="CO377" s="550" t="s">
        <v>2470</v>
      </c>
      <c r="CP377" s="550"/>
      <c r="CQ377" s="550">
        <v>85.6</v>
      </c>
      <c r="CR377" s="591">
        <v>979.17100000000005</v>
      </c>
      <c r="CS377" s="1101" t="s">
        <v>2414</v>
      </c>
      <c r="CT377" s="895" t="s">
        <v>539</v>
      </c>
      <c r="CU377" s="550"/>
      <c r="CV377" s="550"/>
      <c r="CW377" s="895"/>
      <c r="CX377" s="550"/>
      <c r="CY377" s="550"/>
      <c r="CZ377" s="895"/>
      <c r="DA377" s="550"/>
      <c r="DB377" s="895"/>
      <c r="DC377" s="895"/>
      <c r="DD377" s="895"/>
      <c r="DE377" s="895"/>
      <c r="DF377" s="895"/>
      <c r="DG377" s="550"/>
      <c r="DH377" s="550"/>
      <c r="DI377" s="895"/>
      <c r="DJ377" s="550"/>
      <c r="DK377" s="550"/>
      <c r="DL377" s="895"/>
      <c r="DM377" s="550"/>
      <c r="DN377" s="550"/>
      <c r="DO377" s="895"/>
      <c r="DP377" s="550"/>
      <c r="DQ377" s="550"/>
      <c r="DR377" s="895"/>
      <c r="DS377" s="550"/>
      <c r="DT377" s="550"/>
      <c r="DU377" s="895"/>
      <c r="DV377" s="550"/>
      <c r="DW377" s="550"/>
      <c r="DX377" s="895"/>
      <c r="DY377" s="895"/>
      <c r="DZ377" s="895"/>
      <c r="EA377" s="895"/>
      <c r="EB377" s="550"/>
      <c r="EC377" s="550"/>
      <c r="ED377" s="895"/>
      <c r="EE377" s="550"/>
      <c r="EF377" s="550"/>
      <c r="EG377" s="895"/>
      <c r="EH377" s="550"/>
      <c r="EI377" s="550"/>
      <c r="EJ377" s="895"/>
      <c r="EK377" s="895"/>
      <c r="EL377" s="895"/>
      <c r="EM377" s="895"/>
      <c r="EN377" s="550"/>
      <c r="EO377" s="550"/>
      <c r="EP377" s="895"/>
      <c r="EQ377" s="1099"/>
      <c r="ER377" s="550"/>
      <c r="ES377" s="1102"/>
      <c r="ET377" s="550" t="s">
        <v>2471</v>
      </c>
      <c r="EU377" s="550"/>
      <c r="EV377" s="1107" t="s">
        <v>2472</v>
      </c>
      <c r="EW377" s="550" t="s">
        <v>2473</v>
      </c>
      <c r="EX377" s="550"/>
      <c r="EY377" s="550">
        <v>92</v>
      </c>
      <c r="EZ377" s="550" t="s">
        <v>470</v>
      </c>
      <c r="FA377" s="550"/>
      <c r="FB377" s="1097" t="s">
        <v>2474</v>
      </c>
      <c r="FC377" s="550"/>
      <c r="FD377" s="1097" t="s">
        <v>2474</v>
      </c>
      <c r="FE377" s="550" t="s">
        <v>2475</v>
      </c>
      <c r="FF377" s="1097"/>
      <c r="FG377" s="550"/>
      <c r="FH377" s="550"/>
      <c r="FI377" s="550"/>
      <c r="FJ377" s="550" t="s">
        <v>2476</v>
      </c>
      <c r="FK377" s="550" t="s">
        <v>2477</v>
      </c>
      <c r="FL377" s="1097" t="s">
        <v>2478</v>
      </c>
      <c r="FM377" s="550"/>
      <c r="FN377" s="550"/>
      <c r="FO377" s="550"/>
    </row>
    <row r="378" spans="5:171" ht="104" customHeight="1" x14ac:dyDescent="0.2">
      <c r="E378" s="94" t="s">
        <v>9303</v>
      </c>
      <c r="F378" s="94" t="s">
        <v>9120</v>
      </c>
      <c r="G378" s="198" t="s">
        <v>358</v>
      </c>
      <c r="H378" s="198" t="s">
        <v>443</v>
      </c>
      <c r="I378" s="198"/>
      <c r="J378" s="550" t="s">
        <v>2455</v>
      </c>
      <c r="K378" s="550"/>
      <c r="L378" s="1095">
        <v>2020</v>
      </c>
      <c r="M378" s="1103" t="s">
        <v>578</v>
      </c>
      <c r="N378" s="1103" t="s">
        <v>554</v>
      </c>
      <c r="O378" s="550" t="s">
        <v>2456</v>
      </c>
      <c r="P378" s="550" t="s">
        <v>2442</v>
      </c>
      <c r="Q378" s="1097" t="s">
        <v>2443</v>
      </c>
      <c r="R378" s="550"/>
      <c r="S378" s="550"/>
      <c r="T378" s="550"/>
      <c r="U378" s="550"/>
      <c r="V378" s="550"/>
      <c r="W378" s="550"/>
      <c r="X378" s="550"/>
      <c r="Y378" s="550"/>
      <c r="Z378" s="550"/>
      <c r="AA378" s="550"/>
      <c r="AB378" s="550"/>
      <c r="AC378" s="550"/>
      <c r="AD378" s="550"/>
      <c r="AE378" s="550"/>
      <c r="AF378" s="550"/>
      <c r="AG378" s="550"/>
      <c r="AH378" s="550" t="s">
        <v>2444</v>
      </c>
      <c r="AI378" s="550" t="s">
        <v>2444</v>
      </c>
      <c r="AJ378" s="550" t="s">
        <v>504</v>
      </c>
      <c r="AK378" s="550" t="s">
        <v>2457</v>
      </c>
      <c r="AL378" s="580">
        <f t="shared" si="41"/>
        <v>136.21818296000001</v>
      </c>
      <c r="AM378" s="504">
        <v>136.21818296000001</v>
      </c>
      <c r="AN378" s="516">
        <v>4.6591705299999999</v>
      </c>
      <c r="AO378" s="1099">
        <f>AN378/AL378</f>
        <v>3.4203734250134205E-2</v>
      </c>
      <c r="AP378" s="1099">
        <v>1E-4</v>
      </c>
      <c r="AQ378" s="1100">
        <v>0.13211147000000001</v>
      </c>
      <c r="AR378" s="1099">
        <f>AQ378/AL378</f>
        <v>9.6985194728954854E-4</v>
      </c>
      <c r="AS378" s="1099"/>
      <c r="AT378" s="1074"/>
      <c r="AU378" s="1099"/>
      <c r="AV378" s="1074">
        <v>4.4024009599999996</v>
      </c>
      <c r="AW378" s="1099">
        <f>AV378/AL378</f>
        <v>3.2318746765934686E-2</v>
      </c>
      <c r="AX378" s="1074"/>
      <c r="AY378" s="1099"/>
      <c r="AZ378" s="1074">
        <v>127.0245</v>
      </c>
      <c r="BA378" s="1099">
        <f>AZ378/AL378</f>
        <v>0.93250766703664156</v>
      </c>
      <c r="BB378" s="550" t="s">
        <v>2458</v>
      </c>
      <c r="BC378" s="550" t="s">
        <v>875</v>
      </c>
      <c r="BD378" s="550" t="s">
        <v>2444</v>
      </c>
      <c r="BE378" s="550" t="s">
        <v>539</v>
      </c>
      <c r="BF378" s="550"/>
      <c r="BG378" s="550"/>
      <c r="BH378" s="550"/>
      <c r="BI378" s="1074">
        <v>13.14110329</v>
      </c>
      <c r="BJ378" s="1099">
        <v>2.0000000000000001E-4</v>
      </c>
      <c r="BK378" s="895">
        <v>34</v>
      </c>
      <c r="BL378" s="895">
        <v>29</v>
      </c>
      <c r="BM378" s="895">
        <v>2</v>
      </c>
      <c r="BN378" s="895">
        <v>1</v>
      </c>
      <c r="BO378" s="895"/>
      <c r="BP378" s="895"/>
      <c r="BQ378" s="895"/>
      <c r="BR378" s="895"/>
      <c r="BS378" s="895"/>
      <c r="BT378" s="895"/>
      <c r="BU378" s="895"/>
      <c r="BV378" s="895">
        <v>1</v>
      </c>
      <c r="BW378" s="895"/>
      <c r="BX378" s="895"/>
      <c r="BY378" s="895"/>
      <c r="BZ378" s="895"/>
      <c r="CA378" s="895"/>
      <c r="CB378" s="895"/>
      <c r="CC378" s="895"/>
      <c r="CD378" s="895"/>
      <c r="CE378" s="895"/>
      <c r="CF378" s="895"/>
      <c r="CG378" s="895"/>
      <c r="CH378" s="895"/>
      <c r="CI378" s="895"/>
      <c r="CJ378" s="895"/>
      <c r="CK378" s="895"/>
      <c r="CL378" s="1108">
        <f t="shared" ref="CL378:CL385" si="44">SUM(BN378:CK378)</f>
        <v>2</v>
      </c>
      <c r="CM378" s="824">
        <f t="shared" si="40"/>
        <v>0</v>
      </c>
      <c r="CN378" s="591">
        <v>2.9220000000000002</v>
      </c>
      <c r="CO378" s="550" t="s">
        <v>539</v>
      </c>
      <c r="CP378" s="550"/>
      <c r="CQ378" s="1099">
        <v>3.0000000000000001E-3</v>
      </c>
      <c r="CR378" s="591">
        <v>979.17100000000005</v>
      </c>
      <c r="CS378" s="1109" t="s">
        <v>2414</v>
      </c>
      <c r="CT378" s="550" t="s">
        <v>539</v>
      </c>
      <c r="CU378" s="550" t="s">
        <v>539</v>
      </c>
      <c r="CV378" s="550"/>
      <c r="CW378" s="550"/>
      <c r="CX378" s="895"/>
      <c r="CY378" s="895"/>
      <c r="CZ378" s="895"/>
      <c r="DA378" s="550" t="s">
        <v>539</v>
      </c>
      <c r="DB378" s="550"/>
      <c r="DC378" s="895"/>
      <c r="DD378" s="550" t="s">
        <v>540</v>
      </c>
      <c r="DE378" s="550" t="s">
        <v>2459</v>
      </c>
      <c r="DF378" s="895">
        <v>2988</v>
      </c>
      <c r="DG378" s="895" t="s">
        <v>539</v>
      </c>
      <c r="DH378" s="895"/>
      <c r="DI378" s="895"/>
      <c r="DJ378" s="895" t="s">
        <v>539</v>
      </c>
      <c r="DK378" s="895"/>
      <c r="DL378" s="895"/>
      <c r="DM378" s="550" t="s">
        <v>539</v>
      </c>
      <c r="DN378" s="550"/>
      <c r="DO378" s="895"/>
      <c r="DP378" s="550" t="s">
        <v>539</v>
      </c>
      <c r="DQ378" s="550"/>
      <c r="DR378" s="895"/>
      <c r="DS378" s="550" t="s">
        <v>539</v>
      </c>
      <c r="DT378" s="550"/>
      <c r="DU378" s="895"/>
      <c r="DV378" s="550"/>
      <c r="DW378" s="550"/>
      <c r="DX378" s="895"/>
      <c r="DY378" s="550" t="s">
        <v>539</v>
      </c>
      <c r="DZ378" s="550"/>
      <c r="EA378" s="895"/>
      <c r="EB378" s="550" t="s">
        <v>539</v>
      </c>
      <c r="EC378" s="550"/>
      <c r="ED378" s="895"/>
      <c r="EE378" s="895" t="s">
        <v>539</v>
      </c>
      <c r="EF378" s="895"/>
      <c r="EG378" s="895"/>
      <c r="EH378" s="550" t="s">
        <v>539</v>
      </c>
      <c r="EI378" s="550"/>
      <c r="EJ378" s="895"/>
      <c r="EK378" s="550" t="s">
        <v>539</v>
      </c>
      <c r="EL378" s="550"/>
      <c r="EM378" s="895"/>
      <c r="EN378" s="550" t="s">
        <v>540</v>
      </c>
      <c r="EO378" s="550" t="s">
        <v>2460</v>
      </c>
      <c r="EP378" s="895">
        <v>6</v>
      </c>
      <c r="EQ378" s="895" t="s">
        <v>539</v>
      </c>
      <c r="ER378" s="895"/>
      <c r="ES378" s="895"/>
      <c r="ET378" s="550" t="s">
        <v>539</v>
      </c>
      <c r="EU378" s="550"/>
      <c r="EV378" s="895"/>
      <c r="EW378" s="550">
        <v>100</v>
      </c>
      <c r="EX378" s="550"/>
      <c r="EY378" s="1102">
        <v>15</v>
      </c>
      <c r="EZ378" s="550" t="s">
        <v>539</v>
      </c>
      <c r="FA378" s="550"/>
      <c r="FB378" s="846" t="s">
        <v>2449</v>
      </c>
      <c r="FC378" s="550"/>
      <c r="FD378" s="550"/>
      <c r="FE378" s="550" t="s">
        <v>2450</v>
      </c>
      <c r="FF378" s="550" t="s">
        <v>539</v>
      </c>
      <c r="FG378" s="550" t="s">
        <v>2451</v>
      </c>
      <c r="FH378" s="550"/>
      <c r="FI378" s="550"/>
      <c r="FJ378" s="550" t="s">
        <v>2461</v>
      </c>
      <c r="FK378" s="550" t="s">
        <v>2462</v>
      </c>
      <c r="FL378" s="846" t="s">
        <v>2463</v>
      </c>
      <c r="FM378" s="550"/>
      <c r="FN378" s="550"/>
      <c r="FO378" s="550"/>
    </row>
    <row r="379" spans="5:171" ht="104" customHeight="1" x14ac:dyDescent="0.2">
      <c r="E379" s="94" t="s">
        <v>9302</v>
      </c>
      <c r="F379" s="94" t="s">
        <v>9120</v>
      </c>
      <c r="G379" s="198" t="s">
        <v>358</v>
      </c>
      <c r="H379" s="198" t="s">
        <v>443</v>
      </c>
      <c r="I379" s="198"/>
      <c r="J379" s="550" t="s">
        <v>2427</v>
      </c>
      <c r="K379" s="550" t="s">
        <v>1414</v>
      </c>
      <c r="L379" s="1095">
        <v>2022</v>
      </c>
      <c r="M379" s="1096">
        <v>44609</v>
      </c>
      <c r="N379" s="1096">
        <v>44926</v>
      </c>
      <c r="O379" s="550" t="s">
        <v>2428</v>
      </c>
      <c r="P379" s="550" t="s">
        <v>2404</v>
      </c>
      <c r="Q379" s="1097" t="s">
        <v>2405</v>
      </c>
      <c r="R379" s="895"/>
      <c r="S379" s="895"/>
      <c r="T379" s="895"/>
      <c r="U379" s="895"/>
      <c r="V379" s="895"/>
      <c r="W379" s="895"/>
      <c r="X379" s="895" t="s">
        <v>2429</v>
      </c>
      <c r="Y379" s="1097" t="s">
        <v>2430</v>
      </c>
      <c r="Z379" s="1097"/>
      <c r="AA379" s="1097"/>
      <c r="AB379" s="1097"/>
      <c r="AC379" s="1097"/>
      <c r="AD379" s="1097"/>
      <c r="AE379" s="1097"/>
      <c r="AF379" s="1097"/>
      <c r="AG379" s="1097"/>
      <c r="AH379" s="550" t="s">
        <v>2410</v>
      </c>
      <c r="AI379" s="550" t="s">
        <v>2411</v>
      </c>
      <c r="AJ379" s="550" t="s">
        <v>504</v>
      </c>
      <c r="AK379" s="550" t="s">
        <v>2431</v>
      </c>
      <c r="AL379" s="580">
        <f t="shared" si="41"/>
        <v>36.07</v>
      </c>
      <c r="AM379" s="504">
        <v>36.07</v>
      </c>
      <c r="AN379" s="516">
        <v>29</v>
      </c>
      <c r="AO379" s="1102">
        <v>80.400000000000006</v>
      </c>
      <c r="AP379" s="1105">
        <v>4.0000000000000002E-4</v>
      </c>
      <c r="AQ379" s="1100">
        <v>3.07</v>
      </c>
      <c r="AR379" s="1102">
        <v>8.5</v>
      </c>
      <c r="AS379" s="1102"/>
      <c r="AT379" s="1110">
        <v>4</v>
      </c>
      <c r="AU379" s="1102">
        <v>11.1</v>
      </c>
      <c r="AV379" s="1074">
        <v>0</v>
      </c>
      <c r="AW379" s="1095"/>
      <c r="AX379" s="1074"/>
      <c r="AY379" s="1095">
        <v>0</v>
      </c>
      <c r="AZ379" s="1074">
        <v>0</v>
      </c>
      <c r="BA379" s="895">
        <v>0</v>
      </c>
      <c r="BB379" s="895" t="s">
        <v>539</v>
      </c>
      <c r="BC379" s="895" t="s">
        <v>539</v>
      </c>
      <c r="BD379" s="895" t="s">
        <v>539</v>
      </c>
      <c r="BE379" s="550" t="s">
        <v>539</v>
      </c>
      <c r="BF379" s="895" t="s">
        <v>539</v>
      </c>
      <c r="BG379" s="895"/>
      <c r="BH379" s="895" t="s">
        <v>539</v>
      </c>
      <c r="BI379" s="550">
        <v>130</v>
      </c>
      <c r="BJ379" s="550">
        <v>0.19</v>
      </c>
      <c r="BK379" s="895">
        <v>31</v>
      </c>
      <c r="BL379" s="895">
        <v>29</v>
      </c>
      <c r="BM379" s="895">
        <v>28</v>
      </c>
      <c r="BN379" s="895">
        <v>0</v>
      </c>
      <c r="BO379" s="895">
        <v>8</v>
      </c>
      <c r="BP379" s="895">
        <v>0</v>
      </c>
      <c r="BQ379" s="895">
        <v>0</v>
      </c>
      <c r="BR379" s="895">
        <v>0</v>
      </c>
      <c r="BS379" s="895">
        <v>0</v>
      </c>
      <c r="BT379" s="895">
        <v>0</v>
      </c>
      <c r="BU379" s="895">
        <v>0</v>
      </c>
      <c r="BV379" s="895">
        <v>0</v>
      </c>
      <c r="BW379" s="895">
        <v>16</v>
      </c>
      <c r="BX379" s="895">
        <v>0</v>
      </c>
      <c r="BY379" s="895">
        <v>0</v>
      </c>
      <c r="BZ379" s="895">
        <v>3</v>
      </c>
      <c r="CA379" s="895">
        <v>1</v>
      </c>
      <c r="CB379" s="895">
        <v>0</v>
      </c>
      <c r="CC379" s="895">
        <v>0</v>
      </c>
      <c r="CD379" s="895">
        <v>0</v>
      </c>
      <c r="CE379" s="895">
        <v>0</v>
      </c>
      <c r="CF379" s="895">
        <v>0</v>
      </c>
      <c r="CG379" s="895">
        <v>0</v>
      </c>
      <c r="CH379" s="895"/>
      <c r="CI379" s="895"/>
      <c r="CJ379" s="895"/>
      <c r="CK379" s="895">
        <v>0</v>
      </c>
      <c r="CL379" s="1095">
        <f t="shared" si="44"/>
        <v>28</v>
      </c>
      <c r="CM379" s="824">
        <f t="shared" si="40"/>
        <v>0</v>
      </c>
      <c r="CN379" s="591">
        <v>54.585999999999999</v>
      </c>
      <c r="CO379" s="550" t="s">
        <v>2432</v>
      </c>
      <c r="CP379" s="1097" t="s">
        <v>2405</v>
      </c>
      <c r="CQ379" s="1099">
        <v>5.57E-2</v>
      </c>
      <c r="CR379" s="591">
        <v>979.17100000000005</v>
      </c>
      <c r="CS379" s="1101" t="s">
        <v>2414</v>
      </c>
      <c r="CT379" s="550" t="s">
        <v>539</v>
      </c>
      <c r="CU379" s="550"/>
      <c r="CV379" s="550"/>
      <c r="CW379" s="895">
        <v>0</v>
      </c>
      <c r="CX379" s="895">
        <v>0</v>
      </c>
      <c r="CY379" s="895"/>
      <c r="CZ379" s="895">
        <v>1</v>
      </c>
      <c r="DA379" s="550" t="s">
        <v>540</v>
      </c>
      <c r="DB379" s="550" t="s">
        <v>2433</v>
      </c>
      <c r="DC379" s="895">
        <v>5000</v>
      </c>
      <c r="DD379" s="550" t="s">
        <v>540</v>
      </c>
      <c r="DE379" s="550" t="s">
        <v>2433</v>
      </c>
      <c r="DF379" s="895">
        <v>5000</v>
      </c>
      <c r="DG379" s="550" t="s">
        <v>539</v>
      </c>
      <c r="DH379" s="550"/>
      <c r="DI379" s="550"/>
      <c r="DJ379" s="550" t="s">
        <v>539</v>
      </c>
      <c r="DK379" s="550"/>
      <c r="DL379" s="550"/>
      <c r="DM379" s="550" t="s">
        <v>539</v>
      </c>
      <c r="DN379" s="550"/>
      <c r="DO379" s="550"/>
      <c r="DP379" s="550" t="s">
        <v>539</v>
      </c>
      <c r="DQ379" s="550"/>
      <c r="DR379" s="550"/>
      <c r="DS379" s="550" t="s">
        <v>539</v>
      </c>
      <c r="DT379" s="550"/>
      <c r="DU379" s="895"/>
      <c r="DV379" s="550"/>
      <c r="DW379" s="550"/>
      <c r="DX379" s="895"/>
      <c r="DY379" s="550" t="s">
        <v>539</v>
      </c>
      <c r="DZ379" s="550"/>
      <c r="EA379" s="895"/>
      <c r="EB379" s="550" t="s">
        <v>540</v>
      </c>
      <c r="EC379" s="550" t="s">
        <v>2434</v>
      </c>
      <c r="ED379" s="895"/>
      <c r="EE379" s="895" t="s">
        <v>539</v>
      </c>
      <c r="EF379" s="895"/>
      <c r="EG379" s="895"/>
      <c r="EH379" s="550" t="s">
        <v>539</v>
      </c>
      <c r="EI379" s="550"/>
      <c r="EJ379" s="895"/>
      <c r="EK379" s="550" t="s">
        <v>539</v>
      </c>
      <c r="EL379" s="550"/>
      <c r="EM379" s="895"/>
      <c r="EN379" s="550" t="s">
        <v>539</v>
      </c>
      <c r="EO379" s="550"/>
      <c r="EP379" s="895"/>
      <c r="EQ379" s="895" t="s">
        <v>539</v>
      </c>
      <c r="ER379" s="895"/>
      <c r="ES379" s="895"/>
      <c r="ET379" s="550"/>
      <c r="EU379" s="550"/>
      <c r="EV379" s="895"/>
      <c r="EW379" s="995">
        <v>1</v>
      </c>
      <c r="EX379" s="550"/>
      <c r="EY379" s="1102">
        <v>25</v>
      </c>
      <c r="EZ379" s="550" t="s">
        <v>539</v>
      </c>
      <c r="FA379" s="550"/>
      <c r="FB379" s="550"/>
      <c r="FC379" s="550"/>
      <c r="FD379" s="550"/>
      <c r="FE379" s="550" t="s">
        <v>2435</v>
      </c>
      <c r="FF379" s="550"/>
      <c r="FG379" s="550" t="s">
        <v>2436</v>
      </c>
      <c r="FH379" s="550">
        <v>30</v>
      </c>
      <c r="FI379" s="550">
        <v>274</v>
      </c>
      <c r="FJ379" s="550" t="s">
        <v>2437</v>
      </c>
      <c r="FK379" s="550" t="s">
        <v>2438</v>
      </c>
      <c r="FL379" s="1111" t="s">
        <v>2439</v>
      </c>
      <c r="FM379" s="550"/>
      <c r="FN379" s="550"/>
      <c r="FO379" s="550"/>
    </row>
    <row r="380" spans="5:171" ht="76" customHeight="1" x14ac:dyDescent="0.2">
      <c r="E380" s="94" t="s">
        <v>9305</v>
      </c>
      <c r="F380" s="94" t="s">
        <v>9121</v>
      </c>
      <c r="G380" s="97" t="s">
        <v>358</v>
      </c>
      <c r="H380" s="97" t="s">
        <v>443</v>
      </c>
      <c r="I380" s="97" t="s">
        <v>8652</v>
      </c>
      <c r="J380" s="97"/>
      <c r="K380" s="97" t="s">
        <v>8356</v>
      </c>
      <c r="L380" s="502">
        <v>2017</v>
      </c>
      <c r="M380" s="841" t="s">
        <v>8271</v>
      </c>
      <c r="N380" s="841" t="s">
        <v>8206</v>
      </c>
      <c r="O380" s="841"/>
      <c r="P380" s="841"/>
      <c r="Q380" s="841"/>
      <c r="R380" s="841"/>
      <c r="S380" s="841"/>
      <c r="T380" s="841"/>
      <c r="U380" s="841"/>
      <c r="V380" s="841"/>
      <c r="W380" s="841"/>
      <c r="X380" s="841"/>
      <c r="Y380" s="841"/>
      <c r="Z380" s="97"/>
      <c r="AA380" s="97"/>
      <c r="AB380" s="97"/>
      <c r="AC380" s="97"/>
      <c r="AD380" s="97" t="s">
        <v>7390</v>
      </c>
      <c r="AE380" s="97" t="s">
        <v>7212</v>
      </c>
      <c r="AF380" s="97" t="s">
        <v>7125</v>
      </c>
      <c r="AG380" s="872" t="s">
        <v>7059</v>
      </c>
      <c r="AH380" s="97" t="s">
        <v>6395</v>
      </c>
      <c r="AI380" s="97" t="s">
        <v>6783</v>
      </c>
      <c r="AJ380" s="97" t="s">
        <v>6643</v>
      </c>
      <c r="AK380" s="97" t="s">
        <v>6395</v>
      </c>
      <c r="AL380" s="580">
        <f t="shared" si="41"/>
        <v>1.2810000000000001</v>
      </c>
      <c r="AM380" s="504">
        <v>1.2810000000000001</v>
      </c>
      <c r="AN380" s="516"/>
      <c r="AO380" s="97"/>
      <c r="AP380" s="97"/>
      <c r="AQ380" s="504">
        <f>0.446+0.001</f>
        <v>0.44700000000000001</v>
      </c>
      <c r="AR380" s="507">
        <v>0.34899999999999998</v>
      </c>
      <c r="AS380" s="507">
        <v>4.0000000000000002E-4</v>
      </c>
      <c r="AT380" s="516">
        <f>0.446+0.388</f>
        <v>0.83400000000000007</v>
      </c>
      <c r="AU380" s="507">
        <v>0.65100000000000002</v>
      </c>
      <c r="AV380" s="516"/>
      <c r="AW380" s="507"/>
      <c r="AX380" s="516"/>
      <c r="AY380" s="507"/>
      <c r="AZ380" s="516"/>
      <c r="BA380" s="507"/>
      <c r="BB380" s="507"/>
      <c r="BC380" s="507"/>
      <c r="BD380" s="507"/>
      <c r="BE380" s="507" t="s">
        <v>470</v>
      </c>
      <c r="BF380" s="507"/>
      <c r="BG380" s="507"/>
      <c r="BH380" s="852"/>
      <c r="BI380" s="504">
        <f>5.25196+6.121</f>
        <v>11.372960000000001</v>
      </c>
      <c r="BJ380" s="507">
        <v>1.66E-2</v>
      </c>
      <c r="BK380" s="96">
        <v>6</v>
      </c>
      <c r="BL380" s="96">
        <v>6</v>
      </c>
      <c r="BM380" s="96">
        <v>6</v>
      </c>
      <c r="BN380" s="96"/>
      <c r="BO380" s="96"/>
      <c r="BP380" s="96"/>
      <c r="BQ380" s="96"/>
      <c r="BR380" s="96"/>
      <c r="BS380" s="96"/>
      <c r="BT380" s="96"/>
      <c r="BU380" s="96"/>
      <c r="BV380" s="96"/>
      <c r="BW380" s="96">
        <v>3</v>
      </c>
      <c r="BX380" s="96">
        <v>3</v>
      </c>
      <c r="BY380" s="96"/>
      <c r="BZ380" s="96"/>
      <c r="CA380" s="96"/>
      <c r="CB380" s="96"/>
      <c r="CC380" s="96"/>
      <c r="CD380" s="96"/>
      <c r="CE380" s="96"/>
      <c r="CF380" s="96"/>
      <c r="CG380" s="96"/>
      <c r="CH380" s="96"/>
      <c r="CI380" s="96"/>
      <c r="CJ380" s="96"/>
      <c r="CK380" s="96"/>
      <c r="CL380" s="815">
        <f t="shared" si="44"/>
        <v>6</v>
      </c>
      <c r="CM380" s="824">
        <f t="shared" si="40"/>
        <v>0</v>
      </c>
      <c r="CN380" s="504">
        <v>5.1440000000000001</v>
      </c>
      <c r="CO380" s="97" t="s">
        <v>6031</v>
      </c>
      <c r="CP380" s="97"/>
      <c r="CQ380" s="507">
        <v>0.222</v>
      </c>
      <c r="CR380" s="504">
        <v>23.161999999999999</v>
      </c>
      <c r="CS380" s="97"/>
      <c r="CT380" s="97" t="s">
        <v>470</v>
      </c>
      <c r="CU380" s="97"/>
      <c r="CV380" s="97"/>
      <c r="CW380" s="97"/>
      <c r="CX380" s="96"/>
      <c r="CY380" s="96"/>
      <c r="CZ380" s="96">
        <v>6</v>
      </c>
      <c r="DA380" s="97" t="s">
        <v>470</v>
      </c>
      <c r="DB380" s="97"/>
      <c r="DC380" s="96"/>
      <c r="DD380" s="97" t="s">
        <v>479</v>
      </c>
      <c r="DE380" s="97" t="s">
        <v>5601</v>
      </c>
      <c r="DF380" s="96"/>
      <c r="DG380" s="96" t="s">
        <v>470</v>
      </c>
      <c r="DH380" s="96"/>
      <c r="DI380" s="96"/>
      <c r="DJ380" s="96" t="s">
        <v>470</v>
      </c>
      <c r="DK380" s="96"/>
      <c r="DL380" s="96"/>
      <c r="DM380" s="97" t="s">
        <v>470</v>
      </c>
      <c r="DN380" s="97"/>
      <c r="DO380" s="96"/>
      <c r="DP380" s="97" t="s">
        <v>470</v>
      </c>
      <c r="DQ380" s="97"/>
      <c r="DR380" s="96"/>
      <c r="DS380" s="97" t="s">
        <v>470</v>
      </c>
      <c r="DT380" s="97"/>
      <c r="DU380" s="96"/>
      <c r="DV380" s="97" t="s">
        <v>5499</v>
      </c>
      <c r="DW380" s="97" t="s">
        <v>5475</v>
      </c>
      <c r="DX380" s="96"/>
      <c r="DY380" s="97" t="s">
        <v>470</v>
      </c>
      <c r="DZ380" s="97"/>
      <c r="EA380" s="96"/>
      <c r="EB380" s="97" t="s">
        <v>479</v>
      </c>
      <c r="EC380" s="97" t="s">
        <v>5390</v>
      </c>
      <c r="ED380" s="96"/>
      <c r="EE380" s="96" t="s">
        <v>470</v>
      </c>
      <c r="EF380" s="96"/>
      <c r="EG380" s="96"/>
      <c r="EH380" s="97" t="s">
        <v>470</v>
      </c>
      <c r="EI380" s="97"/>
      <c r="EJ380" s="96"/>
      <c r="EK380" s="97" t="s">
        <v>470</v>
      </c>
      <c r="EL380" s="97"/>
      <c r="EM380" s="96"/>
      <c r="EN380" s="97" t="s">
        <v>470</v>
      </c>
      <c r="EO380" s="97"/>
      <c r="EP380" s="96"/>
      <c r="EQ380" s="96" t="s">
        <v>470</v>
      </c>
      <c r="ER380" s="96"/>
      <c r="ES380" s="96"/>
      <c r="ET380" s="97" t="s">
        <v>470</v>
      </c>
      <c r="EU380" s="97"/>
      <c r="EV380" s="96"/>
      <c r="EW380" s="96"/>
      <c r="EX380" s="96"/>
      <c r="EY380" s="96"/>
      <c r="EZ380" s="97" t="s">
        <v>470</v>
      </c>
      <c r="FA380" s="97"/>
      <c r="FB380" s="97"/>
      <c r="FC380" s="872" t="s">
        <v>4951</v>
      </c>
      <c r="FD380" s="97"/>
      <c r="FE380" s="97" t="s">
        <v>4761</v>
      </c>
      <c r="FF380" s="97"/>
      <c r="FG380" s="97" t="s">
        <v>470</v>
      </c>
      <c r="FH380" s="97">
        <v>0</v>
      </c>
      <c r="FI380" s="97">
        <v>0</v>
      </c>
      <c r="FJ380" s="97" t="s">
        <v>4359</v>
      </c>
      <c r="FK380" s="97">
        <v>84755841755</v>
      </c>
      <c r="FL380" s="872" t="s">
        <v>3957</v>
      </c>
      <c r="FM380" s="97" t="s">
        <v>3856</v>
      </c>
      <c r="FN380" s="97" t="s">
        <v>3787</v>
      </c>
      <c r="FO380" s="872" t="s">
        <v>3709</v>
      </c>
    </row>
    <row r="381" spans="5:171" ht="44" customHeight="1" x14ac:dyDescent="0.2">
      <c r="E381" s="94" t="s">
        <v>9308</v>
      </c>
      <c r="F381" s="94" t="s">
        <v>9120</v>
      </c>
      <c r="G381" s="198" t="s">
        <v>359</v>
      </c>
      <c r="H381" s="198" t="s">
        <v>444</v>
      </c>
      <c r="I381" s="198"/>
      <c r="J381" s="198" t="s">
        <v>2920</v>
      </c>
      <c r="K381" s="198" t="s">
        <v>2921</v>
      </c>
      <c r="L381" s="578">
        <v>2014</v>
      </c>
      <c r="M381" s="822" t="s">
        <v>9383</v>
      </c>
      <c r="N381" s="822" t="s">
        <v>472</v>
      </c>
      <c r="O381" s="198" t="s">
        <v>2924</v>
      </c>
      <c r="P381" s="198" t="s">
        <v>2925</v>
      </c>
      <c r="Q381" s="549" t="s">
        <v>2926</v>
      </c>
      <c r="R381" s="198" t="s">
        <v>2927</v>
      </c>
      <c r="S381" s="549" t="s">
        <v>2928</v>
      </c>
      <c r="T381" s="198"/>
      <c r="U381" s="198"/>
      <c r="V381" s="198"/>
      <c r="W381" s="198"/>
      <c r="X381" s="198"/>
      <c r="Y381" s="198"/>
      <c r="Z381" s="198"/>
      <c r="AA381" s="198"/>
      <c r="AB381" s="198"/>
      <c r="AC381" s="198"/>
      <c r="AD381" s="198"/>
      <c r="AE381" s="198"/>
      <c r="AF381" s="198"/>
      <c r="AG381" s="198"/>
      <c r="AH381" s="198" t="s">
        <v>2929</v>
      </c>
      <c r="AI381" s="198" t="s">
        <v>2929</v>
      </c>
      <c r="AJ381" s="198" t="s">
        <v>2328</v>
      </c>
      <c r="AK381" s="198" t="s">
        <v>2930</v>
      </c>
      <c r="AL381" s="580">
        <f t="shared" si="41"/>
        <v>1707.3300000000002</v>
      </c>
      <c r="AM381" s="504">
        <v>1707.3300000000002</v>
      </c>
      <c r="AN381" s="516">
        <v>1352.0630000000001</v>
      </c>
      <c r="AO381" s="137">
        <v>0.79200000000000004</v>
      </c>
      <c r="AP381" s="137">
        <v>2.8999999999999998E-3</v>
      </c>
      <c r="AQ381" s="504"/>
      <c r="AR381" s="137"/>
      <c r="AS381" s="137"/>
      <c r="AT381" s="520">
        <v>355.267</v>
      </c>
      <c r="AU381" s="137">
        <v>0.20799999999999999</v>
      </c>
      <c r="AV381" s="520"/>
      <c r="AW381" s="137"/>
      <c r="AX381" s="520"/>
      <c r="AY381" s="137"/>
      <c r="AZ381" s="520"/>
      <c r="BA381" s="137"/>
      <c r="BB381" s="198"/>
      <c r="BC381" s="198"/>
      <c r="BD381" s="198"/>
      <c r="BE381" s="198"/>
      <c r="BF381" s="198"/>
      <c r="BG381" s="198"/>
      <c r="BH381" s="198"/>
      <c r="BI381" s="580">
        <v>1352.0630000000001</v>
      </c>
      <c r="BJ381" s="137">
        <v>3.5999999999999999E-3</v>
      </c>
      <c r="BK381" s="83"/>
      <c r="BL381" s="83">
        <v>4433</v>
      </c>
      <c r="BM381" s="83">
        <v>4433</v>
      </c>
      <c r="BN381" s="83">
        <v>555</v>
      </c>
      <c r="BO381" s="83">
        <v>1154</v>
      </c>
      <c r="BP381" s="83">
        <v>400</v>
      </c>
      <c r="BQ381" s="83">
        <v>240</v>
      </c>
      <c r="BR381" s="83"/>
      <c r="BS381" s="83">
        <v>15</v>
      </c>
      <c r="BT381" s="83"/>
      <c r="BU381" s="83">
        <v>94</v>
      </c>
      <c r="BV381" s="83">
        <v>39</v>
      </c>
      <c r="BW381" s="83"/>
      <c r="BX381" s="83">
        <v>146</v>
      </c>
      <c r="BY381" s="83">
        <v>1190</v>
      </c>
      <c r="BZ381" s="83">
        <v>504</v>
      </c>
      <c r="CA381" s="83">
        <v>93</v>
      </c>
      <c r="CB381" s="83"/>
      <c r="CC381" s="83"/>
      <c r="CD381" s="83"/>
      <c r="CE381" s="83">
        <v>3</v>
      </c>
      <c r="CF381" s="83"/>
      <c r="CG381" s="83"/>
      <c r="CH381" s="83"/>
      <c r="CI381" s="83"/>
      <c r="CJ381" s="83"/>
      <c r="CK381" s="83"/>
      <c r="CL381" s="824">
        <f t="shared" si="44"/>
        <v>4433</v>
      </c>
      <c r="CM381" s="824">
        <f t="shared" si="40"/>
        <v>0</v>
      </c>
      <c r="CN381" s="580">
        <v>1108.1020000000001</v>
      </c>
      <c r="CO381" s="198" t="s">
        <v>2931</v>
      </c>
      <c r="CP381" s="198"/>
      <c r="CQ381" s="137">
        <v>0.28510000000000002</v>
      </c>
      <c r="CR381" s="580">
        <v>3886.395</v>
      </c>
      <c r="CS381" s="834" t="s">
        <v>2932</v>
      </c>
      <c r="CT381" s="198"/>
      <c r="CU381" s="198"/>
      <c r="CV381" s="198"/>
      <c r="CW381" s="198"/>
      <c r="CX381" s="83"/>
      <c r="CY381" s="83"/>
      <c r="CZ381" s="83"/>
      <c r="DA381" s="198"/>
      <c r="DB381" s="198"/>
      <c r="DC381" s="83"/>
      <c r="DD381" s="198"/>
      <c r="DE381" s="198" t="s">
        <v>479</v>
      </c>
      <c r="DF381" s="83"/>
      <c r="DG381" s="83"/>
      <c r="DH381" s="83"/>
      <c r="DI381" s="83"/>
      <c r="DJ381" s="83"/>
      <c r="DK381" s="83"/>
      <c r="DL381" s="83"/>
      <c r="DM381" s="198"/>
      <c r="DN381" s="198"/>
      <c r="DO381" s="83"/>
      <c r="DP381" s="198"/>
      <c r="DQ381" s="198"/>
      <c r="DR381" s="83"/>
      <c r="DS381" s="198"/>
      <c r="DT381" s="198"/>
      <c r="DU381" s="83"/>
      <c r="DV381" s="198"/>
      <c r="DW381" s="198"/>
      <c r="DX381" s="83"/>
      <c r="DY381" s="198"/>
      <c r="DZ381" s="198"/>
      <c r="EA381" s="83"/>
      <c r="EB381" s="198" t="s">
        <v>479</v>
      </c>
      <c r="EC381" s="198" t="s">
        <v>2933</v>
      </c>
      <c r="ED381" s="83">
        <v>444744</v>
      </c>
      <c r="EE381" s="83"/>
      <c r="EF381" s="83"/>
      <c r="EG381" s="83"/>
      <c r="EH381" s="198"/>
      <c r="EI381" s="198"/>
      <c r="EJ381" s="83"/>
      <c r="EK381" s="198"/>
      <c r="EL381" s="198"/>
      <c r="EM381" s="83"/>
      <c r="EN381" s="198"/>
      <c r="EO381" s="198"/>
      <c r="EP381" s="83"/>
      <c r="EQ381" s="83"/>
      <c r="ER381" s="83"/>
      <c r="ES381" s="83"/>
      <c r="ET381" s="198"/>
      <c r="EU381" s="198"/>
      <c r="EV381" s="83"/>
      <c r="EW381" s="837">
        <v>1</v>
      </c>
      <c r="EX381" s="198"/>
      <c r="EY381" s="505">
        <v>887</v>
      </c>
      <c r="EZ381" s="198" t="s">
        <v>470</v>
      </c>
      <c r="FA381" s="198"/>
      <c r="FB381" s="198"/>
      <c r="FC381" s="198"/>
      <c r="FD381" s="198"/>
      <c r="FE381" s="198" t="s">
        <v>9384</v>
      </c>
      <c r="FF381" s="198"/>
      <c r="FG381" s="198" t="s">
        <v>2934</v>
      </c>
      <c r="FH381" s="198">
        <v>10</v>
      </c>
      <c r="FI381" s="198">
        <v>304</v>
      </c>
      <c r="FJ381" s="198" t="s">
        <v>2935</v>
      </c>
      <c r="FK381" s="198" t="s">
        <v>2936</v>
      </c>
      <c r="FL381" s="549" t="s">
        <v>2937</v>
      </c>
      <c r="FM381" s="198"/>
      <c r="FN381" s="198"/>
      <c r="FO381" s="549"/>
    </row>
    <row r="382" spans="5:171" ht="104" customHeight="1" x14ac:dyDescent="0.2">
      <c r="E382" s="94" t="s">
        <v>9302</v>
      </c>
      <c r="F382" s="94" t="s">
        <v>9120</v>
      </c>
      <c r="G382" s="198" t="s">
        <v>360</v>
      </c>
      <c r="H382" s="198" t="s">
        <v>445</v>
      </c>
      <c r="I382" s="198"/>
      <c r="J382" s="198" t="s">
        <v>3408</v>
      </c>
      <c r="K382" s="198" t="s">
        <v>3409</v>
      </c>
      <c r="L382" s="578">
        <v>2013</v>
      </c>
      <c r="M382" s="822">
        <v>44197</v>
      </c>
      <c r="N382" s="822">
        <v>44915</v>
      </c>
      <c r="O382" s="198" t="s">
        <v>3410</v>
      </c>
      <c r="P382" s="198" t="s">
        <v>3411</v>
      </c>
      <c r="Q382" s="198" t="s">
        <v>1447</v>
      </c>
      <c r="R382" s="198" t="s">
        <v>1447</v>
      </c>
      <c r="S382" s="198" t="s">
        <v>1447</v>
      </c>
      <c r="T382" s="198" t="s">
        <v>470</v>
      </c>
      <c r="U382" s="198" t="s">
        <v>1447</v>
      </c>
      <c r="V382" s="198" t="s">
        <v>3412</v>
      </c>
      <c r="W382" s="198" t="s">
        <v>3413</v>
      </c>
      <c r="X382" s="198" t="s">
        <v>3414</v>
      </c>
      <c r="Y382" s="198" t="s">
        <v>3415</v>
      </c>
      <c r="Z382" s="198"/>
      <c r="AA382" s="198"/>
      <c r="AB382" s="198"/>
      <c r="AC382" s="198"/>
      <c r="AD382" s="198"/>
      <c r="AE382" s="198"/>
      <c r="AF382" s="198"/>
      <c r="AG382" s="198"/>
      <c r="AH382" s="198" t="s">
        <v>3416</v>
      </c>
      <c r="AI382" s="198" t="s">
        <v>3416</v>
      </c>
      <c r="AJ382" s="198" t="s">
        <v>3417</v>
      </c>
      <c r="AK382" s="198" t="s">
        <v>3418</v>
      </c>
      <c r="AL382" s="580">
        <f t="shared" si="41"/>
        <v>299.01899999999995</v>
      </c>
      <c r="AM382" s="504">
        <v>299.01899999999995</v>
      </c>
      <c r="AN382" s="516">
        <v>192.86099999999999</v>
      </c>
      <c r="AO382" s="137">
        <f>AN382/AL382</f>
        <v>0.64497908159682171</v>
      </c>
      <c r="AP382" s="137">
        <f>AN382/104467.2</f>
        <v>1.8461392666789193E-3</v>
      </c>
      <c r="AQ382" s="504">
        <v>72.203000000000003</v>
      </c>
      <c r="AR382" s="137">
        <f>AQ382/AL382</f>
        <v>0.24146626134125262</v>
      </c>
      <c r="AS382" s="137"/>
      <c r="AT382" s="520"/>
      <c r="AU382" s="137"/>
      <c r="AV382" s="520"/>
      <c r="AW382" s="137"/>
      <c r="AX382" s="520">
        <v>33.954999999999998</v>
      </c>
      <c r="AY382" s="137">
        <f>AX382/AL382</f>
        <v>0.11355465706192584</v>
      </c>
      <c r="AZ382" s="520">
        <v>0</v>
      </c>
      <c r="BA382" s="137">
        <f>AZ382/AL382</f>
        <v>0</v>
      </c>
      <c r="BB382" s="198" t="s">
        <v>1447</v>
      </c>
      <c r="BC382" s="198" t="s">
        <v>1447</v>
      </c>
      <c r="BD382" s="198" t="s">
        <v>1447</v>
      </c>
      <c r="BE382" s="198" t="s">
        <v>479</v>
      </c>
      <c r="BF382" s="198" t="s">
        <v>3419</v>
      </c>
      <c r="BG382" s="198" t="s">
        <v>3420</v>
      </c>
      <c r="BH382" s="580" t="s">
        <v>3421</v>
      </c>
      <c r="BI382" s="580">
        <v>214.6</v>
      </c>
      <c r="BJ382" s="137">
        <f>BI382/113476.1</f>
        <v>1.8911471226099592E-3</v>
      </c>
      <c r="BK382" s="83">
        <v>332</v>
      </c>
      <c r="BL382" s="83">
        <v>332</v>
      </c>
      <c r="BM382" s="83">
        <v>220</v>
      </c>
      <c r="BN382" s="83">
        <v>40</v>
      </c>
      <c r="BO382" s="83">
        <v>24</v>
      </c>
      <c r="BP382" s="83">
        <v>21</v>
      </c>
      <c r="BQ382" s="83">
        <v>1</v>
      </c>
      <c r="BR382" s="83">
        <v>1</v>
      </c>
      <c r="BS382" s="83">
        <v>0</v>
      </c>
      <c r="BT382" s="83">
        <v>0</v>
      </c>
      <c r="BU382" s="83">
        <v>6</v>
      </c>
      <c r="BV382" s="83">
        <v>17</v>
      </c>
      <c r="BW382" s="83">
        <v>17</v>
      </c>
      <c r="BX382" s="83">
        <v>27</v>
      </c>
      <c r="BY382" s="83">
        <v>3</v>
      </c>
      <c r="BZ382" s="83">
        <v>14</v>
      </c>
      <c r="CA382" s="83">
        <v>28</v>
      </c>
      <c r="CB382" s="83">
        <v>0</v>
      </c>
      <c r="CC382" s="83">
        <v>0</v>
      </c>
      <c r="CD382" s="83">
        <v>0</v>
      </c>
      <c r="CE382" s="83">
        <v>21</v>
      </c>
      <c r="CF382" s="83">
        <v>0</v>
      </c>
      <c r="CG382" s="83">
        <v>0</v>
      </c>
      <c r="CH382" s="83">
        <v>0</v>
      </c>
      <c r="CI382" s="83">
        <v>0</v>
      </c>
      <c r="CJ382" s="83">
        <v>0</v>
      </c>
      <c r="CK382" s="83">
        <v>0</v>
      </c>
      <c r="CL382" s="824">
        <f t="shared" si="44"/>
        <v>220</v>
      </c>
      <c r="CM382" s="824">
        <f t="shared" si="40"/>
        <v>0</v>
      </c>
      <c r="CN382" s="580">
        <v>192.1</v>
      </c>
      <c r="CO382" s="198" t="s">
        <v>3422</v>
      </c>
      <c r="CP382" s="198" t="s">
        <v>1447</v>
      </c>
      <c r="CQ382" s="137">
        <f>CN382/CR382</f>
        <v>0.15615347098032839</v>
      </c>
      <c r="CR382" s="580">
        <v>1230.2</v>
      </c>
      <c r="CS382" s="137" t="s">
        <v>3423</v>
      </c>
      <c r="CT382" s="198" t="s">
        <v>470</v>
      </c>
      <c r="CU382" s="198" t="s">
        <v>1447</v>
      </c>
      <c r="CV382" s="198" t="s">
        <v>1447</v>
      </c>
      <c r="CW382" s="198" t="s">
        <v>1447</v>
      </c>
      <c r="CX382" s="83" t="s">
        <v>1447</v>
      </c>
      <c r="CY382" s="83" t="s">
        <v>1447</v>
      </c>
      <c r="CZ382" s="83">
        <v>2</v>
      </c>
      <c r="DA382" s="198" t="s">
        <v>479</v>
      </c>
      <c r="DB382" s="198" t="s">
        <v>3424</v>
      </c>
      <c r="DC382" s="198" t="s">
        <v>3425</v>
      </c>
      <c r="DD382" s="198" t="s">
        <v>479</v>
      </c>
      <c r="DE382" s="198" t="s">
        <v>3426</v>
      </c>
      <c r="DF382" s="83">
        <v>8561</v>
      </c>
      <c r="DG382" s="83" t="s">
        <v>470</v>
      </c>
      <c r="DH382" s="83" t="s">
        <v>1447</v>
      </c>
      <c r="DI382" s="83" t="s">
        <v>1447</v>
      </c>
      <c r="DJ382" s="83" t="s">
        <v>470</v>
      </c>
      <c r="DK382" s="83" t="s">
        <v>1447</v>
      </c>
      <c r="DL382" s="83" t="s">
        <v>1447</v>
      </c>
      <c r="DM382" s="198" t="s">
        <v>470</v>
      </c>
      <c r="DN382" s="198" t="s">
        <v>1447</v>
      </c>
      <c r="DO382" s="83" t="s">
        <v>1447</v>
      </c>
      <c r="DP382" s="198" t="s">
        <v>470</v>
      </c>
      <c r="DQ382" s="198" t="s">
        <v>1447</v>
      </c>
      <c r="DR382" s="83" t="s">
        <v>1447</v>
      </c>
      <c r="DS382" s="198" t="s">
        <v>470</v>
      </c>
      <c r="DT382" s="198" t="s">
        <v>1447</v>
      </c>
      <c r="DU382" s="83" t="s">
        <v>1447</v>
      </c>
      <c r="DV382" s="198" t="s">
        <v>1447</v>
      </c>
      <c r="DW382" s="198" t="s">
        <v>1447</v>
      </c>
      <c r="DX382" s="83" t="s">
        <v>1447</v>
      </c>
      <c r="DY382" s="198" t="s">
        <v>470</v>
      </c>
      <c r="DZ382" s="198" t="s">
        <v>1447</v>
      </c>
      <c r="EA382" s="83" t="s">
        <v>1447</v>
      </c>
      <c r="EB382" s="198" t="s">
        <v>479</v>
      </c>
      <c r="EC382" s="198" t="s">
        <v>3427</v>
      </c>
      <c r="ED382" s="83">
        <f>DF382</f>
        <v>8561</v>
      </c>
      <c r="EE382" s="83" t="s">
        <v>470</v>
      </c>
      <c r="EF382" s="83" t="s">
        <v>1447</v>
      </c>
      <c r="EG382" s="83" t="s">
        <v>1447</v>
      </c>
      <c r="EH382" s="198" t="s">
        <v>470</v>
      </c>
      <c r="EI382" s="198" t="s">
        <v>1447</v>
      </c>
      <c r="EJ382" s="83" t="s">
        <v>1447</v>
      </c>
      <c r="EK382" s="198" t="s">
        <v>470</v>
      </c>
      <c r="EL382" s="198" t="s">
        <v>1447</v>
      </c>
      <c r="EM382" s="83" t="s">
        <v>1447</v>
      </c>
      <c r="EN382" s="198" t="s">
        <v>479</v>
      </c>
      <c r="EO382" s="198" t="s">
        <v>3012</v>
      </c>
      <c r="EP382" s="83">
        <v>21</v>
      </c>
      <c r="EQ382" s="83" t="s">
        <v>470</v>
      </c>
      <c r="ER382" s="83" t="s">
        <v>1447</v>
      </c>
      <c r="ES382" s="83" t="s">
        <v>1447</v>
      </c>
      <c r="ET382" s="198" t="s">
        <v>1447</v>
      </c>
      <c r="EU382" s="198" t="s">
        <v>1447</v>
      </c>
      <c r="EV382" s="83" t="s">
        <v>1447</v>
      </c>
      <c r="EW382" s="198">
        <v>100</v>
      </c>
      <c r="EX382" s="198" t="s">
        <v>1447</v>
      </c>
      <c r="EY382" s="505">
        <v>76</v>
      </c>
      <c r="EZ382" s="198" t="s">
        <v>479</v>
      </c>
      <c r="FA382" s="198" t="s">
        <v>3428</v>
      </c>
      <c r="FB382" s="198" t="s">
        <v>3429</v>
      </c>
      <c r="FC382" s="198" t="s">
        <v>3430</v>
      </c>
      <c r="FD382" s="198" t="s">
        <v>3431</v>
      </c>
      <c r="FE382" s="198" t="s">
        <v>3432</v>
      </c>
      <c r="FF382" s="198" t="s">
        <v>1447</v>
      </c>
      <c r="FG382" s="198" t="s">
        <v>3433</v>
      </c>
      <c r="FH382" s="198">
        <v>3</v>
      </c>
      <c r="FI382" s="198" t="s">
        <v>934</v>
      </c>
      <c r="FJ382" s="198" t="s">
        <v>3434</v>
      </c>
      <c r="FK382" s="198" t="s">
        <v>3435</v>
      </c>
      <c r="FL382" s="198" t="s">
        <v>3436</v>
      </c>
      <c r="FM382" s="198" t="s">
        <v>3434</v>
      </c>
      <c r="FN382" s="198" t="s">
        <v>3435</v>
      </c>
      <c r="FO382" s="198" t="s">
        <v>3436</v>
      </c>
    </row>
    <row r="383" spans="5:171" ht="104" customHeight="1" x14ac:dyDescent="0.2">
      <c r="E383" s="94" t="s">
        <v>3236</v>
      </c>
      <c r="F383" s="94" t="s">
        <v>9120</v>
      </c>
      <c r="G383" s="198" t="s">
        <v>360</v>
      </c>
      <c r="H383" s="198" t="s">
        <v>445</v>
      </c>
      <c r="I383" s="198"/>
      <c r="J383" s="198" t="s">
        <v>3437</v>
      </c>
      <c r="K383" s="198" t="s">
        <v>3438</v>
      </c>
      <c r="L383" s="578">
        <v>2021</v>
      </c>
      <c r="M383" s="822">
        <v>44593</v>
      </c>
      <c r="N383" s="822" t="s">
        <v>993</v>
      </c>
      <c r="O383" s="198" t="s">
        <v>3439</v>
      </c>
      <c r="P383" s="198" t="s">
        <v>3440</v>
      </c>
      <c r="Q383" s="549" t="s">
        <v>3441</v>
      </c>
      <c r="R383" s="198" t="s">
        <v>1924</v>
      </c>
      <c r="S383" s="198"/>
      <c r="T383" s="198" t="s">
        <v>1924</v>
      </c>
      <c r="U383" s="198"/>
      <c r="V383" s="198" t="s">
        <v>3442</v>
      </c>
      <c r="W383" s="549" t="s">
        <v>3443</v>
      </c>
      <c r="X383" s="198" t="s">
        <v>3444</v>
      </c>
      <c r="Y383" s="549" t="s">
        <v>3445</v>
      </c>
      <c r="Z383" s="549"/>
      <c r="AA383" s="549"/>
      <c r="AB383" s="549"/>
      <c r="AC383" s="549"/>
      <c r="AD383" s="549"/>
      <c r="AE383" s="549"/>
      <c r="AF383" s="549"/>
      <c r="AG383" s="549"/>
      <c r="AH383" s="198" t="s">
        <v>3446</v>
      </c>
      <c r="AI383" s="198" t="s">
        <v>3446</v>
      </c>
      <c r="AJ383" s="198" t="s">
        <v>3447</v>
      </c>
      <c r="AK383" s="198" t="s">
        <v>3448</v>
      </c>
      <c r="AL383" s="580">
        <f t="shared" si="41"/>
        <v>14.248000000000001</v>
      </c>
      <c r="AM383" s="504">
        <v>14.248000000000001</v>
      </c>
      <c r="AN383" s="516">
        <v>9.2940000000000005</v>
      </c>
      <c r="AO383" s="137">
        <f>AN383/AL383</f>
        <v>0.65230207748455926</v>
      </c>
      <c r="AP383" s="137">
        <f>AL383/104467.2</f>
        <v>1.3638730625497764E-4</v>
      </c>
      <c r="AQ383" s="504">
        <v>3.2770000000000001</v>
      </c>
      <c r="AR383" s="137">
        <f>AQ383/AL383</f>
        <v>0.22999719258843346</v>
      </c>
      <c r="AS383" s="137"/>
      <c r="AT383" s="520"/>
      <c r="AU383" s="137" t="s">
        <v>656</v>
      </c>
      <c r="AV383" s="520">
        <v>1.677</v>
      </c>
      <c r="AW383" s="137">
        <f>AV383/AL383</f>
        <v>0.11770072992700729</v>
      </c>
      <c r="AX383" s="520">
        <v>0</v>
      </c>
      <c r="AY383" s="137">
        <v>0</v>
      </c>
      <c r="AZ383" s="520">
        <v>0</v>
      </c>
      <c r="BA383" s="198">
        <v>0</v>
      </c>
      <c r="BB383" s="198">
        <v>0</v>
      </c>
      <c r="BC383" s="198" t="s">
        <v>470</v>
      </c>
      <c r="BD383" s="198" t="s">
        <v>470</v>
      </c>
      <c r="BE383" s="198" t="s">
        <v>470</v>
      </c>
      <c r="BF383" s="198" t="s">
        <v>470</v>
      </c>
      <c r="BG383" s="198" t="s">
        <v>470</v>
      </c>
      <c r="BH383" s="198" t="s">
        <v>470</v>
      </c>
      <c r="BI383" s="823">
        <v>13.896000000000001</v>
      </c>
      <c r="BJ383" s="137">
        <f>BI383/103885.9</f>
        <v>1.3376213711389131E-4</v>
      </c>
      <c r="BK383" s="83">
        <v>65</v>
      </c>
      <c r="BL383" s="83">
        <v>65</v>
      </c>
      <c r="BM383" s="83">
        <v>57</v>
      </c>
      <c r="BN383" s="83">
        <v>0</v>
      </c>
      <c r="BO383" s="83">
        <v>0</v>
      </c>
      <c r="BP383" s="83">
        <v>0</v>
      </c>
      <c r="BQ383" s="83">
        <v>0</v>
      </c>
      <c r="BR383" s="83">
        <v>0</v>
      </c>
      <c r="BS383" s="83">
        <v>0</v>
      </c>
      <c r="BT383" s="83">
        <v>0</v>
      </c>
      <c r="BU383" s="83">
        <v>0</v>
      </c>
      <c r="BV383" s="83">
        <v>0</v>
      </c>
      <c r="BW383" s="83">
        <v>0</v>
      </c>
      <c r="BX383" s="83">
        <v>0</v>
      </c>
      <c r="BY383" s="83">
        <v>0</v>
      </c>
      <c r="BZ383" s="83">
        <v>0</v>
      </c>
      <c r="CA383" s="83">
        <v>0</v>
      </c>
      <c r="CB383" s="83">
        <v>0</v>
      </c>
      <c r="CC383" s="83">
        <v>0</v>
      </c>
      <c r="CD383" s="83">
        <v>0</v>
      </c>
      <c r="CE383" s="83">
        <v>0</v>
      </c>
      <c r="CF383" s="83">
        <v>0</v>
      </c>
      <c r="CG383" s="83" t="s">
        <v>3449</v>
      </c>
      <c r="CH383" s="83">
        <v>0</v>
      </c>
      <c r="CI383" s="83">
        <v>0</v>
      </c>
      <c r="CJ383" s="83">
        <v>0</v>
      </c>
      <c r="CK383" s="83">
        <v>0</v>
      </c>
      <c r="CL383" s="824">
        <f t="shared" si="44"/>
        <v>0</v>
      </c>
      <c r="CM383" s="824">
        <f t="shared" si="40"/>
        <v>0</v>
      </c>
      <c r="CN383" s="580">
        <v>36.93</v>
      </c>
      <c r="CO383" s="198" t="s">
        <v>3450</v>
      </c>
      <c r="CP383" s="198"/>
      <c r="CQ383" s="949">
        <f>CN383/CR383</f>
        <v>3.0019509022923101E-2</v>
      </c>
      <c r="CR383" s="580">
        <v>1230.2</v>
      </c>
      <c r="CS383" s="137" t="s">
        <v>1902</v>
      </c>
      <c r="CT383" s="198" t="s">
        <v>470</v>
      </c>
      <c r="CU383" s="198"/>
      <c r="CV383" s="198"/>
      <c r="CW383" s="198"/>
      <c r="CX383" s="83"/>
      <c r="CY383" s="83"/>
      <c r="CZ383" s="83">
        <v>1</v>
      </c>
      <c r="DA383" s="198" t="s">
        <v>479</v>
      </c>
      <c r="DB383" s="198" t="s">
        <v>3451</v>
      </c>
      <c r="DC383" s="83" t="s">
        <v>3452</v>
      </c>
      <c r="DD383" s="198" t="s">
        <v>479</v>
      </c>
      <c r="DE383" s="198" t="s">
        <v>3453</v>
      </c>
      <c r="DF383" s="83" t="s">
        <v>3452</v>
      </c>
      <c r="DG383" s="83" t="s">
        <v>470</v>
      </c>
      <c r="DH383" s="83"/>
      <c r="DI383" s="83"/>
      <c r="DJ383" s="83" t="s">
        <v>470</v>
      </c>
      <c r="DK383" s="83"/>
      <c r="DL383" s="83"/>
      <c r="DM383" s="83" t="s">
        <v>470</v>
      </c>
      <c r="DN383" s="198"/>
      <c r="DO383" s="83"/>
      <c r="DP383" s="83" t="s">
        <v>470</v>
      </c>
      <c r="DQ383" s="198"/>
      <c r="DR383" s="83"/>
      <c r="DS383" s="83" t="s">
        <v>470</v>
      </c>
      <c r="DT383" s="198"/>
      <c r="DU383" s="83"/>
      <c r="DV383" s="83" t="s">
        <v>470</v>
      </c>
      <c r="DW383" s="198"/>
      <c r="DX383" s="83"/>
      <c r="DY383" s="83" t="s">
        <v>470</v>
      </c>
      <c r="DZ383" s="198"/>
      <c r="EA383" s="83"/>
      <c r="EB383" s="83" t="s">
        <v>470</v>
      </c>
      <c r="EC383" s="198"/>
      <c r="ED383" s="83"/>
      <c r="EE383" s="83" t="s">
        <v>470</v>
      </c>
      <c r="EF383" s="83"/>
      <c r="EG383" s="83"/>
      <c r="EH383" s="83" t="s">
        <v>470</v>
      </c>
      <c r="EI383" s="198"/>
      <c r="EJ383" s="83"/>
      <c r="EK383" s="83" t="s">
        <v>470</v>
      </c>
      <c r="EL383" s="198"/>
      <c r="EM383" s="83"/>
      <c r="EN383" s="83" t="s">
        <v>470</v>
      </c>
      <c r="EO383" s="198"/>
      <c r="EP383" s="83"/>
      <c r="EQ383" s="198" t="s">
        <v>479</v>
      </c>
      <c r="ER383" s="198" t="s">
        <v>3454</v>
      </c>
      <c r="ES383" s="83"/>
      <c r="ET383" s="198" t="s">
        <v>470</v>
      </c>
      <c r="EU383" s="198"/>
      <c r="EV383" s="83"/>
      <c r="EW383" s="198" t="s">
        <v>3455</v>
      </c>
      <c r="EX383" s="198"/>
      <c r="EY383" s="505">
        <v>24</v>
      </c>
      <c r="EZ383" s="198" t="s">
        <v>470</v>
      </c>
      <c r="FA383" s="198"/>
      <c r="FB383" s="198" t="s">
        <v>3456</v>
      </c>
      <c r="FC383" s="198" t="s">
        <v>3457</v>
      </c>
      <c r="FD383" s="198" t="s">
        <v>470</v>
      </c>
      <c r="FE383" s="198" t="s">
        <v>3430</v>
      </c>
      <c r="FF383" s="198"/>
      <c r="FG383" s="198" t="s">
        <v>479</v>
      </c>
      <c r="FH383" s="198">
        <v>1</v>
      </c>
      <c r="FI383" s="198">
        <v>315</v>
      </c>
      <c r="FJ383" s="198" t="s">
        <v>3458</v>
      </c>
      <c r="FK383" s="198" t="s">
        <v>3459</v>
      </c>
      <c r="FL383" s="549" t="s">
        <v>3460</v>
      </c>
      <c r="FM383" s="198" t="s">
        <v>3458</v>
      </c>
      <c r="FN383" s="198" t="s">
        <v>3459</v>
      </c>
      <c r="FO383" s="549" t="s">
        <v>3460</v>
      </c>
    </row>
    <row r="384" spans="5:171" ht="104" customHeight="1" x14ac:dyDescent="0.2">
      <c r="E384" s="94" t="s">
        <v>9302</v>
      </c>
      <c r="F384" s="94" t="s">
        <v>9120</v>
      </c>
      <c r="G384" s="198" t="s">
        <v>361</v>
      </c>
      <c r="H384" s="198" t="s">
        <v>446</v>
      </c>
      <c r="I384" s="198"/>
      <c r="J384" s="198" t="s">
        <v>497</v>
      </c>
      <c r="K384" s="198" t="s">
        <v>498</v>
      </c>
      <c r="L384" s="578">
        <v>2018</v>
      </c>
      <c r="M384" s="822">
        <v>44440</v>
      </c>
      <c r="N384" s="822">
        <v>44926</v>
      </c>
      <c r="O384" s="198" t="s">
        <v>499</v>
      </c>
      <c r="P384" s="198" t="s">
        <v>500</v>
      </c>
      <c r="Q384" s="844" t="s">
        <v>501</v>
      </c>
      <c r="R384" s="198" t="s">
        <v>470</v>
      </c>
      <c r="S384" s="198"/>
      <c r="T384" s="198" t="s">
        <v>470</v>
      </c>
      <c r="U384" s="198"/>
      <c r="V384" s="198" t="s">
        <v>470</v>
      </c>
      <c r="W384" s="198"/>
      <c r="X384" s="198" t="s">
        <v>9644</v>
      </c>
      <c r="Y384" s="844" t="s">
        <v>502</v>
      </c>
      <c r="Z384" s="844"/>
      <c r="AA384" s="844"/>
      <c r="AB384" s="844"/>
      <c r="AC384" s="844"/>
      <c r="AD384" s="844"/>
      <c r="AE384" s="844"/>
      <c r="AF384" s="844"/>
      <c r="AG384" s="844"/>
      <c r="AH384" s="198" t="s">
        <v>503</v>
      </c>
      <c r="AI384" s="198" t="s">
        <v>503</v>
      </c>
      <c r="AJ384" s="198" t="s">
        <v>504</v>
      </c>
      <c r="AK384" s="198" t="s">
        <v>505</v>
      </c>
      <c r="AL384" s="580">
        <f t="shared" si="41"/>
        <v>60.58984684</v>
      </c>
      <c r="AM384" s="504">
        <v>60.58984684</v>
      </c>
      <c r="AN384" s="516">
        <v>39.057578550000002</v>
      </c>
      <c r="AO384" s="137">
        <f>AN384/AL384</f>
        <v>0.64462250008882849</v>
      </c>
      <c r="AP384" s="137">
        <f>AN384/ 93339.6199</f>
        <v>4.1844587102287951E-4</v>
      </c>
      <c r="AQ384" s="504">
        <v>12.92584564</v>
      </c>
      <c r="AR384" s="137">
        <f>AQ384/AL384</f>
        <v>0.21333352556796131</v>
      </c>
      <c r="AS384" s="137"/>
      <c r="AT384" s="520">
        <v>0</v>
      </c>
      <c r="AU384" s="137">
        <f>AT384/AL384</f>
        <v>0</v>
      </c>
      <c r="AV384" s="520">
        <v>0</v>
      </c>
      <c r="AW384" s="137">
        <f>AV384/AL384</f>
        <v>0</v>
      </c>
      <c r="AX384" s="520">
        <f>4.75673668+3.84968597</f>
        <v>8.6064226500000007</v>
      </c>
      <c r="AY384" s="137">
        <f>AX384/AL384</f>
        <v>0.14204397434321028</v>
      </c>
      <c r="AZ384" s="520">
        <v>0</v>
      </c>
      <c r="BA384" s="137">
        <v>0</v>
      </c>
      <c r="BB384" s="198" t="s">
        <v>470</v>
      </c>
      <c r="BC384" s="198" t="s">
        <v>470</v>
      </c>
      <c r="BD384" s="198" t="s">
        <v>470</v>
      </c>
      <c r="BE384" s="198" t="s">
        <v>479</v>
      </c>
      <c r="BF384" s="198" t="s">
        <v>506</v>
      </c>
      <c r="BG384" s="198"/>
      <c r="BH384" s="198">
        <v>3.29370086</v>
      </c>
      <c r="BI384" s="520">
        <v>40</v>
      </c>
      <c r="BJ384" s="137">
        <f>BI384/100917.8433</f>
        <v>3.9636201777609731E-4</v>
      </c>
      <c r="BK384" s="83"/>
      <c r="BL384" s="83">
        <v>108</v>
      </c>
      <c r="BM384" s="83">
        <v>70</v>
      </c>
      <c r="BN384" s="83">
        <f>5+4+4+1</f>
        <v>14</v>
      </c>
      <c r="BO384" s="83">
        <v>4</v>
      </c>
      <c r="BP384" s="83">
        <v>5</v>
      </c>
      <c r="BQ384" s="83">
        <v>0</v>
      </c>
      <c r="BR384" s="83">
        <v>0</v>
      </c>
      <c r="BS384" s="83">
        <v>4</v>
      </c>
      <c r="BT384" s="83">
        <v>1</v>
      </c>
      <c r="BU384" s="83">
        <v>4</v>
      </c>
      <c r="BV384" s="83">
        <v>4</v>
      </c>
      <c r="BW384" s="83">
        <v>0</v>
      </c>
      <c r="BX384" s="83">
        <v>8</v>
      </c>
      <c r="BY384" s="83">
        <v>3</v>
      </c>
      <c r="BZ384" s="83">
        <v>17</v>
      </c>
      <c r="CA384" s="83">
        <v>4</v>
      </c>
      <c r="CB384" s="83">
        <v>0</v>
      </c>
      <c r="CC384" s="83">
        <v>1</v>
      </c>
      <c r="CD384" s="83">
        <v>0</v>
      </c>
      <c r="CE384" s="83">
        <v>0</v>
      </c>
      <c r="CF384" s="83">
        <v>0</v>
      </c>
      <c r="CG384" s="83">
        <v>0</v>
      </c>
      <c r="CH384" s="83">
        <v>0</v>
      </c>
      <c r="CI384" s="83">
        <v>0</v>
      </c>
      <c r="CJ384" s="83">
        <v>0</v>
      </c>
      <c r="CK384" s="83">
        <v>1</v>
      </c>
      <c r="CL384" s="824">
        <f t="shared" si="44"/>
        <v>70</v>
      </c>
      <c r="CM384" s="824">
        <f t="shared" si="40"/>
        <v>0</v>
      </c>
      <c r="CN384" s="580">
        <v>68.045000000000002</v>
      </c>
      <c r="CO384" s="198" t="s">
        <v>508</v>
      </c>
      <c r="CP384" s="844" t="s">
        <v>509</v>
      </c>
      <c r="CQ384" s="137">
        <f>CN384/CR384</f>
        <v>6.3694416570564183E-2</v>
      </c>
      <c r="CR384" s="580">
        <v>1068.3040000000001</v>
      </c>
      <c r="CS384" s="137" t="s">
        <v>510</v>
      </c>
      <c r="CT384" s="198" t="s">
        <v>470</v>
      </c>
      <c r="CU384" s="198"/>
      <c r="CV384" s="198"/>
      <c r="CW384" s="198"/>
      <c r="CX384" s="83"/>
      <c r="CY384" s="83"/>
      <c r="CZ384" s="83">
        <v>2</v>
      </c>
      <c r="DA384" s="198" t="s">
        <v>479</v>
      </c>
      <c r="DB384" s="198" t="s">
        <v>511</v>
      </c>
      <c r="DC384" s="83">
        <v>9593</v>
      </c>
      <c r="DD384" s="198" t="s">
        <v>479</v>
      </c>
      <c r="DE384" s="198" t="s">
        <v>512</v>
      </c>
      <c r="DF384" s="83">
        <v>6754</v>
      </c>
      <c r="DG384" s="83" t="s">
        <v>470</v>
      </c>
      <c r="DH384" s="83"/>
      <c r="DI384" s="83"/>
      <c r="DJ384" s="83" t="s">
        <v>470</v>
      </c>
      <c r="DK384" s="83"/>
      <c r="DL384" s="83"/>
      <c r="DM384" s="198" t="s">
        <v>470</v>
      </c>
      <c r="DN384" s="198"/>
      <c r="DO384" s="83"/>
      <c r="DP384" s="198" t="s">
        <v>479</v>
      </c>
      <c r="DQ384" s="198" t="s">
        <v>513</v>
      </c>
      <c r="DR384" s="83">
        <v>6672</v>
      </c>
      <c r="DS384" s="198" t="s">
        <v>470</v>
      </c>
      <c r="DT384" s="198"/>
      <c r="DU384" s="83"/>
      <c r="DV384" s="198" t="s">
        <v>470</v>
      </c>
      <c r="DW384" s="198"/>
      <c r="DX384" s="83"/>
      <c r="DY384" s="198" t="s">
        <v>470</v>
      </c>
      <c r="DZ384" s="198"/>
      <c r="EA384" s="83"/>
      <c r="EB384" s="198" t="s">
        <v>470</v>
      </c>
      <c r="EC384" s="198"/>
      <c r="ED384" s="83"/>
      <c r="EE384" s="83" t="s">
        <v>470</v>
      </c>
      <c r="EF384" s="83"/>
      <c r="EG384" s="83"/>
      <c r="EH384" s="198" t="s">
        <v>470</v>
      </c>
      <c r="EI384" s="198"/>
      <c r="EJ384" s="83"/>
      <c r="EK384" s="198" t="s">
        <v>470</v>
      </c>
      <c r="EL384" s="198"/>
      <c r="EM384" s="83"/>
      <c r="EN384" s="198" t="s">
        <v>479</v>
      </c>
      <c r="EO384" s="198" t="s">
        <v>514</v>
      </c>
      <c r="EP384" s="83">
        <v>8</v>
      </c>
      <c r="EQ384" s="83" t="s">
        <v>470</v>
      </c>
      <c r="ER384" s="83"/>
      <c r="ES384" s="83"/>
      <c r="ET384" s="198" t="s">
        <v>470</v>
      </c>
      <c r="EU384" s="198"/>
      <c r="EV384" s="83"/>
      <c r="EW384" s="198" t="s">
        <v>515</v>
      </c>
      <c r="EX384" s="198" t="s">
        <v>516</v>
      </c>
      <c r="EY384" s="505">
        <v>61</v>
      </c>
      <c r="EZ384" s="198" t="s">
        <v>470</v>
      </c>
      <c r="FA384" s="198" t="s">
        <v>517</v>
      </c>
      <c r="FB384" s="844" t="s">
        <v>518</v>
      </c>
      <c r="FC384" s="198" t="s">
        <v>519</v>
      </c>
      <c r="FD384" s="844" t="s">
        <v>520</v>
      </c>
      <c r="FE384" s="198" t="s">
        <v>521</v>
      </c>
      <c r="FF384" s="198" t="s">
        <v>522</v>
      </c>
      <c r="FG384" s="198" t="s">
        <v>523</v>
      </c>
      <c r="FH384" s="198">
        <v>1</v>
      </c>
      <c r="FI384" s="198">
        <v>58</v>
      </c>
      <c r="FJ384" s="198" t="s">
        <v>9645</v>
      </c>
      <c r="FK384" s="198" t="s">
        <v>524</v>
      </c>
      <c r="FL384" s="844" t="s">
        <v>525</v>
      </c>
      <c r="FM384" s="198"/>
      <c r="FN384" s="198"/>
      <c r="FO384" s="198"/>
    </row>
    <row r="385" spans="5:192" ht="104" customHeight="1" x14ac:dyDescent="0.2">
      <c r="E385" s="94" t="s">
        <v>9302</v>
      </c>
      <c r="F385" s="94" t="s">
        <v>9120</v>
      </c>
      <c r="G385" s="198" t="s">
        <v>362</v>
      </c>
      <c r="H385" s="198" t="s">
        <v>447</v>
      </c>
      <c r="I385" s="198"/>
      <c r="J385" s="198" t="s">
        <v>1256</v>
      </c>
      <c r="K385" s="198" t="s">
        <v>1256</v>
      </c>
      <c r="L385" s="578">
        <v>2011</v>
      </c>
      <c r="M385" s="822">
        <v>44209</v>
      </c>
      <c r="N385" s="822" t="s">
        <v>3644</v>
      </c>
      <c r="O385" s="198" t="s">
        <v>470</v>
      </c>
      <c r="P385" s="198" t="s">
        <v>470</v>
      </c>
      <c r="Q385" s="198" t="s">
        <v>470</v>
      </c>
      <c r="R385" s="198" t="s">
        <v>470</v>
      </c>
      <c r="S385" s="198" t="s">
        <v>470</v>
      </c>
      <c r="T385" s="198" t="s">
        <v>3645</v>
      </c>
      <c r="U385" s="549" t="s">
        <v>3646</v>
      </c>
      <c r="V385" s="198" t="s">
        <v>470</v>
      </c>
      <c r="W385" s="198" t="s">
        <v>470</v>
      </c>
      <c r="X385" s="198" t="s">
        <v>3647</v>
      </c>
      <c r="Y385" s="549" t="s">
        <v>3648</v>
      </c>
      <c r="Z385" s="549"/>
      <c r="AA385" s="549"/>
      <c r="AB385" s="549"/>
      <c r="AC385" s="549"/>
      <c r="AD385" s="549"/>
      <c r="AE385" s="549"/>
      <c r="AF385" s="549"/>
      <c r="AG385" s="549"/>
      <c r="AH385" s="198" t="s">
        <v>3649</v>
      </c>
      <c r="AI385" s="198" t="s">
        <v>3650</v>
      </c>
      <c r="AJ385" s="198" t="s">
        <v>504</v>
      </c>
      <c r="AK385" s="198" t="s">
        <v>3651</v>
      </c>
      <c r="AL385" s="580">
        <f t="shared" si="41"/>
        <v>684.91499999999996</v>
      </c>
      <c r="AM385" s="504">
        <v>684.91499999999996</v>
      </c>
      <c r="AN385" s="516">
        <v>480.9</v>
      </c>
      <c r="AO385" s="137">
        <v>0.73</v>
      </c>
      <c r="AP385" s="137">
        <v>3.8999999999999998E-3</v>
      </c>
      <c r="AQ385" s="504">
        <v>129.63999999999999</v>
      </c>
      <c r="AR385" s="137">
        <v>0.19</v>
      </c>
      <c r="AS385" s="137"/>
      <c r="AT385" s="520">
        <v>57.704999999999998</v>
      </c>
      <c r="AU385" s="137">
        <v>0.08</v>
      </c>
      <c r="AV385" s="520"/>
      <c r="AW385" s="137" t="s">
        <v>470</v>
      </c>
      <c r="AX385" s="520">
        <v>16.670000000000002</v>
      </c>
      <c r="AY385" s="137">
        <v>0.28899999999999998</v>
      </c>
      <c r="AZ385" s="520" t="s">
        <v>470</v>
      </c>
      <c r="BA385" s="137" t="s">
        <v>470</v>
      </c>
      <c r="BB385" s="198" t="s">
        <v>470</v>
      </c>
      <c r="BC385" s="198" t="s">
        <v>470</v>
      </c>
      <c r="BD385" s="198" t="s">
        <v>470</v>
      </c>
      <c r="BE385" s="198" t="s">
        <v>470</v>
      </c>
      <c r="BF385" s="198" t="s">
        <v>470</v>
      </c>
      <c r="BG385" s="198" t="s">
        <v>470</v>
      </c>
      <c r="BH385" s="198" t="s">
        <v>470</v>
      </c>
      <c r="BI385" s="580">
        <v>399.95400000000001</v>
      </c>
      <c r="BJ385" s="137">
        <v>3.3999999999999998E-3</v>
      </c>
      <c r="BK385" s="83">
        <v>1215</v>
      </c>
      <c r="BL385" s="83">
        <v>1104</v>
      </c>
      <c r="BM385" s="83">
        <v>249</v>
      </c>
      <c r="BN385" s="83">
        <v>25</v>
      </c>
      <c r="BO385" s="83">
        <v>83</v>
      </c>
      <c r="BP385" s="83">
        <v>3</v>
      </c>
      <c r="BQ385" s="83" t="s">
        <v>470</v>
      </c>
      <c r="BR385" s="83" t="s">
        <v>470</v>
      </c>
      <c r="BS385" s="83">
        <v>1</v>
      </c>
      <c r="BT385" s="83">
        <v>62</v>
      </c>
      <c r="BU385" s="83">
        <v>3</v>
      </c>
      <c r="BV385" s="83">
        <v>5</v>
      </c>
      <c r="BW385" s="83">
        <v>19</v>
      </c>
      <c r="BX385" s="83">
        <v>8</v>
      </c>
      <c r="BY385" s="83">
        <v>8</v>
      </c>
      <c r="BZ385" s="83" t="s">
        <v>470</v>
      </c>
      <c r="CA385" s="83" t="s">
        <v>470</v>
      </c>
      <c r="CB385" s="83" t="s">
        <v>470</v>
      </c>
      <c r="CC385" s="83">
        <v>32</v>
      </c>
      <c r="CD385" s="83" t="s">
        <v>470</v>
      </c>
      <c r="CE385" s="83" t="s">
        <v>470</v>
      </c>
      <c r="CF385" s="83" t="s">
        <v>470</v>
      </c>
      <c r="CG385" s="83" t="s">
        <v>470</v>
      </c>
      <c r="CH385" s="83" t="s">
        <v>470</v>
      </c>
      <c r="CI385" s="83" t="s">
        <v>470</v>
      </c>
      <c r="CJ385" s="83" t="s">
        <v>470</v>
      </c>
      <c r="CK385" s="83" t="s">
        <v>470</v>
      </c>
      <c r="CL385" s="824">
        <f t="shared" si="44"/>
        <v>249</v>
      </c>
      <c r="CM385" s="824">
        <f t="shared" si="40"/>
        <v>0</v>
      </c>
      <c r="CN385" s="580">
        <v>90.361000000000004</v>
      </c>
      <c r="CO385" s="198" t="s">
        <v>3654</v>
      </c>
      <c r="CP385" s="198" t="s">
        <v>470</v>
      </c>
      <c r="CQ385" s="137">
        <v>6.3100000000000003E-2</v>
      </c>
      <c r="CR385" s="580">
        <v>1432.57</v>
      </c>
      <c r="CS385" s="137" t="s">
        <v>3655</v>
      </c>
      <c r="CT385" s="198" t="s">
        <v>470</v>
      </c>
      <c r="CU385" s="198" t="s">
        <v>470</v>
      </c>
      <c r="CV385" s="198" t="s">
        <v>470</v>
      </c>
      <c r="CW385" s="198" t="s">
        <v>470</v>
      </c>
      <c r="CX385" s="198" t="s">
        <v>470</v>
      </c>
      <c r="CY385" s="83" t="s">
        <v>470</v>
      </c>
      <c r="CZ385" s="83">
        <v>1</v>
      </c>
      <c r="DA385" s="198" t="s">
        <v>470</v>
      </c>
      <c r="DB385" s="198" t="s">
        <v>470</v>
      </c>
      <c r="DC385" s="83" t="s">
        <v>470</v>
      </c>
      <c r="DD385" s="198" t="s">
        <v>479</v>
      </c>
      <c r="DE385" s="198" t="s">
        <v>3656</v>
      </c>
      <c r="DF385" s="83" t="s">
        <v>3657</v>
      </c>
      <c r="DG385" s="83" t="s">
        <v>479</v>
      </c>
      <c r="DH385" s="83" t="s">
        <v>3658</v>
      </c>
      <c r="DI385" s="83">
        <v>133</v>
      </c>
      <c r="DJ385" s="83" t="s">
        <v>479</v>
      </c>
      <c r="DK385" s="83" t="s">
        <v>3658</v>
      </c>
      <c r="DL385" s="83">
        <v>150</v>
      </c>
      <c r="DM385" s="198" t="s">
        <v>470</v>
      </c>
      <c r="DN385" s="198" t="s">
        <v>470</v>
      </c>
      <c r="DO385" s="83" t="s">
        <v>470</v>
      </c>
      <c r="DP385" s="198" t="s">
        <v>479</v>
      </c>
      <c r="DQ385" s="549" t="s">
        <v>3659</v>
      </c>
      <c r="DR385" s="83">
        <v>1215</v>
      </c>
      <c r="DS385" s="198" t="s">
        <v>470</v>
      </c>
      <c r="DT385" s="198" t="s">
        <v>470</v>
      </c>
      <c r="DU385" s="83" t="s">
        <v>470</v>
      </c>
      <c r="DV385" s="198" t="s">
        <v>470</v>
      </c>
      <c r="DW385" s="198" t="s">
        <v>470</v>
      </c>
      <c r="DX385" s="83" t="s">
        <v>470</v>
      </c>
      <c r="DY385" s="198" t="s">
        <v>479</v>
      </c>
      <c r="DZ385" s="198" t="s">
        <v>3660</v>
      </c>
      <c r="EA385" s="83">
        <v>205136</v>
      </c>
      <c r="EB385" s="198" t="s">
        <v>470</v>
      </c>
      <c r="EC385" s="198" t="s">
        <v>470</v>
      </c>
      <c r="ED385" s="83" t="s">
        <v>470</v>
      </c>
      <c r="EE385" s="83" t="s">
        <v>470</v>
      </c>
      <c r="EF385" s="83" t="s">
        <v>470</v>
      </c>
      <c r="EG385" s="83" t="s">
        <v>470</v>
      </c>
      <c r="EH385" s="198" t="s">
        <v>470</v>
      </c>
      <c r="EI385" s="198" t="s">
        <v>470</v>
      </c>
      <c r="EJ385" s="83" t="s">
        <v>470</v>
      </c>
      <c r="EK385" s="198" t="s">
        <v>470</v>
      </c>
      <c r="EL385" s="198" t="s">
        <v>470</v>
      </c>
      <c r="EM385" s="83" t="s">
        <v>470</v>
      </c>
      <c r="EN385" s="198" t="s">
        <v>470</v>
      </c>
      <c r="EO385" s="198" t="s">
        <v>470</v>
      </c>
      <c r="EP385" s="83" t="s">
        <v>470</v>
      </c>
      <c r="EQ385" s="83" t="s">
        <v>479</v>
      </c>
      <c r="ER385" s="198" t="s">
        <v>3661</v>
      </c>
      <c r="ES385" s="83">
        <v>14</v>
      </c>
      <c r="ET385" s="198" t="s">
        <v>3662</v>
      </c>
      <c r="EU385" s="198" t="s">
        <v>3663</v>
      </c>
      <c r="EV385" s="83">
        <v>172074</v>
      </c>
      <c r="EW385" s="837">
        <v>1</v>
      </c>
      <c r="EX385" s="198" t="s">
        <v>470</v>
      </c>
      <c r="EY385" s="505">
        <v>26</v>
      </c>
      <c r="EZ385" s="198" t="s">
        <v>479</v>
      </c>
      <c r="FA385" s="198" t="s">
        <v>3664</v>
      </c>
      <c r="FB385" s="549" t="s">
        <v>3659</v>
      </c>
      <c r="FC385" s="549" t="s">
        <v>3665</v>
      </c>
      <c r="FD385" s="549" t="s">
        <v>3666</v>
      </c>
      <c r="FE385" s="198" t="s">
        <v>3667</v>
      </c>
      <c r="FF385" s="549" t="s">
        <v>3668</v>
      </c>
      <c r="FG385" s="198" t="s">
        <v>470</v>
      </c>
      <c r="FH385" s="198" t="s">
        <v>470</v>
      </c>
      <c r="FI385" s="198" t="s">
        <v>470</v>
      </c>
      <c r="FJ385" s="198" t="s">
        <v>3669</v>
      </c>
      <c r="FK385" s="198" t="s">
        <v>3670</v>
      </c>
      <c r="FL385" s="549" t="s">
        <v>3671</v>
      </c>
      <c r="FM385" s="198" t="s">
        <v>3672</v>
      </c>
      <c r="FN385" s="198" t="s">
        <v>3673</v>
      </c>
      <c r="FO385" s="549" t="s">
        <v>3674</v>
      </c>
    </row>
    <row r="386" spans="5:192" ht="104" customHeight="1" x14ac:dyDescent="0.2">
      <c r="G386" s="198" t="s">
        <v>363</v>
      </c>
      <c r="H386" s="198" t="s">
        <v>448</v>
      </c>
      <c r="I386" s="198"/>
      <c r="AL386" s="580">
        <f t="shared" si="41"/>
        <v>0</v>
      </c>
      <c r="AM386" s="504">
        <v>0</v>
      </c>
      <c r="AN386" s="510"/>
      <c r="AQ386" s="511"/>
      <c r="AT386" s="569"/>
      <c r="AV386" s="569"/>
      <c r="AX386" s="569"/>
      <c r="AZ386" s="569"/>
      <c r="CL386" s="512"/>
      <c r="CM386" s="824">
        <f t="shared" si="40"/>
        <v>0</v>
      </c>
    </row>
    <row r="387" spans="5:192" ht="104" customHeight="1" x14ac:dyDescent="0.2">
      <c r="E387" s="94" t="s">
        <v>9303</v>
      </c>
      <c r="F387" s="94" t="s">
        <v>9120</v>
      </c>
      <c r="G387" s="198" t="s">
        <v>364</v>
      </c>
      <c r="H387" s="198" t="s">
        <v>449</v>
      </c>
      <c r="I387" s="198"/>
      <c r="J387" s="589" t="s">
        <v>2342</v>
      </c>
      <c r="K387" s="589" t="s">
        <v>656</v>
      </c>
      <c r="L387" s="952">
        <v>2020</v>
      </c>
      <c r="M387" s="953">
        <v>44328</v>
      </c>
      <c r="N387" s="953" t="s">
        <v>865</v>
      </c>
      <c r="O387" s="589" t="s">
        <v>2343</v>
      </c>
      <c r="P387" s="589" t="s">
        <v>2344</v>
      </c>
      <c r="Q387" s="1112" t="s">
        <v>2345</v>
      </c>
      <c r="R387" s="589" t="s">
        <v>656</v>
      </c>
      <c r="S387" s="589" t="s">
        <v>656</v>
      </c>
      <c r="T387" s="589" t="s">
        <v>656</v>
      </c>
      <c r="U387" s="589" t="s">
        <v>656</v>
      </c>
      <c r="V387" s="589" t="s">
        <v>656</v>
      </c>
      <c r="W387" s="589" t="s">
        <v>656</v>
      </c>
      <c r="X387" s="589" t="s">
        <v>656</v>
      </c>
      <c r="Y387" s="589" t="s">
        <v>656</v>
      </c>
      <c r="Z387" s="589"/>
      <c r="AA387" s="589"/>
      <c r="AB387" s="589"/>
      <c r="AC387" s="589"/>
      <c r="AD387" s="589"/>
      <c r="AE387" s="589"/>
      <c r="AF387" s="589"/>
      <c r="AG387" s="589"/>
      <c r="AH387" s="589" t="s">
        <v>2346</v>
      </c>
      <c r="AI387" s="589" t="s">
        <v>2346</v>
      </c>
      <c r="AJ387" s="589" t="s">
        <v>633</v>
      </c>
      <c r="AK387" s="1113" t="s">
        <v>2347</v>
      </c>
      <c r="AL387" s="580">
        <f t="shared" si="41"/>
        <v>6.3792219999999995</v>
      </c>
      <c r="AM387" s="504">
        <v>6.3792219999999995</v>
      </c>
      <c r="AN387" s="954">
        <v>3.1776019999999998</v>
      </c>
      <c r="AO387" s="1114">
        <f>AN387/AL387</f>
        <v>0.49811748203777828</v>
      </c>
      <c r="AP387" s="957">
        <f>AN387/293924</f>
        <v>1.0810964739184278E-5</v>
      </c>
      <c r="AQ387" s="1015">
        <v>1.48315</v>
      </c>
      <c r="AR387" s="839">
        <f>AQ387/AL387</f>
        <v>0.23249700355309788</v>
      </c>
      <c r="AS387" s="839"/>
      <c r="AT387" s="520">
        <v>0.56089999999999995</v>
      </c>
      <c r="AU387" s="839">
        <f>AT387/AL387</f>
        <v>8.792608252228877E-2</v>
      </c>
      <c r="AV387" s="520">
        <v>0.55964000000000003</v>
      </c>
      <c r="AW387" s="839">
        <f>AV387/AL387</f>
        <v>8.7728566273442138E-2</v>
      </c>
      <c r="AX387" s="520">
        <v>0</v>
      </c>
      <c r="AY387" s="839">
        <f>AX387/AL387</f>
        <v>0</v>
      </c>
      <c r="AZ387" s="520">
        <v>0.59792999999999996</v>
      </c>
      <c r="BA387" s="1114">
        <f>AZ387/AL387</f>
        <v>9.3730865613392986E-2</v>
      </c>
      <c r="BB387" s="589" t="s">
        <v>2348</v>
      </c>
      <c r="BC387" s="589" t="s">
        <v>875</v>
      </c>
      <c r="BD387" s="589" t="s">
        <v>2346</v>
      </c>
      <c r="BE387" s="589" t="s">
        <v>479</v>
      </c>
      <c r="BF387" s="589" t="s">
        <v>2349</v>
      </c>
      <c r="BG387" s="589" t="s">
        <v>656</v>
      </c>
      <c r="BH387" s="1115">
        <f>AT387+AV387</f>
        <v>1.1205400000000001</v>
      </c>
      <c r="BI387" s="1116">
        <v>7.5031999999999996</v>
      </c>
      <c r="BJ387" s="957">
        <f>BI387/234125</f>
        <v>3.2047837693539772E-5</v>
      </c>
      <c r="BK387" s="958">
        <v>17</v>
      </c>
      <c r="BL387" s="958">
        <v>10</v>
      </c>
      <c r="BM387" s="958">
        <v>5</v>
      </c>
      <c r="BN387" s="958" t="s">
        <v>656</v>
      </c>
      <c r="BO387" s="958" t="s">
        <v>656</v>
      </c>
      <c r="BP387" s="958" t="s">
        <v>656</v>
      </c>
      <c r="BQ387" s="958" t="s">
        <v>656</v>
      </c>
      <c r="BR387" s="958" t="s">
        <v>656</v>
      </c>
      <c r="BS387" s="958" t="s">
        <v>656</v>
      </c>
      <c r="BT387" s="958" t="s">
        <v>656</v>
      </c>
      <c r="BU387" s="958" t="s">
        <v>656</v>
      </c>
      <c r="BV387" s="958" t="s">
        <v>656</v>
      </c>
      <c r="BW387" s="958" t="s">
        <v>656</v>
      </c>
      <c r="BX387" s="958">
        <v>5</v>
      </c>
      <c r="BY387" s="958" t="s">
        <v>656</v>
      </c>
      <c r="BZ387" s="958" t="s">
        <v>656</v>
      </c>
      <c r="CA387" s="958" t="s">
        <v>656</v>
      </c>
      <c r="CB387" s="958" t="s">
        <v>656</v>
      </c>
      <c r="CC387" s="958" t="s">
        <v>656</v>
      </c>
      <c r="CD387" s="958" t="s">
        <v>656</v>
      </c>
      <c r="CE387" s="958" t="s">
        <v>656</v>
      </c>
      <c r="CF387" s="958" t="s">
        <v>656</v>
      </c>
      <c r="CG387" s="958" t="s">
        <v>656</v>
      </c>
      <c r="CH387" s="958" t="s">
        <v>656</v>
      </c>
      <c r="CI387" s="958" t="s">
        <v>656</v>
      </c>
      <c r="CJ387" s="958" t="s">
        <v>656</v>
      </c>
      <c r="CK387" s="958" t="s">
        <v>656</v>
      </c>
      <c r="CL387" s="959">
        <f t="shared" ref="CL387:CL414" si="45">SUM(BN387:CK387)</f>
        <v>5</v>
      </c>
      <c r="CM387" s="824">
        <f t="shared" si="40"/>
        <v>0</v>
      </c>
      <c r="CN387" s="583">
        <v>9.7560000000000002</v>
      </c>
      <c r="CO387" s="958" t="s">
        <v>2350</v>
      </c>
      <c r="CP387" s="958" t="s">
        <v>656</v>
      </c>
      <c r="CQ387" s="955">
        <f>CN387/CR387/100%</f>
        <v>6.2854830853758797E-3</v>
      </c>
      <c r="CR387" s="589">
        <v>1552.1479999999999</v>
      </c>
      <c r="CS387" s="1117" t="s">
        <v>2351</v>
      </c>
      <c r="CT387" s="589" t="s">
        <v>470</v>
      </c>
      <c r="CU387" s="589" t="s">
        <v>656</v>
      </c>
      <c r="CV387" s="589" t="s">
        <v>656</v>
      </c>
      <c r="CW387" s="589" t="s">
        <v>656</v>
      </c>
      <c r="CX387" s="958" t="s">
        <v>656</v>
      </c>
      <c r="CY387" s="958" t="s">
        <v>656</v>
      </c>
      <c r="CZ387" s="958">
        <v>1</v>
      </c>
      <c r="DA387" s="589" t="s">
        <v>479</v>
      </c>
      <c r="DB387" s="589" t="s">
        <v>2352</v>
      </c>
      <c r="DC387" s="958">
        <v>311</v>
      </c>
      <c r="DD387" s="958" t="s">
        <v>479</v>
      </c>
      <c r="DE387" s="958" t="s">
        <v>2353</v>
      </c>
      <c r="DF387" s="958">
        <v>156</v>
      </c>
      <c r="DG387" s="958" t="s">
        <v>470</v>
      </c>
      <c r="DH387" s="958" t="s">
        <v>656</v>
      </c>
      <c r="DI387" s="958" t="s">
        <v>656</v>
      </c>
      <c r="DJ387" s="958" t="s">
        <v>470</v>
      </c>
      <c r="DK387" s="958" t="s">
        <v>656</v>
      </c>
      <c r="DL387" s="958" t="s">
        <v>656</v>
      </c>
      <c r="DM387" s="589" t="s">
        <v>470</v>
      </c>
      <c r="DN387" s="589" t="s">
        <v>656</v>
      </c>
      <c r="DO387" s="958" t="s">
        <v>656</v>
      </c>
      <c r="DP387" s="589" t="s">
        <v>470</v>
      </c>
      <c r="DQ387" s="589" t="s">
        <v>656</v>
      </c>
      <c r="DR387" s="958" t="s">
        <v>656</v>
      </c>
      <c r="DS387" s="589" t="s">
        <v>470</v>
      </c>
      <c r="DT387" s="589" t="s">
        <v>656</v>
      </c>
      <c r="DU387" s="958" t="s">
        <v>656</v>
      </c>
      <c r="DV387" s="589" t="s">
        <v>470</v>
      </c>
      <c r="DW387" s="589" t="s">
        <v>656</v>
      </c>
      <c r="DX387" s="958" t="s">
        <v>656</v>
      </c>
      <c r="DY387" s="589" t="s">
        <v>470</v>
      </c>
      <c r="DZ387" s="589" t="s">
        <v>656</v>
      </c>
      <c r="EA387" s="958" t="s">
        <v>656</v>
      </c>
      <c r="EB387" s="589" t="s">
        <v>470</v>
      </c>
      <c r="EC387" s="589" t="s">
        <v>656</v>
      </c>
      <c r="ED387" s="958" t="s">
        <v>656</v>
      </c>
      <c r="EE387" s="958" t="s">
        <v>470</v>
      </c>
      <c r="EF387" s="958" t="s">
        <v>656</v>
      </c>
      <c r="EG387" s="958" t="s">
        <v>656</v>
      </c>
      <c r="EH387" s="589" t="s">
        <v>470</v>
      </c>
      <c r="EI387" s="589" t="s">
        <v>656</v>
      </c>
      <c r="EJ387" s="958" t="s">
        <v>656</v>
      </c>
      <c r="EK387" s="589" t="s">
        <v>470</v>
      </c>
      <c r="EL387" s="589" t="s">
        <v>656</v>
      </c>
      <c r="EM387" s="958" t="s">
        <v>656</v>
      </c>
      <c r="EN387" s="589" t="s">
        <v>479</v>
      </c>
      <c r="EO387" s="589" t="s">
        <v>2354</v>
      </c>
      <c r="EP387" s="958">
        <v>5</v>
      </c>
      <c r="EQ387" s="958" t="s">
        <v>470</v>
      </c>
      <c r="ER387" s="958" t="s">
        <v>656</v>
      </c>
      <c r="ES387" s="958" t="s">
        <v>656</v>
      </c>
      <c r="ET387" s="589" t="s">
        <v>470</v>
      </c>
      <c r="EU387" s="589" t="s">
        <v>656</v>
      </c>
      <c r="EV387" s="958" t="s">
        <v>656</v>
      </c>
      <c r="EW387" s="589" t="s">
        <v>2355</v>
      </c>
      <c r="EX387" s="589" t="s">
        <v>9646</v>
      </c>
      <c r="EY387" s="958">
        <v>16</v>
      </c>
      <c r="EZ387" s="589" t="s">
        <v>470</v>
      </c>
      <c r="FA387" s="589" t="s">
        <v>656</v>
      </c>
      <c r="FB387" s="589" t="s">
        <v>2356</v>
      </c>
      <c r="FC387" s="589" t="s">
        <v>9647</v>
      </c>
      <c r="FD387" s="589" t="s">
        <v>656</v>
      </c>
      <c r="FE387" s="589" t="s">
        <v>656</v>
      </c>
      <c r="FF387" s="589" t="s">
        <v>656</v>
      </c>
      <c r="FG387" s="589" t="s">
        <v>656</v>
      </c>
      <c r="FH387" s="589" t="s">
        <v>656</v>
      </c>
      <c r="FI387" s="589" t="s">
        <v>656</v>
      </c>
      <c r="FJ387" s="589" t="s">
        <v>2357</v>
      </c>
      <c r="FK387" s="589" t="s">
        <v>2358</v>
      </c>
      <c r="FL387" s="589" t="s">
        <v>2359</v>
      </c>
      <c r="FM387" s="589" t="s">
        <v>2360</v>
      </c>
      <c r="FN387" s="589" t="s">
        <v>2361</v>
      </c>
      <c r="FO387" s="589" t="s">
        <v>2362</v>
      </c>
    </row>
    <row r="388" spans="5:192" ht="104" customHeight="1" x14ac:dyDescent="0.2">
      <c r="E388" s="94" t="s">
        <v>9302</v>
      </c>
      <c r="F388" s="94" t="s">
        <v>9120</v>
      </c>
      <c r="G388" s="198" t="s">
        <v>364</v>
      </c>
      <c r="H388" s="198" t="s">
        <v>449</v>
      </c>
      <c r="I388" s="198"/>
      <c r="J388" s="589" t="s">
        <v>2387</v>
      </c>
      <c r="K388" s="589" t="s">
        <v>656</v>
      </c>
      <c r="L388" s="583">
        <v>2022</v>
      </c>
      <c r="M388" s="589" t="s">
        <v>2364</v>
      </c>
      <c r="N388" s="589" t="s">
        <v>865</v>
      </c>
      <c r="O388" s="589" t="s">
        <v>656</v>
      </c>
      <c r="P388" s="589" t="s">
        <v>656</v>
      </c>
      <c r="Q388" s="589" t="s">
        <v>656</v>
      </c>
      <c r="R388" s="1118" t="s">
        <v>2388</v>
      </c>
      <c r="S388" s="1112" t="s">
        <v>2389</v>
      </c>
      <c r="T388" s="589" t="s">
        <v>656</v>
      </c>
      <c r="U388" s="589" t="s">
        <v>656</v>
      </c>
      <c r="V388" s="589" t="s">
        <v>656</v>
      </c>
      <c r="W388" s="589" t="s">
        <v>656</v>
      </c>
      <c r="X388" s="1118" t="s">
        <v>2390</v>
      </c>
      <c r="Y388" s="1112" t="s">
        <v>2391</v>
      </c>
      <c r="Z388" s="1112"/>
      <c r="AA388" s="1112"/>
      <c r="AB388" s="1112"/>
      <c r="AC388" s="1112"/>
      <c r="AD388" s="1112"/>
      <c r="AE388" s="1112"/>
      <c r="AF388" s="1112"/>
      <c r="AG388" s="1112"/>
      <c r="AH388" s="583" t="s">
        <v>2392</v>
      </c>
      <c r="AI388" s="583" t="s">
        <v>2392</v>
      </c>
      <c r="AJ388" s="589" t="s">
        <v>504</v>
      </c>
      <c r="AK388" s="589" t="s">
        <v>2393</v>
      </c>
      <c r="AL388" s="580">
        <f t="shared" si="41"/>
        <v>74.317000000000007</v>
      </c>
      <c r="AM388" s="504">
        <v>74.317000000000007</v>
      </c>
      <c r="AN388" s="954">
        <v>68.459999999999994</v>
      </c>
      <c r="AO388" s="955">
        <f>AN388/AL388</f>
        <v>0.92118896080304624</v>
      </c>
      <c r="AP388" s="955">
        <f>AN388/293924</f>
        <v>2.3291735278507366E-4</v>
      </c>
      <c r="AQ388" s="504">
        <v>4.1849999999999996</v>
      </c>
      <c r="AR388" s="137">
        <f>AQ388/AL388</f>
        <v>5.631282209992329E-2</v>
      </c>
      <c r="AS388" s="137"/>
      <c r="AT388" s="520">
        <v>6.3E-2</v>
      </c>
      <c r="AU388" s="137">
        <f>AT388/AL388</f>
        <v>8.4771990257949046E-4</v>
      </c>
      <c r="AV388" s="520">
        <v>1.4179999999999999</v>
      </c>
      <c r="AW388" s="137">
        <f>AV388/AL388</f>
        <v>1.9080425743773291E-2</v>
      </c>
      <c r="AX388" s="520">
        <v>0.191</v>
      </c>
      <c r="AY388" s="137">
        <f>AX388/AL388</f>
        <v>2.5700714506775029E-3</v>
      </c>
      <c r="AZ388" s="520">
        <v>0</v>
      </c>
      <c r="BA388" s="955">
        <f>AZ388/AL388</f>
        <v>0</v>
      </c>
      <c r="BB388" s="589" t="s">
        <v>656</v>
      </c>
      <c r="BC388" s="589" t="s">
        <v>656</v>
      </c>
      <c r="BD388" s="589" t="s">
        <v>656</v>
      </c>
      <c r="BE388" s="589" t="s">
        <v>479</v>
      </c>
      <c r="BF388" s="589" t="s">
        <v>2394</v>
      </c>
      <c r="BG388" s="589" t="s">
        <v>656</v>
      </c>
      <c r="BH388" s="589">
        <v>0.52400000000000002</v>
      </c>
      <c r="BI388" s="1119">
        <v>80.283000000000001</v>
      </c>
      <c r="BJ388" s="956">
        <f>BI388/234125</f>
        <v>3.4290656700480511E-4</v>
      </c>
      <c r="BK388" s="958">
        <v>199</v>
      </c>
      <c r="BL388" s="958">
        <v>199</v>
      </c>
      <c r="BM388" s="958">
        <v>69</v>
      </c>
      <c r="BN388" s="958">
        <v>0</v>
      </c>
      <c r="BO388" s="958">
        <v>1</v>
      </c>
      <c r="BP388" s="958">
        <v>0</v>
      </c>
      <c r="BQ388" s="958">
        <v>0</v>
      </c>
      <c r="BR388" s="958">
        <v>0</v>
      </c>
      <c r="BS388" s="958">
        <v>7</v>
      </c>
      <c r="BT388" s="958">
        <v>2</v>
      </c>
      <c r="BU388" s="958">
        <v>2</v>
      </c>
      <c r="BV388" s="958">
        <v>16</v>
      </c>
      <c r="BW388" s="958">
        <v>2</v>
      </c>
      <c r="BX388" s="958">
        <v>9</v>
      </c>
      <c r="BY388" s="952">
        <v>27</v>
      </c>
      <c r="BZ388" s="958">
        <v>1</v>
      </c>
      <c r="CA388" s="958">
        <v>0</v>
      </c>
      <c r="CB388" s="958">
        <v>0</v>
      </c>
      <c r="CC388" s="958">
        <v>0</v>
      </c>
      <c r="CD388" s="958">
        <v>0</v>
      </c>
      <c r="CE388" s="958">
        <v>0</v>
      </c>
      <c r="CF388" s="958">
        <v>0</v>
      </c>
      <c r="CG388" s="958">
        <v>0</v>
      </c>
      <c r="CH388" s="958">
        <v>0</v>
      </c>
      <c r="CI388" s="958">
        <v>0</v>
      </c>
      <c r="CJ388" s="958">
        <v>1</v>
      </c>
      <c r="CK388" s="958">
        <v>0</v>
      </c>
      <c r="CL388" s="959">
        <f t="shared" si="45"/>
        <v>68</v>
      </c>
      <c r="CM388" s="824">
        <f t="shared" si="40"/>
        <v>0</v>
      </c>
      <c r="CN388" s="583">
        <v>238.596</v>
      </c>
      <c r="CO388" s="589" t="s">
        <v>2395</v>
      </c>
      <c r="CP388" s="589" t="s">
        <v>656</v>
      </c>
      <c r="CQ388" s="955">
        <f>CN388/CR388/100%</f>
        <v>0.15371987722820249</v>
      </c>
      <c r="CR388" s="583">
        <v>1552.1479999999999</v>
      </c>
      <c r="CS388" s="1117" t="s">
        <v>2351</v>
      </c>
      <c r="CT388" s="589" t="s">
        <v>470</v>
      </c>
      <c r="CU388" s="589" t="s">
        <v>656</v>
      </c>
      <c r="CV388" s="589" t="s">
        <v>656</v>
      </c>
      <c r="CW388" s="589" t="s">
        <v>656</v>
      </c>
      <c r="CX388" s="958" t="s">
        <v>656</v>
      </c>
      <c r="CY388" s="958" t="s">
        <v>656</v>
      </c>
      <c r="CZ388" s="958">
        <v>6</v>
      </c>
      <c r="DA388" s="589" t="s">
        <v>479</v>
      </c>
      <c r="DB388" s="589" t="s">
        <v>2396</v>
      </c>
      <c r="DC388" s="958">
        <v>3193</v>
      </c>
      <c r="DD388" s="589" t="s">
        <v>479</v>
      </c>
      <c r="DE388" s="589" t="s">
        <v>2353</v>
      </c>
      <c r="DF388" s="958">
        <v>712</v>
      </c>
      <c r="DG388" s="958" t="s">
        <v>479</v>
      </c>
      <c r="DH388" s="958" t="s">
        <v>2397</v>
      </c>
      <c r="DI388" s="958">
        <v>239</v>
      </c>
      <c r="DJ388" s="958" t="s">
        <v>470</v>
      </c>
      <c r="DK388" s="958" t="s">
        <v>656</v>
      </c>
      <c r="DL388" s="958" t="s">
        <v>656</v>
      </c>
      <c r="DM388" s="589" t="s">
        <v>470</v>
      </c>
      <c r="DN388" s="589" t="s">
        <v>656</v>
      </c>
      <c r="DO388" s="958" t="s">
        <v>656</v>
      </c>
      <c r="DP388" s="589" t="s">
        <v>470</v>
      </c>
      <c r="DQ388" s="589" t="s">
        <v>656</v>
      </c>
      <c r="DR388" s="958" t="s">
        <v>656</v>
      </c>
      <c r="DS388" s="589" t="s">
        <v>470</v>
      </c>
      <c r="DT388" s="589" t="s">
        <v>656</v>
      </c>
      <c r="DU388" s="958" t="s">
        <v>656</v>
      </c>
      <c r="DV388" s="589" t="s">
        <v>470</v>
      </c>
      <c r="DW388" s="589" t="s">
        <v>656</v>
      </c>
      <c r="DX388" s="958" t="s">
        <v>656</v>
      </c>
      <c r="DY388" s="589" t="s">
        <v>479</v>
      </c>
      <c r="DZ388" s="589" t="s">
        <v>2398</v>
      </c>
      <c r="EA388" s="958">
        <v>3705</v>
      </c>
      <c r="EB388" s="589" t="s">
        <v>479</v>
      </c>
      <c r="EC388" s="589" t="s">
        <v>1597</v>
      </c>
      <c r="ED388" s="958">
        <v>653</v>
      </c>
      <c r="EE388" s="589" t="s">
        <v>470</v>
      </c>
      <c r="EF388" s="589" t="s">
        <v>656</v>
      </c>
      <c r="EG388" s="958" t="s">
        <v>656</v>
      </c>
      <c r="EH388" s="589" t="s">
        <v>470</v>
      </c>
      <c r="EI388" s="589" t="s">
        <v>656</v>
      </c>
      <c r="EJ388" s="958" t="s">
        <v>656</v>
      </c>
      <c r="EK388" s="589" t="s">
        <v>470</v>
      </c>
      <c r="EL388" s="589" t="s">
        <v>656</v>
      </c>
      <c r="EM388" s="958" t="s">
        <v>656</v>
      </c>
      <c r="EN388" s="589" t="s">
        <v>470</v>
      </c>
      <c r="EO388" s="589" t="s">
        <v>656</v>
      </c>
      <c r="EP388" s="958" t="s">
        <v>656</v>
      </c>
      <c r="EQ388" s="589" t="s">
        <v>479</v>
      </c>
      <c r="ER388" s="589" t="s">
        <v>1097</v>
      </c>
      <c r="ES388" s="958">
        <v>109</v>
      </c>
      <c r="ET388" s="589" t="s">
        <v>470</v>
      </c>
      <c r="EU388" s="589" t="s">
        <v>656</v>
      </c>
      <c r="EV388" s="958" t="s">
        <v>656</v>
      </c>
      <c r="EW388" s="1120">
        <v>1</v>
      </c>
      <c r="EX388" s="958" t="s">
        <v>656</v>
      </c>
      <c r="EY388" s="1121">
        <v>50</v>
      </c>
      <c r="EZ388" s="589" t="s">
        <v>470</v>
      </c>
      <c r="FA388" s="958" t="s">
        <v>2399</v>
      </c>
      <c r="FB388" s="1122" t="s">
        <v>656</v>
      </c>
      <c r="FC388" s="1122" t="s">
        <v>656</v>
      </c>
      <c r="FD388" s="1122" t="s">
        <v>656</v>
      </c>
      <c r="FE388" s="1122" t="s">
        <v>2400</v>
      </c>
      <c r="FF388" s="958" t="s">
        <v>656</v>
      </c>
      <c r="FG388" s="589" t="s">
        <v>656</v>
      </c>
      <c r="FH388" s="589" t="s">
        <v>656</v>
      </c>
      <c r="FI388" s="958" t="s">
        <v>656</v>
      </c>
      <c r="FJ388" s="589" t="s">
        <v>2360</v>
      </c>
      <c r="FK388" s="589" t="s">
        <v>2361</v>
      </c>
      <c r="FL388" s="1123" t="s">
        <v>2362</v>
      </c>
      <c r="FM388" s="589" t="s">
        <v>2360</v>
      </c>
      <c r="FN388" s="589" t="s">
        <v>2361</v>
      </c>
      <c r="FO388" s="589" t="s">
        <v>2362</v>
      </c>
    </row>
    <row r="389" spans="5:192" ht="104" customHeight="1" x14ac:dyDescent="0.2">
      <c r="E389" s="94" t="s">
        <v>9304</v>
      </c>
      <c r="F389" s="94" t="s">
        <v>9120</v>
      </c>
      <c r="G389" s="198" t="s">
        <v>364</v>
      </c>
      <c r="H389" s="198" t="s">
        <v>449</v>
      </c>
      <c r="I389" s="198"/>
      <c r="J389" s="589" t="s">
        <v>840</v>
      </c>
      <c r="K389" s="589" t="s">
        <v>840</v>
      </c>
      <c r="L389" s="583" t="s">
        <v>2363</v>
      </c>
      <c r="M389" s="589" t="s">
        <v>2364</v>
      </c>
      <c r="N389" s="589" t="s">
        <v>865</v>
      </c>
      <c r="O389" s="589" t="s">
        <v>2365</v>
      </c>
      <c r="P389" s="589" t="s">
        <v>2366</v>
      </c>
      <c r="Q389" s="1112" t="s">
        <v>2367</v>
      </c>
      <c r="R389" s="589" t="s">
        <v>656</v>
      </c>
      <c r="S389" s="589" t="s">
        <v>656</v>
      </c>
      <c r="T389" s="589" t="s">
        <v>656</v>
      </c>
      <c r="U389" s="589" t="s">
        <v>656</v>
      </c>
      <c r="V389" s="589" t="s">
        <v>656</v>
      </c>
      <c r="W389" s="589" t="s">
        <v>656</v>
      </c>
      <c r="X389" s="589" t="s">
        <v>656</v>
      </c>
      <c r="Y389" s="589" t="s">
        <v>656</v>
      </c>
      <c r="Z389" s="589"/>
      <c r="AA389" s="589"/>
      <c r="AB389" s="589"/>
      <c r="AC389" s="589"/>
      <c r="AD389" s="589"/>
      <c r="AE389" s="589"/>
      <c r="AF389" s="589"/>
      <c r="AG389" s="589"/>
      <c r="AH389" s="583" t="s">
        <v>2368</v>
      </c>
      <c r="AI389" s="583" t="s">
        <v>2368</v>
      </c>
      <c r="AJ389" s="589" t="s">
        <v>477</v>
      </c>
      <c r="AK389" s="589" t="s">
        <v>2369</v>
      </c>
      <c r="AL389" s="580">
        <f t="shared" si="41"/>
        <v>549.42181000000005</v>
      </c>
      <c r="AM389" s="504">
        <v>549.42181000000005</v>
      </c>
      <c r="AN389" s="954">
        <v>342.46699999999998</v>
      </c>
      <c r="AO389" s="955">
        <f>AN389/AL389</f>
        <v>0.62332254338428972</v>
      </c>
      <c r="AP389" s="955">
        <f>AN389/293924</f>
        <v>1.1651549380111866E-3</v>
      </c>
      <c r="AQ389" s="504">
        <v>4.7632099999999999</v>
      </c>
      <c r="AR389" s="137">
        <f>AQ389/AL389</f>
        <v>8.669495664906348E-3</v>
      </c>
      <c r="AS389" s="137"/>
      <c r="AT389" s="520">
        <v>0</v>
      </c>
      <c r="AU389" s="137">
        <v>0</v>
      </c>
      <c r="AV389" s="520">
        <v>0</v>
      </c>
      <c r="AW389" s="137">
        <v>0</v>
      </c>
      <c r="AX389" s="520"/>
      <c r="AY389" s="137">
        <v>0</v>
      </c>
      <c r="AZ389" s="520">
        <v>202.19159999999999</v>
      </c>
      <c r="BA389" s="955">
        <f>AZ389/AL389</f>
        <v>0.36800796095080385</v>
      </c>
      <c r="BB389" s="589" t="s">
        <v>2370</v>
      </c>
      <c r="BC389" s="589" t="s">
        <v>847</v>
      </c>
      <c r="BD389" s="589" t="s">
        <v>2368</v>
      </c>
      <c r="BE389" s="589" t="s">
        <v>470</v>
      </c>
      <c r="BF389" s="589" t="s">
        <v>656</v>
      </c>
      <c r="BG389" s="589" t="s">
        <v>656</v>
      </c>
      <c r="BH389" s="589" t="s">
        <v>656</v>
      </c>
      <c r="BI389" s="1119">
        <v>664.44816000000003</v>
      </c>
      <c r="BJ389" s="955">
        <f>BI389/234125</f>
        <v>2.8380060224239192E-3</v>
      </c>
      <c r="BK389" s="958"/>
      <c r="BL389" s="958"/>
      <c r="BM389" s="958"/>
      <c r="BN389" s="958"/>
      <c r="BO389" s="958" t="s">
        <v>656</v>
      </c>
      <c r="BP389" s="958" t="s">
        <v>656</v>
      </c>
      <c r="BQ389" s="958" t="s">
        <v>656</v>
      </c>
      <c r="BR389" s="958" t="s">
        <v>656</v>
      </c>
      <c r="BS389" s="958" t="s">
        <v>656</v>
      </c>
      <c r="BT389" s="958" t="s">
        <v>656</v>
      </c>
      <c r="BU389" s="958" t="s">
        <v>656</v>
      </c>
      <c r="BV389" s="958" t="s">
        <v>656</v>
      </c>
      <c r="BW389" s="958">
        <v>12</v>
      </c>
      <c r="BX389" s="958" t="s">
        <v>656</v>
      </c>
      <c r="BY389" s="952">
        <v>6</v>
      </c>
      <c r="BZ389" s="958" t="s">
        <v>656</v>
      </c>
      <c r="CA389" s="958" t="s">
        <v>656</v>
      </c>
      <c r="CB389" s="958" t="s">
        <v>656</v>
      </c>
      <c r="CC389" s="958">
        <v>1</v>
      </c>
      <c r="CD389" s="958" t="s">
        <v>656</v>
      </c>
      <c r="CE389" s="958" t="s">
        <v>656</v>
      </c>
      <c r="CF389" s="958" t="s">
        <v>656</v>
      </c>
      <c r="CG389" s="958" t="s">
        <v>656</v>
      </c>
      <c r="CH389" s="958" t="s">
        <v>656</v>
      </c>
      <c r="CI389" s="958" t="s">
        <v>656</v>
      </c>
      <c r="CJ389" s="958" t="s">
        <v>656</v>
      </c>
      <c r="CK389" s="958" t="s">
        <v>656</v>
      </c>
      <c r="CL389" s="959">
        <f t="shared" si="45"/>
        <v>19</v>
      </c>
      <c r="CM389" s="824">
        <f t="shared" ref="CM389:CM455" si="46">SUM(BN389:CK389)-CL389</f>
        <v>0</v>
      </c>
      <c r="CN389" s="583">
        <v>151.02699999999999</v>
      </c>
      <c r="CO389" s="589" t="s">
        <v>2371</v>
      </c>
      <c r="CP389" s="589" t="s">
        <v>656</v>
      </c>
      <c r="CQ389" s="955">
        <f>CN389/CR389/100%</f>
        <v>9.7301932547669417E-2</v>
      </c>
      <c r="CR389" s="583">
        <v>1552.1479999999999</v>
      </c>
      <c r="CS389" s="1117" t="s">
        <v>2351</v>
      </c>
      <c r="CT389" s="589" t="s">
        <v>470</v>
      </c>
      <c r="CU389" s="589" t="s">
        <v>656</v>
      </c>
      <c r="CV389" s="589" t="s">
        <v>656</v>
      </c>
      <c r="CW389" s="589" t="s">
        <v>656</v>
      </c>
      <c r="CX389" s="958" t="s">
        <v>656</v>
      </c>
      <c r="CY389" s="958" t="s">
        <v>2372</v>
      </c>
      <c r="CZ389" s="958">
        <v>4</v>
      </c>
      <c r="DA389" s="589" t="s">
        <v>470</v>
      </c>
      <c r="DB389" s="589" t="s">
        <v>656</v>
      </c>
      <c r="DC389" s="958" t="s">
        <v>656</v>
      </c>
      <c r="DD389" s="589" t="s">
        <v>479</v>
      </c>
      <c r="DE389" s="589" t="s">
        <v>2373</v>
      </c>
      <c r="DF389" s="958">
        <v>349</v>
      </c>
      <c r="DG389" s="958" t="s">
        <v>470</v>
      </c>
      <c r="DH389" s="958" t="s">
        <v>656</v>
      </c>
      <c r="DI389" s="958" t="s">
        <v>656</v>
      </c>
      <c r="DJ389" s="958" t="s">
        <v>470</v>
      </c>
      <c r="DK389" s="958" t="s">
        <v>656</v>
      </c>
      <c r="DL389" s="958" t="s">
        <v>656</v>
      </c>
      <c r="DM389" s="589" t="s">
        <v>479</v>
      </c>
      <c r="DN389" s="589" t="s">
        <v>2374</v>
      </c>
      <c r="DO389" s="958">
        <v>12844</v>
      </c>
      <c r="DP389" s="589" t="s">
        <v>479</v>
      </c>
      <c r="DQ389" s="589" t="s">
        <v>2375</v>
      </c>
      <c r="DR389" s="958">
        <v>262</v>
      </c>
      <c r="DS389" s="589" t="s">
        <v>470</v>
      </c>
      <c r="DT389" s="589" t="s">
        <v>656</v>
      </c>
      <c r="DU389" s="958" t="s">
        <v>656</v>
      </c>
      <c r="DV389" s="589" t="s">
        <v>656</v>
      </c>
      <c r="DW389" s="589" t="s">
        <v>656</v>
      </c>
      <c r="DX389" s="958" t="s">
        <v>656</v>
      </c>
      <c r="DY389" s="589" t="s">
        <v>479</v>
      </c>
      <c r="DZ389" s="589" t="s">
        <v>2376</v>
      </c>
      <c r="EA389" s="958">
        <v>53772</v>
      </c>
      <c r="EB389" s="589" t="s">
        <v>470</v>
      </c>
      <c r="EC389" s="589" t="s">
        <v>656</v>
      </c>
      <c r="ED389" s="958" t="s">
        <v>656</v>
      </c>
      <c r="EE389" s="589" t="s">
        <v>470</v>
      </c>
      <c r="EF389" s="589" t="s">
        <v>656</v>
      </c>
      <c r="EG389" s="958" t="s">
        <v>656</v>
      </c>
      <c r="EH389" s="589" t="s">
        <v>470</v>
      </c>
      <c r="EI389" s="589" t="s">
        <v>656</v>
      </c>
      <c r="EJ389" s="958" t="s">
        <v>656</v>
      </c>
      <c r="EK389" s="589" t="s">
        <v>470</v>
      </c>
      <c r="EL389" s="589" t="s">
        <v>656</v>
      </c>
      <c r="EM389" s="958" t="s">
        <v>656</v>
      </c>
      <c r="EN389" s="589" t="s">
        <v>470</v>
      </c>
      <c r="EO389" s="589" t="s">
        <v>656</v>
      </c>
      <c r="EP389" s="958" t="s">
        <v>656</v>
      </c>
      <c r="EQ389" s="589" t="s">
        <v>470</v>
      </c>
      <c r="ER389" s="589" t="s">
        <v>656</v>
      </c>
      <c r="ES389" s="958" t="s">
        <v>656</v>
      </c>
      <c r="ET389" s="589" t="s">
        <v>470</v>
      </c>
      <c r="EU389" s="589" t="s">
        <v>656</v>
      </c>
      <c r="EV389" s="958" t="s">
        <v>656</v>
      </c>
      <c r="EW389" s="589" t="s">
        <v>2377</v>
      </c>
      <c r="EX389" s="958" t="s">
        <v>2378</v>
      </c>
      <c r="EY389" s="1121">
        <v>2</v>
      </c>
      <c r="EZ389" s="589" t="s">
        <v>479</v>
      </c>
      <c r="FA389" s="958" t="s">
        <v>2379</v>
      </c>
      <c r="FB389" s="1123" t="s">
        <v>2380</v>
      </c>
      <c r="FC389" s="1123" t="s">
        <v>2381</v>
      </c>
      <c r="FD389" s="1123" t="s">
        <v>2382</v>
      </c>
      <c r="FE389" s="1123" t="s">
        <v>2383</v>
      </c>
      <c r="FF389" s="958" t="s">
        <v>1749</v>
      </c>
      <c r="FG389" s="589" t="s">
        <v>656</v>
      </c>
      <c r="FH389" s="589" t="s">
        <v>656</v>
      </c>
      <c r="FI389" s="958" t="s">
        <v>656</v>
      </c>
      <c r="FJ389" s="589" t="s">
        <v>2384</v>
      </c>
      <c r="FK389" s="589" t="s">
        <v>2385</v>
      </c>
      <c r="FL389" s="1123" t="s">
        <v>2386</v>
      </c>
      <c r="FM389" s="589" t="s">
        <v>2360</v>
      </c>
      <c r="FN389" s="589" t="s">
        <v>2361</v>
      </c>
      <c r="FO389" s="589" t="s">
        <v>2362</v>
      </c>
    </row>
    <row r="390" spans="5:192" ht="59" customHeight="1" x14ac:dyDescent="0.2">
      <c r="E390" s="94" t="s">
        <v>9305</v>
      </c>
      <c r="F390" s="94" t="s">
        <v>9121</v>
      </c>
      <c r="G390" s="97" t="s">
        <v>364</v>
      </c>
      <c r="H390" s="97" t="s">
        <v>449</v>
      </c>
      <c r="I390" s="97" t="s">
        <v>8651</v>
      </c>
      <c r="J390" s="97" t="s">
        <v>656</v>
      </c>
      <c r="K390" s="97" t="s">
        <v>2685</v>
      </c>
      <c r="L390" s="502">
        <v>2020</v>
      </c>
      <c r="M390" s="841">
        <v>44586</v>
      </c>
      <c r="N390" s="841">
        <v>44926</v>
      </c>
      <c r="O390" s="841"/>
      <c r="P390" s="841"/>
      <c r="Q390" s="841"/>
      <c r="R390" s="841"/>
      <c r="S390" s="841"/>
      <c r="T390" s="841"/>
      <c r="U390" s="841"/>
      <c r="V390" s="841"/>
      <c r="W390" s="841"/>
      <c r="X390" s="841"/>
      <c r="Y390" s="841"/>
      <c r="Z390" s="97" t="s">
        <v>8034</v>
      </c>
      <c r="AA390" s="849" t="s">
        <v>7906</v>
      </c>
      <c r="AB390" s="97" t="s">
        <v>7729</v>
      </c>
      <c r="AC390" s="849" t="s">
        <v>7599</v>
      </c>
      <c r="AD390" s="97" t="s">
        <v>7389</v>
      </c>
      <c r="AE390" s="849" t="s">
        <v>7211</v>
      </c>
      <c r="AF390" s="97" t="s">
        <v>656</v>
      </c>
      <c r="AG390" s="97" t="s">
        <v>656</v>
      </c>
      <c r="AH390" s="97" t="s">
        <v>6939</v>
      </c>
      <c r="AI390" s="97" t="s">
        <v>6782</v>
      </c>
      <c r="AJ390" s="97" t="s">
        <v>6642</v>
      </c>
      <c r="AK390" s="97" t="s">
        <v>6394</v>
      </c>
      <c r="AL390" s="580">
        <f t="shared" si="41"/>
        <v>18.782</v>
      </c>
      <c r="AM390" s="504">
        <v>18.782</v>
      </c>
      <c r="AN390" s="516"/>
      <c r="AO390" s="97"/>
      <c r="AP390" s="97"/>
      <c r="AQ390" s="504">
        <v>17.689</v>
      </c>
      <c r="AR390" s="507">
        <f>AQ390/AL390</f>
        <v>0.94180598445319985</v>
      </c>
      <c r="AS390" s="507">
        <f>AQ390/41824.653</f>
        <v>4.2293237914012104E-4</v>
      </c>
      <c r="AT390" s="516"/>
      <c r="AU390" s="507" t="s">
        <v>656</v>
      </c>
      <c r="AV390" s="516"/>
      <c r="AW390" s="507" t="s">
        <v>656</v>
      </c>
      <c r="AX390" s="516">
        <v>1.093</v>
      </c>
      <c r="AY390" s="507">
        <f>AX390/AL390</f>
        <v>5.8194015546800128E-2</v>
      </c>
      <c r="AZ390" s="516"/>
      <c r="BA390" s="507"/>
      <c r="BB390" s="507"/>
      <c r="BC390" s="507"/>
      <c r="BD390" s="507"/>
      <c r="BE390" s="507" t="s">
        <v>470</v>
      </c>
      <c r="BF390" s="507" t="s">
        <v>656</v>
      </c>
      <c r="BG390" s="507" t="s">
        <v>656</v>
      </c>
      <c r="BH390" s="852" t="s">
        <v>656</v>
      </c>
      <c r="BI390" s="504">
        <v>20</v>
      </c>
      <c r="BJ390" s="507">
        <f>BI390/38078.849</f>
        <v>5.2522595942960351E-4</v>
      </c>
      <c r="BK390" s="96">
        <v>19</v>
      </c>
      <c r="BL390" s="96">
        <v>15</v>
      </c>
      <c r="BM390" s="96">
        <v>12</v>
      </c>
      <c r="BN390" s="96" t="s">
        <v>656</v>
      </c>
      <c r="BO390" s="96" t="s">
        <v>656</v>
      </c>
      <c r="BP390" s="96" t="s">
        <v>656</v>
      </c>
      <c r="BQ390" s="96" t="s">
        <v>656</v>
      </c>
      <c r="BR390" s="96" t="s">
        <v>656</v>
      </c>
      <c r="BS390" s="96">
        <v>1</v>
      </c>
      <c r="BT390" s="96">
        <v>1</v>
      </c>
      <c r="BU390" s="96">
        <v>1</v>
      </c>
      <c r="BV390" s="96">
        <v>2</v>
      </c>
      <c r="BW390" s="96" t="s">
        <v>656</v>
      </c>
      <c r="BX390" s="96">
        <v>2</v>
      </c>
      <c r="BY390" s="96">
        <v>1</v>
      </c>
      <c r="BZ390" s="96" t="s">
        <v>656</v>
      </c>
      <c r="CA390" s="96" t="s">
        <v>656</v>
      </c>
      <c r="CB390" s="96">
        <v>3</v>
      </c>
      <c r="CC390" s="96" t="s">
        <v>656</v>
      </c>
      <c r="CD390" s="96" t="s">
        <v>656</v>
      </c>
      <c r="CE390" s="96" t="s">
        <v>656</v>
      </c>
      <c r="CF390" s="96" t="s">
        <v>656</v>
      </c>
      <c r="CG390" s="96" t="s">
        <v>656</v>
      </c>
      <c r="CH390" s="96" t="s">
        <v>656</v>
      </c>
      <c r="CI390" s="96" t="s">
        <v>656</v>
      </c>
      <c r="CJ390" s="96" t="s">
        <v>656</v>
      </c>
      <c r="CK390" s="96">
        <v>1</v>
      </c>
      <c r="CL390" s="815">
        <f t="shared" si="45"/>
        <v>12</v>
      </c>
      <c r="CM390" s="824">
        <f t="shared" si="46"/>
        <v>0</v>
      </c>
      <c r="CN390" s="96">
        <v>21</v>
      </c>
      <c r="CO390" s="97" t="s">
        <v>6030</v>
      </c>
      <c r="CP390" s="97" t="s">
        <v>656</v>
      </c>
      <c r="CQ390" s="1031">
        <f>CN390/CR390</f>
        <v>2.5343953656770456E-2</v>
      </c>
      <c r="CR390" s="97">
        <v>828.6</v>
      </c>
      <c r="CS390" s="850" t="s">
        <v>5805</v>
      </c>
      <c r="CT390" s="97" t="s">
        <v>470</v>
      </c>
      <c r="CU390" s="97" t="s">
        <v>656</v>
      </c>
      <c r="CV390" s="97" t="s">
        <v>656</v>
      </c>
      <c r="CW390" s="97" t="s">
        <v>656</v>
      </c>
      <c r="CX390" s="96" t="s">
        <v>656</v>
      </c>
      <c r="CY390" s="96" t="s">
        <v>656</v>
      </c>
      <c r="CZ390" s="96">
        <v>2</v>
      </c>
      <c r="DA390" s="97" t="s">
        <v>479</v>
      </c>
      <c r="DB390" s="97" t="s">
        <v>5684</v>
      </c>
      <c r="DC390" s="96">
        <v>2178</v>
      </c>
      <c r="DD390" s="97" t="s">
        <v>479</v>
      </c>
      <c r="DE390" s="97" t="s">
        <v>5600</v>
      </c>
      <c r="DF390" s="96" t="s">
        <v>656</v>
      </c>
      <c r="DG390" s="96" t="s">
        <v>479</v>
      </c>
      <c r="DH390" s="96" t="s">
        <v>484</v>
      </c>
      <c r="DI390" s="96" t="s">
        <v>656</v>
      </c>
      <c r="DJ390" s="96" t="s">
        <v>656</v>
      </c>
      <c r="DK390" s="96" t="s">
        <v>656</v>
      </c>
      <c r="DL390" s="96" t="s">
        <v>656</v>
      </c>
      <c r="DM390" s="97" t="s">
        <v>656</v>
      </c>
      <c r="DN390" s="97" t="s">
        <v>656</v>
      </c>
      <c r="DO390" s="96" t="s">
        <v>656</v>
      </c>
      <c r="DP390" s="97" t="s">
        <v>479</v>
      </c>
      <c r="DQ390" s="97" t="s">
        <v>5536</v>
      </c>
      <c r="DR390" s="96">
        <v>9</v>
      </c>
      <c r="DS390" s="97" t="s">
        <v>656</v>
      </c>
      <c r="DT390" s="97" t="s">
        <v>656</v>
      </c>
      <c r="DU390" s="96" t="s">
        <v>656</v>
      </c>
      <c r="DV390" s="97" t="s">
        <v>5498</v>
      </c>
      <c r="DW390" s="97" t="s">
        <v>5474</v>
      </c>
      <c r="DX390" s="96">
        <v>10</v>
      </c>
      <c r="DY390" s="97" t="s">
        <v>479</v>
      </c>
      <c r="DZ390" s="97" t="s">
        <v>5450</v>
      </c>
      <c r="EA390" s="96">
        <v>10559</v>
      </c>
      <c r="EB390" s="97" t="s">
        <v>470</v>
      </c>
      <c r="EC390" s="97" t="s">
        <v>656</v>
      </c>
      <c r="ED390" s="96" t="s">
        <v>656</v>
      </c>
      <c r="EE390" s="96" t="s">
        <v>470</v>
      </c>
      <c r="EF390" s="96" t="s">
        <v>656</v>
      </c>
      <c r="EG390" s="96" t="s">
        <v>656</v>
      </c>
      <c r="EH390" s="97" t="s">
        <v>470</v>
      </c>
      <c r="EI390" s="97" t="s">
        <v>656</v>
      </c>
      <c r="EJ390" s="96" t="s">
        <v>656</v>
      </c>
      <c r="EK390" s="97" t="s">
        <v>470</v>
      </c>
      <c r="EL390" s="97" t="s">
        <v>656</v>
      </c>
      <c r="EM390" s="96" t="s">
        <v>656</v>
      </c>
      <c r="EN390" s="97" t="s">
        <v>470</v>
      </c>
      <c r="EO390" s="97" t="s">
        <v>656</v>
      </c>
      <c r="EP390" s="96" t="s">
        <v>656</v>
      </c>
      <c r="EQ390" s="96" t="s">
        <v>479</v>
      </c>
      <c r="ER390" s="96" t="s">
        <v>640</v>
      </c>
      <c r="ES390" s="96" t="s">
        <v>5254</v>
      </c>
      <c r="ET390" s="97" t="s">
        <v>470</v>
      </c>
      <c r="EU390" s="97" t="s">
        <v>656</v>
      </c>
      <c r="EV390" s="96" t="s">
        <v>656</v>
      </c>
      <c r="EW390" s="96"/>
      <c r="EX390" s="96"/>
      <c r="EY390" s="96"/>
      <c r="EZ390" s="97" t="s">
        <v>470</v>
      </c>
      <c r="FA390" s="97" t="s">
        <v>5200</v>
      </c>
      <c r="FB390" s="97" t="s">
        <v>4950</v>
      </c>
      <c r="FC390" s="849" t="s">
        <v>4950</v>
      </c>
      <c r="FD390" s="849" t="s">
        <v>4891</v>
      </c>
      <c r="FE390" s="97" t="s">
        <v>4760</v>
      </c>
      <c r="FF390" s="97" t="s">
        <v>656</v>
      </c>
      <c r="FG390" s="97" t="s">
        <v>4592</v>
      </c>
      <c r="FH390" s="97">
        <v>2</v>
      </c>
      <c r="FI390" s="97">
        <v>110</v>
      </c>
      <c r="FJ390" s="97" t="s">
        <v>4358</v>
      </c>
      <c r="FK390" s="97" t="s">
        <v>4176</v>
      </c>
      <c r="FL390" s="97" t="s">
        <v>3956</v>
      </c>
      <c r="FM390" s="97" t="s">
        <v>2360</v>
      </c>
      <c r="FN390" s="97" t="s">
        <v>2361</v>
      </c>
      <c r="FO390" s="97" t="s">
        <v>2362</v>
      </c>
    </row>
    <row r="391" spans="5:192" ht="107" customHeight="1" x14ac:dyDescent="0.2">
      <c r="E391" s="94" t="s">
        <v>9302</v>
      </c>
      <c r="F391" s="94" t="s">
        <v>9120</v>
      </c>
      <c r="G391" s="198" t="s">
        <v>365</v>
      </c>
      <c r="H391" s="198" t="s">
        <v>450</v>
      </c>
      <c r="I391" s="198"/>
      <c r="J391" s="198" t="s">
        <v>2288</v>
      </c>
      <c r="K391" s="198" t="s">
        <v>2289</v>
      </c>
      <c r="L391" s="578">
        <v>2019</v>
      </c>
      <c r="M391" s="822" t="s">
        <v>2290</v>
      </c>
      <c r="N391" s="822" t="s">
        <v>554</v>
      </c>
      <c r="O391" s="198" t="s">
        <v>2291</v>
      </c>
      <c r="P391" s="198" t="s">
        <v>2292</v>
      </c>
      <c r="Q391" s="844" t="s">
        <v>2293</v>
      </c>
      <c r="R391" s="198"/>
      <c r="S391" s="198"/>
      <c r="T391" s="198"/>
      <c r="U391" s="198"/>
      <c r="V391" s="198"/>
      <c r="W391" s="198"/>
      <c r="X391" s="198" t="s">
        <v>2294</v>
      </c>
      <c r="Y391" s="198" t="s">
        <v>2295</v>
      </c>
      <c r="Z391" s="198"/>
      <c r="AA391" s="198"/>
      <c r="AB391" s="198"/>
      <c r="AC391" s="198"/>
      <c r="AD391" s="198"/>
      <c r="AE391" s="198"/>
      <c r="AF391" s="198"/>
      <c r="AG391" s="198"/>
      <c r="AH391" s="198" t="s">
        <v>2296</v>
      </c>
      <c r="AI391" s="198" t="s">
        <v>2296</v>
      </c>
      <c r="AJ391" s="198" t="s">
        <v>2297</v>
      </c>
      <c r="AK391" s="198" t="s">
        <v>2298</v>
      </c>
      <c r="AL391" s="580">
        <f t="shared" si="41"/>
        <v>232.47112999999999</v>
      </c>
      <c r="AM391" s="504">
        <v>232.47112999999999</v>
      </c>
      <c r="AN391" s="516">
        <v>158.17599999999999</v>
      </c>
      <c r="AO391" s="137">
        <v>0.68169999999999997</v>
      </c>
      <c r="AP391" s="137"/>
      <c r="AQ391" s="504">
        <v>26.306999999999999</v>
      </c>
      <c r="AR391" s="137">
        <v>0.1134</v>
      </c>
      <c r="AS391" s="137"/>
      <c r="AT391" s="520">
        <v>23.934000000000001</v>
      </c>
      <c r="AU391" s="137">
        <v>0.1032</v>
      </c>
      <c r="AV391" s="520">
        <v>23.579000000000001</v>
      </c>
      <c r="AW391" s="137">
        <v>0.1017</v>
      </c>
      <c r="AX391" s="520">
        <v>0.47513</v>
      </c>
      <c r="AY391" s="137">
        <v>0.2049</v>
      </c>
      <c r="AZ391" s="520"/>
      <c r="BA391" s="137"/>
      <c r="BB391" s="198"/>
      <c r="BC391" s="198"/>
      <c r="BD391" s="198"/>
      <c r="BE391" s="198" t="s">
        <v>2299</v>
      </c>
      <c r="BF391" s="198" t="s">
        <v>2300</v>
      </c>
      <c r="BG391" s="844" t="s">
        <v>2295</v>
      </c>
      <c r="BH391" s="198">
        <v>40.799999999999997</v>
      </c>
      <c r="BI391" s="520">
        <v>216</v>
      </c>
      <c r="BJ391" s="137">
        <v>2.0999999999999999E-3</v>
      </c>
      <c r="BK391" s="83"/>
      <c r="BL391" s="83">
        <v>332</v>
      </c>
      <c r="BM391" s="83">
        <v>273</v>
      </c>
      <c r="BN391" s="83">
        <v>4</v>
      </c>
      <c r="BO391" s="83">
        <v>42</v>
      </c>
      <c r="BP391" s="83">
        <v>3</v>
      </c>
      <c r="BQ391" s="83">
        <v>0</v>
      </c>
      <c r="BR391" s="83">
        <v>0</v>
      </c>
      <c r="BS391" s="83">
        <v>3</v>
      </c>
      <c r="BT391" s="83">
        <v>63</v>
      </c>
      <c r="BU391" s="83">
        <v>19</v>
      </c>
      <c r="BV391" s="83">
        <v>39</v>
      </c>
      <c r="BW391" s="83">
        <v>0</v>
      </c>
      <c r="BX391" s="83">
        <v>46</v>
      </c>
      <c r="BY391" s="83">
        <v>33</v>
      </c>
      <c r="BZ391" s="83">
        <v>12</v>
      </c>
      <c r="CA391" s="83">
        <v>0</v>
      </c>
      <c r="CB391" s="83">
        <v>0</v>
      </c>
      <c r="CC391" s="83">
        <v>0</v>
      </c>
      <c r="CD391" s="83">
        <v>0</v>
      </c>
      <c r="CE391" s="83">
        <v>0</v>
      </c>
      <c r="CF391" s="83">
        <v>0</v>
      </c>
      <c r="CG391" s="83" t="s">
        <v>2301</v>
      </c>
      <c r="CH391" s="83">
        <v>0</v>
      </c>
      <c r="CI391" s="83">
        <v>0</v>
      </c>
      <c r="CJ391" s="83">
        <v>0</v>
      </c>
      <c r="CK391" s="83">
        <v>2</v>
      </c>
      <c r="CL391" s="824">
        <f t="shared" si="45"/>
        <v>266</v>
      </c>
      <c r="CM391" s="824">
        <f t="shared" si="46"/>
        <v>0</v>
      </c>
      <c r="CN391" s="580"/>
      <c r="CO391" s="198"/>
      <c r="CP391" s="198"/>
      <c r="CQ391" s="137"/>
      <c r="CR391" s="580">
        <v>1484.46</v>
      </c>
      <c r="CS391" s="873" t="s">
        <v>2302</v>
      </c>
      <c r="CT391" s="198" t="s">
        <v>479</v>
      </c>
      <c r="CU391" s="198" t="s">
        <v>2303</v>
      </c>
      <c r="CV391" s="844" t="s">
        <v>2304</v>
      </c>
      <c r="CW391" s="198" t="s">
        <v>2305</v>
      </c>
      <c r="CX391" s="83">
        <v>5</v>
      </c>
      <c r="CY391" s="83" t="s">
        <v>470</v>
      </c>
      <c r="CZ391" s="83">
        <v>4</v>
      </c>
      <c r="DA391" s="198" t="s">
        <v>470</v>
      </c>
      <c r="DB391" s="198" t="s">
        <v>2306</v>
      </c>
      <c r="DC391" s="83"/>
      <c r="DD391" s="198" t="s">
        <v>479</v>
      </c>
      <c r="DE391" s="198" t="s">
        <v>2307</v>
      </c>
      <c r="DF391" s="83">
        <v>59772</v>
      </c>
      <c r="DG391" s="83" t="s">
        <v>470</v>
      </c>
      <c r="DH391" s="83"/>
      <c r="DI391" s="83"/>
      <c r="DJ391" s="83" t="s">
        <v>470</v>
      </c>
      <c r="DK391" s="83"/>
      <c r="DL391" s="83"/>
      <c r="DM391" s="198" t="s">
        <v>470</v>
      </c>
      <c r="DN391" s="198"/>
      <c r="DO391" s="83"/>
      <c r="DP391" s="198" t="s">
        <v>470</v>
      </c>
      <c r="DQ391" s="198"/>
      <c r="DR391" s="83"/>
      <c r="DS391" s="198" t="s">
        <v>470</v>
      </c>
      <c r="DT391" s="198"/>
      <c r="DU391" s="83"/>
      <c r="DV391" s="198" t="s">
        <v>470</v>
      </c>
      <c r="DW391" s="198"/>
      <c r="DX391" s="83"/>
      <c r="DY391" s="198" t="s">
        <v>470</v>
      </c>
      <c r="DZ391" s="198"/>
      <c r="EA391" s="83"/>
      <c r="EB391" s="198" t="s">
        <v>479</v>
      </c>
      <c r="EC391" s="198" t="s">
        <v>2308</v>
      </c>
      <c r="ED391" s="83">
        <v>17553</v>
      </c>
      <c r="EE391" s="83" t="s">
        <v>470</v>
      </c>
      <c r="EF391" s="83"/>
      <c r="EG391" s="83"/>
      <c r="EH391" s="198" t="s">
        <v>470</v>
      </c>
      <c r="EI391" s="198"/>
      <c r="EJ391" s="83"/>
      <c r="EK391" s="198" t="s">
        <v>470</v>
      </c>
      <c r="EL391" s="198"/>
      <c r="EM391" s="83"/>
      <c r="EN391" s="198" t="s">
        <v>470</v>
      </c>
      <c r="EO391" s="198"/>
      <c r="EP391" s="83"/>
      <c r="EQ391" s="83" t="s">
        <v>479</v>
      </c>
      <c r="ER391" s="83" t="s">
        <v>2309</v>
      </c>
      <c r="ES391" s="83">
        <v>18</v>
      </c>
      <c r="ET391" s="198"/>
      <c r="EU391" s="198"/>
      <c r="EV391" s="83"/>
      <c r="EW391" s="837">
        <v>1</v>
      </c>
      <c r="EX391" s="198"/>
      <c r="EY391" s="505">
        <v>30</v>
      </c>
      <c r="EZ391" s="198" t="s">
        <v>2310</v>
      </c>
      <c r="FA391" s="198" t="s">
        <v>2311</v>
      </c>
      <c r="FB391" s="844" t="s">
        <v>2312</v>
      </c>
      <c r="FC391" s="844" t="s">
        <v>2313</v>
      </c>
      <c r="FD391" s="844" t="s">
        <v>2314</v>
      </c>
      <c r="FE391" s="844" t="s">
        <v>2315</v>
      </c>
      <c r="FF391" s="844" t="s">
        <v>2316</v>
      </c>
      <c r="FG391" s="198" t="s">
        <v>2317</v>
      </c>
      <c r="FH391" s="198">
        <v>19</v>
      </c>
      <c r="FI391" s="198">
        <f>1134+596</f>
        <v>1730</v>
      </c>
      <c r="FJ391" s="198" t="s">
        <v>2318</v>
      </c>
      <c r="FK391" s="198" t="s">
        <v>2319</v>
      </c>
      <c r="FL391" s="844" t="s">
        <v>2320</v>
      </c>
      <c r="FM391" s="198"/>
      <c r="FN391" s="198"/>
      <c r="FO391" s="844"/>
    </row>
    <row r="392" spans="5:192" ht="104" customHeight="1" x14ac:dyDescent="0.2">
      <c r="E392" s="94" t="s">
        <v>3236</v>
      </c>
      <c r="F392" s="94" t="s">
        <v>9120</v>
      </c>
      <c r="G392" s="198" t="s">
        <v>365</v>
      </c>
      <c r="H392" s="198" t="s">
        <v>450</v>
      </c>
      <c r="I392" s="198"/>
      <c r="J392" s="198" t="s">
        <v>2321</v>
      </c>
      <c r="K392" s="198" t="s">
        <v>2322</v>
      </c>
      <c r="L392" s="578">
        <v>2020</v>
      </c>
      <c r="M392" s="822" t="s">
        <v>2323</v>
      </c>
      <c r="N392" s="822">
        <v>44926</v>
      </c>
      <c r="O392" s="198" t="s">
        <v>2291</v>
      </c>
      <c r="P392" s="198" t="s">
        <v>2324</v>
      </c>
      <c r="Q392" s="844" t="s">
        <v>2325</v>
      </c>
      <c r="R392" s="198"/>
      <c r="S392" s="198"/>
      <c r="T392" s="198"/>
      <c r="U392" s="198"/>
      <c r="V392" s="198"/>
      <c r="W392" s="198"/>
      <c r="X392" s="198" t="s">
        <v>2326</v>
      </c>
      <c r="Y392" s="844" t="s">
        <v>2327</v>
      </c>
      <c r="Z392" s="844"/>
      <c r="AA392" s="844"/>
      <c r="AB392" s="844"/>
      <c r="AC392" s="844"/>
      <c r="AD392" s="844"/>
      <c r="AE392" s="844"/>
      <c r="AF392" s="844"/>
      <c r="AG392" s="844"/>
      <c r="AH392" s="198" t="s">
        <v>2296</v>
      </c>
      <c r="AI392" s="198" t="s">
        <v>2296</v>
      </c>
      <c r="AJ392" s="198" t="s">
        <v>2328</v>
      </c>
      <c r="AK392" s="198" t="s">
        <v>2298</v>
      </c>
      <c r="AL392" s="580">
        <f t="shared" ref="AL392:AL455" si="47">SUM(AN392,AQ392,AT392,AV392,AX392,AZ392)</f>
        <v>39.208999999999996</v>
      </c>
      <c r="AM392" s="504">
        <v>39.208999999999996</v>
      </c>
      <c r="AN392" s="516">
        <v>31.867999999999999</v>
      </c>
      <c r="AO392" s="137">
        <v>0.81269999999999998</v>
      </c>
      <c r="AP392" s="137">
        <v>2.9999999999999997E-4</v>
      </c>
      <c r="AQ392" s="504">
        <v>7.3410000000000002</v>
      </c>
      <c r="AR392" s="137">
        <v>0.18729999999999999</v>
      </c>
      <c r="AS392" s="137"/>
      <c r="AT392" s="520"/>
      <c r="AU392" s="137"/>
      <c r="AV392" s="520"/>
      <c r="AW392" s="137"/>
      <c r="AX392" s="520"/>
      <c r="AY392" s="137"/>
      <c r="AZ392" s="520"/>
      <c r="BA392" s="137"/>
      <c r="BB392" s="198"/>
      <c r="BC392" s="198"/>
      <c r="BD392" s="198"/>
      <c r="BE392" s="198"/>
      <c r="BF392" s="198"/>
      <c r="BG392" s="198"/>
      <c r="BH392" s="198"/>
      <c r="BI392" s="137" t="s">
        <v>2329</v>
      </c>
      <c r="BJ392" s="137">
        <v>6.9999999999999999E-4</v>
      </c>
      <c r="BK392" s="83">
        <v>529</v>
      </c>
      <c r="BL392" s="83">
        <v>529</v>
      </c>
      <c r="BM392" s="83">
        <v>143</v>
      </c>
      <c r="BN392" s="83"/>
      <c r="BO392" s="83"/>
      <c r="BP392" s="83"/>
      <c r="BQ392" s="83"/>
      <c r="BR392" s="83"/>
      <c r="BS392" s="83"/>
      <c r="BT392" s="83"/>
      <c r="BU392" s="83"/>
      <c r="BV392" s="83"/>
      <c r="BW392" s="83"/>
      <c r="BX392" s="83"/>
      <c r="BY392" s="83"/>
      <c r="BZ392" s="83"/>
      <c r="CA392" s="83"/>
      <c r="CB392" s="83"/>
      <c r="CC392" s="83"/>
      <c r="CD392" s="83"/>
      <c r="CE392" s="83"/>
      <c r="CF392" s="83"/>
      <c r="CG392" s="83">
        <v>142</v>
      </c>
      <c r="CH392" s="83"/>
      <c r="CI392" s="83"/>
      <c r="CJ392" s="83"/>
      <c r="CK392" s="83"/>
      <c r="CL392" s="824">
        <f t="shared" si="45"/>
        <v>142</v>
      </c>
      <c r="CM392" s="824">
        <f t="shared" si="46"/>
        <v>0</v>
      </c>
      <c r="CN392" s="580"/>
      <c r="CO392" s="198"/>
      <c r="CP392" s="198"/>
      <c r="CQ392" s="137"/>
      <c r="CR392" s="580">
        <v>1484.46</v>
      </c>
      <c r="CS392" s="873" t="s">
        <v>2302</v>
      </c>
      <c r="CT392" s="198" t="s">
        <v>479</v>
      </c>
      <c r="CU392" s="198" t="s">
        <v>2303</v>
      </c>
      <c r="CV392" s="844" t="s">
        <v>2330</v>
      </c>
      <c r="CW392" s="198" t="s">
        <v>2305</v>
      </c>
      <c r="CX392" s="83">
        <v>5</v>
      </c>
      <c r="CY392" s="83" t="s">
        <v>470</v>
      </c>
      <c r="CZ392" s="83">
        <v>4</v>
      </c>
      <c r="DA392" s="198" t="s">
        <v>470</v>
      </c>
      <c r="DB392" s="198"/>
      <c r="DC392" s="83"/>
      <c r="DD392" s="198" t="s">
        <v>470</v>
      </c>
      <c r="DE392" s="198"/>
      <c r="DF392" s="83"/>
      <c r="DG392" s="83" t="s">
        <v>470</v>
      </c>
      <c r="DH392" s="83"/>
      <c r="DI392" s="83"/>
      <c r="DJ392" s="83" t="s">
        <v>470</v>
      </c>
      <c r="DK392" s="83"/>
      <c r="DL392" s="83"/>
      <c r="DM392" s="198" t="s">
        <v>470</v>
      </c>
      <c r="DN392" s="198"/>
      <c r="DO392" s="83"/>
      <c r="DP392" s="198" t="s">
        <v>470</v>
      </c>
      <c r="DQ392" s="198"/>
      <c r="DR392" s="83"/>
      <c r="DS392" s="198" t="s">
        <v>470</v>
      </c>
      <c r="DT392" s="198"/>
      <c r="DU392" s="83"/>
      <c r="DV392" s="198" t="s">
        <v>2331</v>
      </c>
      <c r="DW392" s="198" t="s">
        <v>2332</v>
      </c>
      <c r="DX392" s="83">
        <v>2245</v>
      </c>
      <c r="DY392" s="198" t="s">
        <v>470</v>
      </c>
      <c r="DZ392" s="198"/>
      <c r="EA392" s="83"/>
      <c r="EB392" s="198" t="s">
        <v>470</v>
      </c>
      <c r="EC392" s="198"/>
      <c r="ED392" s="83"/>
      <c r="EE392" s="83" t="s">
        <v>470</v>
      </c>
      <c r="EF392" s="83"/>
      <c r="EG392" s="83"/>
      <c r="EH392" s="198" t="s">
        <v>470</v>
      </c>
      <c r="EI392" s="198"/>
      <c r="EJ392" s="83"/>
      <c r="EK392" s="198" t="s">
        <v>470</v>
      </c>
      <c r="EL392" s="198"/>
      <c r="EM392" s="83"/>
      <c r="EN392" s="198" t="s">
        <v>470</v>
      </c>
      <c r="EO392" s="198"/>
      <c r="EP392" s="83"/>
      <c r="EQ392" s="83" t="s">
        <v>470</v>
      </c>
      <c r="ER392" s="83"/>
      <c r="ES392" s="83"/>
      <c r="ET392" s="198" t="s">
        <v>2333</v>
      </c>
      <c r="EU392" s="198" t="s">
        <v>2334</v>
      </c>
      <c r="EV392" s="83">
        <v>2483</v>
      </c>
      <c r="EW392" s="837">
        <v>1</v>
      </c>
      <c r="EX392" s="198"/>
      <c r="EY392" s="505">
        <v>30</v>
      </c>
      <c r="EZ392" s="198" t="s">
        <v>479</v>
      </c>
      <c r="FA392" s="198" t="s">
        <v>2335</v>
      </c>
      <c r="FB392" s="844" t="s">
        <v>2336</v>
      </c>
      <c r="FC392" s="844" t="s">
        <v>2337</v>
      </c>
      <c r="FD392" s="844" t="s">
        <v>2338</v>
      </c>
      <c r="FE392" s="198" t="s">
        <v>2339</v>
      </c>
      <c r="FF392" s="198" t="s">
        <v>2340</v>
      </c>
      <c r="FG392" s="198" t="s">
        <v>2341</v>
      </c>
      <c r="FH392" s="198">
        <v>49</v>
      </c>
      <c r="FI392" s="198">
        <v>4323</v>
      </c>
      <c r="FJ392" s="198" t="s">
        <v>2318</v>
      </c>
      <c r="FK392" s="198" t="s">
        <v>2319</v>
      </c>
      <c r="FL392" s="198" t="s">
        <v>2320</v>
      </c>
      <c r="FM392" s="198"/>
      <c r="FN392" s="198"/>
      <c r="FO392" s="198"/>
    </row>
    <row r="393" spans="5:192" ht="39" customHeight="1" x14ac:dyDescent="0.2">
      <c r="E393" s="94" t="s">
        <v>9302</v>
      </c>
      <c r="F393" s="94" t="s">
        <v>9121</v>
      </c>
      <c r="G393" s="97" t="s">
        <v>365</v>
      </c>
      <c r="H393" s="97" t="s">
        <v>450</v>
      </c>
      <c r="I393" s="198" t="s">
        <v>8650</v>
      </c>
      <c r="J393" s="198" t="s">
        <v>8355</v>
      </c>
      <c r="K393" s="198" t="s">
        <v>8355</v>
      </c>
      <c r="L393" s="578">
        <v>2019</v>
      </c>
      <c r="M393" s="822">
        <v>44671</v>
      </c>
      <c r="N393" s="822">
        <v>44701</v>
      </c>
      <c r="O393" s="822"/>
      <c r="P393" s="822"/>
      <c r="Q393" s="822"/>
      <c r="R393" s="822"/>
      <c r="S393" s="822"/>
      <c r="T393" s="822"/>
      <c r="U393" s="822"/>
      <c r="V393" s="822"/>
      <c r="W393" s="822"/>
      <c r="X393" s="822"/>
      <c r="Y393" s="822"/>
      <c r="Z393" s="198"/>
      <c r="AA393" s="198"/>
      <c r="AB393" s="198" t="s">
        <v>7728</v>
      </c>
      <c r="AC393" s="950" t="s">
        <v>7598</v>
      </c>
      <c r="AD393" s="198" t="s">
        <v>6781</v>
      </c>
      <c r="AE393" s="198"/>
      <c r="AF393" s="198"/>
      <c r="AG393" s="198"/>
      <c r="AH393" s="198" t="s">
        <v>6781</v>
      </c>
      <c r="AI393" s="198" t="s">
        <v>6781</v>
      </c>
      <c r="AJ393" s="198" t="s">
        <v>9323</v>
      </c>
      <c r="AK393" s="198" t="s">
        <v>9324</v>
      </c>
      <c r="AL393" s="580">
        <f t="shared" si="47"/>
        <v>0.5484</v>
      </c>
      <c r="AM393" s="580">
        <v>0.5484</v>
      </c>
      <c r="AN393" s="580"/>
      <c r="AO393" s="580"/>
      <c r="AP393" s="580"/>
      <c r="AQ393" s="580">
        <f>182800/1000000</f>
        <v>0.18279999999999999</v>
      </c>
      <c r="AR393" s="137">
        <f>AQ393/AL393</f>
        <v>0.33333333333333331</v>
      </c>
      <c r="AS393" s="137"/>
      <c r="AT393" s="580">
        <f>182800/1000000</f>
        <v>0.18279999999999999</v>
      </c>
      <c r="AU393" s="137">
        <f>AT393/AL393</f>
        <v>0.33333333333333331</v>
      </c>
      <c r="AV393" s="580">
        <v>0</v>
      </c>
      <c r="AW393" s="137"/>
      <c r="AX393" s="520">
        <f>182800/1000000</f>
        <v>0.18279999999999999</v>
      </c>
      <c r="AY393" s="137">
        <v>0.5</v>
      </c>
      <c r="AZ393" s="137"/>
      <c r="BA393" s="137"/>
      <c r="BB393" s="137"/>
      <c r="BC393" s="137"/>
      <c r="BD393" s="137"/>
      <c r="BE393" s="137" t="s">
        <v>470</v>
      </c>
      <c r="BF393" s="137"/>
      <c r="BG393" s="137"/>
      <c r="BH393" s="823"/>
      <c r="BI393" s="823">
        <v>1</v>
      </c>
      <c r="BJ393" s="137">
        <v>0</v>
      </c>
      <c r="BK393" s="83">
        <v>2</v>
      </c>
      <c r="BL393" s="83">
        <v>2</v>
      </c>
      <c r="BM393" s="83">
        <v>2</v>
      </c>
      <c r="BN393" s="83"/>
      <c r="BO393" s="83">
        <v>1</v>
      </c>
      <c r="BP393" s="83"/>
      <c r="BQ393" s="83"/>
      <c r="BR393" s="83"/>
      <c r="BS393" s="83"/>
      <c r="BT393" s="83">
        <v>1</v>
      </c>
      <c r="BU393" s="83"/>
      <c r="BV393" s="83"/>
      <c r="BW393" s="83"/>
      <c r="BX393" s="83"/>
      <c r="BY393" s="83"/>
      <c r="BZ393" s="83"/>
      <c r="CA393" s="83"/>
      <c r="CB393" s="83"/>
      <c r="CC393" s="83"/>
      <c r="CD393" s="83"/>
      <c r="CE393" s="83"/>
      <c r="CF393" s="83"/>
      <c r="CG393" s="83"/>
      <c r="CH393" s="83"/>
      <c r="CI393" s="83"/>
      <c r="CJ393" s="83"/>
      <c r="CK393" s="83"/>
      <c r="CL393" s="857">
        <f>SUM(BN393:CK393)</f>
        <v>2</v>
      </c>
      <c r="CM393" s="824">
        <f t="shared" si="46"/>
        <v>0</v>
      </c>
      <c r="CN393" s="580">
        <f>(83+54)/1000</f>
        <v>0.13700000000000001</v>
      </c>
      <c r="CO393" s="198" t="s">
        <v>6029</v>
      </c>
      <c r="CP393" s="198"/>
      <c r="CQ393" s="198">
        <f>CN393*100/CR393</f>
        <v>0.16623994369683659</v>
      </c>
      <c r="CR393" s="580">
        <f>82411/1000</f>
        <v>82.411000000000001</v>
      </c>
      <c r="CS393" s="137"/>
      <c r="CT393" s="198" t="s">
        <v>470</v>
      </c>
      <c r="CU393" s="198"/>
      <c r="CV393" s="198"/>
      <c r="CW393" s="198"/>
      <c r="CX393" s="83"/>
      <c r="CY393" s="83"/>
      <c r="CZ393" s="83">
        <v>1</v>
      </c>
      <c r="DA393" s="198" t="s">
        <v>479</v>
      </c>
      <c r="DB393" s="198" t="s">
        <v>5683</v>
      </c>
      <c r="DC393" s="580">
        <f>(83+54)/1000</f>
        <v>0.13700000000000001</v>
      </c>
      <c r="DD393" s="198" t="s">
        <v>479</v>
      </c>
      <c r="DE393" s="198" t="s">
        <v>5599</v>
      </c>
      <c r="DF393" s="580">
        <f>(83+54)/1000</f>
        <v>0.13700000000000001</v>
      </c>
      <c r="DG393" s="83" t="s">
        <v>470</v>
      </c>
      <c r="DH393" s="83"/>
      <c r="DI393" s="83"/>
      <c r="DJ393" s="83" t="s">
        <v>470</v>
      </c>
      <c r="DK393" s="83"/>
      <c r="DL393" s="83"/>
      <c r="DM393" s="198" t="s">
        <v>470</v>
      </c>
      <c r="DN393" s="198"/>
      <c r="DO393" s="83"/>
      <c r="DP393" s="198" t="s">
        <v>470</v>
      </c>
      <c r="DQ393" s="198"/>
      <c r="DR393" s="83"/>
      <c r="DS393" s="198" t="s">
        <v>470</v>
      </c>
      <c r="DT393" s="198"/>
      <c r="DU393" s="83"/>
      <c r="DV393" s="198"/>
      <c r="DW393" s="198"/>
      <c r="DX393" s="83"/>
      <c r="DY393" s="198" t="s">
        <v>470</v>
      </c>
      <c r="DZ393" s="198"/>
      <c r="EA393" s="83"/>
      <c r="EB393" s="198" t="s">
        <v>470</v>
      </c>
      <c r="EC393" s="198"/>
      <c r="ED393" s="83"/>
      <c r="EE393" s="83" t="s">
        <v>470</v>
      </c>
      <c r="EF393" s="83"/>
      <c r="EG393" s="83"/>
      <c r="EH393" s="198" t="s">
        <v>470</v>
      </c>
      <c r="EI393" s="198"/>
      <c r="EJ393" s="83"/>
      <c r="EK393" s="198" t="s">
        <v>470</v>
      </c>
      <c r="EL393" s="198"/>
      <c r="EM393" s="83"/>
      <c r="EN393" s="198" t="s">
        <v>470</v>
      </c>
      <c r="EO393" s="198"/>
      <c r="EP393" s="83"/>
      <c r="EQ393" s="83" t="s">
        <v>470</v>
      </c>
      <c r="ER393" s="83"/>
      <c r="ES393" s="83"/>
      <c r="ET393" s="198"/>
      <c r="EU393" s="198"/>
      <c r="EV393" s="83"/>
      <c r="EW393" s="198"/>
      <c r="EX393" s="198"/>
      <c r="EY393" s="198" t="s">
        <v>4890</v>
      </c>
      <c r="EZ393" s="198" t="s">
        <v>4890</v>
      </c>
      <c r="FA393" s="198" t="s">
        <v>4890</v>
      </c>
      <c r="FB393" s="198" t="s">
        <v>4759</v>
      </c>
      <c r="FC393" s="198"/>
      <c r="FD393" s="198" t="s">
        <v>2683</v>
      </c>
      <c r="FE393" s="198"/>
      <c r="FF393" s="198"/>
      <c r="FG393" s="198" t="s">
        <v>3855</v>
      </c>
      <c r="FH393" s="198" t="s">
        <v>3786</v>
      </c>
      <c r="FI393" s="950" t="s">
        <v>3708</v>
      </c>
      <c r="FJ393" s="198" t="s">
        <v>3855</v>
      </c>
      <c r="FK393" s="198" t="s">
        <v>3786</v>
      </c>
      <c r="FL393" s="950" t="s">
        <v>3708</v>
      </c>
      <c r="FM393" s="96"/>
      <c r="FN393" s="96"/>
      <c r="FO393" s="97"/>
      <c r="FP393" s="97"/>
      <c r="FQ393" s="96"/>
      <c r="FR393" s="96"/>
      <c r="FS393" s="96"/>
      <c r="FT393" s="96"/>
      <c r="FU393" s="97"/>
      <c r="FV393" s="97"/>
      <c r="FW393" s="97"/>
      <c r="FX393" s="97"/>
      <c r="FY393" s="97"/>
      <c r="FZ393" s="97"/>
      <c r="GA393" s="97"/>
      <c r="GB393" s="97"/>
      <c r="GC393" s="97"/>
      <c r="GD393" s="97"/>
      <c r="GE393" s="97"/>
      <c r="GF393" s="97"/>
      <c r="GG393" s="849"/>
      <c r="GH393" s="97"/>
      <c r="GI393" s="97"/>
      <c r="GJ393" s="849"/>
    </row>
    <row r="394" spans="5:192" ht="104" customHeight="1" x14ac:dyDescent="0.2">
      <c r="E394" s="94" t="s">
        <v>9303</v>
      </c>
      <c r="F394" s="94" t="s">
        <v>9120</v>
      </c>
      <c r="G394" s="198" t="s">
        <v>366</v>
      </c>
      <c r="H394" s="198" t="s">
        <v>451</v>
      </c>
      <c r="I394" s="198"/>
      <c r="J394" s="589" t="s">
        <v>2205</v>
      </c>
      <c r="K394" s="589"/>
      <c r="L394" s="952">
        <v>2022</v>
      </c>
      <c r="M394" s="953">
        <v>44562</v>
      </c>
      <c r="N394" s="953">
        <v>44926</v>
      </c>
      <c r="O394" s="589" t="s">
        <v>2205</v>
      </c>
      <c r="P394" s="589" t="s">
        <v>2206</v>
      </c>
      <c r="Q394" s="589" t="s">
        <v>2207</v>
      </c>
      <c r="R394" s="589"/>
      <c r="S394" s="589"/>
      <c r="T394" s="589"/>
      <c r="U394" s="589"/>
      <c r="V394" s="589"/>
      <c r="W394" s="589"/>
      <c r="X394" s="589"/>
      <c r="Y394" s="589"/>
      <c r="Z394" s="589"/>
      <c r="AA394" s="589"/>
      <c r="AB394" s="589"/>
      <c r="AC394" s="589"/>
      <c r="AD394" s="589"/>
      <c r="AE394" s="589"/>
      <c r="AF394" s="589"/>
      <c r="AG394" s="589"/>
      <c r="AH394" s="589" t="s">
        <v>2208</v>
      </c>
      <c r="AI394" s="589" t="s">
        <v>2208</v>
      </c>
      <c r="AJ394" s="589" t="s">
        <v>477</v>
      </c>
      <c r="AK394" s="589" t="s">
        <v>2209</v>
      </c>
      <c r="AL394" s="580">
        <f t="shared" si="47"/>
        <v>659.37199999999996</v>
      </c>
      <c r="AM394" s="504">
        <v>659.37199999999996</v>
      </c>
      <c r="AN394" s="954">
        <v>172.20699999999999</v>
      </c>
      <c r="AO394" s="955">
        <v>0.25800000000000001</v>
      </c>
      <c r="AP394" s="955"/>
      <c r="AQ394" s="504">
        <v>6.5140000000000002</v>
      </c>
      <c r="AR394" s="137">
        <v>9.7999999999999997E-3</v>
      </c>
      <c r="AS394" s="137"/>
      <c r="AT394" s="520">
        <v>5.1719999999999997</v>
      </c>
      <c r="AU394" s="137">
        <v>5.5E-2</v>
      </c>
      <c r="AV394" s="520">
        <v>4.0259999999999998</v>
      </c>
      <c r="AW394" s="137">
        <v>8.5199999999999998E-2</v>
      </c>
      <c r="AX394" s="520"/>
      <c r="AY394" s="137"/>
      <c r="AZ394" s="520">
        <v>471.45299999999997</v>
      </c>
      <c r="BA394" s="955">
        <v>0.70640000000000003</v>
      </c>
      <c r="BB394" s="589" t="s">
        <v>2210</v>
      </c>
      <c r="BC394" s="589" t="s">
        <v>875</v>
      </c>
      <c r="BD394" s="589" t="s">
        <v>2208</v>
      </c>
      <c r="BE394" s="589" t="s">
        <v>479</v>
      </c>
      <c r="BF394" s="589" t="s">
        <v>2211</v>
      </c>
      <c r="BG394" s="589" t="s">
        <v>2212</v>
      </c>
      <c r="BH394" s="589">
        <v>8.0329999999999995</v>
      </c>
      <c r="BI394" s="583">
        <v>22.4288445</v>
      </c>
      <c r="BJ394" s="955"/>
      <c r="BK394" s="958">
        <v>591</v>
      </c>
      <c r="BL394" s="958">
        <v>591</v>
      </c>
      <c r="BM394" s="958">
        <v>84</v>
      </c>
      <c r="BN394" s="958">
        <v>2</v>
      </c>
      <c r="BO394" s="958">
        <v>6</v>
      </c>
      <c r="BP394" s="958">
        <v>17</v>
      </c>
      <c r="BQ394" s="958"/>
      <c r="BR394" s="958"/>
      <c r="BS394" s="958">
        <v>4</v>
      </c>
      <c r="BT394" s="958"/>
      <c r="BU394" s="958">
        <v>1</v>
      </c>
      <c r="BV394" s="958">
        <v>4</v>
      </c>
      <c r="BW394" s="958">
        <v>5</v>
      </c>
      <c r="BX394" s="958">
        <v>9</v>
      </c>
      <c r="BY394" s="958">
        <v>12</v>
      </c>
      <c r="BZ394" s="958"/>
      <c r="CA394" s="958">
        <v>5</v>
      </c>
      <c r="CB394" s="958"/>
      <c r="CC394" s="958">
        <v>9</v>
      </c>
      <c r="CD394" s="958"/>
      <c r="CE394" s="958"/>
      <c r="CF394" s="958"/>
      <c r="CG394" s="958"/>
      <c r="CH394" s="958">
        <v>10</v>
      </c>
      <c r="CI394" s="958"/>
      <c r="CJ394" s="958"/>
      <c r="CK394" s="958"/>
      <c r="CL394" s="959">
        <f t="shared" si="45"/>
        <v>84</v>
      </c>
      <c r="CM394" s="824">
        <f t="shared" si="46"/>
        <v>0</v>
      </c>
      <c r="CN394" s="583">
        <v>110.69799999999999</v>
      </c>
      <c r="CO394" s="589" t="s">
        <v>2213</v>
      </c>
      <c r="CP394" s="589" t="s">
        <v>2214</v>
      </c>
      <c r="CQ394" s="955">
        <v>9.3700000000000006E-2</v>
      </c>
      <c r="CR394" s="583">
        <v>1181.0060000000001</v>
      </c>
      <c r="CS394" s="955" t="s">
        <v>2214</v>
      </c>
      <c r="CT394" s="589" t="s">
        <v>479</v>
      </c>
      <c r="CU394" s="589" t="s">
        <v>2215</v>
      </c>
      <c r="CV394" s="589" t="s">
        <v>2216</v>
      </c>
      <c r="CW394" s="589" t="s">
        <v>2217</v>
      </c>
      <c r="CX394" s="958">
        <v>5</v>
      </c>
      <c r="CY394" s="958"/>
      <c r="CZ394" s="958">
        <v>1</v>
      </c>
      <c r="DA394" s="589" t="s">
        <v>470</v>
      </c>
      <c r="DB394" s="589"/>
      <c r="DC394" s="958"/>
      <c r="DD394" s="589" t="s">
        <v>479</v>
      </c>
      <c r="DE394" s="589" t="s">
        <v>1365</v>
      </c>
      <c r="DF394" s="958">
        <v>60990</v>
      </c>
      <c r="DG394" s="958" t="s">
        <v>470</v>
      </c>
      <c r="DH394" s="958"/>
      <c r="DI394" s="958"/>
      <c r="DJ394" s="958" t="s">
        <v>470</v>
      </c>
      <c r="DK394" s="958"/>
      <c r="DL394" s="958"/>
      <c r="DM394" s="589" t="s">
        <v>470</v>
      </c>
      <c r="DN394" s="589"/>
      <c r="DO394" s="958"/>
      <c r="DP394" s="589" t="s">
        <v>470</v>
      </c>
      <c r="DQ394" s="589"/>
      <c r="DR394" s="958"/>
      <c r="DS394" s="589" t="s">
        <v>470</v>
      </c>
      <c r="DT394" s="589"/>
      <c r="DU394" s="958"/>
      <c r="DV394" s="589"/>
      <c r="DW394" s="589"/>
      <c r="DX394" s="958"/>
      <c r="DY394" s="589" t="s">
        <v>470</v>
      </c>
      <c r="DZ394" s="589"/>
      <c r="EA394" s="958"/>
      <c r="EB394" s="589" t="s">
        <v>479</v>
      </c>
      <c r="EC394" s="589" t="s">
        <v>1365</v>
      </c>
      <c r="ED394" s="958">
        <v>60990</v>
      </c>
      <c r="EE394" s="958" t="s">
        <v>470</v>
      </c>
      <c r="EF394" s="958"/>
      <c r="EG394" s="958"/>
      <c r="EH394" s="589" t="s">
        <v>470</v>
      </c>
      <c r="EI394" s="589"/>
      <c r="EJ394" s="958"/>
      <c r="EK394" s="589" t="s">
        <v>470</v>
      </c>
      <c r="EL394" s="589"/>
      <c r="EM394" s="958"/>
      <c r="EN394" s="589" t="s">
        <v>470</v>
      </c>
      <c r="EO394" s="589"/>
      <c r="EP394" s="958"/>
      <c r="EQ394" s="958" t="s">
        <v>470</v>
      </c>
      <c r="ER394" s="958"/>
      <c r="ES394" s="958"/>
      <c r="ET394" s="589"/>
      <c r="EU394" s="589"/>
      <c r="EV394" s="958"/>
      <c r="EW394" s="955" t="s">
        <v>2218</v>
      </c>
      <c r="EX394" s="589" t="s">
        <v>2219</v>
      </c>
      <c r="EY394" s="960" t="s">
        <v>2220</v>
      </c>
      <c r="EZ394" s="589" t="s">
        <v>470</v>
      </c>
      <c r="FA394" s="589"/>
      <c r="FB394" s="589" t="s">
        <v>2221</v>
      </c>
      <c r="FC394" s="589"/>
      <c r="FD394" s="589"/>
      <c r="FE394" s="589"/>
      <c r="FF394" s="589"/>
      <c r="FG394" s="589" t="s">
        <v>2222</v>
      </c>
      <c r="FH394" s="589" t="s">
        <v>2223</v>
      </c>
      <c r="FI394" s="589">
        <v>87</v>
      </c>
      <c r="FJ394" s="589" t="s">
        <v>2224</v>
      </c>
      <c r="FK394" s="589" t="s">
        <v>2225</v>
      </c>
      <c r="FL394" s="589" t="s">
        <v>2226</v>
      </c>
      <c r="FM394" s="589"/>
      <c r="FN394" s="589"/>
      <c r="FO394" s="589"/>
    </row>
    <row r="395" spans="5:192" ht="104" customHeight="1" x14ac:dyDescent="0.2">
      <c r="E395" s="94" t="s">
        <v>9304</v>
      </c>
      <c r="F395" s="94" t="s">
        <v>9120</v>
      </c>
      <c r="G395" s="198" t="s">
        <v>366</v>
      </c>
      <c r="H395" s="198" t="s">
        <v>451</v>
      </c>
      <c r="I395" s="198"/>
      <c r="J395" s="198" t="s">
        <v>2227</v>
      </c>
      <c r="K395" s="198" t="s">
        <v>2228</v>
      </c>
      <c r="L395" s="578">
        <v>2017</v>
      </c>
      <c r="M395" s="822" t="s">
        <v>2229</v>
      </c>
      <c r="N395" s="822" t="s">
        <v>2230</v>
      </c>
      <c r="O395" s="198" t="s">
        <v>2231</v>
      </c>
      <c r="P395" s="198" t="s">
        <v>2232</v>
      </c>
      <c r="Q395" s="549" t="s">
        <v>2233</v>
      </c>
      <c r="R395" s="97" t="s">
        <v>2234</v>
      </c>
      <c r="S395" s="97" t="s">
        <v>2234</v>
      </c>
      <c r="T395" s="97" t="s">
        <v>2234</v>
      </c>
      <c r="U395" s="97" t="s">
        <v>2234</v>
      </c>
      <c r="V395" s="97" t="s">
        <v>2234</v>
      </c>
      <c r="W395" s="97" t="s">
        <v>2234</v>
      </c>
      <c r="X395" s="97" t="s">
        <v>2234</v>
      </c>
      <c r="Y395" s="97"/>
      <c r="Z395" s="97"/>
      <c r="AA395" s="97"/>
      <c r="AB395" s="97"/>
      <c r="AC395" s="97"/>
      <c r="AD395" s="97"/>
      <c r="AE395" s="97"/>
      <c r="AF395" s="97"/>
      <c r="AG395" s="97"/>
      <c r="AH395" s="198" t="s">
        <v>2235</v>
      </c>
      <c r="AI395" s="198" t="s">
        <v>2236</v>
      </c>
      <c r="AJ395" s="198" t="s">
        <v>2237</v>
      </c>
      <c r="AK395" s="198" t="s">
        <v>2238</v>
      </c>
      <c r="AL395" s="580">
        <f t="shared" si="47"/>
        <v>470.56766012000003</v>
      </c>
      <c r="AM395" s="504">
        <v>470.56766012000003</v>
      </c>
      <c r="AN395" s="516">
        <v>68.910603870000003</v>
      </c>
      <c r="AO395" s="507">
        <v>0.14644143597209172</v>
      </c>
      <c r="AP395" s="507"/>
      <c r="AQ395" s="504">
        <v>20.332756249999999</v>
      </c>
      <c r="AR395" s="507">
        <v>4.3208996225569174E-2</v>
      </c>
      <c r="AS395" s="507"/>
      <c r="AT395" s="516"/>
      <c r="AU395" s="507" t="s">
        <v>2234</v>
      </c>
      <c r="AV395" s="516"/>
      <c r="AW395" s="507" t="s">
        <v>2234</v>
      </c>
      <c r="AX395" s="516"/>
      <c r="AY395" s="1014"/>
      <c r="AZ395" s="516">
        <v>381.32429999999999</v>
      </c>
      <c r="BA395" s="963">
        <v>0.81034956780233902</v>
      </c>
      <c r="BB395" s="97" t="s">
        <v>2239</v>
      </c>
      <c r="BC395" s="198" t="s">
        <v>2240</v>
      </c>
      <c r="BD395" s="198" t="s">
        <v>2236</v>
      </c>
      <c r="BE395" s="504" t="s">
        <v>2234</v>
      </c>
      <c r="BF395" s="504" t="s">
        <v>2234</v>
      </c>
      <c r="BG395" s="504" t="s">
        <v>2234</v>
      </c>
      <c r="BH395" s="504" t="s">
        <v>2234</v>
      </c>
      <c r="BI395" s="612">
        <v>124.52952886999999</v>
      </c>
      <c r="BJ395" s="507">
        <v>0.14799999999999999</v>
      </c>
      <c r="BK395" s="96">
        <v>16</v>
      </c>
      <c r="BL395" s="96">
        <v>16</v>
      </c>
      <c r="BM395" s="96">
        <v>16</v>
      </c>
      <c r="BN395" s="83"/>
      <c r="BO395" s="83"/>
      <c r="BP395" s="83"/>
      <c r="BQ395" s="83"/>
      <c r="BR395" s="83"/>
      <c r="BS395" s="83"/>
      <c r="BT395" s="83"/>
      <c r="BU395" s="96"/>
      <c r="BV395" s="83"/>
      <c r="BW395" s="96">
        <v>133</v>
      </c>
      <c r="BX395" s="83"/>
      <c r="BY395" s="83"/>
      <c r="BZ395" s="96">
        <v>21</v>
      </c>
      <c r="CA395" s="83"/>
      <c r="CB395" s="83"/>
      <c r="CC395" s="83"/>
      <c r="CD395" s="83"/>
      <c r="CE395" s="83"/>
      <c r="CF395" s="83"/>
      <c r="CG395" s="83"/>
      <c r="CH395" s="83"/>
      <c r="CI395" s="83"/>
      <c r="CJ395" s="83"/>
      <c r="CK395" s="83"/>
      <c r="CL395" s="815">
        <f t="shared" si="45"/>
        <v>154</v>
      </c>
      <c r="CM395" s="824">
        <f t="shared" si="46"/>
        <v>0</v>
      </c>
      <c r="CN395" s="504">
        <v>297</v>
      </c>
      <c r="CO395" s="198" t="s">
        <v>2241</v>
      </c>
      <c r="CP395" s="198" t="s">
        <v>2242</v>
      </c>
      <c r="CQ395" s="137">
        <v>0.20599999999999999</v>
      </c>
      <c r="CR395" s="580">
        <v>1203.9690000000001</v>
      </c>
      <c r="CS395" s="834" t="s">
        <v>2243</v>
      </c>
      <c r="CT395" s="97" t="s">
        <v>470</v>
      </c>
      <c r="CU395" s="97" t="s">
        <v>2234</v>
      </c>
      <c r="CV395" s="97" t="s">
        <v>2234</v>
      </c>
      <c r="CW395" s="97" t="s">
        <v>2234</v>
      </c>
      <c r="CX395" s="96" t="s">
        <v>2234</v>
      </c>
      <c r="CY395" s="96" t="s">
        <v>2234</v>
      </c>
      <c r="CZ395" s="96">
        <v>10</v>
      </c>
      <c r="DA395" s="198" t="s">
        <v>479</v>
      </c>
      <c r="DB395" s="198" t="s">
        <v>1508</v>
      </c>
      <c r="DC395" s="83">
        <v>90763</v>
      </c>
      <c r="DD395" s="198" t="s">
        <v>479</v>
      </c>
      <c r="DE395" s="198" t="s">
        <v>1508</v>
      </c>
      <c r="DF395" s="83">
        <v>90763</v>
      </c>
      <c r="DG395" s="96" t="s">
        <v>470</v>
      </c>
      <c r="DH395" s="96" t="s">
        <v>2234</v>
      </c>
      <c r="DI395" s="96" t="s">
        <v>2234</v>
      </c>
      <c r="DJ395" s="96" t="s">
        <v>470</v>
      </c>
      <c r="DK395" s="96" t="s">
        <v>2234</v>
      </c>
      <c r="DL395" s="96" t="s">
        <v>2234</v>
      </c>
      <c r="DM395" s="96" t="s">
        <v>470</v>
      </c>
      <c r="DN395" s="96" t="s">
        <v>2234</v>
      </c>
      <c r="DO395" s="96" t="s">
        <v>2234</v>
      </c>
      <c r="DP395" s="96" t="s">
        <v>479</v>
      </c>
      <c r="DQ395" s="948" t="s">
        <v>2244</v>
      </c>
      <c r="DR395" s="96">
        <v>52397</v>
      </c>
      <c r="DS395" s="96" t="s">
        <v>470</v>
      </c>
      <c r="DT395" s="96" t="s">
        <v>2234</v>
      </c>
      <c r="DU395" s="96" t="s">
        <v>2234</v>
      </c>
      <c r="DV395" s="96" t="s">
        <v>470</v>
      </c>
      <c r="DW395" s="96" t="s">
        <v>2234</v>
      </c>
      <c r="DX395" s="96" t="s">
        <v>2234</v>
      </c>
      <c r="DY395" s="96" t="s">
        <v>479</v>
      </c>
      <c r="DZ395" s="948" t="s">
        <v>2244</v>
      </c>
      <c r="EA395" s="96">
        <v>52397</v>
      </c>
      <c r="EB395" s="96" t="s">
        <v>470</v>
      </c>
      <c r="EC395" s="96" t="s">
        <v>2234</v>
      </c>
      <c r="ED395" s="96" t="s">
        <v>2234</v>
      </c>
      <c r="EE395" s="96" t="s">
        <v>470</v>
      </c>
      <c r="EF395" s="96" t="s">
        <v>2234</v>
      </c>
      <c r="EG395" s="96" t="s">
        <v>2234</v>
      </c>
      <c r="EH395" s="96" t="s">
        <v>470</v>
      </c>
      <c r="EI395" s="96" t="s">
        <v>2234</v>
      </c>
      <c r="EJ395" s="96" t="s">
        <v>2234</v>
      </c>
      <c r="EK395" s="96" t="s">
        <v>470</v>
      </c>
      <c r="EL395" s="96" t="s">
        <v>2234</v>
      </c>
      <c r="EM395" s="96" t="s">
        <v>2234</v>
      </c>
      <c r="EN395" s="96" t="s">
        <v>470</v>
      </c>
      <c r="EO395" s="96" t="s">
        <v>2234</v>
      </c>
      <c r="EP395" s="96" t="s">
        <v>2234</v>
      </c>
      <c r="EQ395" s="96" t="s">
        <v>470</v>
      </c>
      <c r="ER395" s="96" t="s">
        <v>2234</v>
      </c>
      <c r="ES395" s="96" t="s">
        <v>2234</v>
      </c>
      <c r="ET395" s="96" t="s">
        <v>470</v>
      </c>
      <c r="EU395" s="96" t="s">
        <v>2234</v>
      </c>
      <c r="EV395" s="96" t="s">
        <v>2234</v>
      </c>
      <c r="EW395" s="876" t="s">
        <v>2245</v>
      </c>
      <c r="EX395" s="876" t="s">
        <v>2234</v>
      </c>
      <c r="EY395" s="611">
        <v>13</v>
      </c>
      <c r="EZ395" s="198" t="s">
        <v>470</v>
      </c>
      <c r="FA395" s="198" t="s">
        <v>470</v>
      </c>
      <c r="FB395" s="842" t="s">
        <v>2246</v>
      </c>
      <c r="FC395" s="842" t="s">
        <v>2247</v>
      </c>
      <c r="FD395" s="842" t="s">
        <v>2248</v>
      </c>
      <c r="FE395" s="97" t="s">
        <v>2249</v>
      </c>
      <c r="FF395" s="842" t="s">
        <v>2248</v>
      </c>
      <c r="FG395" s="198"/>
      <c r="FH395" s="198"/>
      <c r="FI395" s="198"/>
      <c r="FJ395" s="97" t="s">
        <v>2250</v>
      </c>
      <c r="FK395" s="97" t="s">
        <v>2251</v>
      </c>
      <c r="FL395" s="842" t="s">
        <v>2252</v>
      </c>
      <c r="FM395" s="198"/>
      <c r="FN395" s="198"/>
      <c r="FO395" s="198"/>
    </row>
    <row r="396" spans="5:192" ht="104" customHeight="1" x14ac:dyDescent="0.2">
      <c r="E396" s="94" t="s">
        <v>9302</v>
      </c>
      <c r="F396" s="94" t="s">
        <v>9120</v>
      </c>
      <c r="G396" s="198" t="s">
        <v>366</v>
      </c>
      <c r="H396" s="198" t="s">
        <v>451</v>
      </c>
      <c r="I396" s="198"/>
      <c r="J396" s="198" t="s">
        <v>2253</v>
      </c>
      <c r="K396" s="198" t="s">
        <v>2254</v>
      </c>
      <c r="L396" s="578">
        <v>2015</v>
      </c>
      <c r="M396" s="836">
        <v>44452</v>
      </c>
      <c r="N396" s="836">
        <v>44866</v>
      </c>
      <c r="O396" s="198" t="s">
        <v>2255</v>
      </c>
      <c r="P396" s="198" t="s">
        <v>2256</v>
      </c>
      <c r="Q396" s="844" t="s">
        <v>2257</v>
      </c>
      <c r="R396" s="198" t="s">
        <v>2258</v>
      </c>
      <c r="S396" s="1124" t="s">
        <v>2259</v>
      </c>
      <c r="T396" s="198" t="s">
        <v>470</v>
      </c>
      <c r="U396" s="198" t="s">
        <v>470</v>
      </c>
      <c r="V396" s="198" t="s">
        <v>2260</v>
      </c>
      <c r="W396" s="844" t="s">
        <v>2261</v>
      </c>
      <c r="X396" s="198" t="s">
        <v>2262</v>
      </c>
      <c r="Y396" s="198" t="s">
        <v>2263</v>
      </c>
      <c r="Z396" s="198"/>
      <c r="AA396" s="198"/>
      <c r="AB396" s="198"/>
      <c r="AC396" s="198"/>
      <c r="AD396" s="198"/>
      <c r="AE396" s="198"/>
      <c r="AF396" s="198"/>
      <c r="AG396" s="198"/>
      <c r="AH396" s="198" t="s">
        <v>2264</v>
      </c>
      <c r="AI396" s="198" t="s">
        <v>2264</v>
      </c>
      <c r="AJ396" s="198" t="s">
        <v>2265</v>
      </c>
      <c r="AK396" s="198" t="s">
        <v>2266</v>
      </c>
      <c r="AL396" s="580">
        <f t="shared" si="47"/>
        <v>80.673000000000002</v>
      </c>
      <c r="AM396" s="504">
        <v>80.673000000000002</v>
      </c>
      <c r="AN396" s="516">
        <v>62.734999999999999</v>
      </c>
      <c r="AO396" s="137">
        <v>0.77700000000000002</v>
      </c>
      <c r="AP396" s="137">
        <v>6.7999999999999996E-3</v>
      </c>
      <c r="AQ396" s="504">
        <v>9.9570000000000007</v>
      </c>
      <c r="AR396" s="137">
        <v>0.1242</v>
      </c>
      <c r="AS396" s="137"/>
      <c r="AT396" s="520"/>
      <c r="AU396" s="137"/>
      <c r="AV396" s="520"/>
      <c r="AW396" s="137"/>
      <c r="AX396" s="520">
        <v>7.9809999999999999</v>
      </c>
      <c r="AY396" s="137">
        <v>9.9400000000000002E-2</v>
      </c>
      <c r="AZ396" s="520">
        <v>0</v>
      </c>
      <c r="BA396" s="137">
        <v>0</v>
      </c>
      <c r="BB396" s="198" t="s">
        <v>470</v>
      </c>
      <c r="BC396" s="198" t="s">
        <v>470</v>
      </c>
      <c r="BD396" s="198" t="s">
        <v>470</v>
      </c>
      <c r="BE396" s="198" t="s">
        <v>479</v>
      </c>
      <c r="BF396" s="198" t="s">
        <v>2267</v>
      </c>
      <c r="BG396" s="844" t="s">
        <v>2261</v>
      </c>
      <c r="BH396" s="198">
        <v>0.154</v>
      </c>
      <c r="BI396" s="520">
        <v>100</v>
      </c>
      <c r="BJ396" s="137">
        <v>1.1000000000000001E-3</v>
      </c>
      <c r="BK396" s="83">
        <v>635</v>
      </c>
      <c r="BL396" s="83">
        <v>147</v>
      </c>
      <c r="BM396" s="83">
        <v>55</v>
      </c>
      <c r="BN396" s="83">
        <v>5</v>
      </c>
      <c r="BO396" s="83">
        <v>5</v>
      </c>
      <c r="BP396" s="83">
        <v>1</v>
      </c>
      <c r="BQ396" s="83"/>
      <c r="BR396" s="83"/>
      <c r="BS396" s="83"/>
      <c r="BT396" s="83">
        <v>5</v>
      </c>
      <c r="BU396" s="83">
        <v>9</v>
      </c>
      <c r="BV396" s="83">
        <v>4</v>
      </c>
      <c r="BW396" s="83">
        <v>13</v>
      </c>
      <c r="BX396" s="83">
        <v>3</v>
      </c>
      <c r="BY396" s="83">
        <v>3</v>
      </c>
      <c r="BZ396" s="83">
        <v>7</v>
      </c>
      <c r="CA396" s="83"/>
      <c r="CB396" s="83"/>
      <c r="CC396" s="83"/>
      <c r="CD396" s="83"/>
      <c r="CE396" s="83"/>
      <c r="CF396" s="83"/>
      <c r="CG396" s="83"/>
      <c r="CH396" s="83"/>
      <c r="CI396" s="83"/>
      <c r="CJ396" s="83"/>
      <c r="CK396" s="83"/>
      <c r="CL396" s="824">
        <f t="shared" si="45"/>
        <v>55</v>
      </c>
      <c r="CM396" s="824">
        <f t="shared" si="46"/>
        <v>0</v>
      </c>
      <c r="CN396" s="580">
        <v>75.563999999999993</v>
      </c>
      <c r="CO396" s="198" t="s">
        <v>2268</v>
      </c>
      <c r="CP396" s="844" t="s">
        <v>2269</v>
      </c>
      <c r="CQ396" s="137">
        <v>6.2799999999999995E-2</v>
      </c>
      <c r="CR396" s="580">
        <v>1203.9690000000001</v>
      </c>
      <c r="CS396" s="873" t="s">
        <v>2270</v>
      </c>
      <c r="CT396" s="198" t="s">
        <v>479</v>
      </c>
      <c r="CU396" s="198" t="s">
        <v>2271</v>
      </c>
      <c r="CV396" s="844" t="s">
        <v>2272</v>
      </c>
      <c r="CW396" s="198" t="s">
        <v>2273</v>
      </c>
      <c r="CX396" s="83">
        <v>3</v>
      </c>
      <c r="CY396" s="83">
        <v>0</v>
      </c>
      <c r="CZ396" s="83">
        <v>2</v>
      </c>
      <c r="DA396" s="198" t="s">
        <v>470</v>
      </c>
      <c r="DB396" s="198"/>
      <c r="DC396" s="83"/>
      <c r="DD396" s="198" t="s">
        <v>470</v>
      </c>
      <c r="DE396" s="198"/>
      <c r="DF396" s="83"/>
      <c r="DG396" s="83" t="s">
        <v>470</v>
      </c>
      <c r="DH396" s="83"/>
      <c r="DI396" s="83"/>
      <c r="DJ396" s="83" t="s">
        <v>470</v>
      </c>
      <c r="DK396" s="83"/>
      <c r="DL396" s="83"/>
      <c r="DM396" s="198" t="s">
        <v>470</v>
      </c>
      <c r="DN396" s="198"/>
      <c r="DO396" s="83"/>
      <c r="DP396" s="198" t="s">
        <v>470</v>
      </c>
      <c r="DQ396" s="198"/>
      <c r="DR396" s="83"/>
      <c r="DS396" s="198" t="s">
        <v>470</v>
      </c>
      <c r="DT396" s="198"/>
      <c r="DU396" s="83"/>
      <c r="DV396" s="198" t="s">
        <v>470</v>
      </c>
      <c r="DW396" s="198"/>
      <c r="DX396" s="83" t="s">
        <v>470</v>
      </c>
      <c r="DY396" s="198" t="s">
        <v>479</v>
      </c>
      <c r="DZ396" s="198" t="s">
        <v>2274</v>
      </c>
      <c r="EA396" s="83">
        <v>128</v>
      </c>
      <c r="EB396" s="198" t="s">
        <v>479</v>
      </c>
      <c r="EC396" s="198" t="s">
        <v>2275</v>
      </c>
      <c r="ED396" s="83">
        <v>29698</v>
      </c>
      <c r="EE396" s="83" t="s">
        <v>470</v>
      </c>
      <c r="EF396" s="83"/>
      <c r="EG396" s="83"/>
      <c r="EH396" s="198" t="s">
        <v>470</v>
      </c>
      <c r="EI396" s="198"/>
      <c r="EJ396" s="83"/>
      <c r="EK396" s="198" t="s">
        <v>470</v>
      </c>
      <c r="EL396" s="198"/>
      <c r="EM396" s="83"/>
      <c r="EN396" s="198" t="s">
        <v>470</v>
      </c>
      <c r="EO396" s="198"/>
      <c r="EP396" s="83"/>
      <c r="EQ396" s="83" t="s">
        <v>470</v>
      </c>
      <c r="ER396" s="83"/>
      <c r="ES396" s="83"/>
      <c r="ET396" s="198" t="s">
        <v>470</v>
      </c>
      <c r="EU396" s="198"/>
      <c r="EV396" s="83"/>
      <c r="EW396" s="837">
        <v>1</v>
      </c>
      <c r="EX396" s="198"/>
      <c r="EY396" s="505">
        <v>126</v>
      </c>
      <c r="EZ396" s="198" t="s">
        <v>9648</v>
      </c>
      <c r="FA396" s="198" t="s">
        <v>2276</v>
      </c>
      <c r="FB396" s="844" t="s">
        <v>2277</v>
      </c>
      <c r="FC396" s="844" t="s">
        <v>2278</v>
      </c>
      <c r="FD396" s="844" t="s">
        <v>2279</v>
      </c>
      <c r="FE396" s="198" t="s">
        <v>2280</v>
      </c>
      <c r="FF396" s="844" t="s">
        <v>2281</v>
      </c>
      <c r="FG396" s="198" t="s">
        <v>9649</v>
      </c>
      <c r="FH396" s="198">
        <v>8</v>
      </c>
      <c r="FI396" s="198">
        <v>251</v>
      </c>
      <c r="FJ396" s="198" t="s">
        <v>2282</v>
      </c>
      <c r="FK396" s="198" t="s">
        <v>2283</v>
      </c>
      <c r="FL396" s="844" t="s">
        <v>2284</v>
      </c>
      <c r="FM396" s="198" t="s">
        <v>2285</v>
      </c>
      <c r="FN396" s="198" t="s">
        <v>2286</v>
      </c>
      <c r="FO396" s="1125" t="s">
        <v>2287</v>
      </c>
    </row>
    <row r="397" spans="5:192" ht="31" customHeight="1" x14ac:dyDescent="0.2">
      <c r="E397" s="94" t="s">
        <v>9302</v>
      </c>
      <c r="F397" s="94" t="s">
        <v>9121</v>
      </c>
      <c r="G397" s="198" t="s">
        <v>366</v>
      </c>
      <c r="H397" s="198" t="s">
        <v>451</v>
      </c>
      <c r="I397" s="826" t="s">
        <v>9294</v>
      </c>
      <c r="J397" s="826" t="s">
        <v>9159</v>
      </c>
      <c r="K397" s="826" t="s">
        <v>9160</v>
      </c>
      <c r="L397" s="827" t="s">
        <v>9161</v>
      </c>
      <c r="M397" s="828" t="s">
        <v>8288</v>
      </c>
      <c r="N397" s="828" t="s">
        <v>9295</v>
      </c>
      <c r="O397" s="828"/>
      <c r="P397" s="828"/>
      <c r="Q397" s="828"/>
      <c r="R397" s="828"/>
      <c r="S397" s="828"/>
      <c r="T397" s="828"/>
      <c r="U397" s="828"/>
      <c r="V397" s="828"/>
      <c r="W397" s="828"/>
      <c r="X397" s="828"/>
      <c r="Y397" s="828"/>
      <c r="Z397" s="826" t="s">
        <v>9296</v>
      </c>
      <c r="AA397" s="877" t="s">
        <v>9297</v>
      </c>
      <c r="AB397" s="826" t="s">
        <v>9298</v>
      </c>
      <c r="AC397" s="877" t="s">
        <v>9299</v>
      </c>
      <c r="AD397" s="826" t="s">
        <v>470</v>
      </c>
      <c r="AE397" s="826"/>
      <c r="AF397" s="826"/>
      <c r="AG397" s="826"/>
      <c r="AH397" s="826" t="s">
        <v>9300</v>
      </c>
      <c r="AI397" s="826" t="s">
        <v>9300</v>
      </c>
      <c r="AJ397" s="826" t="s">
        <v>9169</v>
      </c>
      <c r="AK397" s="826" t="s">
        <v>9300</v>
      </c>
      <c r="AL397" s="580">
        <f t="shared" si="47"/>
        <v>1E-3</v>
      </c>
      <c r="AM397" s="504">
        <v>1E-3</v>
      </c>
      <c r="AN397" s="582"/>
      <c r="AO397" s="582"/>
      <c r="AP397" s="582"/>
      <c r="AQ397" s="580">
        <v>1E-3</v>
      </c>
      <c r="AR397" s="137">
        <v>1</v>
      </c>
      <c r="AS397" s="137">
        <v>1E-4</v>
      </c>
      <c r="AT397" s="580"/>
      <c r="AU397" s="137"/>
      <c r="AV397" s="580"/>
      <c r="AW397" s="137"/>
      <c r="AX397" s="137"/>
      <c r="AY397" s="137"/>
      <c r="AZ397" s="137"/>
      <c r="BA397" s="830"/>
      <c r="BB397" s="830"/>
      <c r="BC397" s="830"/>
      <c r="BD397" s="830"/>
      <c r="BE397" s="830" t="s">
        <v>470</v>
      </c>
      <c r="BF397" s="830"/>
      <c r="BG397" s="830"/>
      <c r="BH397" s="1126"/>
      <c r="BI397" s="582">
        <v>2.5000000000000001E-2</v>
      </c>
      <c r="BJ397" s="830">
        <v>1E-4</v>
      </c>
      <c r="BK397" s="832">
        <v>2</v>
      </c>
      <c r="BL397" s="832">
        <v>1</v>
      </c>
      <c r="BM397" s="832">
        <v>1</v>
      </c>
      <c r="BN397" s="832"/>
      <c r="BO397" s="832"/>
      <c r="BP397" s="832"/>
      <c r="BQ397" s="832"/>
      <c r="BR397" s="832"/>
      <c r="BS397" s="832"/>
      <c r="BT397" s="832"/>
      <c r="BU397" s="832"/>
      <c r="BV397" s="832"/>
      <c r="BW397" s="832"/>
      <c r="BX397" s="832"/>
      <c r="BY397" s="832">
        <v>1</v>
      </c>
      <c r="BZ397" s="832"/>
      <c r="CA397" s="832"/>
      <c r="CB397" s="832"/>
      <c r="CC397" s="832"/>
      <c r="CD397" s="832"/>
      <c r="CE397" s="832"/>
      <c r="CF397" s="832"/>
      <c r="CG397" s="832"/>
      <c r="CH397" s="832"/>
      <c r="CI397" s="832"/>
      <c r="CJ397" s="832"/>
      <c r="CK397" s="832"/>
      <c r="CL397" s="1127">
        <v>1</v>
      </c>
      <c r="CM397" s="824">
        <f t="shared" si="46"/>
        <v>0</v>
      </c>
      <c r="CN397" s="582">
        <v>1.7629999999999999</v>
      </c>
      <c r="CO397" s="826" t="s">
        <v>9301</v>
      </c>
      <c r="CP397" s="826"/>
      <c r="CQ397" s="826">
        <v>100</v>
      </c>
      <c r="CR397" s="582">
        <v>1.7629999999999999</v>
      </c>
      <c r="CS397" s="1128" t="s">
        <v>2270</v>
      </c>
      <c r="CT397" s="826" t="s">
        <v>470</v>
      </c>
      <c r="CU397" s="826"/>
      <c r="CV397" s="826"/>
      <c r="CW397" s="826"/>
      <c r="CX397" s="832"/>
      <c r="CY397" s="832"/>
      <c r="CZ397" s="832">
        <v>1</v>
      </c>
      <c r="DA397" s="826" t="s">
        <v>470</v>
      </c>
      <c r="DB397" s="826"/>
      <c r="DC397" s="832"/>
      <c r="DD397" s="826" t="s">
        <v>479</v>
      </c>
      <c r="DE397" s="826" t="s">
        <v>1537</v>
      </c>
      <c r="DF397" s="832">
        <v>5</v>
      </c>
      <c r="DG397" s="832" t="s">
        <v>470</v>
      </c>
      <c r="DH397" s="832"/>
      <c r="DI397" s="832"/>
      <c r="DJ397" s="832" t="s">
        <v>470</v>
      </c>
      <c r="DK397" s="832"/>
      <c r="DL397" s="832"/>
      <c r="DM397" s="826" t="s">
        <v>470</v>
      </c>
      <c r="DN397" s="826"/>
      <c r="DO397" s="832"/>
      <c r="DP397" s="826" t="s">
        <v>470</v>
      </c>
      <c r="DQ397" s="826"/>
      <c r="DR397" s="832"/>
      <c r="DS397" s="826" t="s">
        <v>470</v>
      </c>
      <c r="DT397" s="826"/>
      <c r="DU397" s="832"/>
      <c r="DV397" s="826"/>
      <c r="DW397" s="826"/>
      <c r="DX397" s="832"/>
      <c r="DY397" s="826" t="s">
        <v>470</v>
      </c>
      <c r="DZ397" s="826"/>
      <c r="EA397" s="832"/>
      <c r="EB397" s="826" t="s">
        <v>479</v>
      </c>
      <c r="EC397" s="826" t="s">
        <v>1537</v>
      </c>
      <c r="ED397" s="832">
        <v>5</v>
      </c>
      <c r="EE397" s="832" t="s">
        <v>470</v>
      </c>
      <c r="EF397" s="832"/>
      <c r="EG397" s="832"/>
      <c r="EH397" s="826" t="s">
        <v>470</v>
      </c>
      <c r="EI397" s="826"/>
      <c r="EJ397" s="832"/>
      <c r="EK397" s="826" t="s">
        <v>470</v>
      </c>
      <c r="EL397" s="826"/>
      <c r="EM397" s="832"/>
      <c r="EN397" s="826" t="s">
        <v>470</v>
      </c>
      <c r="EO397" s="826"/>
      <c r="EP397" s="832"/>
      <c r="EQ397" s="832" t="s">
        <v>470</v>
      </c>
      <c r="ER397" s="832"/>
      <c r="ES397" s="832"/>
      <c r="ET397" s="826"/>
      <c r="EU397" s="826"/>
      <c r="EV397" s="832"/>
      <c r="EW397" s="832"/>
      <c r="EX397" s="832"/>
      <c r="EY397" s="832"/>
      <c r="EZ397" s="826" t="s">
        <v>470</v>
      </c>
      <c r="FA397" s="826"/>
      <c r="FB397" s="877" t="s">
        <v>9170</v>
      </c>
      <c r="FC397" s="826"/>
      <c r="FD397" s="826"/>
      <c r="FE397" s="826" t="s">
        <v>9171</v>
      </c>
      <c r="FF397" s="826"/>
      <c r="FG397" s="826" t="s">
        <v>1750</v>
      </c>
      <c r="FH397" s="826"/>
      <c r="FI397" s="826"/>
      <c r="FJ397" s="826" t="s">
        <v>9172</v>
      </c>
      <c r="FK397" s="826" t="s">
        <v>9173</v>
      </c>
      <c r="FL397" s="877" t="s">
        <v>9174</v>
      </c>
      <c r="FM397" s="826" t="s">
        <v>9141</v>
      </c>
      <c r="FN397" s="826" t="s">
        <v>9142</v>
      </c>
      <c r="FO397" s="877" t="s">
        <v>9143</v>
      </c>
      <c r="FP397" s="198"/>
      <c r="FQ397" s="990"/>
    </row>
    <row r="398" spans="5:192" ht="34" customHeight="1" x14ac:dyDescent="0.2">
      <c r="E398" s="94" t="s">
        <v>9302</v>
      </c>
      <c r="F398" s="94" t="s">
        <v>9121</v>
      </c>
      <c r="G398" s="198" t="s">
        <v>366</v>
      </c>
      <c r="H398" s="198" t="s">
        <v>451</v>
      </c>
      <c r="I398" s="1129" t="s">
        <v>9273</v>
      </c>
      <c r="J398" s="1129" t="s">
        <v>9274</v>
      </c>
      <c r="K398" s="1129" t="s">
        <v>9274</v>
      </c>
      <c r="L398" s="1130">
        <v>2016</v>
      </c>
      <c r="M398" s="1131" t="s">
        <v>9275</v>
      </c>
      <c r="N398" s="1131" t="s">
        <v>9276</v>
      </c>
      <c r="O398" s="1131"/>
      <c r="P398" s="1131"/>
      <c r="Q398" s="1131"/>
      <c r="R398" s="1131"/>
      <c r="S398" s="1131"/>
      <c r="T398" s="1131"/>
      <c r="U398" s="1131"/>
      <c r="V398" s="1131"/>
      <c r="W398" s="1131"/>
      <c r="X398" s="1131"/>
      <c r="Y398" s="1131"/>
      <c r="Z398" s="1132" t="s">
        <v>9277</v>
      </c>
      <c r="AA398" s="1133" t="s">
        <v>9278</v>
      </c>
      <c r="AB398" s="1129" t="s">
        <v>9279</v>
      </c>
      <c r="AC398" s="1132" t="s">
        <v>9280</v>
      </c>
      <c r="AD398" s="1129" t="s">
        <v>9281</v>
      </c>
      <c r="AE398" s="1129"/>
      <c r="AF398" s="1129"/>
      <c r="AG398" s="1129"/>
      <c r="AH398" s="1129" t="s">
        <v>9282</v>
      </c>
      <c r="AI398" s="1129" t="s">
        <v>9282</v>
      </c>
      <c r="AJ398" s="1129" t="s">
        <v>9283</v>
      </c>
      <c r="AK398" s="1129" t="s">
        <v>9282</v>
      </c>
      <c r="AL398" s="580">
        <f t="shared" si="47"/>
        <v>0.53600000000000003</v>
      </c>
      <c r="AM398" s="504">
        <v>0.53600000000000003</v>
      </c>
      <c r="AN398" s="1134"/>
      <c r="AO398" s="1134"/>
      <c r="AP398" s="1134"/>
      <c r="AQ398" s="580">
        <v>0.53600000000000003</v>
      </c>
      <c r="AR398" s="137">
        <v>1</v>
      </c>
      <c r="AS398" s="137">
        <v>2.1000000000000001E-2</v>
      </c>
      <c r="AT398" s="580"/>
      <c r="AU398" s="137"/>
      <c r="AV398" s="580"/>
      <c r="AW398" s="137"/>
      <c r="AX398" s="137"/>
      <c r="AY398" s="137"/>
      <c r="AZ398" s="137"/>
      <c r="BA398" s="1135"/>
      <c r="BB398" s="1135"/>
      <c r="BC398" s="1135"/>
      <c r="BD398" s="1135"/>
      <c r="BE398" s="1135" t="s">
        <v>470</v>
      </c>
      <c r="BF398" s="1135"/>
      <c r="BG398" s="1135"/>
      <c r="BH398" s="1136"/>
      <c r="BI398" s="1134">
        <v>0.5</v>
      </c>
      <c r="BJ398" s="1135">
        <v>1.8000000000000002E-2</v>
      </c>
      <c r="BK398" s="1137">
        <v>3</v>
      </c>
      <c r="BL398" s="1137">
        <v>3</v>
      </c>
      <c r="BM398" s="1137">
        <v>3</v>
      </c>
      <c r="BN398" s="1137"/>
      <c r="BO398" s="1137"/>
      <c r="BP398" s="1137">
        <v>1</v>
      </c>
      <c r="BQ398" s="1137"/>
      <c r="BR398" s="1137"/>
      <c r="BS398" s="1137"/>
      <c r="BT398" s="1137"/>
      <c r="BU398" s="1137"/>
      <c r="BV398" s="1137"/>
      <c r="BW398" s="1137"/>
      <c r="BX398" s="1137">
        <v>2</v>
      </c>
      <c r="BY398" s="1137"/>
      <c r="BZ398" s="1137"/>
      <c r="CA398" s="1137"/>
      <c r="CB398" s="1137"/>
      <c r="CC398" s="1137"/>
      <c r="CD398" s="1137"/>
      <c r="CE398" s="1137"/>
      <c r="CF398" s="1137"/>
      <c r="CG398" s="1137"/>
      <c r="CH398" s="1137"/>
      <c r="CI398" s="1137"/>
      <c r="CJ398" s="1137"/>
      <c r="CK398" s="1137"/>
      <c r="CL398" s="1138">
        <f t="shared" ref="CL398:CL409" si="48">SUM(BN398:CK398)</f>
        <v>3</v>
      </c>
      <c r="CM398" s="824">
        <f t="shared" si="46"/>
        <v>0</v>
      </c>
      <c r="CN398" s="1134">
        <v>1.5</v>
      </c>
      <c r="CO398" s="1129"/>
      <c r="CP398" s="1129"/>
      <c r="CQ398" s="1129">
        <v>22.38</v>
      </c>
      <c r="CR398" s="1134">
        <v>6.7009999999999996</v>
      </c>
      <c r="CS398" s="1139" t="s">
        <v>9284</v>
      </c>
      <c r="CT398" s="1129" t="s">
        <v>470</v>
      </c>
      <c r="CU398" s="1129"/>
      <c r="CV398" s="1129"/>
      <c r="CW398" s="1129"/>
      <c r="CX398" s="1137"/>
      <c r="CY398" s="1137"/>
      <c r="CZ398" s="1137">
        <v>8</v>
      </c>
      <c r="DA398" s="1129" t="s">
        <v>479</v>
      </c>
      <c r="DB398" s="1140" t="s">
        <v>9285</v>
      </c>
      <c r="DC398" s="1137">
        <v>25</v>
      </c>
      <c r="DD398" s="1129" t="s">
        <v>479</v>
      </c>
      <c r="DE398" s="1129" t="s">
        <v>9286</v>
      </c>
      <c r="DF398" s="1137">
        <v>20</v>
      </c>
      <c r="DG398" s="1137"/>
      <c r="DH398" s="1137"/>
      <c r="DI398" s="1137"/>
      <c r="DJ398" s="1137"/>
      <c r="DK398" s="1137"/>
      <c r="DL398" s="1137"/>
      <c r="DM398" s="1129"/>
      <c r="DN398" s="1129"/>
      <c r="DO398" s="1137"/>
      <c r="DP398" s="1129"/>
      <c r="DQ398" s="1129"/>
      <c r="DR398" s="1137"/>
      <c r="DS398" s="1129"/>
      <c r="DT398" s="1129"/>
      <c r="DU398" s="1137"/>
      <c r="DV398" s="1129"/>
      <c r="DW398" s="1129"/>
      <c r="DX398" s="1137"/>
      <c r="DY398" s="1129"/>
      <c r="DZ398" s="1129"/>
      <c r="EA398" s="1137"/>
      <c r="EB398" s="1129"/>
      <c r="EC398" s="1129"/>
      <c r="ED398" s="1137"/>
      <c r="EE398" s="1137"/>
      <c r="EF398" s="1137"/>
      <c r="EG398" s="1137"/>
      <c r="EH398" s="1129"/>
      <c r="EI398" s="1129"/>
      <c r="EJ398" s="1137"/>
      <c r="EK398" s="1129" t="s">
        <v>479</v>
      </c>
      <c r="EL398" s="1132" t="s">
        <v>9287</v>
      </c>
      <c r="EM398" s="1137">
        <v>10</v>
      </c>
      <c r="EN398" s="1129"/>
      <c r="EO398" s="1129"/>
      <c r="EP398" s="1137"/>
      <c r="EQ398" s="1137"/>
      <c r="ER398" s="1137"/>
      <c r="ES398" s="1137"/>
      <c r="ET398" s="1129"/>
      <c r="EU398" s="1129"/>
      <c r="EV398" s="1137"/>
      <c r="EW398" s="1137"/>
      <c r="EX398" s="1137"/>
      <c r="EY398" s="1137"/>
      <c r="EZ398" s="1129" t="s">
        <v>470</v>
      </c>
      <c r="FA398" s="1129"/>
      <c r="FB398" s="1132" t="s">
        <v>9288</v>
      </c>
      <c r="FC398" s="1129"/>
      <c r="FD398" s="1129"/>
      <c r="FE398" s="1129" t="s">
        <v>9289</v>
      </c>
      <c r="FF398" s="1129"/>
      <c r="FG398" s="1129" t="s">
        <v>9290</v>
      </c>
      <c r="FH398" s="1129"/>
      <c r="FI398" s="1129"/>
      <c r="FJ398" s="1129" t="s">
        <v>9291</v>
      </c>
      <c r="FK398" s="1129" t="s">
        <v>9292</v>
      </c>
      <c r="FL398" s="1129" t="s">
        <v>9293</v>
      </c>
      <c r="FM398" s="198" t="s">
        <v>9141</v>
      </c>
      <c r="FN398" s="198" t="s">
        <v>9142</v>
      </c>
      <c r="FO398" s="844" t="s">
        <v>9143</v>
      </c>
      <c r="FP398" s="198"/>
      <c r="FQ398" s="990"/>
    </row>
    <row r="399" spans="5:192" ht="36" customHeight="1" x14ac:dyDescent="0.2">
      <c r="E399" s="94" t="s">
        <v>9302</v>
      </c>
      <c r="F399" s="94" t="s">
        <v>9121</v>
      </c>
      <c r="G399" s="198" t="s">
        <v>366</v>
      </c>
      <c r="H399" s="198" t="s">
        <v>451</v>
      </c>
      <c r="I399" s="198" t="s">
        <v>9266</v>
      </c>
      <c r="J399" s="198" t="s">
        <v>9159</v>
      </c>
      <c r="K399" s="198" t="s">
        <v>9160</v>
      </c>
      <c r="L399" s="578" t="s">
        <v>9161</v>
      </c>
      <c r="M399" s="822" t="s">
        <v>9267</v>
      </c>
      <c r="N399" s="822" t="s">
        <v>9268</v>
      </c>
      <c r="O399" s="822"/>
      <c r="P399" s="822"/>
      <c r="Q399" s="822"/>
      <c r="R399" s="822"/>
      <c r="S399" s="822"/>
      <c r="T399" s="822"/>
      <c r="U399" s="822"/>
      <c r="V399" s="822"/>
      <c r="W399" s="822"/>
      <c r="X399" s="822"/>
      <c r="Y399" s="822"/>
      <c r="Z399" s="198" t="s">
        <v>9269</v>
      </c>
      <c r="AA399" s="844" t="s">
        <v>9270</v>
      </c>
      <c r="AB399" s="198" t="s">
        <v>9271</v>
      </c>
      <c r="AC399" s="844" t="s">
        <v>9167</v>
      </c>
      <c r="AD399" s="198" t="s">
        <v>470</v>
      </c>
      <c r="AE399" s="198"/>
      <c r="AF399" s="198"/>
      <c r="AG399" s="198"/>
      <c r="AH399" s="198" t="s">
        <v>9272</v>
      </c>
      <c r="AI399" s="198" t="s">
        <v>9272</v>
      </c>
      <c r="AJ399" s="198" t="s">
        <v>9169</v>
      </c>
      <c r="AK399" s="198" t="s">
        <v>9272</v>
      </c>
      <c r="AL399" s="580">
        <f t="shared" si="47"/>
        <v>0.02</v>
      </c>
      <c r="AM399" s="504">
        <v>0.02</v>
      </c>
      <c r="AN399" s="580"/>
      <c r="AO399" s="580"/>
      <c r="AP399" s="580"/>
      <c r="AQ399" s="580">
        <v>0.02</v>
      </c>
      <c r="AR399" s="137">
        <v>1</v>
      </c>
      <c r="AS399" s="137">
        <v>2.0000000000000001E-4</v>
      </c>
      <c r="AT399" s="580"/>
      <c r="AU399" s="137"/>
      <c r="AV399" s="580"/>
      <c r="AW399" s="137"/>
      <c r="AX399" s="137"/>
      <c r="AY399" s="137"/>
      <c r="AZ399" s="137"/>
      <c r="BA399" s="137"/>
      <c r="BB399" s="137"/>
      <c r="BC399" s="137"/>
      <c r="BD399" s="137"/>
      <c r="BE399" s="137" t="s">
        <v>470</v>
      </c>
      <c r="BF399" s="137"/>
      <c r="BG399" s="137"/>
      <c r="BH399" s="823"/>
      <c r="BI399" s="580">
        <v>0.02</v>
      </c>
      <c r="BJ399" s="137">
        <v>2.0000000000000001E-4</v>
      </c>
      <c r="BK399" s="83">
        <v>2</v>
      </c>
      <c r="BL399" s="83">
        <v>1</v>
      </c>
      <c r="BM399" s="83">
        <v>1</v>
      </c>
      <c r="BN399" s="83"/>
      <c r="BO399" s="83"/>
      <c r="BP399" s="83"/>
      <c r="BQ399" s="83"/>
      <c r="BR399" s="83"/>
      <c r="BS399" s="83"/>
      <c r="BT399" s="83"/>
      <c r="BU399" s="83"/>
      <c r="BV399" s="83"/>
      <c r="BW399" s="83"/>
      <c r="BX399" s="83"/>
      <c r="BY399" s="83">
        <v>1</v>
      </c>
      <c r="BZ399" s="83"/>
      <c r="CA399" s="83"/>
      <c r="CB399" s="83"/>
      <c r="CC399" s="83"/>
      <c r="CD399" s="83"/>
      <c r="CE399" s="83"/>
      <c r="CF399" s="83"/>
      <c r="CG399" s="83"/>
      <c r="CH399" s="83"/>
      <c r="CI399" s="83"/>
      <c r="CJ399" s="83"/>
      <c r="CK399" s="83"/>
      <c r="CL399" s="857">
        <f t="shared" si="48"/>
        <v>1</v>
      </c>
      <c r="CM399" s="824">
        <f t="shared" si="46"/>
        <v>0</v>
      </c>
      <c r="CN399" s="580">
        <v>0.73299999999999998</v>
      </c>
      <c r="CO399" s="198"/>
      <c r="CP399" s="198"/>
      <c r="CQ399" s="198">
        <v>100</v>
      </c>
      <c r="CR399" s="580">
        <v>0.73299999999999998</v>
      </c>
      <c r="CS399" s="1141" t="s">
        <v>2270</v>
      </c>
      <c r="CT399" s="198" t="s">
        <v>470</v>
      </c>
      <c r="CU399" s="198"/>
      <c r="CV399" s="198"/>
      <c r="CW399" s="198"/>
      <c r="CX399" s="83"/>
      <c r="CY399" s="83"/>
      <c r="CZ399" s="83">
        <v>1</v>
      </c>
      <c r="DA399" s="198" t="s">
        <v>470</v>
      </c>
      <c r="DB399" s="198"/>
      <c r="DC399" s="83"/>
      <c r="DD399" s="198" t="s">
        <v>479</v>
      </c>
      <c r="DE399" s="198" t="s">
        <v>1537</v>
      </c>
      <c r="DF399" s="83">
        <v>25</v>
      </c>
      <c r="DG399" s="83" t="s">
        <v>470</v>
      </c>
      <c r="DH399" s="83"/>
      <c r="DI399" s="83"/>
      <c r="DJ399" s="83" t="s">
        <v>470</v>
      </c>
      <c r="DK399" s="83"/>
      <c r="DL399" s="83"/>
      <c r="DM399" s="198" t="s">
        <v>470</v>
      </c>
      <c r="DN399" s="198"/>
      <c r="DO399" s="83"/>
      <c r="DP399" s="198" t="s">
        <v>470</v>
      </c>
      <c r="DQ399" s="198"/>
      <c r="DR399" s="83"/>
      <c r="DS399" s="198" t="s">
        <v>470</v>
      </c>
      <c r="DT399" s="198"/>
      <c r="DU399" s="83"/>
      <c r="DV399" s="198"/>
      <c r="DW399" s="198"/>
      <c r="DX399" s="83"/>
      <c r="DY399" s="198" t="s">
        <v>470</v>
      </c>
      <c r="DZ399" s="198"/>
      <c r="EA399" s="83"/>
      <c r="EB399" s="198" t="s">
        <v>479</v>
      </c>
      <c r="EC399" s="198" t="s">
        <v>1537</v>
      </c>
      <c r="ED399" s="83">
        <v>25</v>
      </c>
      <c r="EE399" s="83" t="s">
        <v>470</v>
      </c>
      <c r="EF399" s="83"/>
      <c r="EG399" s="83"/>
      <c r="EH399" s="198" t="s">
        <v>470</v>
      </c>
      <c r="EI399" s="198"/>
      <c r="EJ399" s="83"/>
      <c r="EK399" s="198" t="s">
        <v>470</v>
      </c>
      <c r="EL399" s="198"/>
      <c r="EM399" s="83"/>
      <c r="EN399" s="198" t="s">
        <v>470</v>
      </c>
      <c r="EO399" s="198"/>
      <c r="EP399" s="83"/>
      <c r="EQ399" s="83" t="s">
        <v>470</v>
      </c>
      <c r="ER399" s="83"/>
      <c r="ES399" s="83"/>
      <c r="ET399" s="198"/>
      <c r="EU399" s="198"/>
      <c r="EV399" s="83"/>
      <c r="EW399" s="83"/>
      <c r="EX399" s="83"/>
      <c r="EY399" s="83"/>
      <c r="EZ399" s="198" t="s">
        <v>470</v>
      </c>
      <c r="FA399" s="198"/>
      <c r="FB399" s="844" t="s">
        <v>9170</v>
      </c>
      <c r="FC399" s="198"/>
      <c r="FD399" s="198"/>
      <c r="FE399" s="198" t="s">
        <v>9171</v>
      </c>
      <c r="FF399" s="198"/>
      <c r="FG399" s="198" t="s">
        <v>1750</v>
      </c>
      <c r="FH399" s="198"/>
      <c r="FI399" s="198"/>
      <c r="FJ399" s="198" t="s">
        <v>9172</v>
      </c>
      <c r="FK399" s="198" t="s">
        <v>9173</v>
      </c>
      <c r="FL399" s="844" t="s">
        <v>9174</v>
      </c>
      <c r="FM399" s="198" t="s">
        <v>9141</v>
      </c>
      <c r="FN399" s="198" t="s">
        <v>9142</v>
      </c>
      <c r="FO399" s="844" t="s">
        <v>9143</v>
      </c>
      <c r="FP399" s="198"/>
      <c r="FQ399" s="990"/>
    </row>
    <row r="400" spans="5:192" ht="39" customHeight="1" x14ac:dyDescent="0.2">
      <c r="E400" s="94" t="s">
        <v>9302</v>
      </c>
      <c r="F400" s="94" t="s">
        <v>9121</v>
      </c>
      <c r="G400" s="198" t="s">
        <v>366</v>
      </c>
      <c r="H400" s="198" t="s">
        <v>451</v>
      </c>
      <c r="I400" s="198" t="s">
        <v>9248</v>
      </c>
      <c r="J400" s="198" t="s">
        <v>9249</v>
      </c>
      <c r="K400" s="198" t="s">
        <v>9194</v>
      </c>
      <c r="L400" s="578">
        <v>2019</v>
      </c>
      <c r="M400" s="822" t="s">
        <v>9234</v>
      </c>
      <c r="N400" s="822">
        <v>44880</v>
      </c>
      <c r="O400" s="822"/>
      <c r="P400" s="822"/>
      <c r="Q400" s="822"/>
      <c r="R400" s="822"/>
      <c r="S400" s="822"/>
      <c r="T400" s="822"/>
      <c r="U400" s="822"/>
      <c r="V400" s="822"/>
      <c r="W400" s="822"/>
      <c r="X400" s="822"/>
      <c r="Y400" s="822"/>
      <c r="Z400" s="198" t="s">
        <v>9250</v>
      </c>
      <c r="AA400" s="1142" t="s">
        <v>9251</v>
      </c>
      <c r="AB400" s="198" t="s">
        <v>9252</v>
      </c>
      <c r="AC400" s="844" t="s">
        <v>9253</v>
      </c>
      <c r="AD400" s="198" t="s">
        <v>9254</v>
      </c>
      <c r="AE400" s="844" t="s">
        <v>9255</v>
      </c>
      <c r="AF400" s="198"/>
      <c r="AG400" s="198"/>
      <c r="AH400" s="198" t="s">
        <v>9256</v>
      </c>
      <c r="AI400" s="198" t="s">
        <v>9257</v>
      </c>
      <c r="AJ400" s="198" t="s">
        <v>9258</v>
      </c>
      <c r="AK400" s="198" t="s">
        <v>9259</v>
      </c>
      <c r="AL400" s="580">
        <f t="shared" si="47"/>
        <v>0.5</v>
      </c>
      <c r="AM400" s="504">
        <v>0.5</v>
      </c>
      <c r="AN400" s="580"/>
      <c r="AO400" s="580"/>
      <c r="AP400" s="580"/>
      <c r="AQ400" s="580">
        <v>0.5</v>
      </c>
      <c r="AR400" s="137">
        <v>1</v>
      </c>
      <c r="AS400" s="137">
        <f>+AQ400/1163.8</f>
        <v>4.296270836913559E-4</v>
      </c>
      <c r="AT400" s="580">
        <v>0</v>
      </c>
      <c r="AU400" s="137"/>
      <c r="AV400" s="580">
        <v>0</v>
      </c>
      <c r="AW400" s="137"/>
      <c r="AX400" s="137">
        <v>0</v>
      </c>
      <c r="AY400" s="137"/>
      <c r="AZ400" s="137"/>
      <c r="BA400" s="137"/>
      <c r="BB400" s="137"/>
      <c r="BC400" s="137"/>
      <c r="BD400" s="137"/>
      <c r="BE400" s="137" t="s">
        <v>470</v>
      </c>
      <c r="BF400" s="137"/>
      <c r="BG400" s="137"/>
      <c r="BH400" s="823"/>
      <c r="BI400" s="580">
        <v>0.5</v>
      </c>
      <c r="BJ400" s="137">
        <f>+BI400/869.4</f>
        <v>5.751092707614447E-4</v>
      </c>
      <c r="BK400" s="83">
        <v>3</v>
      </c>
      <c r="BL400" s="83">
        <v>3</v>
      </c>
      <c r="BM400" s="83">
        <v>1</v>
      </c>
      <c r="BN400" s="83"/>
      <c r="BO400" s="83"/>
      <c r="BP400" s="83"/>
      <c r="BQ400" s="83"/>
      <c r="BR400" s="83"/>
      <c r="BS400" s="83"/>
      <c r="BT400" s="83">
        <v>1</v>
      </c>
      <c r="BU400" s="83"/>
      <c r="BV400" s="83"/>
      <c r="BW400" s="83"/>
      <c r="BX400" s="83"/>
      <c r="BY400" s="83"/>
      <c r="BZ400" s="83"/>
      <c r="CA400" s="83"/>
      <c r="CB400" s="83"/>
      <c r="CC400" s="83"/>
      <c r="CD400" s="83"/>
      <c r="CE400" s="83"/>
      <c r="CF400" s="83"/>
      <c r="CG400" s="83"/>
      <c r="CH400" s="83"/>
      <c r="CI400" s="83"/>
      <c r="CJ400" s="83"/>
      <c r="CK400" s="83"/>
      <c r="CL400" s="857">
        <f t="shared" si="48"/>
        <v>1</v>
      </c>
      <c r="CM400" s="824">
        <f t="shared" si="46"/>
        <v>0</v>
      </c>
      <c r="CN400" s="580">
        <v>0.10100000000000001</v>
      </c>
      <c r="CO400" s="198"/>
      <c r="CP400" s="198"/>
      <c r="CQ400" s="198">
        <f>+CN400/CR400</f>
        <v>1.8707167994072977E-2</v>
      </c>
      <c r="CR400" s="580">
        <v>5.399</v>
      </c>
      <c r="CS400" s="873" t="s">
        <v>2214</v>
      </c>
      <c r="CT400" s="198" t="s">
        <v>470</v>
      </c>
      <c r="CU400" s="198"/>
      <c r="CV400" s="198"/>
      <c r="CW400" s="198"/>
      <c r="CX400" s="83"/>
      <c r="CY400" s="83"/>
      <c r="CZ400" s="83">
        <v>4</v>
      </c>
      <c r="DA400" s="198" t="s">
        <v>470</v>
      </c>
      <c r="DB400" s="198"/>
      <c r="DC400" s="83"/>
      <c r="DD400" s="198" t="s">
        <v>479</v>
      </c>
      <c r="DE400" s="198" t="s">
        <v>541</v>
      </c>
      <c r="DF400" s="83">
        <v>21</v>
      </c>
      <c r="DG400" s="83" t="s">
        <v>470</v>
      </c>
      <c r="DH400" s="83"/>
      <c r="DI400" s="83"/>
      <c r="DJ400" s="83" t="s">
        <v>470</v>
      </c>
      <c r="DK400" s="83"/>
      <c r="DL400" s="83"/>
      <c r="DM400" s="198" t="s">
        <v>470</v>
      </c>
      <c r="DN400" s="198"/>
      <c r="DO400" s="83"/>
      <c r="DP400" s="198" t="s">
        <v>470</v>
      </c>
      <c r="DQ400" s="198"/>
      <c r="DR400" s="83"/>
      <c r="DS400" s="198" t="s">
        <v>470</v>
      </c>
      <c r="DT400" s="198"/>
      <c r="DU400" s="83"/>
      <c r="DV400" s="198" t="s">
        <v>470</v>
      </c>
      <c r="DW400" s="198"/>
      <c r="DX400" s="83"/>
      <c r="DY400" s="198" t="s">
        <v>470</v>
      </c>
      <c r="DZ400" s="198"/>
      <c r="EA400" s="83"/>
      <c r="EB400" s="83" t="s">
        <v>470</v>
      </c>
      <c r="EC400" s="198"/>
      <c r="ED400" s="83"/>
      <c r="EE400" s="83" t="s">
        <v>470</v>
      </c>
      <c r="EF400" s="83"/>
      <c r="EG400" s="83"/>
      <c r="EH400" s="83" t="s">
        <v>470</v>
      </c>
      <c r="EI400" s="198"/>
      <c r="EJ400" s="83"/>
      <c r="EK400" s="198" t="s">
        <v>479</v>
      </c>
      <c r="EL400" s="198" t="s">
        <v>920</v>
      </c>
      <c r="EM400" s="83">
        <v>5</v>
      </c>
      <c r="EN400" s="198" t="s">
        <v>470</v>
      </c>
      <c r="EO400" s="198"/>
      <c r="EP400" s="83"/>
      <c r="EQ400" s="83" t="s">
        <v>470</v>
      </c>
      <c r="ER400" s="83"/>
      <c r="ES400" s="83"/>
      <c r="ET400" s="198" t="s">
        <v>470</v>
      </c>
      <c r="EU400" s="198"/>
      <c r="EV400" s="83"/>
      <c r="EW400" s="83"/>
      <c r="EX400" s="83"/>
      <c r="EY400" s="83"/>
      <c r="EZ400" s="198" t="s">
        <v>470</v>
      </c>
      <c r="FA400" s="198"/>
      <c r="FB400" s="844" t="s">
        <v>9260</v>
      </c>
      <c r="FC400" s="198"/>
      <c r="FD400" s="198"/>
      <c r="FE400" s="198" t="s">
        <v>9261</v>
      </c>
      <c r="FF400" s="198"/>
      <c r="FG400" s="198" t="s">
        <v>9262</v>
      </c>
      <c r="FH400" s="198">
        <v>2</v>
      </c>
      <c r="FI400" s="198">
        <v>50</v>
      </c>
      <c r="FJ400" s="198" t="s">
        <v>9263</v>
      </c>
      <c r="FK400" s="198" t="s">
        <v>9264</v>
      </c>
      <c r="FL400" s="844" t="s">
        <v>9265</v>
      </c>
      <c r="FM400" s="198" t="s">
        <v>9141</v>
      </c>
      <c r="FN400" s="198" t="s">
        <v>9142</v>
      </c>
      <c r="FO400" s="844" t="s">
        <v>9143</v>
      </c>
      <c r="FP400" s="198"/>
      <c r="FQ400" s="990"/>
    </row>
    <row r="401" spans="5:173" ht="29" customHeight="1" x14ac:dyDescent="0.2">
      <c r="E401" s="94" t="s">
        <v>9302</v>
      </c>
      <c r="F401" s="94" t="s">
        <v>9121</v>
      </c>
      <c r="G401" s="198" t="s">
        <v>366</v>
      </c>
      <c r="H401" s="198" t="s">
        <v>451</v>
      </c>
      <c r="I401" s="198" t="s">
        <v>9233</v>
      </c>
      <c r="J401" s="198" t="s">
        <v>650</v>
      </c>
      <c r="K401" s="198" t="s">
        <v>3260</v>
      </c>
      <c r="L401" s="578" t="s">
        <v>9161</v>
      </c>
      <c r="M401" s="822" t="s">
        <v>9234</v>
      </c>
      <c r="N401" s="822" t="s">
        <v>8232</v>
      </c>
      <c r="O401" s="822"/>
      <c r="P401" s="822"/>
      <c r="Q401" s="822"/>
      <c r="R401" s="822"/>
      <c r="S401" s="822"/>
      <c r="T401" s="822"/>
      <c r="U401" s="822"/>
      <c r="V401" s="822"/>
      <c r="W401" s="822"/>
      <c r="X401" s="822"/>
      <c r="Y401" s="822"/>
      <c r="Z401" s="198" t="s">
        <v>9235</v>
      </c>
      <c r="AA401" s="892" t="s">
        <v>9236</v>
      </c>
      <c r="AB401" s="198" t="s">
        <v>9237</v>
      </c>
      <c r="AC401" s="844" t="s">
        <v>9238</v>
      </c>
      <c r="AD401" s="198" t="s">
        <v>9239</v>
      </c>
      <c r="AE401" s="198" t="s">
        <v>1482</v>
      </c>
      <c r="AF401" s="198"/>
      <c r="AG401" s="198"/>
      <c r="AH401" s="198" t="s">
        <v>9240</v>
      </c>
      <c r="AI401" s="198" t="s">
        <v>9240</v>
      </c>
      <c r="AJ401" s="198"/>
      <c r="AK401" s="198" t="s">
        <v>9240</v>
      </c>
      <c r="AL401" s="580">
        <f t="shared" si="47"/>
        <v>3.5860000000000003E-2</v>
      </c>
      <c r="AM401" s="504">
        <v>3.5860000000000003E-2</v>
      </c>
      <c r="AN401" s="580"/>
      <c r="AO401" s="580"/>
      <c r="AP401" s="580"/>
      <c r="AQ401" s="580">
        <v>3.5860000000000003E-2</v>
      </c>
      <c r="AR401" s="137">
        <v>1</v>
      </c>
      <c r="AS401" s="137">
        <v>6.9999999999999999E-4</v>
      </c>
      <c r="AT401" s="580">
        <v>0</v>
      </c>
      <c r="AU401" s="137"/>
      <c r="AV401" s="580">
        <v>0</v>
      </c>
      <c r="AW401" s="137"/>
      <c r="AX401" s="137">
        <v>0</v>
      </c>
      <c r="AY401" s="137"/>
      <c r="AZ401" s="137"/>
      <c r="BA401" s="137"/>
      <c r="BB401" s="137"/>
      <c r="BC401" s="137"/>
      <c r="BD401" s="137"/>
      <c r="BE401" s="137" t="s">
        <v>470</v>
      </c>
      <c r="BF401" s="137"/>
      <c r="BG401" s="137"/>
      <c r="BH401" s="823"/>
      <c r="BI401" s="580">
        <v>0.5</v>
      </c>
      <c r="BJ401" s="137">
        <v>7.0000000000000001E-3</v>
      </c>
      <c r="BK401" s="83">
        <v>1</v>
      </c>
      <c r="BL401" s="83">
        <v>1</v>
      </c>
      <c r="BM401" s="83">
        <v>1</v>
      </c>
      <c r="BN401" s="83"/>
      <c r="BO401" s="83"/>
      <c r="BP401" s="83"/>
      <c r="BQ401" s="83"/>
      <c r="BR401" s="83"/>
      <c r="BS401" s="83">
        <v>1</v>
      </c>
      <c r="BT401" s="83"/>
      <c r="BU401" s="83"/>
      <c r="BV401" s="83"/>
      <c r="BW401" s="83"/>
      <c r="BX401" s="83"/>
      <c r="BY401" s="83"/>
      <c r="BZ401" s="83"/>
      <c r="CA401" s="83"/>
      <c r="CB401" s="83"/>
      <c r="CC401" s="83"/>
      <c r="CD401" s="83"/>
      <c r="CE401" s="83"/>
      <c r="CF401" s="83"/>
      <c r="CG401" s="83"/>
      <c r="CH401" s="83"/>
      <c r="CI401" s="83"/>
      <c r="CJ401" s="83"/>
      <c r="CK401" s="83"/>
      <c r="CL401" s="857">
        <f t="shared" si="48"/>
        <v>1</v>
      </c>
      <c r="CM401" s="824">
        <f t="shared" si="46"/>
        <v>0</v>
      </c>
      <c r="CN401" s="580">
        <v>1.5780000000000001</v>
      </c>
      <c r="CO401" s="198"/>
      <c r="CP401" s="198"/>
      <c r="CQ401" s="137">
        <v>0.23549999999999999</v>
      </c>
      <c r="CR401" s="580">
        <v>6.7</v>
      </c>
      <c r="CS401" s="1141" t="s">
        <v>9241</v>
      </c>
      <c r="CT401" s="198" t="s">
        <v>470</v>
      </c>
      <c r="CU401" s="198"/>
      <c r="CV401" s="198"/>
      <c r="CW401" s="198"/>
      <c r="CX401" s="83"/>
      <c r="CY401" s="83"/>
      <c r="CZ401" s="83">
        <v>1</v>
      </c>
      <c r="DA401" s="198"/>
      <c r="DB401" s="198"/>
      <c r="DC401" s="83"/>
      <c r="DD401" s="198" t="s">
        <v>479</v>
      </c>
      <c r="DE401" s="198" t="s">
        <v>640</v>
      </c>
      <c r="DF401" s="83">
        <v>9</v>
      </c>
      <c r="DG401" s="83"/>
      <c r="DH401" s="83"/>
      <c r="DI401" s="83"/>
      <c r="DJ401" s="83"/>
      <c r="DK401" s="83"/>
      <c r="DL401" s="83"/>
      <c r="DM401" s="198"/>
      <c r="DN401" s="198"/>
      <c r="DO401" s="83"/>
      <c r="DP401" s="198"/>
      <c r="DQ401" s="198"/>
      <c r="DR401" s="83"/>
      <c r="DS401" s="198"/>
      <c r="DT401" s="198"/>
      <c r="DU401" s="83"/>
      <c r="DV401" s="198"/>
      <c r="DW401" s="198"/>
      <c r="DX401" s="83"/>
      <c r="DY401" s="198"/>
      <c r="DZ401" s="198"/>
      <c r="EA401" s="83"/>
      <c r="EB401" s="198"/>
      <c r="EC401" s="198"/>
      <c r="ED401" s="83"/>
      <c r="EE401" s="83"/>
      <c r="EF401" s="83"/>
      <c r="EG401" s="83"/>
      <c r="EH401" s="198"/>
      <c r="EI401" s="198"/>
      <c r="EJ401" s="83"/>
      <c r="EK401" s="198" t="s">
        <v>479</v>
      </c>
      <c r="EL401" s="198" t="s">
        <v>5307</v>
      </c>
      <c r="EM401" s="83">
        <v>9</v>
      </c>
      <c r="EN401" s="198"/>
      <c r="EO401" s="198"/>
      <c r="EP401" s="83"/>
      <c r="EQ401" s="83"/>
      <c r="ER401" s="83"/>
      <c r="ES401" s="83"/>
      <c r="ET401" s="198"/>
      <c r="EU401" s="198"/>
      <c r="EV401" s="83"/>
      <c r="EW401" s="83"/>
      <c r="EX401" s="83"/>
      <c r="EY401" s="83"/>
      <c r="EZ401" s="198" t="s">
        <v>470</v>
      </c>
      <c r="FA401" s="198"/>
      <c r="FB401" s="844" t="s">
        <v>9242</v>
      </c>
      <c r="FC401" s="198" t="s">
        <v>9243</v>
      </c>
      <c r="FD401" s="198"/>
      <c r="FE401" s="198"/>
      <c r="FF401" s="198"/>
      <c r="FG401" s="198" t="s">
        <v>9244</v>
      </c>
      <c r="FH401" s="198">
        <v>1</v>
      </c>
      <c r="FI401" s="198">
        <v>9</v>
      </c>
      <c r="FJ401" s="198" t="s">
        <v>9245</v>
      </c>
      <c r="FK401" s="198" t="s">
        <v>9246</v>
      </c>
      <c r="FL401" s="844" t="s">
        <v>9247</v>
      </c>
      <c r="FM401" s="198" t="s">
        <v>9141</v>
      </c>
      <c r="FN401" s="198" t="s">
        <v>9142</v>
      </c>
      <c r="FO401" s="844" t="s">
        <v>9143</v>
      </c>
      <c r="FP401" s="198"/>
      <c r="FQ401" s="990"/>
    </row>
    <row r="402" spans="5:173" ht="30" customHeight="1" x14ac:dyDescent="0.2">
      <c r="E402" s="94" t="s">
        <v>9302</v>
      </c>
      <c r="F402" s="94" t="s">
        <v>9121</v>
      </c>
      <c r="G402" s="198" t="s">
        <v>366</v>
      </c>
      <c r="H402" s="198" t="s">
        <v>451</v>
      </c>
      <c r="I402" s="198" t="s">
        <v>9215</v>
      </c>
      <c r="J402" s="198" t="s">
        <v>650</v>
      </c>
      <c r="K402" s="198" t="s">
        <v>3260</v>
      </c>
      <c r="L402" s="578">
        <v>2016</v>
      </c>
      <c r="M402" s="822">
        <v>44387</v>
      </c>
      <c r="N402" s="822" t="s">
        <v>9216</v>
      </c>
      <c r="O402" s="822"/>
      <c r="P402" s="822"/>
      <c r="Q402" s="822"/>
      <c r="R402" s="822"/>
      <c r="S402" s="822"/>
      <c r="T402" s="822"/>
      <c r="U402" s="822"/>
      <c r="V402" s="822"/>
      <c r="W402" s="822"/>
      <c r="X402" s="822"/>
      <c r="Y402" s="822"/>
      <c r="Z402" s="198" t="s">
        <v>9217</v>
      </c>
      <c r="AA402" s="844" t="s">
        <v>9218</v>
      </c>
      <c r="AB402" s="198" t="s">
        <v>9219</v>
      </c>
      <c r="AC402" s="844" t="s">
        <v>9220</v>
      </c>
      <c r="AD402" s="198" t="s">
        <v>9221</v>
      </c>
      <c r="AE402" s="844" t="s">
        <v>9218</v>
      </c>
      <c r="AF402" s="198"/>
      <c r="AG402" s="198"/>
      <c r="AH402" s="198" t="s">
        <v>9222</v>
      </c>
      <c r="AI402" s="198" t="s">
        <v>9222</v>
      </c>
      <c r="AJ402" s="198" t="s">
        <v>9223</v>
      </c>
      <c r="AK402" s="198" t="s">
        <v>9224</v>
      </c>
      <c r="AL402" s="580">
        <f t="shared" si="47"/>
        <v>0.23</v>
      </c>
      <c r="AM402" s="504">
        <v>0.23</v>
      </c>
      <c r="AN402" s="580"/>
      <c r="AO402" s="580"/>
      <c r="AP402" s="580"/>
      <c r="AQ402" s="580">
        <v>0.23</v>
      </c>
      <c r="AR402" s="137">
        <v>1</v>
      </c>
      <c r="AS402" s="137">
        <v>3.5999999999999999E-3</v>
      </c>
      <c r="AT402" s="580">
        <v>0</v>
      </c>
      <c r="AU402" s="137">
        <v>0</v>
      </c>
      <c r="AV402" s="580">
        <v>0</v>
      </c>
      <c r="AW402" s="137">
        <v>0</v>
      </c>
      <c r="AX402" s="580">
        <v>0</v>
      </c>
      <c r="AY402" s="137">
        <v>0</v>
      </c>
      <c r="AZ402" s="137"/>
      <c r="BA402" s="137"/>
      <c r="BB402" s="137"/>
      <c r="BC402" s="137"/>
      <c r="BD402" s="137"/>
      <c r="BE402" s="137" t="s">
        <v>470</v>
      </c>
      <c r="BF402" s="137">
        <v>0</v>
      </c>
      <c r="BG402" s="137">
        <v>0</v>
      </c>
      <c r="BH402" s="823">
        <v>0</v>
      </c>
      <c r="BI402" s="580">
        <v>0.3</v>
      </c>
      <c r="BJ402" s="137">
        <v>1.6000000000000001E-3</v>
      </c>
      <c r="BK402" s="83">
        <v>5</v>
      </c>
      <c r="BL402" s="83">
        <v>5</v>
      </c>
      <c r="BM402" s="83">
        <v>1</v>
      </c>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v>1</v>
      </c>
      <c r="CL402" s="857">
        <f t="shared" si="48"/>
        <v>1</v>
      </c>
      <c r="CM402" s="824">
        <f t="shared" si="46"/>
        <v>0</v>
      </c>
      <c r="CN402" s="580">
        <v>0.248</v>
      </c>
      <c r="CO402" s="198"/>
      <c r="CP402" s="198"/>
      <c r="CQ402" s="837">
        <v>0.03</v>
      </c>
      <c r="CR402" s="580">
        <v>9.4559999999999995</v>
      </c>
      <c r="CS402" s="1143" t="s">
        <v>9225</v>
      </c>
      <c r="CT402" s="198" t="s">
        <v>470</v>
      </c>
      <c r="CV402" s="198"/>
      <c r="CW402" s="198"/>
      <c r="CX402" s="83"/>
      <c r="CY402" s="83"/>
      <c r="CZ402" s="83">
        <v>7</v>
      </c>
      <c r="DA402" s="198" t="s">
        <v>470</v>
      </c>
      <c r="DB402" s="198"/>
      <c r="DC402" s="83"/>
      <c r="DD402" s="198" t="s">
        <v>479</v>
      </c>
      <c r="DE402" s="198" t="s">
        <v>9226</v>
      </c>
      <c r="DF402" s="83">
        <v>6</v>
      </c>
      <c r="DG402" s="83" t="s">
        <v>470</v>
      </c>
      <c r="DH402" s="83"/>
      <c r="DI402" s="83"/>
      <c r="DJ402" s="83" t="s">
        <v>470</v>
      </c>
      <c r="DK402" s="83"/>
      <c r="DL402" s="83"/>
      <c r="DM402" s="83" t="s">
        <v>470</v>
      </c>
      <c r="DN402" s="198"/>
      <c r="DO402" s="83"/>
      <c r="DP402" s="83" t="s">
        <v>470</v>
      </c>
      <c r="DQ402" s="198"/>
      <c r="DR402" s="83"/>
      <c r="DS402" s="83" t="s">
        <v>470</v>
      </c>
      <c r="DT402" s="198"/>
      <c r="DU402" s="83"/>
      <c r="DV402" s="198"/>
      <c r="DW402" s="198"/>
      <c r="DX402" s="83"/>
      <c r="DY402" s="83" t="s">
        <v>470</v>
      </c>
      <c r="DZ402" s="198"/>
      <c r="EA402" s="83"/>
      <c r="EB402" s="83" t="s">
        <v>470</v>
      </c>
      <c r="EC402" s="198"/>
      <c r="ED402" s="83"/>
      <c r="EE402" s="83" t="s">
        <v>470</v>
      </c>
      <c r="EF402" s="83"/>
      <c r="EG402" s="83"/>
      <c r="EH402" s="198" t="s">
        <v>470</v>
      </c>
      <c r="EI402" s="198"/>
      <c r="EJ402" s="83"/>
      <c r="EK402" s="198" t="s">
        <v>479</v>
      </c>
      <c r="EL402" s="198" t="s">
        <v>640</v>
      </c>
      <c r="EM402" s="83">
        <v>4</v>
      </c>
      <c r="EN402" s="198" t="s">
        <v>470</v>
      </c>
      <c r="EO402" s="198"/>
      <c r="EP402" s="83"/>
      <c r="EQ402" s="83" t="s">
        <v>470</v>
      </c>
      <c r="ER402" s="83"/>
      <c r="ES402" s="83"/>
      <c r="ET402" s="198"/>
      <c r="EU402" s="198"/>
      <c r="EV402" s="83"/>
      <c r="EW402" s="83"/>
      <c r="EX402" s="83"/>
      <c r="EY402" s="83"/>
      <c r="EZ402" s="198" t="s">
        <v>470</v>
      </c>
      <c r="FA402" s="198"/>
      <c r="FB402" s="844" t="s">
        <v>9227</v>
      </c>
      <c r="FC402" s="844" t="s">
        <v>9228</v>
      </c>
      <c r="FD402" s="198"/>
      <c r="FE402" s="198" t="s">
        <v>9229</v>
      </c>
      <c r="FF402" s="198"/>
      <c r="FG402" s="198" t="s">
        <v>470</v>
      </c>
      <c r="FH402" s="198"/>
      <c r="FI402" s="198"/>
      <c r="FJ402" s="198" t="s">
        <v>9230</v>
      </c>
      <c r="FK402" s="198" t="s">
        <v>9231</v>
      </c>
      <c r="FL402" s="844" t="s">
        <v>9232</v>
      </c>
      <c r="FM402" s="198" t="s">
        <v>9141</v>
      </c>
      <c r="FN402" s="198" t="s">
        <v>9142</v>
      </c>
      <c r="FO402" s="844" t="s">
        <v>9143</v>
      </c>
      <c r="FP402" s="198"/>
      <c r="FQ402" s="990"/>
    </row>
    <row r="403" spans="5:173" ht="34" customHeight="1" x14ac:dyDescent="0.2">
      <c r="E403" s="94" t="s">
        <v>9302</v>
      </c>
      <c r="F403" s="94" t="s">
        <v>9121</v>
      </c>
      <c r="G403" s="198" t="s">
        <v>366</v>
      </c>
      <c r="H403" s="198" t="s">
        <v>451</v>
      </c>
      <c r="I403" s="198" t="s">
        <v>9208</v>
      </c>
      <c r="J403" s="198" t="s">
        <v>9159</v>
      </c>
      <c r="K403" s="198" t="s">
        <v>9160</v>
      </c>
      <c r="L403" s="578" t="s">
        <v>9161</v>
      </c>
      <c r="M403" s="822" t="s">
        <v>9209</v>
      </c>
      <c r="N403" s="822" t="s">
        <v>9210</v>
      </c>
      <c r="O403" s="822"/>
      <c r="P403" s="822"/>
      <c r="Q403" s="822"/>
      <c r="R403" s="822"/>
      <c r="S403" s="822"/>
      <c r="T403" s="822"/>
      <c r="U403" s="822"/>
      <c r="V403" s="822"/>
      <c r="W403" s="822"/>
      <c r="X403" s="822"/>
      <c r="Y403" s="822"/>
      <c r="Z403" s="198" t="s">
        <v>9211</v>
      </c>
      <c r="AA403" s="844" t="s">
        <v>9212</v>
      </c>
      <c r="AB403" s="198" t="s">
        <v>9213</v>
      </c>
      <c r="AC403" s="844" t="s">
        <v>9167</v>
      </c>
      <c r="AD403" s="198" t="s">
        <v>470</v>
      </c>
      <c r="AE403" s="198"/>
      <c r="AF403" s="198"/>
      <c r="AG403" s="198"/>
      <c r="AH403" s="198" t="s">
        <v>9214</v>
      </c>
      <c r="AI403" s="198" t="s">
        <v>9214</v>
      </c>
      <c r="AJ403" s="198" t="s">
        <v>9169</v>
      </c>
      <c r="AK403" s="198" t="s">
        <v>9214</v>
      </c>
      <c r="AL403" s="580">
        <f t="shared" si="47"/>
        <v>1.4999999999999999E-2</v>
      </c>
      <c r="AM403" s="504">
        <v>1.4999999999999999E-2</v>
      </c>
      <c r="AN403" s="580"/>
      <c r="AO403" s="580"/>
      <c r="AP403" s="580"/>
      <c r="AQ403" s="580">
        <v>1.4999999999999999E-2</v>
      </c>
      <c r="AR403" s="137">
        <v>1</v>
      </c>
      <c r="AS403" s="137">
        <v>1E-4</v>
      </c>
      <c r="AT403" s="580">
        <v>0</v>
      </c>
      <c r="AU403" s="137"/>
      <c r="AV403" s="580">
        <v>0</v>
      </c>
      <c r="AW403" s="137"/>
      <c r="AX403" s="137"/>
      <c r="AY403" s="137"/>
      <c r="AZ403" s="137"/>
      <c r="BA403" s="137"/>
      <c r="BB403" s="137"/>
      <c r="BC403" s="137"/>
      <c r="BD403" s="137"/>
      <c r="BE403" s="137" t="s">
        <v>470</v>
      </c>
      <c r="BF403" s="137"/>
      <c r="BG403" s="137"/>
      <c r="BH403" s="823"/>
      <c r="BI403" s="580">
        <v>1E-3</v>
      </c>
      <c r="BJ403" s="137">
        <v>1E-4</v>
      </c>
      <c r="BK403" s="83">
        <v>3</v>
      </c>
      <c r="BL403" s="83">
        <v>1</v>
      </c>
      <c r="BM403" s="83">
        <v>1</v>
      </c>
      <c r="BN403" s="83"/>
      <c r="BO403" s="83"/>
      <c r="BP403" s="83"/>
      <c r="BQ403" s="83"/>
      <c r="BR403" s="83"/>
      <c r="BS403" s="83">
        <v>1</v>
      </c>
      <c r="BT403" s="83"/>
      <c r="BU403" s="83"/>
      <c r="BV403" s="83"/>
      <c r="BW403" s="83"/>
      <c r="BX403" s="83"/>
      <c r="BY403" s="83"/>
      <c r="BZ403" s="83"/>
      <c r="CA403" s="83"/>
      <c r="CB403" s="83"/>
      <c r="CC403" s="83"/>
      <c r="CD403" s="83"/>
      <c r="CE403" s="83"/>
      <c r="CF403" s="83"/>
      <c r="CG403" s="83"/>
      <c r="CH403" s="83"/>
      <c r="CI403" s="83"/>
      <c r="CJ403" s="83"/>
      <c r="CK403" s="83"/>
      <c r="CL403" s="857">
        <f t="shared" si="48"/>
        <v>1</v>
      </c>
      <c r="CM403" s="824">
        <f t="shared" si="46"/>
        <v>0</v>
      </c>
      <c r="CN403" s="580">
        <v>0.86</v>
      </c>
      <c r="CO403" s="198"/>
      <c r="CP403" s="198"/>
      <c r="CQ403" s="198">
        <v>100</v>
      </c>
      <c r="CR403" s="580">
        <v>0.86</v>
      </c>
      <c r="CS403" s="1141" t="s">
        <v>2270</v>
      </c>
      <c r="CT403" s="198" t="s">
        <v>470</v>
      </c>
      <c r="CU403" s="198"/>
      <c r="CV403" s="198"/>
      <c r="CW403" s="198"/>
      <c r="CX403" s="83"/>
      <c r="CY403" s="83"/>
      <c r="CZ403" s="83">
        <v>1</v>
      </c>
      <c r="DA403" s="198" t="s">
        <v>470</v>
      </c>
      <c r="DB403" s="198"/>
      <c r="DC403" s="83"/>
      <c r="DD403" s="198" t="s">
        <v>479</v>
      </c>
      <c r="DE403" s="198" t="s">
        <v>1537</v>
      </c>
      <c r="DF403" s="83">
        <v>10</v>
      </c>
      <c r="DG403" s="83" t="s">
        <v>470</v>
      </c>
      <c r="DH403" s="83"/>
      <c r="DI403" s="83"/>
      <c r="DJ403" s="83" t="s">
        <v>470</v>
      </c>
      <c r="DK403" s="83"/>
      <c r="DL403" s="83"/>
      <c r="DM403" s="198" t="s">
        <v>470</v>
      </c>
      <c r="DN403" s="198"/>
      <c r="DO403" s="83"/>
      <c r="DP403" s="198" t="s">
        <v>470</v>
      </c>
      <c r="DQ403" s="198"/>
      <c r="DR403" s="83"/>
      <c r="DS403" s="198" t="s">
        <v>470</v>
      </c>
      <c r="DT403" s="198"/>
      <c r="DU403" s="83"/>
      <c r="DV403" s="198"/>
      <c r="DW403" s="198"/>
      <c r="DX403" s="83"/>
      <c r="DY403" s="198" t="s">
        <v>470</v>
      </c>
      <c r="DZ403" s="198"/>
      <c r="EA403" s="83"/>
      <c r="EB403" s="198" t="s">
        <v>479</v>
      </c>
      <c r="EC403" s="198" t="s">
        <v>1537</v>
      </c>
      <c r="ED403" s="83">
        <v>40</v>
      </c>
      <c r="EE403" s="83" t="s">
        <v>470</v>
      </c>
      <c r="EF403" s="83"/>
      <c r="EG403" s="83"/>
      <c r="EH403" s="198" t="s">
        <v>470</v>
      </c>
      <c r="EI403" s="198"/>
      <c r="EJ403" s="83"/>
      <c r="EK403" s="198" t="s">
        <v>470</v>
      </c>
      <c r="EL403" s="198"/>
      <c r="EM403" s="83"/>
      <c r="EN403" s="198" t="s">
        <v>470</v>
      </c>
      <c r="EO403" s="198"/>
      <c r="EP403" s="83"/>
      <c r="EQ403" s="83" t="s">
        <v>470</v>
      </c>
      <c r="ER403" s="83"/>
      <c r="ES403" s="83"/>
      <c r="ET403" s="198"/>
      <c r="EU403" s="198"/>
      <c r="EV403" s="83"/>
      <c r="EW403" s="83"/>
      <c r="EX403" s="83"/>
      <c r="EY403" s="83"/>
      <c r="EZ403" s="198" t="s">
        <v>470</v>
      </c>
      <c r="FA403" s="198"/>
      <c r="FB403" s="844" t="s">
        <v>9170</v>
      </c>
      <c r="FC403" s="198"/>
      <c r="FD403" s="198"/>
      <c r="FE403" s="198" t="s">
        <v>9171</v>
      </c>
      <c r="FF403" s="198"/>
      <c r="FG403" s="198" t="s">
        <v>1750</v>
      </c>
      <c r="FH403" s="198"/>
      <c r="FI403" s="198"/>
      <c r="FJ403" s="198" t="s">
        <v>9172</v>
      </c>
      <c r="FK403" s="198" t="s">
        <v>9173</v>
      </c>
      <c r="FL403" s="844" t="s">
        <v>9174</v>
      </c>
      <c r="FM403" s="198" t="s">
        <v>9141</v>
      </c>
      <c r="FN403" s="198" t="s">
        <v>9142</v>
      </c>
      <c r="FO403" s="844" t="s">
        <v>9143</v>
      </c>
      <c r="FP403" s="198"/>
      <c r="FQ403" s="990"/>
    </row>
    <row r="404" spans="5:173" ht="34" customHeight="1" x14ac:dyDescent="0.2">
      <c r="E404" s="94" t="s">
        <v>9302</v>
      </c>
      <c r="F404" s="94" t="s">
        <v>9121</v>
      </c>
      <c r="G404" s="198" t="s">
        <v>366</v>
      </c>
      <c r="H404" s="198" t="s">
        <v>451</v>
      </c>
      <c r="I404" s="198" t="s">
        <v>9193</v>
      </c>
      <c r="J404" s="198" t="s">
        <v>1772</v>
      </c>
      <c r="K404" s="198" t="s">
        <v>9194</v>
      </c>
      <c r="L404" s="578">
        <v>2017</v>
      </c>
      <c r="M404" s="822" t="s">
        <v>9195</v>
      </c>
      <c r="N404" s="822" t="s">
        <v>9196</v>
      </c>
      <c r="O404" s="822"/>
      <c r="P404" s="822"/>
      <c r="Q404" s="822"/>
      <c r="R404" s="822"/>
      <c r="S404" s="822"/>
      <c r="T404" s="822"/>
      <c r="U404" s="822"/>
      <c r="V404" s="822"/>
      <c r="W404" s="822"/>
      <c r="X404" s="822"/>
      <c r="Y404" s="822"/>
      <c r="Z404" s="198" t="s">
        <v>9197</v>
      </c>
      <c r="AA404" s="950" t="s">
        <v>9198</v>
      </c>
      <c r="AB404" s="198" t="s">
        <v>9199</v>
      </c>
      <c r="AC404" s="950" t="s">
        <v>9200</v>
      </c>
      <c r="AD404" s="198" t="s">
        <v>873</v>
      </c>
      <c r="AE404" s="198"/>
      <c r="AF404" s="198" t="s">
        <v>873</v>
      </c>
      <c r="AG404" s="198"/>
      <c r="AH404" s="198" t="s">
        <v>9201</v>
      </c>
      <c r="AI404" s="198" t="s">
        <v>9201</v>
      </c>
      <c r="AJ404" s="198" t="s">
        <v>6630</v>
      </c>
      <c r="AK404" s="198" t="s">
        <v>9202</v>
      </c>
      <c r="AL404" s="580">
        <f t="shared" si="47"/>
        <v>6.5000000000000002E-2</v>
      </c>
      <c r="AM404" s="504">
        <v>6.5000000000000002E-2</v>
      </c>
      <c r="AN404" s="580"/>
      <c r="AO404" s="580"/>
      <c r="AP404" s="580"/>
      <c r="AQ404" s="580">
        <v>6.5000000000000002E-2</v>
      </c>
      <c r="AR404" s="137">
        <v>1</v>
      </c>
      <c r="AS404" s="137">
        <v>1E-3</v>
      </c>
      <c r="AT404" s="580">
        <v>0</v>
      </c>
      <c r="AU404" s="137"/>
      <c r="AV404" s="580">
        <v>0</v>
      </c>
      <c r="AW404" s="137"/>
      <c r="AX404" s="137">
        <v>0</v>
      </c>
      <c r="AY404" s="137"/>
      <c r="AZ404" s="137"/>
      <c r="BA404" s="137"/>
      <c r="BB404" s="137"/>
      <c r="BC404" s="137"/>
      <c r="BD404" s="137"/>
      <c r="BE404" s="137" t="s">
        <v>873</v>
      </c>
      <c r="BF404" s="137"/>
      <c r="BG404" s="137"/>
      <c r="BH404" s="823"/>
      <c r="BI404" s="580">
        <v>0.1</v>
      </c>
      <c r="BJ404" s="137">
        <v>1.9E-3</v>
      </c>
      <c r="BK404" s="83">
        <v>1</v>
      </c>
      <c r="BL404" s="83">
        <v>1</v>
      </c>
      <c r="BM404" s="83">
        <v>1</v>
      </c>
      <c r="BN404" s="83"/>
      <c r="BO404" s="83">
        <v>1</v>
      </c>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57">
        <f t="shared" si="48"/>
        <v>1</v>
      </c>
      <c r="CM404" s="824">
        <f t="shared" si="46"/>
        <v>0</v>
      </c>
      <c r="CN404" s="580">
        <v>0.5</v>
      </c>
      <c r="CO404" s="198" t="s">
        <v>9203</v>
      </c>
      <c r="CP404" s="198"/>
      <c r="CQ404" s="198">
        <v>3.1</v>
      </c>
      <c r="CR404" s="580">
        <v>16.600000000000001</v>
      </c>
      <c r="CS404" s="1144" t="s">
        <v>2270</v>
      </c>
      <c r="CT404" s="198" t="s">
        <v>873</v>
      </c>
      <c r="CU404" s="198"/>
      <c r="CV404" s="198"/>
      <c r="CW404" s="198"/>
      <c r="CX404" s="83"/>
      <c r="CY404" s="83"/>
      <c r="CZ404" s="83"/>
      <c r="DA404" s="198" t="s">
        <v>873</v>
      </c>
      <c r="DB404" s="198"/>
      <c r="DC404" s="83"/>
      <c r="DD404" s="198" t="s">
        <v>479</v>
      </c>
      <c r="DE404" s="198"/>
      <c r="DF404" s="83">
        <v>150</v>
      </c>
      <c r="DG404" s="83" t="s">
        <v>873</v>
      </c>
      <c r="DH404" s="83"/>
      <c r="DI404" s="83"/>
      <c r="DJ404" s="83" t="s">
        <v>873</v>
      </c>
      <c r="DK404" s="83"/>
      <c r="DL404" s="83"/>
      <c r="DM404" s="198" t="s">
        <v>873</v>
      </c>
      <c r="DN404" s="198"/>
      <c r="DO404" s="83"/>
      <c r="DP404" s="198" t="s">
        <v>873</v>
      </c>
      <c r="DQ404" s="198"/>
      <c r="DR404" s="83"/>
      <c r="DS404" s="198" t="s">
        <v>873</v>
      </c>
      <c r="DT404" s="198"/>
      <c r="DU404" s="83"/>
      <c r="DV404" s="198"/>
      <c r="DW404" s="198"/>
      <c r="DX404" s="83"/>
      <c r="DY404" s="198" t="s">
        <v>873</v>
      </c>
      <c r="DZ404" s="198"/>
      <c r="EA404" s="83"/>
      <c r="EB404" s="198" t="s">
        <v>479</v>
      </c>
      <c r="EC404" s="198" t="s">
        <v>2533</v>
      </c>
      <c r="ED404" s="83">
        <v>93</v>
      </c>
      <c r="EE404" s="83" t="s">
        <v>873</v>
      </c>
      <c r="EF404" s="83"/>
      <c r="EG404" s="83"/>
      <c r="EH404" s="198" t="s">
        <v>873</v>
      </c>
      <c r="EI404" s="198"/>
      <c r="EJ404" s="83"/>
      <c r="EK404" s="198" t="s">
        <v>873</v>
      </c>
      <c r="EL404" s="198"/>
      <c r="EM404" s="83"/>
      <c r="EN404" s="198" t="s">
        <v>873</v>
      </c>
      <c r="EO404" s="198"/>
      <c r="EP404" s="83"/>
      <c r="EQ404" s="83" t="s">
        <v>873</v>
      </c>
      <c r="ER404" s="83"/>
      <c r="ES404" s="83"/>
      <c r="ET404" s="198"/>
      <c r="EU404" s="198"/>
      <c r="EV404" s="83"/>
      <c r="EW404" s="83"/>
      <c r="EX404" s="83"/>
      <c r="EY404" s="83"/>
      <c r="EZ404" s="198" t="s">
        <v>873</v>
      </c>
      <c r="FA404" s="198"/>
      <c r="FB404" s="950" t="s">
        <v>9204</v>
      </c>
      <c r="FC404" s="950"/>
      <c r="FD404" s="198"/>
      <c r="FE404" s="198"/>
      <c r="FF404" s="198"/>
      <c r="FG404" s="198" t="s">
        <v>873</v>
      </c>
      <c r="FH404" s="198"/>
      <c r="FI404" s="198"/>
      <c r="FJ404" s="198" t="s">
        <v>9205</v>
      </c>
      <c r="FK404" s="198" t="s">
        <v>9206</v>
      </c>
      <c r="FL404" s="950" t="s">
        <v>9207</v>
      </c>
      <c r="FM404" s="198" t="s">
        <v>9141</v>
      </c>
      <c r="FN404" s="198" t="s">
        <v>9142</v>
      </c>
      <c r="FO404" s="1145" t="s">
        <v>9143</v>
      </c>
      <c r="FP404" s="198"/>
      <c r="FQ404" s="990"/>
    </row>
    <row r="405" spans="5:173" ht="33" customHeight="1" x14ac:dyDescent="0.2">
      <c r="E405" s="94" t="s">
        <v>9302</v>
      </c>
      <c r="F405" s="94" t="s">
        <v>9121</v>
      </c>
      <c r="G405" s="198" t="s">
        <v>366</v>
      </c>
      <c r="H405" s="198" t="s">
        <v>451</v>
      </c>
      <c r="I405" s="198" t="s">
        <v>9186</v>
      </c>
      <c r="J405" s="198" t="s">
        <v>9159</v>
      </c>
      <c r="K405" s="198" t="s">
        <v>9160</v>
      </c>
      <c r="L405" s="578" t="s">
        <v>9161</v>
      </c>
      <c r="M405" s="822" t="s">
        <v>9187</v>
      </c>
      <c r="N405" s="822" t="s">
        <v>9188</v>
      </c>
      <c r="O405" s="822"/>
      <c r="P405" s="822"/>
      <c r="Q405" s="822"/>
      <c r="R405" s="822"/>
      <c r="S405" s="822"/>
      <c r="T405" s="822"/>
      <c r="U405" s="822"/>
      <c r="V405" s="822"/>
      <c r="W405" s="822"/>
      <c r="X405" s="822"/>
      <c r="Y405" s="822"/>
      <c r="Z405" s="198" t="s">
        <v>9189</v>
      </c>
      <c r="AA405" s="844" t="s">
        <v>9190</v>
      </c>
      <c r="AB405" s="198" t="s">
        <v>9191</v>
      </c>
      <c r="AC405" s="844" t="s">
        <v>9167</v>
      </c>
      <c r="AD405" s="198" t="s">
        <v>470</v>
      </c>
      <c r="AE405" s="198"/>
      <c r="AF405" s="198"/>
      <c r="AG405" s="198"/>
      <c r="AH405" s="198" t="s">
        <v>9192</v>
      </c>
      <c r="AI405" s="198" t="s">
        <v>9192</v>
      </c>
      <c r="AJ405" s="198" t="s">
        <v>9169</v>
      </c>
      <c r="AK405" s="198" t="s">
        <v>9192</v>
      </c>
      <c r="AL405" s="580">
        <f t="shared" si="47"/>
        <v>2.5000000000000001E-2</v>
      </c>
      <c r="AM405" s="504">
        <v>2.5000000000000001E-2</v>
      </c>
      <c r="AN405" s="580"/>
      <c r="AO405" s="580"/>
      <c r="AP405" s="580"/>
      <c r="AQ405" s="580">
        <v>2.5000000000000001E-2</v>
      </c>
      <c r="AR405" s="137">
        <v>1</v>
      </c>
      <c r="AS405" s="137">
        <v>2.9999999999999997E-4</v>
      </c>
      <c r="AT405" s="580"/>
      <c r="AU405" s="137"/>
      <c r="AV405" s="580"/>
      <c r="AW405" s="137"/>
      <c r="AX405" s="137"/>
      <c r="AY405" s="137"/>
      <c r="AZ405" s="137"/>
      <c r="BA405" s="137"/>
      <c r="BB405" s="137"/>
      <c r="BC405" s="137"/>
      <c r="BD405" s="137"/>
      <c r="BE405" s="137" t="s">
        <v>470</v>
      </c>
      <c r="BF405" s="137"/>
      <c r="BG405" s="137"/>
      <c r="BH405" s="823"/>
      <c r="BI405" s="580">
        <v>2.5000000000000001E-2</v>
      </c>
      <c r="BJ405" s="137">
        <v>1E-4</v>
      </c>
      <c r="BK405" s="83">
        <v>2</v>
      </c>
      <c r="BL405" s="83">
        <v>1</v>
      </c>
      <c r="BM405" s="83">
        <v>1</v>
      </c>
      <c r="BN405" s="83"/>
      <c r="BO405" s="83"/>
      <c r="BP405" s="83">
        <v>1</v>
      </c>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57">
        <f t="shared" si="48"/>
        <v>1</v>
      </c>
      <c r="CM405" s="824">
        <f t="shared" si="46"/>
        <v>0</v>
      </c>
      <c r="CN405" s="580">
        <v>2.2559999999999998</v>
      </c>
      <c r="CO405" s="198"/>
      <c r="CP405" s="198"/>
      <c r="CQ405" s="198">
        <v>100</v>
      </c>
      <c r="CR405" s="580">
        <v>2.2559999999999998</v>
      </c>
      <c r="CS405" s="1141" t="s">
        <v>2270</v>
      </c>
      <c r="CT405" s="198" t="s">
        <v>470</v>
      </c>
      <c r="CU405" s="198"/>
      <c r="CV405" s="198"/>
      <c r="CW405" s="198"/>
      <c r="CX405" s="83"/>
      <c r="CY405" s="83"/>
      <c r="CZ405" s="83">
        <v>1</v>
      </c>
      <c r="DA405" s="198" t="s">
        <v>470</v>
      </c>
      <c r="DB405" s="198"/>
      <c r="DC405" s="83"/>
      <c r="DD405" s="198" t="s">
        <v>479</v>
      </c>
      <c r="DE405" s="198" t="s">
        <v>1537</v>
      </c>
      <c r="DF405" s="83">
        <v>5</v>
      </c>
      <c r="DG405" s="83" t="s">
        <v>470</v>
      </c>
      <c r="DH405" s="83"/>
      <c r="DI405" s="83"/>
      <c r="DJ405" s="83" t="s">
        <v>470</v>
      </c>
      <c r="DK405" s="83"/>
      <c r="DL405" s="83"/>
      <c r="DM405" s="198" t="s">
        <v>470</v>
      </c>
      <c r="DN405" s="198"/>
      <c r="DO405" s="83"/>
      <c r="DP405" s="198" t="s">
        <v>470</v>
      </c>
      <c r="DQ405" s="198"/>
      <c r="DR405" s="83"/>
      <c r="DS405" s="198" t="s">
        <v>470</v>
      </c>
      <c r="DT405" s="198"/>
      <c r="DU405" s="83"/>
      <c r="DV405" s="198"/>
      <c r="DW405" s="198"/>
      <c r="DX405" s="83"/>
      <c r="DY405" s="198" t="s">
        <v>470</v>
      </c>
      <c r="DZ405" s="198"/>
      <c r="EA405" s="83"/>
      <c r="EB405" s="198" t="s">
        <v>479</v>
      </c>
      <c r="EC405" s="198" t="s">
        <v>1537</v>
      </c>
      <c r="ED405" s="83">
        <v>5</v>
      </c>
      <c r="EE405" s="83" t="s">
        <v>470</v>
      </c>
      <c r="EF405" s="83"/>
      <c r="EG405" s="83"/>
      <c r="EH405" s="198" t="s">
        <v>470</v>
      </c>
      <c r="EI405" s="198"/>
      <c r="EJ405" s="83"/>
      <c r="EK405" s="198" t="s">
        <v>470</v>
      </c>
      <c r="EL405" s="198"/>
      <c r="EM405" s="83"/>
      <c r="EN405" s="198" t="s">
        <v>470</v>
      </c>
      <c r="EO405" s="198"/>
      <c r="EP405" s="83"/>
      <c r="EQ405" s="83" t="s">
        <v>470</v>
      </c>
      <c r="ER405" s="83"/>
      <c r="ES405" s="83"/>
      <c r="ET405" s="198"/>
      <c r="EU405" s="198"/>
      <c r="EV405" s="83"/>
      <c r="EW405" s="83"/>
      <c r="EX405" s="83"/>
      <c r="EY405" s="83"/>
      <c r="EZ405" s="198" t="s">
        <v>470</v>
      </c>
      <c r="FA405" s="198"/>
      <c r="FB405" s="844" t="s">
        <v>9170</v>
      </c>
      <c r="FC405" s="198"/>
      <c r="FD405" s="198"/>
      <c r="FE405" s="198" t="s">
        <v>9171</v>
      </c>
      <c r="FF405" s="198"/>
      <c r="FG405" s="198" t="s">
        <v>1750</v>
      </c>
      <c r="FH405" s="198"/>
      <c r="FI405" s="198"/>
      <c r="FJ405" s="198" t="s">
        <v>9172</v>
      </c>
      <c r="FK405" s="198" t="s">
        <v>9173</v>
      </c>
      <c r="FL405" s="198" t="s">
        <v>9174</v>
      </c>
      <c r="FM405" s="198" t="s">
        <v>9141</v>
      </c>
      <c r="FN405" s="198" t="s">
        <v>9142</v>
      </c>
      <c r="FO405" s="844" t="s">
        <v>9143</v>
      </c>
      <c r="FP405" s="198"/>
      <c r="FQ405" s="990"/>
    </row>
    <row r="406" spans="5:173" ht="33" customHeight="1" x14ac:dyDescent="0.2">
      <c r="E406" s="94" t="s">
        <v>9302</v>
      </c>
      <c r="F406" s="94" t="s">
        <v>9121</v>
      </c>
      <c r="G406" s="198" t="s">
        <v>366</v>
      </c>
      <c r="H406" s="198" t="s">
        <v>451</v>
      </c>
      <c r="I406" s="198" t="s">
        <v>9175</v>
      </c>
      <c r="J406" s="198" t="s">
        <v>9159</v>
      </c>
      <c r="K406" s="198" t="s">
        <v>9160</v>
      </c>
      <c r="L406" s="578" t="s">
        <v>9161</v>
      </c>
      <c r="M406" s="822" t="s">
        <v>9176</v>
      </c>
      <c r="N406" s="822" t="s">
        <v>9177</v>
      </c>
      <c r="O406" s="822"/>
      <c r="P406" s="822"/>
      <c r="Q406" s="822"/>
      <c r="R406" s="822"/>
      <c r="S406" s="822"/>
      <c r="T406" s="822"/>
      <c r="U406" s="822"/>
      <c r="V406" s="822"/>
      <c r="W406" s="822"/>
      <c r="X406" s="822"/>
      <c r="Y406" s="822"/>
      <c r="Z406" s="198" t="s">
        <v>9178</v>
      </c>
      <c r="AA406" s="844" t="s">
        <v>9179</v>
      </c>
      <c r="AB406" s="198" t="s">
        <v>9180</v>
      </c>
      <c r="AC406" s="844" t="s">
        <v>9181</v>
      </c>
      <c r="AD406" s="198" t="s">
        <v>470</v>
      </c>
      <c r="AE406" s="198"/>
      <c r="AF406" s="198"/>
      <c r="AG406" s="198"/>
      <c r="AH406" s="198" t="s">
        <v>9182</v>
      </c>
      <c r="AI406" s="198" t="s">
        <v>9182</v>
      </c>
      <c r="AJ406" s="198" t="s">
        <v>9169</v>
      </c>
      <c r="AK406" s="198" t="s">
        <v>9182</v>
      </c>
      <c r="AL406" s="580">
        <f t="shared" si="47"/>
        <v>2.9000000000000001E-2</v>
      </c>
      <c r="AM406" s="504">
        <v>2.9000000000000001E-2</v>
      </c>
      <c r="AN406" s="580"/>
      <c r="AO406" s="580"/>
      <c r="AP406" s="580"/>
      <c r="AQ406" s="580">
        <v>2.9000000000000001E-2</v>
      </c>
      <c r="AR406" s="137">
        <v>1</v>
      </c>
      <c r="AS406" s="137">
        <v>4.0000000000000002E-4</v>
      </c>
      <c r="AT406" s="580"/>
      <c r="AU406" s="137"/>
      <c r="AV406" s="580"/>
      <c r="AW406" s="137"/>
      <c r="AX406" s="137"/>
      <c r="AY406" s="137"/>
      <c r="AZ406" s="137"/>
      <c r="BA406" s="137"/>
      <c r="BB406" s="137"/>
      <c r="BC406" s="137"/>
      <c r="BD406" s="137"/>
      <c r="BE406" s="137" t="s">
        <v>470</v>
      </c>
      <c r="BF406" s="137"/>
      <c r="BG406" s="137"/>
      <c r="BH406" s="823"/>
      <c r="BI406" s="580">
        <v>0.1</v>
      </c>
      <c r="BJ406" s="137">
        <v>4.0000000000000002E-4</v>
      </c>
      <c r="BK406" s="83">
        <v>3</v>
      </c>
      <c r="BL406" s="83">
        <v>1</v>
      </c>
      <c r="BM406" s="83">
        <v>1</v>
      </c>
      <c r="BN406" s="83"/>
      <c r="BO406" s="83"/>
      <c r="BP406" s="83"/>
      <c r="BQ406" s="83"/>
      <c r="BR406" s="83"/>
      <c r="BS406" s="83"/>
      <c r="BT406" s="83"/>
      <c r="BU406" s="83"/>
      <c r="BV406" s="83"/>
      <c r="BW406" s="83"/>
      <c r="BX406" s="83"/>
      <c r="BY406" s="83">
        <v>1</v>
      </c>
      <c r="BZ406" s="83"/>
      <c r="CA406" s="83"/>
      <c r="CB406" s="83"/>
      <c r="CC406" s="83"/>
      <c r="CD406" s="83"/>
      <c r="CE406" s="83"/>
      <c r="CF406" s="83"/>
      <c r="CG406" s="83"/>
      <c r="CH406" s="83"/>
      <c r="CI406" s="83"/>
      <c r="CJ406" s="83"/>
      <c r="CK406" s="83"/>
      <c r="CL406" s="857">
        <f t="shared" si="48"/>
        <v>1</v>
      </c>
      <c r="CM406" s="824">
        <f t="shared" si="46"/>
        <v>0</v>
      </c>
      <c r="CN406" s="580">
        <v>7.9950000000000001</v>
      </c>
      <c r="CO406" s="198"/>
      <c r="CP406" s="198"/>
      <c r="CQ406" s="198">
        <v>100</v>
      </c>
      <c r="CR406" s="580">
        <v>7.9950000000000001</v>
      </c>
      <c r="CS406" s="873" t="s">
        <v>9183</v>
      </c>
      <c r="CT406" s="198" t="s">
        <v>470</v>
      </c>
      <c r="CU406" s="198"/>
      <c r="CV406" s="198"/>
      <c r="CW406" s="198"/>
      <c r="CX406" s="83"/>
      <c r="CY406" s="83"/>
      <c r="CZ406" s="83">
        <v>1</v>
      </c>
      <c r="DA406" s="198" t="s">
        <v>470</v>
      </c>
      <c r="DB406" s="198"/>
      <c r="DC406" s="83"/>
      <c r="DD406" s="198" t="s">
        <v>479</v>
      </c>
      <c r="DE406" s="198" t="s">
        <v>1537</v>
      </c>
      <c r="DF406" s="83">
        <v>5</v>
      </c>
      <c r="DG406" s="83" t="s">
        <v>470</v>
      </c>
      <c r="DH406" s="83"/>
      <c r="DI406" s="83"/>
      <c r="DJ406" s="83" t="s">
        <v>470</v>
      </c>
      <c r="DK406" s="83"/>
      <c r="DL406" s="83"/>
      <c r="DM406" s="198" t="s">
        <v>470</v>
      </c>
      <c r="DN406" s="198"/>
      <c r="DO406" s="83"/>
      <c r="DP406" s="198" t="s">
        <v>470</v>
      </c>
      <c r="DQ406" s="198"/>
      <c r="DR406" s="83"/>
      <c r="DS406" s="198" t="s">
        <v>470</v>
      </c>
      <c r="DT406" s="198"/>
      <c r="DU406" s="83"/>
      <c r="DV406" s="198"/>
      <c r="DW406" s="198"/>
      <c r="DX406" s="83"/>
      <c r="DY406" s="198" t="s">
        <v>470</v>
      </c>
      <c r="DZ406" s="198"/>
      <c r="EA406" s="83"/>
      <c r="EB406" s="198" t="s">
        <v>479</v>
      </c>
      <c r="EC406" s="198" t="s">
        <v>1537</v>
      </c>
      <c r="ED406" s="83">
        <v>5</v>
      </c>
      <c r="EE406" s="83" t="s">
        <v>470</v>
      </c>
      <c r="EF406" s="83"/>
      <c r="EG406" s="83"/>
      <c r="EH406" s="198" t="s">
        <v>470</v>
      </c>
      <c r="EI406" s="198"/>
      <c r="EJ406" s="83"/>
      <c r="EK406" s="198" t="s">
        <v>470</v>
      </c>
      <c r="EL406" s="198"/>
      <c r="EM406" s="83"/>
      <c r="EN406" s="198" t="s">
        <v>470</v>
      </c>
      <c r="EO406" s="198"/>
      <c r="EP406" s="83"/>
      <c r="EQ406" s="83" t="s">
        <v>470</v>
      </c>
      <c r="ER406" s="83"/>
      <c r="ES406" s="83"/>
      <c r="ET406" s="198"/>
      <c r="EU406" s="198"/>
      <c r="EV406" s="83"/>
      <c r="EW406" s="83"/>
      <c r="EX406" s="83"/>
      <c r="EY406" s="83"/>
      <c r="EZ406" s="198" t="s">
        <v>470</v>
      </c>
      <c r="FA406" s="198"/>
      <c r="FB406" s="844" t="s">
        <v>9170</v>
      </c>
      <c r="FC406" s="198"/>
      <c r="FD406" s="198"/>
      <c r="FE406" s="198" t="s">
        <v>9184</v>
      </c>
      <c r="FF406" s="198"/>
      <c r="FG406" s="198" t="s">
        <v>1750</v>
      </c>
      <c r="FH406" s="198"/>
      <c r="FI406" s="198"/>
      <c r="FJ406" s="198" t="s">
        <v>9172</v>
      </c>
      <c r="FK406" s="198" t="s">
        <v>9173</v>
      </c>
      <c r="FL406" s="844" t="s">
        <v>9185</v>
      </c>
      <c r="FM406" s="198" t="s">
        <v>9141</v>
      </c>
      <c r="FN406" s="198" t="s">
        <v>9142</v>
      </c>
      <c r="FO406" s="844" t="s">
        <v>9143</v>
      </c>
      <c r="FP406" s="198"/>
      <c r="FQ406" s="990"/>
    </row>
    <row r="407" spans="5:173" ht="36" customHeight="1" x14ac:dyDescent="0.2">
      <c r="E407" s="94" t="s">
        <v>9302</v>
      </c>
      <c r="F407" s="94" t="s">
        <v>9121</v>
      </c>
      <c r="G407" s="198" t="s">
        <v>366</v>
      </c>
      <c r="H407" s="198" t="s">
        <v>451</v>
      </c>
      <c r="I407" s="198" t="s">
        <v>9158</v>
      </c>
      <c r="J407" s="198" t="s">
        <v>9159</v>
      </c>
      <c r="K407" s="198" t="s">
        <v>9160</v>
      </c>
      <c r="L407" s="578" t="s">
        <v>9161</v>
      </c>
      <c r="M407" s="822" t="s">
        <v>9162</v>
      </c>
      <c r="N407" s="822" t="s">
        <v>9163</v>
      </c>
      <c r="O407" s="822"/>
      <c r="P407" s="822"/>
      <c r="Q407" s="822"/>
      <c r="R407" s="822"/>
      <c r="S407" s="822"/>
      <c r="T407" s="822"/>
      <c r="U407" s="822"/>
      <c r="V407" s="822"/>
      <c r="W407" s="822"/>
      <c r="X407" s="822"/>
      <c r="Y407" s="822"/>
      <c r="Z407" s="93" t="s">
        <v>9164</v>
      </c>
      <c r="AA407" s="844" t="s">
        <v>9165</v>
      </c>
      <c r="AB407" s="198" t="s">
        <v>9166</v>
      </c>
      <c r="AC407" s="844" t="s">
        <v>9167</v>
      </c>
      <c r="AD407" s="198" t="s">
        <v>470</v>
      </c>
      <c r="AE407" s="198"/>
      <c r="AF407" s="198"/>
      <c r="AG407" s="198"/>
      <c r="AH407" s="198" t="s">
        <v>9168</v>
      </c>
      <c r="AI407" s="198" t="s">
        <v>9168</v>
      </c>
      <c r="AJ407" s="198" t="s">
        <v>9169</v>
      </c>
      <c r="AK407" s="198" t="s">
        <v>9168</v>
      </c>
      <c r="AL407" s="580">
        <f t="shared" si="47"/>
        <v>2.4E-2</v>
      </c>
      <c r="AM407" s="504">
        <v>2.4E-2</v>
      </c>
      <c r="AN407" s="580"/>
      <c r="AO407" s="580"/>
      <c r="AP407" s="580"/>
      <c r="AQ407" s="580">
        <v>2.4E-2</v>
      </c>
      <c r="AR407" s="137">
        <v>1</v>
      </c>
      <c r="AS407" s="137">
        <v>2.0000000000000001E-4</v>
      </c>
      <c r="AT407" s="580"/>
      <c r="AU407" s="137"/>
      <c r="AV407" s="580"/>
      <c r="AW407" s="137"/>
      <c r="AX407" s="137"/>
      <c r="AY407" s="137"/>
      <c r="AZ407" s="137"/>
      <c r="BA407" s="137"/>
      <c r="BB407" s="137"/>
      <c r="BC407" s="137"/>
      <c r="BD407" s="137"/>
      <c r="BE407" s="137" t="s">
        <v>470</v>
      </c>
      <c r="BF407" s="137"/>
      <c r="BG407" s="137"/>
      <c r="BH407" s="823"/>
      <c r="BI407" s="580">
        <v>5.0000000000000001E-3</v>
      </c>
      <c r="BJ407" s="137">
        <v>1E-4</v>
      </c>
      <c r="BK407" s="83">
        <v>2</v>
      </c>
      <c r="BL407" s="83">
        <v>1</v>
      </c>
      <c r="BM407" s="83">
        <v>1</v>
      </c>
      <c r="BN407" s="83"/>
      <c r="BO407" s="83"/>
      <c r="BP407" s="83"/>
      <c r="BQ407" s="83"/>
      <c r="BR407" s="83"/>
      <c r="BS407" s="83"/>
      <c r="BT407" s="83"/>
      <c r="BU407" s="83"/>
      <c r="BV407" s="83"/>
      <c r="BW407" s="83"/>
      <c r="BX407" s="83"/>
      <c r="BY407" s="83"/>
      <c r="BZ407" s="83">
        <v>1</v>
      </c>
      <c r="CA407" s="83"/>
      <c r="CB407" s="83"/>
      <c r="CC407" s="83"/>
      <c r="CD407" s="83"/>
      <c r="CE407" s="83"/>
      <c r="CF407" s="83"/>
      <c r="CG407" s="83"/>
      <c r="CH407" s="83"/>
      <c r="CI407" s="83"/>
      <c r="CJ407" s="83"/>
      <c r="CK407" s="83"/>
      <c r="CL407" s="857">
        <f t="shared" si="48"/>
        <v>1</v>
      </c>
      <c r="CM407" s="824">
        <f t="shared" si="46"/>
        <v>0</v>
      </c>
      <c r="CN407" s="580">
        <v>1.4259999999999999</v>
      </c>
      <c r="CO407" s="198"/>
      <c r="CP407" s="198"/>
      <c r="CQ407" s="198">
        <v>100</v>
      </c>
      <c r="CR407" s="580">
        <v>1.4259999999999999</v>
      </c>
      <c r="CS407" s="1141" t="s">
        <v>2270</v>
      </c>
      <c r="CT407" s="198" t="s">
        <v>470</v>
      </c>
      <c r="CU407" s="198"/>
      <c r="CV407" s="198"/>
      <c r="CW407" s="198"/>
      <c r="CX407" s="83"/>
      <c r="CY407" s="83"/>
      <c r="CZ407" s="83">
        <v>1</v>
      </c>
      <c r="DA407" s="198" t="s">
        <v>470</v>
      </c>
      <c r="DB407" s="198"/>
      <c r="DC407" s="83"/>
      <c r="DD407" s="198" t="s">
        <v>479</v>
      </c>
      <c r="DE407" s="198" t="s">
        <v>1537</v>
      </c>
      <c r="DF407" s="83">
        <v>5</v>
      </c>
      <c r="DG407" s="83" t="s">
        <v>470</v>
      </c>
      <c r="DH407" s="83"/>
      <c r="DI407" s="83"/>
      <c r="DJ407" s="83" t="s">
        <v>470</v>
      </c>
      <c r="DK407" s="83"/>
      <c r="DL407" s="83"/>
      <c r="DM407" s="198" t="s">
        <v>470</v>
      </c>
      <c r="DN407" s="198"/>
      <c r="DO407" s="83"/>
      <c r="DP407" s="198" t="s">
        <v>470</v>
      </c>
      <c r="DQ407" s="198"/>
      <c r="DR407" s="83"/>
      <c r="DS407" s="198" t="s">
        <v>470</v>
      </c>
      <c r="DT407" s="198"/>
      <c r="DU407" s="83"/>
      <c r="DV407" s="198"/>
      <c r="DW407" s="198"/>
      <c r="DX407" s="83"/>
      <c r="DY407" s="198" t="s">
        <v>470</v>
      </c>
      <c r="DZ407" s="198"/>
      <c r="EA407" s="83"/>
      <c r="EB407" s="198" t="s">
        <v>479</v>
      </c>
      <c r="EC407" s="198" t="s">
        <v>1537</v>
      </c>
      <c r="ED407" s="83">
        <v>5</v>
      </c>
      <c r="EE407" s="83" t="s">
        <v>470</v>
      </c>
      <c r="EF407" s="83"/>
      <c r="EG407" s="83"/>
      <c r="EH407" s="198" t="s">
        <v>470</v>
      </c>
      <c r="EI407" s="198"/>
      <c r="EJ407" s="83"/>
      <c r="EK407" s="198" t="s">
        <v>470</v>
      </c>
      <c r="EL407" s="198"/>
      <c r="EM407" s="83"/>
      <c r="EN407" s="198" t="s">
        <v>470</v>
      </c>
      <c r="EO407" s="198"/>
      <c r="EP407" s="83"/>
      <c r="EQ407" s="83" t="s">
        <v>470</v>
      </c>
      <c r="ER407" s="83"/>
      <c r="ES407" s="83"/>
      <c r="ET407" s="198"/>
      <c r="EU407" s="198"/>
      <c r="EV407" s="83"/>
      <c r="EW407" s="83"/>
      <c r="EX407" s="83"/>
      <c r="EY407" s="83"/>
      <c r="EZ407" s="198" t="s">
        <v>470</v>
      </c>
      <c r="FA407" s="198"/>
      <c r="FB407" s="844" t="s">
        <v>9170</v>
      </c>
      <c r="FC407" s="198"/>
      <c r="FD407" s="198"/>
      <c r="FE407" s="198" t="s">
        <v>9171</v>
      </c>
      <c r="FF407" s="198"/>
      <c r="FG407" s="198" t="s">
        <v>1750</v>
      </c>
      <c r="FH407" s="198"/>
      <c r="FI407" s="198"/>
      <c r="FJ407" s="198" t="s">
        <v>9172</v>
      </c>
      <c r="FK407" s="198" t="s">
        <v>9173</v>
      </c>
      <c r="FL407" s="844" t="s">
        <v>9174</v>
      </c>
      <c r="FM407" s="198" t="s">
        <v>9141</v>
      </c>
      <c r="FN407" s="198" t="s">
        <v>9142</v>
      </c>
      <c r="FO407" s="844" t="s">
        <v>9143</v>
      </c>
      <c r="FP407" s="198"/>
      <c r="FQ407" s="990"/>
    </row>
    <row r="408" spans="5:173" ht="51" customHeight="1" x14ac:dyDescent="0.2">
      <c r="E408" s="94" t="s">
        <v>9302</v>
      </c>
      <c r="F408" s="94" t="s">
        <v>9121</v>
      </c>
      <c r="G408" s="198" t="s">
        <v>366</v>
      </c>
      <c r="H408" s="198" t="s">
        <v>451</v>
      </c>
      <c r="I408" s="198" t="s">
        <v>9144</v>
      </c>
      <c r="J408" s="198" t="s">
        <v>650</v>
      </c>
      <c r="K408" s="198" t="s">
        <v>3260</v>
      </c>
      <c r="L408" s="578">
        <v>2016</v>
      </c>
      <c r="M408" s="822">
        <v>44666</v>
      </c>
      <c r="N408" s="822">
        <v>44864</v>
      </c>
      <c r="O408" s="822"/>
      <c r="P408" s="822"/>
      <c r="Q408" s="822"/>
      <c r="R408" s="822"/>
      <c r="S408" s="822"/>
      <c r="T408" s="822"/>
      <c r="U408" s="822"/>
      <c r="V408" s="822"/>
      <c r="W408" s="822"/>
      <c r="X408" s="822"/>
      <c r="Y408" s="822"/>
      <c r="Z408" s="198" t="s">
        <v>9145</v>
      </c>
      <c r="AA408" s="844" t="s">
        <v>9146</v>
      </c>
      <c r="AB408" s="198" t="s">
        <v>9147</v>
      </c>
      <c r="AC408" s="1097" t="s">
        <v>9148</v>
      </c>
      <c r="AD408" s="198" t="s">
        <v>9149</v>
      </c>
      <c r="AE408" s="844" t="s">
        <v>9150</v>
      </c>
      <c r="AF408" s="198"/>
      <c r="AG408" s="198"/>
      <c r="AH408" s="198" t="s">
        <v>9151</v>
      </c>
      <c r="AI408" s="198" t="s">
        <v>9151</v>
      </c>
      <c r="AJ408" s="198" t="s">
        <v>6630</v>
      </c>
      <c r="AK408" s="198" t="s">
        <v>9151</v>
      </c>
      <c r="AL408" s="580">
        <f t="shared" si="47"/>
        <v>2</v>
      </c>
      <c r="AM408" s="504">
        <v>2</v>
      </c>
      <c r="AN408" s="580"/>
      <c r="AO408" s="580"/>
      <c r="AP408" s="580"/>
      <c r="AQ408" s="580">
        <v>2</v>
      </c>
      <c r="AR408" s="137">
        <v>1</v>
      </c>
      <c r="AS408" s="137">
        <v>4.2000000000000003E-2</v>
      </c>
      <c r="AT408" s="580">
        <v>0</v>
      </c>
      <c r="AU408" s="137">
        <v>0</v>
      </c>
      <c r="AV408" s="580">
        <v>0</v>
      </c>
      <c r="AW408" s="137">
        <v>0</v>
      </c>
      <c r="AX408" s="137">
        <v>0</v>
      </c>
      <c r="AY408" s="137">
        <v>0</v>
      </c>
      <c r="AZ408" s="137"/>
      <c r="BA408" s="137"/>
      <c r="BB408" s="137"/>
      <c r="BC408" s="137"/>
      <c r="BD408" s="137"/>
      <c r="BE408" s="137" t="s">
        <v>470</v>
      </c>
      <c r="BF408" s="137"/>
      <c r="BG408" s="137"/>
      <c r="BH408" s="823"/>
      <c r="BI408" s="580">
        <v>2</v>
      </c>
      <c r="BJ408" s="137">
        <v>0.04</v>
      </c>
      <c r="BK408" s="83">
        <v>4</v>
      </c>
      <c r="BL408" s="83">
        <v>2</v>
      </c>
      <c r="BM408" s="83">
        <v>2</v>
      </c>
      <c r="BN408" s="83"/>
      <c r="BO408" s="83"/>
      <c r="BP408" s="83"/>
      <c r="BQ408" s="83"/>
      <c r="BR408" s="83"/>
      <c r="BS408" s="83"/>
      <c r="BT408" s="83"/>
      <c r="BU408" s="83"/>
      <c r="BV408" s="83"/>
      <c r="BW408" s="83"/>
      <c r="BX408" s="83"/>
      <c r="BY408" s="83">
        <v>2</v>
      </c>
      <c r="BZ408" s="83"/>
      <c r="CA408" s="83"/>
      <c r="CB408" s="83"/>
      <c r="CC408" s="83"/>
      <c r="CD408" s="83"/>
      <c r="CE408" s="83"/>
      <c r="CF408" s="83"/>
      <c r="CG408" s="83"/>
      <c r="CH408" s="83"/>
      <c r="CI408" s="83"/>
      <c r="CJ408" s="83"/>
      <c r="CK408" s="83"/>
      <c r="CL408" s="857">
        <f t="shared" si="48"/>
        <v>2</v>
      </c>
      <c r="CM408" s="824">
        <f t="shared" si="46"/>
        <v>0</v>
      </c>
      <c r="CN408" s="580">
        <v>15.1</v>
      </c>
      <c r="CO408" s="198" t="s">
        <v>9134</v>
      </c>
      <c r="CP408" s="198"/>
      <c r="CQ408" s="198">
        <v>41.7</v>
      </c>
      <c r="CR408" s="580">
        <v>36.200000000000003</v>
      </c>
      <c r="CS408" s="873" t="s">
        <v>9152</v>
      </c>
      <c r="CT408" s="198" t="s">
        <v>470</v>
      </c>
      <c r="CU408" s="198"/>
      <c r="CV408" s="873"/>
      <c r="CW408" s="198"/>
      <c r="CX408" s="83"/>
      <c r="CY408" s="83"/>
      <c r="CZ408" s="83">
        <v>2</v>
      </c>
      <c r="DA408" s="198" t="s">
        <v>479</v>
      </c>
      <c r="DB408" s="198" t="s">
        <v>5427</v>
      </c>
      <c r="DC408" s="83">
        <v>12</v>
      </c>
      <c r="DD408" s="198" t="s">
        <v>470</v>
      </c>
      <c r="DE408" s="198"/>
      <c r="DF408" s="83"/>
      <c r="DG408" s="83" t="s">
        <v>470</v>
      </c>
      <c r="DH408" s="83"/>
      <c r="DI408" s="83"/>
      <c r="DJ408" s="83" t="s">
        <v>470</v>
      </c>
      <c r="DK408" s="83"/>
      <c r="DL408" s="83"/>
      <c r="DM408" s="198" t="s">
        <v>470</v>
      </c>
      <c r="DN408" s="198"/>
      <c r="DO408" s="83"/>
      <c r="DP408" s="198" t="s">
        <v>470</v>
      </c>
      <c r="DQ408" s="198"/>
      <c r="DR408" s="83"/>
      <c r="DS408" s="198" t="s">
        <v>470</v>
      </c>
      <c r="DT408" s="198"/>
      <c r="DU408" s="83"/>
      <c r="DV408" s="198" t="s">
        <v>470</v>
      </c>
      <c r="DW408" s="198"/>
      <c r="DX408" s="83"/>
      <c r="DY408" s="198" t="s">
        <v>470</v>
      </c>
      <c r="DZ408" s="198"/>
      <c r="EA408" s="83"/>
      <c r="EB408" s="198" t="s">
        <v>470</v>
      </c>
      <c r="EC408" s="198"/>
      <c r="ED408" s="83"/>
      <c r="EE408" s="83" t="s">
        <v>470</v>
      </c>
      <c r="EF408" s="83"/>
      <c r="EG408" s="83"/>
      <c r="EH408" s="198" t="s">
        <v>470</v>
      </c>
      <c r="EI408" s="198"/>
      <c r="EJ408" s="83"/>
      <c r="EK408" s="198" t="s">
        <v>479</v>
      </c>
      <c r="EL408" s="198" t="s">
        <v>5427</v>
      </c>
      <c r="EM408" s="83">
        <v>12</v>
      </c>
      <c r="EN408" s="198" t="s">
        <v>470</v>
      </c>
      <c r="EO408" s="198"/>
      <c r="EP408" s="83"/>
      <c r="EQ408" s="83" t="s">
        <v>470</v>
      </c>
      <c r="ER408" s="83"/>
      <c r="ES408" s="83"/>
      <c r="ET408" s="198"/>
      <c r="EU408" s="198"/>
      <c r="EV408" s="83"/>
      <c r="EW408" s="83"/>
      <c r="EX408" s="83"/>
      <c r="EY408" s="83"/>
      <c r="EZ408" s="198" t="s">
        <v>470</v>
      </c>
      <c r="FA408" s="198"/>
      <c r="FB408" s="1125" t="s">
        <v>9153</v>
      </c>
      <c r="FC408" s="198"/>
      <c r="FD408" s="198"/>
      <c r="FE408" s="198"/>
      <c r="FF408" s="198"/>
      <c r="FG408" s="198" t="s">
        <v>9154</v>
      </c>
      <c r="FH408" s="198">
        <v>1</v>
      </c>
      <c r="FI408" s="198">
        <v>13</v>
      </c>
      <c r="FJ408" s="198" t="s">
        <v>9155</v>
      </c>
      <c r="FK408" s="198" t="s">
        <v>9156</v>
      </c>
      <c r="FL408" s="1143" t="s">
        <v>9157</v>
      </c>
      <c r="FM408" s="198" t="s">
        <v>9141</v>
      </c>
      <c r="FN408" s="198" t="s">
        <v>9142</v>
      </c>
      <c r="FO408" s="844" t="s">
        <v>9143</v>
      </c>
      <c r="FP408" s="198"/>
      <c r="FQ408" s="990"/>
    </row>
    <row r="409" spans="5:173" ht="51" customHeight="1" x14ac:dyDescent="0.2">
      <c r="E409" s="94" t="s">
        <v>9302</v>
      </c>
      <c r="F409" s="94" t="s">
        <v>9121</v>
      </c>
      <c r="G409" s="198" t="s">
        <v>366</v>
      </c>
      <c r="H409" s="198" t="s">
        <v>451</v>
      </c>
      <c r="I409" s="198" t="s">
        <v>9122</v>
      </c>
      <c r="J409" s="198" t="s">
        <v>1772</v>
      </c>
      <c r="K409" s="198" t="s">
        <v>1772</v>
      </c>
      <c r="L409" s="578">
        <v>2016</v>
      </c>
      <c r="M409" s="822" t="s">
        <v>9123</v>
      </c>
      <c r="N409" s="822" t="s">
        <v>9124</v>
      </c>
      <c r="O409" s="822"/>
      <c r="P409" s="822"/>
      <c r="Q409" s="822"/>
      <c r="R409" s="822"/>
      <c r="S409" s="822"/>
      <c r="T409" s="822"/>
      <c r="U409" s="822"/>
      <c r="V409" s="822"/>
      <c r="W409" s="822"/>
      <c r="X409" s="822"/>
      <c r="Y409" s="822"/>
      <c r="Z409" s="198" t="s">
        <v>9125</v>
      </c>
      <c r="AA409" s="950" t="s">
        <v>9126</v>
      </c>
      <c r="AB409" s="198" t="s">
        <v>9127</v>
      </c>
      <c r="AC409" s="950" t="s">
        <v>9128</v>
      </c>
      <c r="AD409" s="198" t="s">
        <v>9129</v>
      </c>
      <c r="AE409" s="950" t="s">
        <v>9130</v>
      </c>
      <c r="AF409" s="198" t="s">
        <v>9131</v>
      </c>
      <c r="AG409" s="950" t="s">
        <v>9132</v>
      </c>
      <c r="AH409" s="198" t="s">
        <v>9133</v>
      </c>
      <c r="AI409" s="198" t="s">
        <v>9133</v>
      </c>
      <c r="AJ409" s="198" t="s">
        <v>6644</v>
      </c>
      <c r="AK409" s="198" t="s">
        <v>9133</v>
      </c>
      <c r="AL409" s="580">
        <f t="shared" si="47"/>
        <v>8.3000000000000004E-2</v>
      </c>
      <c r="AM409" s="504">
        <v>8.3000000000000004E-2</v>
      </c>
      <c r="AN409" s="580"/>
      <c r="AO409" s="580"/>
      <c r="AP409" s="580"/>
      <c r="AQ409" s="580">
        <v>8.3000000000000004E-2</v>
      </c>
      <c r="AR409" s="137">
        <v>1</v>
      </c>
      <c r="AS409" s="137">
        <v>4.7000000000000002E-3</v>
      </c>
      <c r="AT409" s="580">
        <v>0</v>
      </c>
      <c r="AU409" s="137">
        <v>0</v>
      </c>
      <c r="AV409" s="580">
        <v>0</v>
      </c>
      <c r="AW409" s="137">
        <v>0</v>
      </c>
      <c r="AX409" s="137">
        <v>0</v>
      </c>
      <c r="AY409" s="137">
        <v>0</v>
      </c>
      <c r="AZ409" s="137"/>
      <c r="BA409" s="137"/>
      <c r="BB409" s="137"/>
      <c r="BC409" s="137"/>
      <c r="BD409" s="137"/>
      <c r="BE409" s="137" t="s">
        <v>470</v>
      </c>
      <c r="BF409" s="137"/>
      <c r="BG409" s="137"/>
      <c r="BH409" s="823"/>
      <c r="BI409" s="580">
        <v>0</v>
      </c>
      <c r="BJ409" s="137">
        <v>0</v>
      </c>
      <c r="BK409" s="83">
        <v>2</v>
      </c>
      <c r="BL409" s="83">
        <v>2</v>
      </c>
      <c r="BM409" s="83">
        <v>1</v>
      </c>
      <c r="BN409" s="83"/>
      <c r="BO409" s="83"/>
      <c r="BP409" s="83"/>
      <c r="BQ409" s="83"/>
      <c r="BR409" s="83"/>
      <c r="BS409" s="83"/>
      <c r="BT409" s="83"/>
      <c r="BU409" s="83"/>
      <c r="BV409" s="83"/>
      <c r="BW409" s="83"/>
      <c r="BX409" s="83"/>
      <c r="BY409" s="83"/>
      <c r="BZ409" s="83"/>
      <c r="CA409" s="83"/>
      <c r="CB409" s="83"/>
      <c r="CC409" s="83"/>
      <c r="CD409" s="83"/>
      <c r="CE409" s="83"/>
      <c r="CF409" s="83"/>
      <c r="CG409" s="83"/>
      <c r="CH409" s="83"/>
      <c r="CI409" s="83"/>
      <c r="CJ409" s="83"/>
      <c r="CK409" s="83">
        <v>1</v>
      </c>
      <c r="CL409" s="857">
        <f t="shared" si="48"/>
        <v>1</v>
      </c>
      <c r="CM409" s="824">
        <f t="shared" si="46"/>
        <v>0</v>
      </c>
      <c r="CN409" s="580">
        <v>0.98199999999999998</v>
      </c>
      <c r="CO409" s="198" t="s">
        <v>9134</v>
      </c>
      <c r="CP409" s="198"/>
      <c r="CQ409" s="198">
        <v>19.48</v>
      </c>
      <c r="CR409" s="580">
        <v>5.04</v>
      </c>
      <c r="CS409" s="1144" t="s">
        <v>9135</v>
      </c>
      <c r="CT409" s="198" t="s">
        <v>470</v>
      </c>
      <c r="CU409" s="198"/>
      <c r="CV409" s="198"/>
      <c r="CW409" s="198"/>
      <c r="CX409" s="83"/>
      <c r="CY409" s="83"/>
      <c r="CZ409" s="83">
        <v>2</v>
      </c>
      <c r="DA409" s="198" t="s">
        <v>470</v>
      </c>
      <c r="DB409" s="198"/>
      <c r="DC409" s="83"/>
      <c r="DD409" s="198" t="s">
        <v>479</v>
      </c>
      <c r="DE409" s="198" t="s">
        <v>1007</v>
      </c>
      <c r="DF409" s="83">
        <v>78</v>
      </c>
      <c r="DG409" s="83" t="s">
        <v>470</v>
      </c>
      <c r="DH409" s="83"/>
      <c r="DI409" s="83"/>
      <c r="DJ409" s="83" t="s">
        <v>470</v>
      </c>
      <c r="DK409" s="83"/>
      <c r="DL409" s="83"/>
      <c r="DM409" s="198" t="s">
        <v>470</v>
      </c>
      <c r="DN409" s="198"/>
      <c r="DO409" s="83"/>
      <c r="DP409" s="198" t="s">
        <v>470</v>
      </c>
      <c r="DQ409" s="198"/>
      <c r="DR409" s="83"/>
      <c r="DS409" s="198" t="s">
        <v>470</v>
      </c>
      <c r="DT409" s="198"/>
      <c r="DU409" s="83"/>
      <c r="DV409" s="198"/>
      <c r="DW409" s="198"/>
      <c r="DX409" s="83"/>
      <c r="DY409" s="198" t="s">
        <v>470</v>
      </c>
      <c r="DZ409" s="198"/>
      <c r="EA409" s="83"/>
      <c r="EB409" s="198" t="s">
        <v>470</v>
      </c>
      <c r="EC409" s="198"/>
      <c r="ED409" s="83"/>
      <c r="EE409" s="83" t="s">
        <v>470</v>
      </c>
      <c r="EF409" s="83"/>
      <c r="EG409" s="83"/>
      <c r="EH409" s="198" t="s">
        <v>470</v>
      </c>
      <c r="EI409" s="198"/>
      <c r="EJ409" s="83"/>
      <c r="EK409" s="198" t="s">
        <v>479</v>
      </c>
      <c r="EL409" s="198" t="s">
        <v>1007</v>
      </c>
      <c r="EM409" s="83">
        <v>78</v>
      </c>
      <c r="EN409" s="198" t="s">
        <v>470</v>
      </c>
      <c r="EO409" s="198"/>
      <c r="EP409" s="83"/>
      <c r="EQ409" s="83" t="s">
        <v>470</v>
      </c>
      <c r="ER409" s="83"/>
      <c r="ES409" s="83"/>
      <c r="ET409" s="198" t="s">
        <v>470</v>
      </c>
      <c r="EU409" s="198"/>
      <c r="EV409" s="83"/>
      <c r="EW409" s="83"/>
      <c r="EX409" s="83"/>
      <c r="EY409" s="83"/>
      <c r="EZ409" s="198" t="s">
        <v>470</v>
      </c>
      <c r="FA409" s="198"/>
      <c r="FB409" s="950" t="s">
        <v>9136</v>
      </c>
      <c r="FC409" s="198"/>
      <c r="FD409" s="198"/>
      <c r="FE409" s="198" t="s">
        <v>9137</v>
      </c>
      <c r="FF409" s="198"/>
      <c r="FG409" s="198" t="s">
        <v>9138</v>
      </c>
      <c r="FH409" s="198">
        <v>19</v>
      </c>
      <c r="FI409" s="198">
        <v>287</v>
      </c>
      <c r="FJ409" s="198" t="s">
        <v>9139</v>
      </c>
      <c r="FK409" s="198">
        <v>88424021683</v>
      </c>
      <c r="FL409" s="950" t="s">
        <v>9140</v>
      </c>
      <c r="FM409" s="198" t="s">
        <v>9141</v>
      </c>
      <c r="FN409" s="198" t="s">
        <v>9142</v>
      </c>
      <c r="FO409" s="198" t="s">
        <v>9143</v>
      </c>
      <c r="FP409" s="198"/>
      <c r="FQ409" s="990"/>
    </row>
    <row r="410" spans="5:173" ht="117.75" customHeight="1" x14ac:dyDescent="0.2">
      <c r="E410" s="94" t="s">
        <v>9303</v>
      </c>
      <c r="F410" s="94" t="s">
        <v>9120</v>
      </c>
      <c r="G410" s="198" t="s">
        <v>367</v>
      </c>
      <c r="H410" s="97" t="s">
        <v>452</v>
      </c>
      <c r="I410" s="198"/>
      <c r="J410" s="198" t="s">
        <v>1547</v>
      </c>
      <c r="K410" s="198" t="s">
        <v>656</v>
      </c>
      <c r="L410" s="578" t="s">
        <v>1548</v>
      </c>
      <c r="M410" s="822" t="s">
        <v>864</v>
      </c>
      <c r="N410" s="822" t="s">
        <v>865</v>
      </c>
      <c r="O410" s="198" t="s">
        <v>1549</v>
      </c>
      <c r="P410" s="198" t="s">
        <v>1550</v>
      </c>
      <c r="Q410" s="549" t="s">
        <v>1551</v>
      </c>
      <c r="R410" s="198" t="s">
        <v>656</v>
      </c>
      <c r="S410" s="198" t="s">
        <v>656</v>
      </c>
      <c r="T410" s="198" t="s">
        <v>656</v>
      </c>
      <c r="U410" s="198" t="s">
        <v>656</v>
      </c>
      <c r="V410" s="198" t="s">
        <v>656</v>
      </c>
      <c r="W410" s="198" t="s">
        <v>656</v>
      </c>
      <c r="X410" s="198" t="s">
        <v>656</v>
      </c>
      <c r="Y410" s="198" t="s">
        <v>656</v>
      </c>
      <c r="Z410" s="198"/>
      <c r="AA410" s="198"/>
      <c r="AB410" s="198"/>
      <c r="AC410" s="198"/>
      <c r="AD410" s="198"/>
      <c r="AE410" s="198"/>
      <c r="AF410" s="198"/>
      <c r="AG410" s="198"/>
      <c r="AH410" s="198" t="s">
        <v>1552</v>
      </c>
      <c r="AI410" s="198" t="s">
        <v>1552</v>
      </c>
      <c r="AJ410" s="198" t="s">
        <v>1553</v>
      </c>
      <c r="AK410" s="198" t="s">
        <v>1554</v>
      </c>
      <c r="AL410" s="580">
        <f t="shared" si="47"/>
        <v>60.838000000000001</v>
      </c>
      <c r="AM410" s="504">
        <v>60.838000000000001</v>
      </c>
      <c r="AN410" s="516">
        <v>40.338000000000001</v>
      </c>
      <c r="AO410" s="137">
        <f>AN410/AL410</f>
        <v>0.66303954765113915</v>
      </c>
      <c r="AP410" s="137" t="s">
        <v>656</v>
      </c>
      <c r="AQ410" s="504">
        <v>7.0410000000000004</v>
      </c>
      <c r="AR410" s="137">
        <f>AQ410/AL410</f>
        <v>0.11573358756040633</v>
      </c>
      <c r="AS410" s="137"/>
      <c r="AT410" s="520">
        <v>4.3630000000000004</v>
      </c>
      <c r="AU410" s="137">
        <f>AT410/AL410</f>
        <v>7.1715046516979519E-2</v>
      </c>
      <c r="AV410" s="520">
        <v>4.3449999999999998</v>
      </c>
      <c r="AW410" s="137">
        <f>AV410/AL410</f>
        <v>7.1419178802721972E-2</v>
      </c>
      <c r="AX410" s="520"/>
      <c r="AY410" s="137" t="s">
        <v>656</v>
      </c>
      <c r="AZ410" s="520">
        <v>4.7510000000000003</v>
      </c>
      <c r="BA410" s="137">
        <f>AV410/AL410</f>
        <v>7.1419178802721972E-2</v>
      </c>
      <c r="BB410" s="198" t="s">
        <v>1555</v>
      </c>
      <c r="BC410" s="198" t="s">
        <v>875</v>
      </c>
      <c r="BD410" s="198" t="s">
        <v>1552</v>
      </c>
      <c r="BE410" s="198" t="s">
        <v>540</v>
      </c>
      <c r="BF410" s="198" t="s">
        <v>1556</v>
      </c>
      <c r="BG410" s="198" t="s">
        <v>1557</v>
      </c>
      <c r="BH410" s="198">
        <v>8.7940000000000005</v>
      </c>
      <c r="BI410" s="580">
        <v>165.00399999999999</v>
      </c>
      <c r="BJ410" s="137" t="s">
        <v>656</v>
      </c>
      <c r="BK410" s="83">
        <v>97</v>
      </c>
      <c r="BL410" s="83">
        <v>49</v>
      </c>
      <c r="BM410" s="83">
        <v>36</v>
      </c>
      <c r="BN410" s="83">
        <v>2</v>
      </c>
      <c r="BO410" s="83">
        <v>4</v>
      </c>
      <c r="BP410" s="83">
        <v>5</v>
      </c>
      <c r="BQ410" s="83"/>
      <c r="BR410" s="83"/>
      <c r="BS410" s="83"/>
      <c r="BT410" s="83"/>
      <c r="BU410" s="83">
        <v>4</v>
      </c>
      <c r="BV410" s="83">
        <v>5</v>
      </c>
      <c r="BW410" s="83">
        <v>1</v>
      </c>
      <c r="BX410" s="83">
        <v>2</v>
      </c>
      <c r="BY410" s="83">
        <v>11</v>
      </c>
      <c r="BZ410" s="83"/>
      <c r="CA410" s="83">
        <v>2</v>
      </c>
      <c r="CB410" s="83"/>
      <c r="CC410" s="83"/>
      <c r="CD410" s="83"/>
      <c r="CE410" s="83"/>
      <c r="CF410" s="83"/>
      <c r="CG410" s="83"/>
      <c r="CH410" s="83"/>
      <c r="CI410" s="83"/>
      <c r="CJ410" s="83"/>
      <c r="CK410" s="83"/>
      <c r="CL410" s="824">
        <f t="shared" si="45"/>
        <v>36</v>
      </c>
      <c r="CM410" s="824">
        <f t="shared" si="46"/>
        <v>0</v>
      </c>
      <c r="CN410" s="580">
        <v>82.816000000000003</v>
      </c>
      <c r="CO410" s="198" t="s">
        <v>1558</v>
      </c>
      <c r="CP410" s="198" t="s">
        <v>1559</v>
      </c>
      <c r="CQ410" s="137"/>
      <c r="CR410" s="580">
        <v>1298.9780000000001</v>
      </c>
      <c r="CS410" s="834" t="s">
        <v>1560</v>
      </c>
      <c r="CT410" s="198" t="s">
        <v>656</v>
      </c>
      <c r="CU410" s="198" t="s">
        <v>656</v>
      </c>
      <c r="CV410" s="198" t="s">
        <v>656</v>
      </c>
      <c r="CW410" s="83" t="s">
        <v>656</v>
      </c>
      <c r="CX410" s="83" t="s">
        <v>656</v>
      </c>
      <c r="CY410" s="83" t="s">
        <v>656</v>
      </c>
      <c r="CZ410" s="83" t="s">
        <v>656</v>
      </c>
      <c r="DA410" s="198" t="s">
        <v>540</v>
      </c>
      <c r="DB410" s="198" t="s">
        <v>1561</v>
      </c>
      <c r="DC410" s="83">
        <v>41417</v>
      </c>
      <c r="DD410" s="198" t="s">
        <v>540</v>
      </c>
      <c r="DE410" s="198" t="s">
        <v>1561</v>
      </c>
      <c r="DF410" s="83">
        <v>41852</v>
      </c>
      <c r="DG410" s="83" t="s">
        <v>539</v>
      </c>
      <c r="DH410" s="83" t="s">
        <v>656</v>
      </c>
      <c r="DI410" s="83" t="s">
        <v>656</v>
      </c>
      <c r="DJ410" s="83" t="s">
        <v>539</v>
      </c>
      <c r="DK410" s="83" t="s">
        <v>656</v>
      </c>
      <c r="DL410" s="83" t="s">
        <v>656</v>
      </c>
      <c r="DM410" s="83" t="s">
        <v>539</v>
      </c>
      <c r="DN410" s="83" t="s">
        <v>656</v>
      </c>
      <c r="DO410" s="83" t="s">
        <v>656</v>
      </c>
      <c r="DP410" s="83" t="s">
        <v>539</v>
      </c>
      <c r="DQ410" s="83" t="s">
        <v>656</v>
      </c>
      <c r="DR410" s="83" t="s">
        <v>656</v>
      </c>
      <c r="DS410" s="83" t="s">
        <v>539</v>
      </c>
      <c r="DT410" s="83" t="s">
        <v>656</v>
      </c>
      <c r="DU410" s="83" t="s">
        <v>656</v>
      </c>
      <c r="DV410" s="83" t="s">
        <v>539</v>
      </c>
      <c r="DW410" s="83" t="s">
        <v>656</v>
      </c>
      <c r="DX410" s="83" t="s">
        <v>656</v>
      </c>
      <c r="DY410" s="83" t="s">
        <v>539</v>
      </c>
      <c r="DZ410" s="83" t="s">
        <v>656</v>
      </c>
      <c r="EA410" s="83" t="s">
        <v>656</v>
      </c>
      <c r="EB410" s="198" t="s">
        <v>540</v>
      </c>
      <c r="EC410" s="198" t="s">
        <v>1561</v>
      </c>
      <c r="ED410" s="83">
        <v>41852</v>
      </c>
      <c r="EE410" s="83" t="s">
        <v>539</v>
      </c>
      <c r="EF410" s="83" t="s">
        <v>656</v>
      </c>
      <c r="EG410" s="83" t="s">
        <v>656</v>
      </c>
      <c r="EH410" s="83" t="s">
        <v>539</v>
      </c>
      <c r="EI410" s="83" t="s">
        <v>656</v>
      </c>
      <c r="EJ410" s="83" t="s">
        <v>656</v>
      </c>
      <c r="EK410" s="83" t="s">
        <v>539</v>
      </c>
      <c r="EL410" s="83" t="s">
        <v>656</v>
      </c>
      <c r="EM410" s="83" t="s">
        <v>656</v>
      </c>
      <c r="EN410" s="83" t="s">
        <v>539</v>
      </c>
      <c r="EO410" s="83" t="s">
        <v>656</v>
      </c>
      <c r="EP410" s="83" t="s">
        <v>656</v>
      </c>
      <c r="EQ410" s="83" t="s">
        <v>539</v>
      </c>
      <c r="ER410" s="83" t="s">
        <v>656</v>
      </c>
      <c r="ES410" s="83" t="s">
        <v>656</v>
      </c>
      <c r="ET410" s="83" t="s">
        <v>539</v>
      </c>
      <c r="EU410" s="83" t="s">
        <v>656</v>
      </c>
      <c r="EV410" s="83" t="s">
        <v>656</v>
      </c>
      <c r="EW410" s="198" t="s">
        <v>1562</v>
      </c>
      <c r="EX410" s="198" t="s">
        <v>1563</v>
      </c>
      <c r="EY410" s="505">
        <v>45</v>
      </c>
      <c r="EZ410" s="198" t="s">
        <v>470</v>
      </c>
      <c r="FA410" s="198" t="s">
        <v>656</v>
      </c>
      <c r="FB410" s="549" t="s">
        <v>1564</v>
      </c>
      <c r="FC410" s="198" t="s">
        <v>1565</v>
      </c>
      <c r="FD410" s="198" t="s">
        <v>656</v>
      </c>
      <c r="FE410" s="198" t="s">
        <v>1566</v>
      </c>
      <c r="FF410" s="198" t="s">
        <v>1567</v>
      </c>
      <c r="FG410" s="198" t="s">
        <v>1568</v>
      </c>
      <c r="FH410" s="198">
        <v>4</v>
      </c>
      <c r="FI410" s="198">
        <v>327</v>
      </c>
      <c r="FJ410" s="198" t="s">
        <v>1569</v>
      </c>
      <c r="FK410" s="198" t="s">
        <v>1570</v>
      </c>
      <c r="FL410" s="198" t="s">
        <v>1571</v>
      </c>
      <c r="FM410" s="198" t="s">
        <v>1572</v>
      </c>
      <c r="FN410" s="198" t="s">
        <v>1573</v>
      </c>
      <c r="FO410" s="198" t="s">
        <v>1574</v>
      </c>
    </row>
    <row r="411" spans="5:173" ht="104" customHeight="1" x14ac:dyDescent="0.2">
      <c r="E411" s="94" t="s">
        <v>9307</v>
      </c>
      <c r="F411" s="94" t="s">
        <v>9120</v>
      </c>
      <c r="G411" s="198" t="s">
        <v>367</v>
      </c>
      <c r="H411" s="97" t="s">
        <v>452</v>
      </c>
      <c r="I411" s="198"/>
      <c r="J411" s="198" t="s">
        <v>1642</v>
      </c>
      <c r="K411" s="198" t="s">
        <v>1643</v>
      </c>
      <c r="L411" s="578">
        <v>2016</v>
      </c>
      <c r="M411" s="822">
        <v>44562</v>
      </c>
      <c r="N411" s="822" t="s">
        <v>865</v>
      </c>
      <c r="O411" s="198" t="s">
        <v>1644</v>
      </c>
      <c r="P411" s="198" t="s">
        <v>1645</v>
      </c>
      <c r="Q411" s="198" t="s">
        <v>1646</v>
      </c>
      <c r="R411" s="198" t="s">
        <v>470</v>
      </c>
      <c r="S411" s="198" t="s">
        <v>470</v>
      </c>
      <c r="T411" s="198" t="s">
        <v>470</v>
      </c>
      <c r="U411" s="198" t="s">
        <v>470</v>
      </c>
      <c r="V411" s="198" t="s">
        <v>470</v>
      </c>
      <c r="W411" s="198" t="s">
        <v>470</v>
      </c>
      <c r="X411" s="198" t="s">
        <v>1647</v>
      </c>
      <c r="Y411" s="198" t="s">
        <v>1648</v>
      </c>
      <c r="Z411" s="198"/>
      <c r="AA411" s="198"/>
      <c r="AB411" s="198"/>
      <c r="AC411" s="198"/>
      <c r="AD411" s="198"/>
      <c r="AE411" s="198"/>
      <c r="AF411" s="198"/>
      <c r="AG411" s="198"/>
      <c r="AH411" s="198" t="s">
        <v>1649</v>
      </c>
      <c r="AI411" s="198" t="s">
        <v>1649</v>
      </c>
      <c r="AJ411" s="198" t="s">
        <v>1650</v>
      </c>
      <c r="AK411" s="198" t="s">
        <v>1651</v>
      </c>
      <c r="AL411" s="580">
        <f t="shared" si="47"/>
        <v>335.13799999999998</v>
      </c>
      <c r="AM411" s="504">
        <v>335.13799999999998</v>
      </c>
      <c r="AN411" s="516">
        <v>200</v>
      </c>
      <c r="AO411" s="137">
        <v>0.59670000000000001</v>
      </c>
      <c r="AP411" s="137">
        <v>1.56E-3</v>
      </c>
      <c r="AQ411" s="504">
        <v>22.029</v>
      </c>
      <c r="AR411" s="137">
        <v>0.1101</v>
      </c>
      <c r="AS411" s="137"/>
      <c r="AT411" s="520">
        <v>113.10899999999999</v>
      </c>
      <c r="AU411" s="137">
        <v>0.5655</v>
      </c>
      <c r="AV411" s="520" t="s">
        <v>470</v>
      </c>
      <c r="AW411" s="137" t="s">
        <v>470</v>
      </c>
      <c r="AX411" s="520"/>
      <c r="AY411" s="137" t="s">
        <v>470</v>
      </c>
      <c r="AZ411" s="520" t="s">
        <v>470</v>
      </c>
      <c r="BA411" s="137" t="s">
        <v>470</v>
      </c>
      <c r="BB411" s="198" t="s">
        <v>470</v>
      </c>
      <c r="BC411" s="198" t="s">
        <v>470</v>
      </c>
      <c r="BD411" s="198" t="s">
        <v>470</v>
      </c>
      <c r="BE411" s="198" t="s">
        <v>470</v>
      </c>
      <c r="BF411" s="198" t="s">
        <v>1652</v>
      </c>
      <c r="BG411" s="198"/>
      <c r="BH411" s="198"/>
      <c r="BI411" s="520">
        <v>250</v>
      </c>
      <c r="BJ411" s="137">
        <v>1.6999999999999999E-3</v>
      </c>
      <c r="BK411" s="83">
        <v>851</v>
      </c>
      <c r="BL411" s="83">
        <v>848</v>
      </c>
      <c r="BM411" s="83">
        <v>341</v>
      </c>
      <c r="BN411" s="83">
        <v>5</v>
      </c>
      <c r="BO411" s="83">
        <v>60</v>
      </c>
      <c r="BP411" s="83">
        <v>40</v>
      </c>
      <c r="BQ411" s="83">
        <v>0</v>
      </c>
      <c r="BR411" s="83">
        <v>0</v>
      </c>
      <c r="BS411" s="83">
        <v>10</v>
      </c>
      <c r="BT411" s="83">
        <v>0</v>
      </c>
      <c r="BU411" s="83">
        <v>0</v>
      </c>
      <c r="BV411" s="83">
        <v>50</v>
      </c>
      <c r="BW411" s="83">
        <v>31</v>
      </c>
      <c r="BX411" s="83">
        <v>52</v>
      </c>
      <c r="BY411" s="83">
        <v>19</v>
      </c>
      <c r="BZ411" s="83">
        <v>30</v>
      </c>
      <c r="CA411" s="83">
        <v>30</v>
      </c>
      <c r="CB411" s="83">
        <v>14</v>
      </c>
      <c r="CC411" s="83">
        <v>0</v>
      </c>
      <c r="CD411" s="83">
        <v>0</v>
      </c>
      <c r="CE411" s="83">
        <v>0</v>
      </c>
      <c r="CF411" s="83">
        <v>0</v>
      </c>
      <c r="CG411" s="83">
        <v>0</v>
      </c>
      <c r="CH411" s="83">
        <v>0</v>
      </c>
      <c r="CI411" s="83">
        <v>0</v>
      </c>
      <c r="CJ411" s="83">
        <v>0</v>
      </c>
      <c r="CK411" s="83"/>
      <c r="CL411" s="824">
        <f t="shared" si="45"/>
        <v>341</v>
      </c>
      <c r="CM411" s="824">
        <f t="shared" si="46"/>
        <v>0</v>
      </c>
      <c r="CN411" s="580">
        <v>92.6</v>
      </c>
      <c r="CO411" s="198" t="s">
        <v>1654</v>
      </c>
      <c r="CP411" s="198"/>
      <c r="CQ411" s="137">
        <v>7.1199999999999999E-2</v>
      </c>
      <c r="CR411" s="580">
        <v>1298.9780000000001</v>
      </c>
      <c r="CS411" s="137" t="s">
        <v>1655</v>
      </c>
      <c r="CT411" s="198" t="s">
        <v>479</v>
      </c>
      <c r="CU411" s="198" t="s">
        <v>1656</v>
      </c>
      <c r="CV411" s="198"/>
      <c r="CW411" s="198" t="s">
        <v>1649</v>
      </c>
      <c r="CX411" s="83">
        <v>1</v>
      </c>
      <c r="CY411" s="83" t="s">
        <v>470</v>
      </c>
      <c r="CZ411" s="83" t="s">
        <v>470</v>
      </c>
      <c r="DA411" s="198" t="s">
        <v>470</v>
      </c>
      <c r="DB411" s="198" t="s">
        <v>470</v>
      </c>
      <c r="DC411" s="83" t="s">
        <v>470</v>
      </c>
      <c r="DD411" s="198" t="s">
        <v>479</v>
      </c>
      <c r="DE411" s="198" t="s">
        <v>1657</v>
      </c>
      <c r="DF411" s="83">
        <v>500</v>
      </c>
      <c r="DG411" s="83" t="s">
        <v>479</v>
      </c>
      <c r="DH411" s="83" t="s">
        <v>1658</v>
      </c>
      <c r="DI411" s="83" t="s">
        <v>1659</v>
      </c>
      <c r="DJ411" s="83" t="s">
        <v>470</v>
      </c>
      <c r="DK411" s="83" t="s">
        <v>470</v>
      </c>
      <c r="DL411" s="83" t="s">
        <v>470</v>
      </c>
      <c r="DM411" s="83" t="s">
        <v>470</v>
      </c>
      <c r="DN411" s="83" t="s">
        <v>470</v>
      </c>
      <c r="DO411" s="83" t="s">
        <v>470</v>
      </c>
      <c r="DP411" s="83" t="s">
        <v>470</v>
      </c>
      <c r="DQ411" s="83" t="s">
        <v>470</v>
      </c>
      <c r="DR411" s="83" t="s">
        <v>470</v>
      </c>
      <c r="DS411" s="83" t="s">
        <v>470</v>
      </c>
      <c r="DT411" s="83" t="s">
        <v>470</v>
      </c>
      <c r="DU411" s="83" t="s">
        <v>470</v>
      </c>
      <c r="DV411" s="83" t="s">
        <v>470</v>
      </c>
      <c r="DW411" s="83" t="s">
        <v>470</v>
      </c>
      <c r="DX411" s="83" t="s">
        <v>470</v>
      </c>
      <c r="DY411" s="83" t="s">
        <v>470</v>
      </c>
      <c r="DZ411" s="83" t="s">
        <v>470</v>
      </c>
      <c r="EA411" s="83" t="s">
        <v>470</v>
      </c>
      <c r="EB411" s="83" t="s">
        <v>470</v>
      </c>
      <c r="EC411" s="83" t="s">
        <v>470</v>
      </c>
      <c r="ED411" s="83" t="s">
        <v>470</v>
      </c>
      <c r="EE411" s="83" t="s">
        <v>470</v>
      </c>
      <c r="EF411" s="83" t="s">
        <v>470</v>
      </c>
      <c r="EG411" s="83" t="s">
        <v>470</v>
      </c>
      <c r="EH411" s="83" t="s">
        <v>470</v>
      </c>
      <c r="EI411" s="83" t="s">
        <v>470</v>
      </c>
      <c r="EJ411" s="83" t="s">
        <v>470</v>
      </c>
      <c r="EK411" s="83" t="s">
        <v>470</v>
      </c>
      <c r="EL411" s="83" t="s">
        <v>470</v>
      </c>
      <c r="EM411" s="83" t="s">
        <v>470</v>
      </c>
      <c r="EN411" s="83" t="s">
        <v>470</v>
      </c>
      <c r="EO411" s="83" t="s">
        <v>470</v>
      </c>
      <c r="EP411" s="83" t="s">
        <v>470</v>
      </c>
      <c r="EQ411" s="83" t="s">
        <v>689</v>
      </c>
      <c r="ER411" s="83" t="s">
        <v>1660</v>
      </c>
      <c r="ES411" s="83" t="s">
        <v>1661</v>
      </c>
      <c r="ET411" s="198" t="s">
        <v>470</v>
      </c>
      <c r="EU411" s="198" t="s">
        <v>470</v>
      </c>
      <c r="EV411" s="83" t="s">
        <v>470</v>
      </c>
      <c r="EW411" s="198">
        <v>100</v>
      </c>
      <c r="EX411" s="198" t="s">
        <v>470</v>
      </c>
      <c r="EY411" s="505">
        <v>147</v>
      </c>
      <c r="EZ411" s="198" t="s">
        <v>470</v>
      </c>
      <c r="FA411" s="198" t="s">
        <v>470</v>
      </c>
      <c r="FB411" s="198" t="s">
        <v>1662</v>
      </c>
      <c r="FC411" s="198" t="s">
        <v>1663</v>
      </c>
      <c r="FD411" s="198" t="s">
        <v>1664</v>
      </c>
      <c r="FE411" s="198" t="s">
        <v>1665</v>
      </c>
      <c r="FF411" s="198" t="s">
        <v>1666</v>
      </c>
      <c r="FG411" s="198" t="s">
        <v>1667</v>
      </c>
      <c r="FH411" s="198">
        <v>32</v>
      </c>
      <c r="FI411" s="198">
        <v>480</v>
      </c>
      <c r="FJ411" s="198" t="s">
        <v>1668</v>
      </c>
      <c r="FK411" s="592" t="s">
        <v>1669</v>
      </c>
      <c r="FL411" s="549" t="s">
        <v>1670</v>
      </c>
      <c r="FM411" s="198" t="s">
        <v>1572</v>
      </c>
      <c r="FN411" s="198" t="s">
        <v>1573</v>
      </c>
      <c r="FO411" s="549" t="s">
        <v>1574</v>
      </c>
    </row>
    <row r="412" spans="5:173" ht="104" customHeight="1" x14ac:dyDescent="0.2">
      <c r="E412" s="94" t="s">
        <v>9304</v>
      </c>
      <c r="F412" s="94" t="s">
        <v>9120</v>
      </c>
      <c r="G412" s="198" t="s">
        <v>367</v>
      </c>
      <c r="H412" s="97" t="s">
        <v>452</v>
      </c>
      <c r="I412" s="198"/>
      <c r="J412" s="198" t="s">
        <v>3675</v>
      </c>
      <c r="K412" s="198" t="s">
        <v>3676</v>
      </c>
      <c r="L412" s="578">
        <v>2019</v>
      </c>
      <c r="M412" s="822">
        <v>44562</v>
      </c>
      <c r="N412" s="822" t="s">
        <v>865</v>
      </c>
      <c r="O412" s="198" t="s">
        <v>3677</v>
      </c>
      <c r="P412" s="198" t="s">
        <v>3678</v>
      </c>
      <c r="Q412" s="549" t="s">
        <v>3679</v>
      </c>
      <c r="R412" s="198"/>
      <c r="S412" s="198"/>
      <c r="T412" s="198"/>
      <c r="U412" s="198"/>
      <c r="V412" s="198"/>
      <c r="W412" s="198"/>
      <c r="X412" s="198"/>
      <c r="Y412" s="198"/>
      <c r="Z412" s="198"/>
      <c r="AA412" s="198"/>
      <c r="AB412" s="198"/>
      <c r="AC412" s="198"/>
      <c r="AD412" s="198"/>
      <c r="AE412" s="198"/>
      <c r="AF412" s="198"/>
      <c r="AG412" s="198"/>
      <c r="AH412" s="198" t="s">
        <v>3680</v>
      </c>
      <c r="AI412" s="198" t="s">
        <v>3681</v>
      </c>
      <c r="AJ412" s="198" t="s">
        <v>477</v>
      </c>
      <c r="AK412" s="198" t="s">
        <v>3682</v>
      </c>
      <c r="AL412" s="580">
        <f t="shared" si="47"/>
        <v>374.2771403699997</v>
      </c>
      <c r="AM412" s="504">
        <v>374.2771403699997</v>
      </c>
      <c r="AN412" s="516">
        <v>10.3362402549887</v>
      </c>
      <c r="AO412" s="137">
        <f>AN412/AL412</f>
        <v>2.7616541701613376E-2</v>
      </c>
      <c r="AP412" s="137"/>
      <c r="AQ412" s="504">
        <v>29.73744756</v>
      </c>
      <c r="AR412" s="137">
        <f>AQ412/AL412</f>
        <v>7.9453015833674506E-2</v>
      </c>
      <c r="AS412" s="137"/>
      <c r="AT412" s="520">
        <v>0</v>
      </c>
      <c r="AU412" s="137">
        <v>0</v>
      </c>
      <c r="AV412" s="520"/>
      <c r="AW412" s="137"/>
      <c r="AZ412" s="520">
        <v>334.20345255501098</v>
      </c>
      <c r="BA412" s="137">
        <f>AZ412/AL412</f>
        <v>0.89293044246471209</v>
      </c>
      <c r="BB412" s="520" t="s">
        <v>3683</v>
      </c>
      <c r="BC412" s="198" t="s">
        <v>847</v>
      </c>
      <c r="BD412" s="198" t="s">
        <v>3681</v>
      </c>
      <c r="BE412" s="198" t="s">
        <v>479</v>
      </c>
      <c r="BF412" s="198" t="s">
        <v>3684</v>
      </c>
      <c r="BI412" s="823">
        <v>346.57659999999998</v>
      </c>
      <c r="BJ412" s="137">
        <v>0.93720000000000003</v>
      </c>
      <c r="BK412" s="83"/>
      <c r="BL412" s="83"/>
      <c r="BM412" s="83"/>
      <c r="BN412" s="83"/>
      <c r="BO412" s="83"/>
      <c r="BP412" s="83"/>
      <c r="BQ412" s="83"/>
      <c r="BR412" s="83"/>
      <c r="BS412" s="83"/>
      <c r="BT412" s="83"/>
      <c r="BU412" s="83"/>
      <c r="BV412" s="83"/>
      <c r="BW412" s="83">
        <v>93</v>
      </c>
      <c r="BX412" s="83"/>
      <c r="BY412" s="83"/>
      <c r="BZ412" s="83"/>
      <c r="CA412" s="83"/>
      <c r="CB412" s="83"/>
      <c r="CC412" s="83"/>
      <c r="CD412" s="83"/>
      <c r="CE412" s="83"/>
      <c r="CF412" s="83"/>
      <c r="CH412" s="580"/>
      <c r="CI412" s="198"/>
      <c r="CJ412" s="198"/>
      <c r="CK412" s="137"/>
      <c r="CL412" s="857">
        <f>SUM(BL412:CF412)</f>
        <v>93</v>
      </c>
      <c r="CM412" s="824">
        <f t="shared" si="46"/>
        <v>0</v>
      </c>
      <c r="CP412" s="198"/>
      <c r="CQ412" s="198"/>
      <c r="CR412" s="83"/>
      <c r="CS412" s="834" t="s">
        <v>1560</v>
      </c>
      <c r="CT412" s="198" t="s">
        <v>470</v>
      </c>
      <c r="CU412" s="198" t="s">
        <v>479</v>
      </c>
      <c r="CV412" s="198" t="s">
        <v>3685</v>
      </c>
      <c r="CW412" s="83">
        <v>78872</v>
      </c>
      <c r="CX412" s="198"/>
      <c r="CY412" s="198"/>
      <c r="CZ412" s="83"/>
      <c r="DA412" s="83"/>
      <c r="DB412" s="83"/>
      <c r="DC412" s="83"/>
      <c r="DD412" s="83"/>
      <c r="DE412" s="83"/>
      <c r="DF412" s="83"/>
      <c r="DG412" s="198"/>
      <c r="DH412" s="198"/>
      <c r="DI412" s="83"/>
      <c r="DJ412" s="198"/>
      <c r="DK412" s="198"/>
      <c r="DL412" s="83"/>
      <c r="DM412" s="198"/>
      <c r="DN412" s="198"/>
      <c r="DO412" s="83"/>
      <c r="DP412" s="198"/>
      <c r="DQ412" s="198"/>
      <c r="DR412" s="83"/>
      <c r="DS412" s="198" t="s">
        <v>479</v>
      </c>
      <c r="DT412" s="198" t="s">
        <v>3686</v>
      </c>
      <c r="DU412" s="83">
        <v>78872</v>
      </c>
      <c r="DV412" s="198"/>
      <c r="DW412" s="198"/>
      <c r="DX412" s="83"/>
      <c r="DY412" s="83"/>
      <c r="DZ412" s="83"/>
      <c r="EA412" s="83"/>
      <c r="EB412" s="198"/>
      <c r="EC412" s="198"/>
      <c r="ED412" s="83"/>
      <c r="EE412" s="198"/>
      <c r="EF412" s="198"/>
      <c r="EG412" s="83"/>
      <c r="EH412" s="198"/>
      <c r="EI412" s="198"/>
      <c r="EJ412" s="83"/>
      <c r="EK412" s="83"/>
      <c r="EL412" s="83"/>
      <c r="EM412" s="83"/>
      <c r="EN412" s="198"/>
      <c r="EO412" s="198"/>
      <c r="EP412" s="83"/>
      <c r="EQ412" s="198" t="s">
        <v>3687</v>
      </c>
      <c r="ER412" s="198" t="s">
        <v>3688</v>
      </c>
      <c r="ES412" s="505">
        <v>53</v>
      </c>
      <c r="ET412" s="198" t="s">
        <v>470</v>
      </c>
      <c r="EU412" s="198"/>
      <c r="EV412" s="198" t="s">
        <v>3689</v>
      </c>
      <c r="EW412" s="198" t="s">
        <v>3690</v>
      </c>
      <c r="EX412" s="198" t="s">
        <v>3691</v>
      </c>
      <c r="EY412" s="1232" t="s">
        <v>3692</v>
      </c>
      <c r="EZ412" s="1232"/>
      <c r="FA412" s="198" t="s">
        <v>3693</v>
      </c>
      <c r="FB412" s="198"/>
      <c r="FC412" s="198"/>
      <c r="FD412" s="198"/>
      <c r="FE412" s="198" t="s">
        <v>3694</v>
      </c>
      <c r="FF412" s="198" t="s">
        <v>3695</v>
      </c>
      <c r="FG412" s="549" t="s">
        <v>3696</v>
      </c>
      <c r="FH412" s="198" t="s">
        <v>1572</v>
      </c>
      <c r="FI412" s="198" t="s">
        <v>1573</v>
      </c>
      <c r="FJ412" s="198" t="s">
        <v>1574</v>
      </c>
    </row>
    <row r="413" spans="5:173" ht="94" customHeight="1" x14ac:dyDescent="0.2">
      <c r="E413" s="94" t="s">
        <v>9307</v>
      </c>
      <c r="F413" s="94" t="s">
        <v>9121</v>
      </c>
      <c r="G413" s="97" t="s">
        <v>367</v>
      </c>
      <c r="H413" s="97" t="s">
        <v>452</v>
      </c>
      <c r="I413" s="513" t="s">
        <v>8649</v>
      </c>
      <c r="J413" s="513" t="s">
        <v>8458</v>
      </c>
      <c r="K413" s="513" t="s">
        <v>8354</v>
      </c>
      <c r="L413" s="502">
        <v>2022</v>
      </c>
      <c r="M413" s="841">
        <v>44634</v>
      </c>
      <c r="N413" s="841">
        <v>44896</v>
      </c>
      <c r="O413" s="841"/>
      <c r="P413" s="841"/>
      <c r="Q413" s="841"/>
      <c r="R413" s="841"/>
      <c r="S413" s="841"/>
      <c r="T413" s="841"/>
      <c r="U413" s="841"/>
      <c r="V413" s="841"/>
      <c r="W413" s="841"/>
      <c r="X413" s="841"/>
      <c r="Y413" s="841"/>
      <c r="Z413" s="97" t="s">
        <v>8033</v>
      </c>
      <c r="AA413" s="97" t="s">
        <v>7905</v>
      </c>
      <c r="AB413" s="97"/>
      <c r="AC413" s="97"/>
      <c r="AD413" s="97"/>
      <c r="AE413" s="97"/>
      <c r="AF413" s="97"/>
      <c r="AG413" s="97"/>
      <c r="AH413" s="513" t="s">
        <v>6780</v>
      </c>
      <c r="AI413" s="513" t="s">
        <v>6780</v>
      </c>
      <c r="AJ413" s="513" t="s">
        <v>6641</v>
      </c>
      <c r="AK413" s="97" t="s">
        <v>6393</v>
      </c>
      <c r="AL413" s="580">
        <f t="shared" si="47"/>
        <v>0.2293</v>
      </c>
      <c r="AM413" s="504">
        <v>0.2293</v>
      </c>
      <c r="AN413" s="516"/>
      <c r="AO413" s="97"/>
      <c r="AP413" s="97"/>
      <c r="AQ413" s="504">
        <v>0.1686</v>
      </c>
      <c r="AR413" s="507">
        <v>0.74</v>
      </c>
      <c r="AS413" s="507">
        <v>3.8000000000000002E-4</v>
      </c>
      <c r="AT413" s="516">
        <v>6.0699999999999997E-2</v>
      </c>
      <c r="AU413" s="507">
        <v>0.26</v>
      </c>
      <c r="AV413" s="516">
        <v>0</v>
      </c>
      <c r="AW413" s="507">
        <v>0</v>
      </c>
      <c r="AX413" s="516">
        <v>0</v>
      </c>
      <c r="AY413" s="507">
        <v>0</v>
      </c>
      <c r="AZ413" s="516"/>
      <c r="BA413" s="507"/>
      <c r="BB413" s="507"/>
      <c r="BC413" s="507"/>
      <c r="BD413" s="507"/>
      <c r="BE413" s="507" t="s">
        <v>470</v>
      </c>
      <c r="BF413" s="507"/>
      <c r="BG413" s="507"/>
      <c r="BH413" s="852"/>
      <c r="BI413" s="504">
        <v>0.19</v>
      </c>
      <c r="BJ413" s="507">
        <v>6.2E-4</v>
      </c>
      <c r="BK413" s="96">
        <v>3</v>
      </c>
      <c r="BL413" s="96">
        <v>3</v>
      </c>
      <c r="BM413" s="96">
        <v>3</v>
      </c>
      <c r="BN413" s="96"/>
      <c r="BO413" s="96"/>
      <c r="BP413" s="96"/>
      <c r="BQ413" s="96"/>
      <c r="BR413" s="96"/>
      <c r="BS413" s="96"/>
      <c r="BT413" s="96"/>
      <c r="BU413" s="96"/>
      <c r="BV413" s="96"/>
      <c r="BW413" s="96">
        <v>1</v>
      </c>
      <c r="BX413" s="96"/>
      <c r="BY413" s="96"/>
      <c r="BZ413" s="96"/>
      <c r="CA413" s="96"/>
      <c r="CB413" s="96">
        <v>2</v>
      </c>
      <c r="CC413" s="96"/>
      <c r="CD413" s="96"/>
      <c r="CE413" s="96"/>
      <c r="CF413" s="96"/>
      <c r="CG413" s="96"/>
      <c r="CH413" s="96"/>
      <c r="CI413" s="96"/>
      <c r="CJ413" s="96"/>
      <c r="CK413" s="96"/>
      <c r="CL413" s="815">
        <f t="shared" si="45"/>
        <v>3</v>
      </c>
      <c r="CM413" s="824">
        <f t="shared" si="46"/>
        <v>0</v>
      </c>
      <c r="CN413" s="504">
        <f>0.241+0.451+0.427</f>
        <v>1.119</v>
      </c>
      <c r="CO413" s="97" t="s">
        <v>6028</v>
      </c>
      <c r="CP413" s="97"/>
      <c r="CQ413" s="516">
        <f>(CN413/CR413)*100</f>
        <v>2.9241141423643775</v>
      </c>
      <c r="CR413" s="504">
        <v>38.268000000000001</v>
      </c>
      <c r="CS413" s="850" t="s">
        <v>1560</v>
      </c>
      <c r="CT413" s="97" t="s">
        <v>470</v>
      </c>
      <c r="CU413" s="97"/>
      <c r="CV413" s="97"/>
      <c r="CW413" s="97"/>
      <c r="CX413" s="96"/>
      <c r="CY413" s="96"/>
      <c r="CZ413" s="96"/>
      <c r="DA413" s="97" t="s">
        <v>470</v>
      </c>
      <c r="DB413" s="97"/>
      <c r="DC413" s="96"/>
      <c r="DD413" s="97"/>
      <c r="DE413" s="97"/>
      <c r="DF413" s="96"/>
      <c r="DG413" s="96"/>
      <c r="DH413" s="96"/>
      <c r="DI413" s="96"/>
      <c r="DJ413" s="96" t="s">
        <v>470</v>
      </c>
      <c r="DK413" s="96"/>
      <c r="DL413" s="96"/>
      <c r="DM413" s="97" t="s">
        <v>470</v>
      </c>
      <c r="DN413" s="97"/>
      <c r="DO413" s="96"/>
      <c r="DP413" s="97" t="s">
        <v>470</v>
      </c>
      <c r="DQ413" s="97"/>
      <c r="DR413" s="96"/>
      <c r="DS413" s="97" t="s">
        <v>470</v>
      </c>
      <c r="DT413" s="97"/>
      <c r="DU413" s="96"/>
      <c r="DV413" s="97"/>
      <c r="DW413" s="97"/>
      <c r="DX413" s="96"/>
      <c r="DY413" s="97" t="s">
        <v>470</v>
      </c>
      <c r="DZ413" s="97"/>
      <c r="EA413" s="96"/>
      <c r="EB413" s="97" t="s">
        <v>479</v>
      </c>
      <c r="EC413" s="97"/>
      <c r="ED413" s="96"/>
      <c r="EE413" s="96" t="s">
        <v>479</v>
      </c>
      <c r="EF413" s="96" t="s">
        <v>5372</v>
      </c>
      <c r="EG413" s="96">
        <v>10</v>
      </c>
      <c r="EH413" s="97" t="s">
        <v>470</v>
      </c>
      <c r="EI413" s="97"/>
      <c r="EJ413" s="96"/>
      <c r="EK413" s="97"/>
      <c r="EL413" s="97"/>
      <c r="EM413" s="96"/>
      <c r="EN413" s="97" t="s">
        <v>479</v>
      </c>
      <c r="EO413" s="97" t="s">
        <v>5330</v>
      </c>
      <c r="EP413" s="96">
        <v>4</v>
      </c>
      <c r="EQ413" s="96"/>
      <c r="ER413" s="96"/>
      <c r="ES413" s="96"/>
      <c r="ET413" s="97"/>
      <c r="EU413" s="97"/>
      <c r="EV413" s="96"/>
      <c r="EW413" s="96"/>
      <c r="EX413" s="96"/>
      <c r="EY413" s="96"/>
      <c r="EZ413" s="97" t="s">
        <v>479</v>
      </c>
      <c r="FA413" s="513" t="s">
        <v>5199</v>
      </c>
      <c r="FB413" s="97" t="s">
        <v>5062</v>
      </c>
      <c r="FC413" s="97" t="s">
        <v>4949</v>
      </c>
      <c r="FD413" s="97"/>
      <c r="FE413" s="97" t="s">
        <v>4758</v>
      </c>
      <c r="FF413" s="97"/>
      <c r="FG413" s="513" t="s">
        <v>4591</v>
      </c>
      <c r="FH413" s="97">
        <v>5</v>
      </c>
      <c r="FI413" s="97">
        <v>54</v>
      </c>
      <c r="FJ413" s="97" t="s">
        <v>4357</v>
      </c>
      <c r="FK413" s="97" t="s">
        <v>4175</v>
      </c>
      <c r="FL413" s="849" t="s">
        <v>3955</v>
      </c>
      <c r="FM413" s="97" t="s">
        <v>1572</v>
      </c>
      <c r="FN413" s="97" t="s">
        <v>1573</v>
      </c>
      <c r="FO413" s="849" t="s">
        <v>1574</v>
      </c>
    </row>
    <row r="414" spans="5:173" ht="65" customHeight="1" x14ac:dyDescent="0.2">
      <c r="E414" s="94" t="s">
        <v>9307</v>
      </c>
      <c r="F414" s="94" t="s">
        <v>9121</v>
      </c>
      <c r="G414" s="97" t="s">
        <v>367</v>
      </c>
      <c r="H414" s="97" t="s">
        <v>452</v>
      </c>
      <c r="I414" s="97" t="s">
        <v>8648</v>
      </c>
      <c r="J414" s="97" t="s">
        <v>8457</v>
      </c>
      <c r="K414" s="97" t="s">
        <v>5242</v>
      </c>
      <c r="L414" s="97">
        <v>2021</v>
      </c>
      <c r="M414" s="98">
        <v>44621</v>
      </c>
      <c r="N414" s="98">
        <v>44926</v>
      </c>
      <c r="O414" s="97"/>
      <c r="P414" s="97"/>
      <c r="Q414" s="97"/>
      <c r="R414" s="97"/>
      <c r="S414" s="97"/>
      <c r="T414" s="97"/>
      <c r="U414" s="97"/>
      <c r="V414" s="97"/>
      <c r="W414" s="97"/>
      <c r="X414" s="97"/>
      <c r="Y414" s="97"/>
      <c r="Z414" s="97" t="s">
        <v>8032</v>
      </c>
      <c r="AA414" s="849" t="s">
        <v>7904</v>
      </c>
      <c r="AB414" s="97"/>
      <c r="AC414" s="97"/>
      <c r="AD414" s="97" t="s">
        <v>7388</v>
      </c>
      <c r="AE414" s="849" t="s">
        <v>7210</v>
      </c>
      <c r="AF414" s="97" t="s">
        <v>7124</v>
      </c>
      <c r="AG414" s="97"/>
      <c r="AH414" s="97" t="s">
        <v>6938</v>
      </c>
      <c r="AI414" s="97" t="s">
        <v>6779</v>
      </c>
      <c r="AJ414" s="97" t="s">
        <v>6640</v>
      </c>
      <c r="AK414" s="97" t="s">
        <v>6392</v>
      </c>
      <c r="AL414" s="580">
        <f t="shared" si="47"/>
        <v>10.051113599207534</v>
      </c>
      <c r="AM414" s="504">
        <v>10.051113599207534</v>
      </c>
      <c r="AN414" s="516"/>
      <c r="AO414" s="97"/>
      <c r="AP414" s="97"/>
      <c r="AQ414" s="1146">
        <v>10</v>
      </c>
      <c r="AR414" s="1146">
        <v>10</v>
      </c>
      <c r="AS414" s="1146">
        <v>100</v>
      </c>
      <c r="AT414" s="516">
        <f>10/19564.265*100</f>
        <v>5.1113599207534756E-2</v>
      </c>
      <c r="AU414" s="504" t="s">
        <v>6349</v>
      </c>
      <c r="AV414" s="516">
        <v>0</v>
      </c>
      <c r="AW414" s="507"/>
      <c r="AX414" s="516">
        <v>0</v>
      </c>
      <c r="AY414" s="507"/>
      <c r="AZ414" s="516"/>
      <c r="BA414" s="507"/>
      <c r="BB414" s="507"/>
      <c r="BC414" s="507"/>
      <c r="BD414" s="507"/>
      <c r="BE414" s="507" t="s">
        <v>470</v>
      </c>
      <c r="BF414" s="507"/>
      <c r="BG414" s="507"/>
      <c r="BH414" s="502">
        <v>0</v>
      </c>
      <c r="BI414" s="502">
        <v>10</v>
      </c>
      <c r="BJ414" s="1033">
        <f>10/19330.21498*100</f>
        <v>5.1732482077134143E-2</v>
      </c>
      <c r="BK414" s="96">
        <v>77</v>
      </c>
      <c r="BL414" s="96">
        <v>77</v>
      </c>
      <c r="BM414" s="96">
        <v>27</v>
      </c>
      <c r="BN414" s="96"/>
      <c r="BO414" s="96">
        <v>1</v>
      </c>
      <c r="BP414" s="96">
        <v>1</v>
      </c>
      <c r="BQ414" s="96"/>
      <c r="BR414" s="96"/>
      <c r="BS414" s="96"/>
      <c r="BT414" s="96"/>
      <c r="BU414" s="96"/>
      <c r="BV414" s="96"/>
      <c r="BW414" s="96">
        <v>6</v>
      </c>
      <c r="BX414" s="96">
        <v>18</v>
      </c>
      <c r="BY414" s="96"/>
      <c r="BZ414" s="96"/>
      <c r="CA414" s="96">
        <v>1</v>
      </c>
      <c r="CB414" s="96"/>
      <c r="CC414" s="96"/>
      <c r="CD414" s="96"/>
      <c r="CE414" s="96"/>
      <c r="CF414" s="96"/>
      <c r="CG414" s="96"/>
      <c r="CH414" s="96"/>
      <c r="CI414" s="96"/>
      <c r="CJ414" s="96"/>
      <c r="CK414" s="96"/>
      <c r="CL414" s="815">
        <f t="shared" si="45"/>
        <v>27</v>
      </c>
      <c r="CM414" s="824">
        <f t="shared" si="46"/>
        <v>0</v>
      </c>
      <c r="CN414" s="96">
        <v>5.9279999999999999</v>
      </c>
      <c r="CO414" s="97" t="s">
        <v>5556</v>
      </c>
      <c r="CP414" s="97"/>
      <c r="CQ414" s="97">
        <v>0.96</v>
      </c>
      <c r="CR414" s="504">
        <v>613.48</v>
      </c>
      <c r="CS414" s="850" t="s">
        <v>5825</v>
      </c>
      <c r="CT414" s="97" t="s">
        <v>470</v>
      </c>
      <c r="CU414" s="97"/>
      <c r="CV414" s="97"/>
      <c r="CW414" s="97"/>
      <c r="CX414" s="96"/>
      <c r="CY414" s="96"/>
      <c r="CZ414" s="96"/>
      <c r="DA414" s="97"/>
      <c r="DB414" s="97"/>
      <c r="DC414" s="96"/>
      <c r="DD414" s="97"/>
      <c r="DE414" s="97"/>
      <c r="DF414" s="96"/>
      <c r="DG414" s="96" t="s">
        <v>479</v>
      </c>
      <c r="DH414" s="96" t="s">
        <v>5556</v>
      </c>
      <c r="DI414" s="96">
        <v>16175</v>
      </c>
      <c r="DJ414" s="96"/>
      <c r="DK414" s="96"/>
      <c r="DL414" s="96"/>
      <c r="DM414" s="97"/>
      <c r="DN414" s="97"/>
      <c r="DO414" s="96"/>
      <c r="DP414" s="97"/>
      <c r="DQ414" s="97"/>
      <c r="DR414" s="96"/>
      <c r="DS414" s="97"/>
      <c r="DT414" s="97"/>
      <c r="DU414" s="96"/>
      <c r="DV414" s="97"/>
      <c r="DW414" s="97"/>
      <c r="DX414" s="96"/>
      <c r="DY414" s="97" t="s">
        <v>470</v>
      </c>
      <c r="DZ414" s="97"/>
      <c r="EA414" s="96"/>
      <c r="EB414" s="97" t="s">
        <v>470</v>
      </c>
      <c r="EC414" s="97"/>
      <c r="ED414" s="96"/>
      <c r="EE414" s="96" t="s">
        <v>470</v>
      </c>
      <c r="EF414" s="96"/>
      <c r="EG414" s="96"/>
      <c r="EH414" s="97" t="s">
        <v>470</v>
      </c>
      <c r="EI414" s="97"/>
      <c r="EJ414" s="96"/>
      <c r="EK414" s="97" t="s">
        <v>470</v>
      </c>
      <c r="EL414" s="97"/>
      <c r="EM414" s="96"/>
      <c r="EN414" s="97" t="s">
        <v>470</v>
      </c>
      <c r="EO414" s="97"/>
      <c r="EP414" s="96"/>
      <c r="EQ414" s="96" t="s">
        <v>479</v>
      </c>
      <c r="ER414" s="96" t="s">
        <v>5274</v>
      </c>
      <c r="ES414" s="96">
        <v>9</v>
      </c>
      <c r="ET414" s="97"/>
      <c r="EU414" s="97"/>
      <c r="EV414" s="96"/>
      <c r="EW414" s="96"/>
      <c r="EX414" s="96"/>
      <c r="EY414" s="96"/>
      <c r="EZ414" s="97" t="s">
        <v>470</v>
      </c>
      <c r="FA414" s="97"/>
      <c r="FB414" s="849" t="s">
        <v>5061</v>
      </c>
      <c r="FC414" s="97"/>
      <c r="FD414" s="97"/>
      <c r="FE414" s="97"/>
      <c r="FF414" s="97"/>
      <c r="FG414" s="97"/>
      <c r="FH414" s="97"/>
      <c r="FI414" s="97"/>
      <c r="FJ414" s="97" t="s">
        <v>4356</v>
      </c>
      <c r="FK414" s="97" t="s">
        <v>4174</v>
      </c>
      <c r="FL414" s="849" t="s">
        <v>3954</v>
      </c>
      <c r="FM414" s="97" t="s">
        <v>1572</v>
      </c>
      <c r="FN414" s="97" t="s">
        <v>1573</v>
      </c>
      <c r="FO414" s="849" t="s">
        <v>1574</v>
      </c>
    </row>
    <row r="415" spans="5:173" ht="104" customHeight="1" x14ac:dyDescent="0.2">
      <c r="G415" s="198" t="s">
        <v>368</v>
      </c>
      <c r="H415" s="198" t="s">
        <v>453</v>
      </c>
      <c r="I415" s="198"/>
      <c r="AL415" s="580">
        <f t="shared" si="47"/>
        <v>0</v>
      </c>
      <c r="AM415" s="504">
        <v>0</v>
      </c>
      <c r="AN415" s="510"/>
      <c r="AQ415" s="511"/>
      <c r="AT415" s="569"/>
      <c r="AV415" s="569"/>
      <c r="AX415" s="569"/>
      <c r="AZ415" s="569"/>
      <c r="CL415" s="512"/>
      <c r="CM415" s="824">
        <f t="shared" si="46"/>
        <v>0</v>
      </c>
    </row>
    <row r="416" spans="5:173" ht="104" customHeight="1" x14ac:dyDescent="0.2">
      <c r="E416" s="94" t="s">
        <v>9304</v>
      </c>
      <c r="F416" s="94" t="s">
        <v>9120</v>
      </c>
      <c r="G416" s="198" t="s">
        <v>369</v>
      </c>
      <c r="H416" s="198" t="s">
        <v>454</v>
      </c>
      <c r="I416" s="198"/>
      <c r="J416" s="550" t="s">
        <v>3334</v>
      </c>
      <c r="K416" s="550" t="s">
        <v>3334</v>
      </c>
      <c r="L416" s="1095">
        <v>2019</v>
      </c>
      <c r="M416" s="1103"/>
      <c r="N416" s="1103">
        <v>44707</v>
      </c>
      <c r="O416" s="550" t="s">
        <v>3335</v>
      </c>
      <c r="P416" s="550" t="s">
        <v>3336</v>
      </c>
      <c r="Q416" s="846" t="s">
        <v>3337</v>
      </c>
      <c r="R416" s="1147" t="s">
        <v>3338</v>
      </c>
      <c r="S416" s="550" t="s">
        <v>3339</v>
      </c>
      <c r="T416" s="550" t="s">
        <v>470</v>
      </c>
      <c r="U416" s="550" t="s">
        <v>470</v>
      </c>
      <c r="V416" s="550" t="s">
        <v>3340</v>
      </c>
      <c r="W416" s="550" t="s">
        <v>3341</v>
      </c>
      <c r="X416" s="550" t="s">
        <v>470</v>
      </c>
      <c r="Y416" s="550" t="s">
        <v>470</v>
      </c>
      <c r="Z416" s="550"/>
      <c r="AA416" s="550"/>
      <c r="AB416" s="550"/>
      <c r="AC416" s="550"/>
      <c r="AD416" s="550"/>
      <c r="AE416" s="550"/>
      <c r="AF416" s="550"/>
      <c r="AG416" s="550"/>
      <c r="AH416" s="550" t="s">
        <v>3342</v>
      </c>
      <c r="AI416" s="550" t="s">
        <v>3342</v>
      </c>
      <c r="AJ416" s="550" t="s">
        <v>3151</v>
      </c>
      <c r="AK416" s="550" t="s">
        <v>3343</v>
      </c>
      <c r="AL416" s="580">
        <f t="shared" si="47"/>
        <v>889</v>
      </c>
      <c r="AM416" s="504">
        <v>889</v>
      </c>
      <c r="AN416" s="516">
        <v>438</v>
      </c>
      <c r="AO416" s="1099">
        <f>AN416/AL416</f>
        <v>0.49268841394825647</v>
      </c>
      <c r="AP416" s="1099">
        <v>2.7000000000000001E-3</v>
      </c>
      <c r="AQ416" s="1100">
        <v>88</v>
      </c>
      <c r="AR416" s="1099">
        <f>AQ416/AL416</f>
        <v>9.8987626546681667E-2</v>
      </c>
      <c r="AS416" s="1099"/>
      <c r="AT416" s="1074">
        <v>3</v>
      </c>
      <c r="AU416" s="1099">
        <f>AT416/AL416</f>
        <v>3.3745781777277839E-3</v>
      </c>
      <c r="AV416" s="1074">
        <v>0</v>
      </c>
      <c r="AW416" s="1099">
        <v>0</v>
      </c>
      <c r="AX416" s="1074">
        <v>3</v>
      </c>
      <c r="AY416" s="1099">
        <v>0</v>
      </c>
      <c r="AZ416" s="1074">
        <v>357</v>
      </c>
      <c r="BA416" s="1099">
        <f>AZ416/AL416</f>
        <v>0.40157480314960631</v>
      </c>
      <c r="BB416" s="550" t="s">
        <v>1620</v>
      </c>
      <c r="BC416" s="550" t="s">
        <v>1110</v>
      </c>
      <c r="BD416" s="550" t="s">
        <v>3344</v>
      </c>
      <c r="BE416" s="550" t="s">
        <v>470</v>
      </c>
      <c r="BF416" s="550" t="s">
        <v>470</v>
      </c>
      <c r="BG416" s="550" t="s">
        <v>470</v>
      </c>
      <c r="BH416" s="550">
        <v>0</v>
      </c>
      <c r="BI416" s="1074">
        <v>584</v>
      </c>
      <c r="BJ416" s="1099"/>
      <c r="BK416" s="895">
        <v>0</v>
      </c>
      <c r="BL416" s="895">
        <v>0</v>
      </c>
      <c r="BM416" s="895">
        <v>0</v>
      </c>
      <c r="BN416" s="895">
        <v>0</v>
      </c>
      <c r="BO416" s="895">
        <v>0</v>
      </c>
      <c r="BP416" s="895">
        <v>0</v>
      </c>
      <c r="BQ416" s="895">
        <v>0</v>
      </c>
      <c r="BR416" s="895">
        <v>0</v>
      </c>
      <c r="BS416" s="895">
        <v>0</v>
      </c>
      <c r="BT416" s="895">
        <v>0</v>
      </c>
      <c r="BU416" s="895">
        <v>0</v>
      </c>
      <c r="BV416" s="895">
        <v>0</v>
      </c>
      <c r="BW416" s="895">
        <v>27</v>
      </c>
      <c r="BX416" s="895">
        <v>0</v>
      </c>
      <c r="BY416" s="895">
        <v>55</v>
      </c>
      <c r="BZ416" s="895">
        <v>0</v>
      </c>
      <c r="CA416" s="895">
        <v>0</v>
      </c>
      <c r="CB416" s="895">
        <v>0</v>
      </c>
      <c r="CC416" s="895">
        <v>0</v>
      </c>
      <c r="CD416" s="895">
        <v>0</v>
      </c>
      <c r="CE416" s="895">
        <v>0</v>
      </c>
      <c r="CF416" s="895">
        <v>0</v>
      </c>
      <c r="CG416" s="895">
        <v>0</v>
      </c>
      <c r="CH416" s="895">
        <v>0</v>
      </c>
      <c r="CI416" s="895">
        <v>0</v>
      </c>
      <c r="CJ416" s="895">
        <v>0</v>
      </c>
      <c r="CK416" s="895">
        <v>0</v>
      </c>
      <c r="CL416" s="1108">
        <f>SUM(BN416:CK416)</f>
        <v>82</v>
      </c>
      <c r="CM416" s="824">
        <f t="shared" si="46"/>
        <v>0</v>
      </c>
      <c r="CN416" s="591">
        <v>1702.24</v>
      </c>
      <c r="CO416" s="550" t="s">
        <v>470</v>
      </c>
      <c r="CP416" s="550" t="s">
        <v>470</v>
      </c>
      <c r="CQ416" s="1099">
        <f>CN416/CR416</f>
        <v>1</v>
      </c>
      <c r="CR416" s="591">
        <v>1702.24</v>
      </c>
      <c r="CS416" s="1099" t="s">
        <v>3345</v>
      </c>
      <c r="CT416" s="550" t="s">
        <v>479</v>
      </c>
      <c r="CU416" s="550" t="s">
        <v>3346</v>
      </c>
      <c r="CV416" s="895" t="s">
        <v>3347</v>
      </c>
      <c r="CW416" s="550" t="s">
        <v>3348</v>
      </c>
      <c r="CX416" s="895">
        <v>7</v>
      </c>
      <c r="CY416" s="895" t="s">
        <v>3349</v>
      </c>
      <c r="CZ416" s="895">
        <v>40</v>
      </c>
      <c r="DA416" s="550" t="s">
        <v>470</v>
      </c>
      <c r="DB416" s="550" t="s">
        <v>470</v>
      </c>
      <c r="DC416" s="895">
        <v>0</v>
      </c>
      <c r="DD416" s="550" t="s">
        <v>470</v>
      </c>
      <c r="DE416" s="550" t="s">
        <v>470</v>
      </c>
      <c r="DF416" s="895">
        <v>0</v>
      </c>
      <c r="DG416" s="895" t="s">
        <v>470</v>
      </c>
      <c r="DH416" s="895" t="s">
        <v>470</v>
      </c>
      <c r="DI416" s="895">
        <v>0</v>
      </c>
      <c r="DJ416" s="895" t="s">
        <v>470</v>
      </c>
      <c r="DK416" s="895" t="s">
        <v>470</v>
      </c>
      <c r="DL416" s="895">
        <v>0</v>
      </c>
      <c r="DM416" s="550" t="s">
        <v>470</v>
      </c>
      <c r="DN416" s="550" t="s">
        <v>470</v>
      </c>
      <c r="DO416" s="895">
        <v>0</v>
      </c>
      <c r="DP416" s="550" t="s">
        <v>470</v>
      </c>
      <c r="DQ416" s="550" t="s">
        <v>470</v>
      </c>
      <c r="DR416" s="895">
        <v>0</v>
      </c>
      <c r="DS416" s="550" t="s">
        <v>470</v>
      </c>
      <c r="DT416" s="550" t="s">
        <v>470</v>
      </c>
      <c r="DU416" s="895">
        <v>0</v>
      </c>
      <c r="DV416" s="550" t="s">
        <v>3350</v>
      </c>
      <c r="DW416" s="550" t="s">
        <v>3351</v>
      </c>
      <c r="DX416" s="895">
        <v>1700</v>
      </c>
      <c r="DY416" s="550" t="s">
        <v>479</v>
      </c>
      <c r="DZ416" s="550" t="s">
        <v>3352</v>
      </c>
      <c r="EA416" s="895">
        <v>110769</v>
      </c>
      <c r="EB416" s="550" t="s">
        <v>470</v>
      </c>
      <c r="EC416" s="550" t="s">
        <v>470</v>
      </c>
      <c r="ED416" s="895">
        <v>0</v>
      </c>
      <c r="EE416" s="895" t="s">
        <v>470</v>
      </c>
      <c r="EF416" s="895" t="s">
        <v>470</v>
      </c>
      <c r="EG416" s="895">
        <v>0</v>
      </c>
      <c r="EH416" s="550" t="s">
        <v>470</v>
      </c>
      <c r="EI416" s="550" t="s">
        <v>470</v>
      </c>
      <c r="EJ416" s="895">
        <v>0</v>
      </c>
      <c r="EK416" s="550" t="s">
        <v>470</v>
      </c>
      <c r="EL416" s="550" t="s">
        <v>470</v>
      </c>
      <c r="EM416" s="895">
        <v>0</v>
      </c>
      <c r="EN416" s="550" t="s">
        <v>470</v>
      </c>
      <c r="EO416" s="550" t="s">
        <v>470</v>
      </c>
      <c r="EP416" s="895">
        <v>0</v>
      </c>
      <c r="EQ416" s="895" t="s">
        <v>470</v>
      </c>
      <c r="ER416" s="895" t="s">
        <v>470</v>
      </c>
      <c r="ES416" s="895">
        <v>0</v>
      </c>
      <c r="ET416" s="550" t="s">
        <v>470</v>
      </c>
      <c r="EU416" s="550" t="s">
        <v>470</v>
      </c>
      <c r="EV416" s="895">
        <v>0</v>
      </c>
      <c r="EW416" s="550" t="s">
        <v>3353</v>
      </c>
      <c r="EX416" s="550" t="s">
        <v>3354</v>
      </c>
      <c r="EY416" s="1102">
        <v>15</v>
      </c>
      <c r="EZ416" s="550" t="s">
        <v>479</v>
      </c>
      <c r="FA416" s="550" t="s">
        <v>3355</v>
      </c>
      <c r="FB416" s="1072" t="s">
        <v>3356</v>
      </c>
      <c r="FC416" s="550" t="s">
        <v>3357</v>
      </c>
      <c r="FD416" s="846" t="s">
        <v>3358</v>
      </c>
      <c r="FE416" s="550" t="s">
        <v>3359</v>
      </c>
      <c r="FF416" s="550"/>
      <c r="FG416" s="550" t="s">
        <v>470</v>
      </c>
      <c r="FH416" s="550">
        <v>0</v>
      </c>
      <c r="FI416" s="550">
        <v>0</v>
      </c>
      <c r="FJ416" s="550" t="s">
        <v>3360</v>
      </c>
      <c r="FK416" s="550" t="s">
        <v>3361</v>
      </c>
      <c r="FL416" s="550" t="s">
        <v>3362</v>
      </c>
      <c r="FM416" s="550"/>
      <c r="FN416" s="550"/>
      <c r="FO416" s="550"/>
    </row>
    <row r="417" spans="4:171" ht="104" customHeight="1" x14ac:dyDescent="0.2">
      <c r="E417" s="94" t="s">
        <v>9302</v>
      </c>
      <c r="F417" s="94" t="s">
        <v>9120</v>
      </c>
      <c r="G417" s="198" t="s">
        <v>369</v>
      </c>
      <c r="H417" s="198" t="s">
        <v>454</v>
      </c>
      <c r="I417" s="198"/>
      <c r="J417" s="1147" t="s">
        <v>3363</v>
      </c>
      <c r="K417" s="1148" t="s">
        <v>1414</v>
      </c>
      <c r="L417" s="1149">
        <v>44218</v>
      </c>
      <c r="M417" s="1149">
        <v>44561</v>
      </c>
      <c r="N417" s="1147" t="s">
        <v>3364</v>
      </c>
      <c r="O417" s="1147" t="s">
        <v>3365</v>
      </c>
      <c r="P417" s="1150" t="s">
        <v>3366</v>
      </c>
      <c r="Q417" s="1147" t="s">
        <v>3367</v>
      </c>
      <c r="R417" s="550" t="s">
        <v>470</v>
      </c>
      <c r="S417" s="550" t="s">
        <v>470</v>
      </c>
      <c r="T417" s="550" t="s">
        <v>470</v>
      </c>
      <c r="U417" s="550" t="s">
        <v>470</v>
      </c>
      <c r="V417" s="550" t="s">
        <v>3340</v>
      </c>
      <c r="W417" s="550" t="s">
        <v>3341</v>
      </c>
      <c r="X417" s="1147" t="s">
        <v>3368</v>
      </c>
      <c r="Y417" s="1150" t="s">
        <v>3369</v>
      </c>
      <c r="Z417" s="1150"/>
      <c r="AA417" s="1150"/>
      <c r="AB417" s="1150"/>
      <c r="AC417" s="1150"/>
      <c r="AD417" s="1150"/>
      <c r="AE417" s="1150"/>
      <c r="AF417" s="1150"/>
      <c r="AG417" s="1150"/>
      <c r="AH417" s="1147" t="s">
        <v>3370</v>
      </c>
      <c r="AI417" s="1147" t="s">
        <v>3370</v>
      </c>
      <c r="AJ417" s="1147" t="s">
        <v>477</v>
      </c>
      <c r="AK417" s="1147" t="s">
        <v>3371</v>
      </c>
      <c r="AL417" s="580">
        <f t="shared" si="47"/>
        <v>224.05045000000001</v>
      </c>
      <c r="AM417" s="504">
        <v>224.05045000000001</v>
      </c>
      <c r="AN417" s="516">
        <v>218.16300000000001</v>
      </c>
      <c r="AO417" s="1151">
        <f>AN417/AL417</f>
        <v>0.97372265933855517</v>
      </c>
      <c r="AP417" s="1152">
        <v>1.2999999999999999E-3</v>
      </c>
      <c r="AQ417" s="1100">
        <f>[1]Югорск!AB229+[1]Радужный!AC229+[1]Ханты!AC229+[1]Октяб!AC229+[1]Урай!AC229+[1]Совет!AC229+[1]Лангепас!AC229+'[1]НЮг рн'!AC229+[1]Березово!AC229+[1]Сургут!AC229+[1]НВарт!AC229+[1]Когалым!AC229+[1]Конда!AC229+[1]НЮГ!AC229+'[1]Сур рн'!AC229+[1]Белояр!AC229+'[1]Нижневар рн'!AC229+[1]Когалым!AC229+[1]Конда!AC229+[1]НЮГ!AC229+'[1]Сур рн'!AC229+[1]Белояр!AC229+'[1]Нижневар рн'!AC229+'[1]ХМ рн'!AC229</f>
        <v>0</v>
      </c>
      <c r="AR417" s="1099">
        <f>AQ417/AL417</f>
        <v>0</v>
      </c>
      <c r="AS417" s="1099"/>
      <c r="AT417" s="1074">
        <v>3.0894500000000003</v>
      </c>
      <c r="AU417" s="1099">
        <f>AT417/AL417</f>
        <v>1.3789081878657241E-2</v>
      </c>
      <c r="AV417" s="1074">
        <v>2.798</v>
      </c>
      <c r="AW417" s="1099">
        <f>AV417/AL417</f>
        <v>1.2488258782787537E-2</v>
      </c>
      <c r="AX417" s="1074">
        <f>[1]Югорск!AH229+[1]Радужный!AI229+[1]Ханты!AI229+[1]Октяб!AK229+[1]Урай!AI229+[1]Совет!AI229+[1]Лангепас!AI229+'[1]НЮг рн'!AI229+[1]Березово!AI229+[1]Сургут!AI229+[1]НВарт!AI229+[1]Когалым!AI229+[1]Конда!AI229+[1]НЮГ!AI229+'[1]Сур рн'!AI229+[1]Белояр!AI229+'[1]Нижневар рн'!AI229+[1]Когалым!AI229+[1]Конда!AI229+[1]НЮГ!AI229+'[1]Сур рн'!AI229+[1]Белояр!AI229+'[1]Нижневар рн'!AI229+'[1]ХМ рн'!AI229</f>
        <v>0</v>
      </c>
      <c r="AY417" s="1074">
        <f>AX417/AL417*100</f>
        <v>0</v>
      </c>
      <c r="AZ417" s="1074">
        <v>0</v>
      </c>
      <c r="BA417" s="1147">
        <v>0</v>
      </c>
      <c r="BB417" s="1147">
        <v>0</v>
      </c>
      <c r="BC417" s="1147">
        <v>0</v>
      </c>
      <c r="BD417" s="1147">
        <v>0</v>
      </c>
      <c r="BE417" s="1147" t="s">
        <v>479</v>
      </c>
      <c r="BF417" s="1099" t="s">
        <v>3372</v>
      </c>
      <c r="BG417" s="1151" t="s">
        <v>470</v>
      </c>
      <c r="BH417" s="1153">
        <v>0</v>
      </c>
      <c r="BI417" s="1153">
        <v>225</v>
      </c>
      <c r="BJ417" s="1153"/>
      <c r="BK417" s="1153">
        <f>'[2]Березовский рн+'!AV229+'[2]Белоярский рн+'!AV229+'[2]Кондинский рн+'!AV229+'[2]Октябрьский рн+'!AV229+'[2]Сургутский рн+'!AV229+'[2]Нефтеюганский рн+'!AV229+'[2]Нижневартовский рн'!AV229+'[2]Ханты-Мансийский рн'!AV229+'[2]Советский рн+'!AV229+'[2]Когалым+'!AV229+'[2]Лангепас+'!AV229+'[2]Мегион+'!AV229+'[2]Нефтеюганск+'!AV229+'[2]Нягань+'!AV229+'[2]Покачи+'!AV229+'[2]Пыть-Ях+'!AV229+'[2]Радужный+'!AV229+[2]Сургут!AV229++'[2]Нижневартовск+'!AV229+'[2]Урай+'!AV229+'[2]Ханты-Мансийск'!AV229+'[2]Югорск+'!AV229</f>
        <v>0</v>
      </c>
      <c r="BL417" s="1153">
        <f>'[2]Березовский рн+'!AW229+'[2]Белоярский рн+'!AW229+'[2]Кондинский рн+'!AW229+'[2]Октябрьский рн+'!AW229+'[2]Сургутский рн+'!AW229+'[2]Нефтеюганский рн+'!AW229+'[2]Нижневартовский рн'!AW229+'[2]Ханты-Мансийский рн'!AW229+'[2]Советский рн+'!AW229+'[2]Когалым+'!AW229+'[2]Лангепас+'!AW229+'[2]Мегион+'!AW229+'[2]Нефтеюганск+'!AW229+'[2]Нягань+'!AW229+'[2]Покачи+'!AW229+'[2]Пыть-Ях+'!AW229+'[2]Радужный+'!AW229+[2]Сургут!AW229++'[2]Нижневартовск+'!AW229+'[2]Урай+'!AW229+'[2]Ханты-Мансийск'!AW229+'[2]Югорск+'!AW229</f>
        <v>0</v>
      </c>
      <c r="BM417" s="1153">
        <f>'[2]Березовский рн+'!AX229+'[2]Белоярский рн+'!AX229+'[2]Кондинский рн+'!AX229+'[2]Октябрьский рн+'!AX229+'[2]Сургутский рн+'!AX229+'[2]Нефтеюганский рн+'!AX229+'[2]Нижневартовский рн'!AX229+'[2]Ханты-Мансийский рн'!AX229+'[2]Советский рн+'!AX229+'[2]Когалым+'!AX229+'[2]Лангепас+'!AX229+'[2]Мегион+'!AX229+'[2]Нефтеюганск+'!AX229+'[2]Нягань+'!AX229+'[2]Покачи+'!AX229+'[2]Пыть-Ях+'!AX229+'[2]Радужный+'!AX229+[2]Сургут!AX229++'[2]Нижневартовск+'!AX229+'[2]Урай+'!AX229+'[2]Ханты-Мансийск'!AX229+'[2]Югорск+'!AX229</f>
        <v>0</v>
      </c>
      <c r="BN417" s="895">
        <v>2</v>
      </c>
      <c r="BO417" s="895">
        <v>5</v>
      </c>
      <c r="BP417" s="895">
        <v>2</v>
      </c>
      <c r="BQ417" s="895">
        <v>0</v>
      </c>
      <c r="BR417" s="895">
        <v>0</v>
      </c>
      <c r="BS417" s="895">
        <v>4</v>
      </c>
      <c r="BT417" s="895">
        <v>7</v>
      </c>
      <c r="BU417" s="895">
        <v>2</v>
      </c>
      <c r="BV417" s="895">
        <v>17</v>
      </c>
      <c r="BW417" s="895">
        <v>5</v>
      </c>
      <c r="BX417" s="895">
        <v>6</v>
      </c>
      <c r="BY417" s="895">
        <v>14</v>
      </c>
      <c r="BZ417" s="895">
        <v>1</v>
      </c>
      <c r="CA417" s="895">
        <v>1</v>
      </c>
      <c r="CB417" s="895">
        <v>0</v>
      </c>
      <c r="CC417" s="895">
        <v>0</v>
      </c>
      <c r="CD417" s="895">
        <v>0</v>
      </c>
      <c r="CE417" s="895">
        <v>0</v>
      </c>
      <c r="CF417" s="895">
        <v>0</v>
      </c>
      <c r="CG417" s="895">
        <v>0</v>
      </c>
      <c r="CH417" s="895">
        <v>0</v>
      </c>
      <c r="CI417" s="895">
        <v>0</v>
      </c>
      <c r="CJ417" s="895">
        <v>0</v>
      </c>
      <c r="CK417" s="895">
        <v>2</v>
      </c>
      <c r="CL417" s="1154">
        <f>SUM(BN417:CK417)</f>
        <v>68</v>
      </c>
      <c r="CM417" s="824">
        <f t="shared" si="46"/>
        <v>0</v>
      </c>
      <c r="CN417" s="550">
        <v>805.6</v>
      </c>
      <c r="CO417" s="550" t="s">
        <v>3373</v>
      </c>
      <c r="CP417" s="550" t="s">
        <v>470</v>
      </c>
      <c r="CQ417" s="553">
        <f>CN417/CR417*100</f>
        <v>47.325876492151522</v>
      </c>
      <c r="CR417" s="1155">
        <v>1702.24</v>
      </c>
      <c r="CS417" s="550" t="s">
        <v>3374</v>
      </c>
      <c r="CT417" s="1147" t="s">
        <v>479</v>
      </c>
      <c r="CU417" s="1147" t="s">
        <v>3375</v>
      </c>
      <c r="CV417" s="1147" t="s">
        <v>3369</v>
      </c>
      <c r="CW417" s="1147" t="s">
        <v>3348</v>
      </c>
      <c r="CX417" s="1153">
        <v>3</v>
      </c>
      <c r="CY417" s="1153">
        <v>2200</v>
      </c>
      <c r="CZ417" s="1153">
        <v>52</v>
      </c>
      <c r="DA417" s="1153" t="s">
        <v>479</v>
      </c>
      <c r="DB417" s="1153" t="s">
        <v>3376</v>
      </c>
      <c r="DC417" s="1153">
        <v>17753</v>
      </c>
      <c r="DD417" s="1153" t="s">
        <v>479</v>
      </c>
      <c r="DE417" s="1153" t="s">
        <v>3376</v>
      </c>
      <c r="DF417" s="1147">
        <v>15200</v>
      </c>
      <c r="DG417" s="1147" t="s">
        <v>479</v>
      </c>
      <c r="DH417" s="1153" t="s">
        <v>3376</v>
      </c>
      <c r="DI417" s="1147">
        <v>100</v>
      </c>
      <c r="DJ417" s="1156" t="s">
        <v>479</v>
      </c>
      <c r="DK417" s="1153" t="s">
        <v>3376</v>
      </c>
      <c r="DL417" s="1147">
        <v>20</v>
      </c>
      <c r="DM417" s="1147" t="s">
        <v>470</v>
      </c>
      <c r="DN417" s="1153"/>
      <c r="DO417" s="1147">
        <v>0</v>
      </c>
      <c r="DP417" s="1147" t="s">
        <v>479</v>
      </c>
      <c r="DQ417" s="1153" t="s">
        <v>3376</v>
      </c>
      <c r="DR417" s="1147">
        <v>120</v>
      </c>
      <c r="DS417" s="550" t="s">
        <v>470</v>
      </c>
      <c r="DT417" s="550" t="s">
        <v>470</v>
      </c>
      <c r="DU417" s="550">
        <v>0</v>
      </c>
      <c r="DV417" s="550" t="s">
        <v>470</v>
      </c>
      <c r="DW417" s="550" t="s">
        <v>470</v>
      </c>
      <c r="DX417" s="550">
        <v>0</v>
      </c>
      <c r="DY417" s="1153" t="s">
        <v>479</v>
      </c>
      <c r="DZ417" s="1147" t="s">
        <v>3377</v>
      </c>
      <c r="EA417" s="1147">
        <v>65602</v>
      </c>
      <c r="EB417" s="550" t="s">
        <v>470</v>
      </c>
      <c r="EC417" s="550" t="s">
        <v>470</v>
      </c>
      <c r="ED417" s="550">
        <v>0</v>
      </c>
      <c r="EE417" s="550" t="s">
        <v>470</v>
      </c>
      <c r="EF417" s="550" t="s">
        <v>470</v>
      </c>
      <c r="EG417" s="550">
        <v>0</v>
      </c>
      <c r="EH417" s="550" t="s">
        <v>470</v>
      </c>
      <c r="EI417" s="550" t="s">
        <v>470</v>
      </c>
      <c r="EJ417" s="550">
        <v>0</v>
      </c>
      <c r="EK417" s="550" t="s">
        <v>470</v>
      </c>
      <c r="EL417" s="550" t="s">
        <v>470</v>
      </c>
      <c r="EM417" s="550">
        <v>0</v>
      </c>
      <c r="EN417" s="1147" t="s">
        <v>479</v>
      </c>
      <c r="EO417" s="1153" t="s">
        <v>3376</v>
      </c>
      <c r="EP417" s="1147">
        <v>15</v>
      </c>
      <c r="EQ417" s="1147" t="s">
        <v>479</v>
      </c>
      <c r="ER417" s="1150" t="s">
        <v>3378</v>
      </c>
      <c r="ES417" s="1156">
        <v>15</v>
      </c>
      <c r="ET417" s="550" t="s">
        <v>470</v>
      </c>
      <c r="EU417" s="550" t="s">
        <v>470</v>
      </c>
      <c r="EV417" s="550">
        <v>0</v>
      </c>
      <c r="EW417" s="1156" t="s">
        <v>3379</v>
      </c>
      <c r="EX417" s="550" t="s">
        <v>3380</v>
      </c>
      <c r="EY417" s="1156">
        <v>22</v>
      </c>
      <c r="EZ417" s="550" t="s">
        <v>479</v>
      </c>
      <c r="FA417" s="550" t="s">
        <v>3381</v>
      </c>
      <c r="FB417" s="1147" t="s">
        <v>3378</v>
      </c>
      <c r="FC417" s="1147" t="s">
        <v>3382</v>
      </c>
      <c r="FD417" s="1147" t="s">
        <v>3383</v>
      </c>
      <c r="FE417" s="1147" t="s">
        <v>3384</v>
      </c>
      <c r="FF417" s="1147" t="s">
        <v>3383</v>
      </c>
      <c r="FG417" s="1147" t="s">
        <v>3385</v>
      </c>
      <c r="FH417" s="1147">
        <v>2</v>
      </c>
      <c r="FI417" s="550">
        <v>450</v>
      </c>
      <c r="FJ417" s="550" t="s">
        <v>3386</v>
      </c>
      <c r="FK417" s="550" t="s">
        <v>3387</v>
      </c>
      <c r="FL417" s="550" t="s">
        <v>3388</v>
      </c>
      <c r="FM417" s="550"/>
      <c r="FN417" s="550"/>
      <c r="FO417" s="550"/>
    </row>
    <row r="418" spans="4:171" ht="43" customHeight="1" x14ac:dyDescent="0.2">
      <c r="E418" s="94" t="s">
        <v>9305</v>
      </c>
      <c r="F418" s="94" t="s">
        <v>9121</v>
      </c>
      <c r="G418" s="97" t="s">
        <v>369</v>
      </c>
      <c r="H418" s="97" t="s">
        <v>454</v>
      </c>
      <c r="I418" s="97" t="s">
        <v>8647</v>
      </c>
      <c r="J418" s="97" t="s">
        <v>8361</v>
      </c>
      <c r="K418" s="97"/>
      <c r="L418" s="502">
        <v>2011</v>
      </c>
      <c r="M418" s="841" t="s">
        <v>8269</v>
      </c>
      <c r="N418" s="97" t="s">
        <v>865</v>
      </c>
      <c r="O418" s="97"/>
      <c r="P418" s="97"/>
      <c r="Q418" s="97"/>
      <c r="R418" s="97"/>
      <c r="S418" s="97"/>
      <c r="T418" s="97"/>
      <c r="U418" s="97"/>
      <c r="V418" s="97"/>
      <c r="W418" s="97"/>
      <c r="X418" s="97"/>
      <c r="Y418" s="97"/>
      <c r="Z418" s="97" t="s">
        <v>8031</v>
      </c>
      <c r="AA418" s="872" t="s">
        <v>7597</v>
      </c>
      <c r="AB418" s="97" t="s">
        <v>7727</v>
      </c>
      <c r="AC418" s="872" t="s">
        <v>7597</v>
      </c>
      <c r="AD418" s="97" t="s">
        <v>7387</v>
      </c>
      <c r="AE418" s="872" t="s">
        <v>7209</v>
      </c>
      <c r="AF418" s="554" t="s">
        <v>7123</v>
      </c>
      <c r="AG418" s="872" t="s">
        <v>7058</v>
      </c>
      <c r="AH418" s="97" t="s">
        <v>6937</v>
      </c>
      <c r="AI418" s="97" t="s">
        <v>6778</v>
      </c>
      <c r="AJ418" s="97" t="s">
        <v>6639</v>
      </c>
      <c r="AK418" s="97" t="s">
        <v>6391</v>
      </c>
      <c r="AL418" s="580">
        <f t="shared" si="47"/>
        <v>0.32500000000000001</v>
      </c>
      <c r="AM418" s="504">
        <v>0.32500000000000001</v>
      </c>
      <c r="AN418" s="516"/>
      <c r="AO418" s="97"/>
      <c r="AP418" s="97"/>
      <c r="AQ418" s="504">
        <v>0.32500000000000001</v>
      </c>
      <c r="AR418" s="507">
        <f>AQ418/AL418</f>
        <v>1</v>
      </c>
      <c r="AS418" s="507">
        <f>AQ418/4049.1*100%</f>
        <v>8.0264750191400567E-5</v>
      </c>
      <c r="AT418" s="516">
        <v>0</v>
      </c>
      <c r="AU418" s="507"/>
      <c r="AV418" s="516">
        <v>0</v>
      </c>
      <c r="AW418" s="504">
        <v>0</v>
      </c>
      <c r="AX418" s="516">
        <v>0</v>
      </c>
      <c r="AY418" s="504">
        <v>0</v>
      </c>
      <c r="AZ418" s="516"/>
      <c r="BA418" s="504"/>
      <c r="BB418" s="504"/>
      <c r="BC418" s="504"/>
      <c r="BD418" s="504"/>
      <c r="BE418" s="507" t="s">
        <v>479</v>
      </c>
      <c r="BF418" s="507" t="s">
        <v>6268</v>
      </c>
      <c r="BG418" s="888" t="s">
        <v>6218</v>
      </c>
      <c r="BH418" s="852">
        <v>0.25</v>
      </c>
      <c r="BI418" s="504">
        <v>0.32500000000000001</v>
      </c>
      <c r="BJ418" s="507">
        <f>BI418/4273.6*100%</f>
        <v>7.6048296518157983E-5</v>
      </c>
      <c r="BK418" s="96">
        <v>3</v>
      </c>
      <c r="BL418" s="96">
        <v>3</v>
      </c>
      <c r="BM418" s="96">
        <v>3</v>
      </c>
      <c r="BN418" s="96">
        <v>0</v>
      </c>
      <c r="BO418" s="96">
        <v>0</v>
      </c>
      <c r="BP418" s="96">
        <v>0</v>
      </c>
      <c r="BQ418" s="96">
        <v>0</v>
      </c>
      <c r="BR418" s="96">
        <v>0</v>
      </c>
      <c r="BS418" s="96">
        <v>0</v>
      </c>
      <c r="BT418" s="96">
        <v>0</v>
      </c>
      <c r="BU418" s="96">
        <v>0</v>
      </c>
      <c r="BV418" s="96">
        <v>0</v>
      </c>
      <c r="BW418" s="96">
        <v>0</v>
      </c>
      <c r="BX418" s="96">
        <v>0</v>
      </c>
      <c r="BY418" s="96">
        <v>2</v>
      </c>
      <c r="BZ418" s="96">
        <v>0</v>
      </c>
      <c r="CA418" s="96">
        <v>0</v>
      </c>
      <c r="CB418" s="96">
        <v>1</v>
      </c>
      <c r="CC418" s="96">
        <v>0</v>
      </c>
      <c r="CD418" s="96">
        <v>0</v>
      </c>
      <c r="CE418" s="96">
        <v>0</v>
      </c>
      <c r="CF418" s="96">
        <v>0</v>
      </c>
      <c r="CG418" s="96">
        <v>0</v>
      </c>
      <c r="CH418" s="96">
        <v>0</v>
      </c>
      <c r="CI418" s="96">
        <v>0</v>
      </c>
      <c r="CJ418" s="96">
        <v>0</v>
      </c>
      <c r="CK418" s="96">
        <v>0</v>
      </c>
      <c r="CL418" s="815">
        <f>SUM(BN418:CK418)</f>
        <v>3</v>
      </c>
      <c r="CM418" s="824">
        <f t="shared" si="46"/>
        <v>0</v>
      </c>
      <c r="CN418" s="504">
        <v>40.61</v>
      </c>
      <c r="CO418" s="97" t="s">
        <v>470</v>
      </c>
      <c r="CP418" s="97"/>
      <c r="CQ418" s="97">
        <f>CN418/CR418*100</f>
        <v>100</v>
      </c>
      <c r="CR418" s="504">
        <v>40.61</v>
      </c>
      <c r="CS418" s="507" t="s">
        <v>5822</v>
      </c>
      <c r="CT418" s="97" t="s">
        <v>470</v>
      </c>
      <c r="CU418" s="97"/>
      <c r="CV418" s="97"/>
      <c r="CW418" s="97"/>
      <c r="CX418" s="96">
        <v>0</v>
      </c>
      <c r="CY418" s="96">
        <v>0</v>
      </c>
      <c r="CZ418" s="96">
        <v>1</v>
      </c>
      <c r="DA418" s="97" t="s">
        <v>479</v>
      </c>
      <c r="DB418" s="872" t="s">
        <v>5682</v>
      </c>
      <c r="DC418" s="96">
        <v>31</v>
      </c>
      <c r="DD418" s="97" t="s">
        <v>479</v>
      </c>
      <c r="DE418" s="872" t="s">
        <v>5598</v>
      </c>
      <c r="DF418" s="96">
        <f>9+9</f>
        <v>18</v>
      </c>
      <c r="DG418" s="96" t="s">
        <v>470</v>
      </c>
      <c r="DH418" s="96"/>
      <c r="DI418" s="96">
        <v>0</v>
      </c>
      <c r="DJ418" s="96" t="s">
        <v>470</v>
      </c>
      <c r="DK418" s="96"/>
      <c r="DL418" s="96">
        <v>0</v>
      </c>
      <c r="DM418" s="97" t="s">
        <v>470</v>
      </c>
      <c r="DN418" s="97"/>
      <c r="DO418" s="96">
        <v>0</v>
      </c>
      <c r="DP418" s="97" t="s">
        <v>470</v>
      </c>
      <c r="DQ418" s="97"/>
      <c r="DR418" s="96">
        <v>0</v>
      </c>
      <c r="DS418" s="97" t="s">
        <v>470</v>
      </c>
      <c r="DT418" s="97"/>
      <c r="DU418" s="96">
        <v>0</v>
      </c>
      <c r="DV418" s="97" t="s">
        <v>470</v>
      </c>
      <c r="DW418" s="97"/>
      <c r="DX418" s="96">
        <v>0</v>
      </c>
      <c r="DY418" s="97" t="s">
        <v>470</v>
      </c>
      <c r="DZ418" s="97"/>
      <c r="EA418" s="96">
        <v>0</v>
      </c>
      <c r="EB418" s="97" t="s">
        <v>470</v>
      </c>
      <c r="EC418" s="97"/>
      <c r="ED418" s="96">
        <v>0</v>
      </c>
      <c r="EE418" s="96" t="s">
        <v>470</v>
      </c>
      <c r="EF418" s="96"/>
      <c r="EG418" s="96">
        <v>0</v>
      </c>
      <c r="EH418" s="97" t="s">
        <v>470</v>
      </c>
      <c r="EI418" s="97"/>
      <c r="EJ418" s="96">
        <v>0</v>
      </c>
      <c r="EK418" s="97" t="s">
        <v>470</v>
      </c>
      <c r="EL418" s="97"/>
      <c r="EM418" s="96">
        <v>0</v>
      </c>
      <c r="EN418" s="97" t="s">
        <v>470</v>
      </c>
      <c r="EO418" s="97"/>
      <c r="EP418" s="96">
        <v>0</v>
      </c>
      <c r="EQ418" s="96" t="s">
        <v>479</v>
      </c>
      <c r="ER418" s="96"/>
      <c r="ES418" s="96">
        <v>0</v>
      </c>
      <c r="ET418" s="97" t="s">
        <v>470</v>
      </c>
      <c r="EU418" s="97"/>
      <c r="EV418" s="96">
        <v>0</v>
      </c>
      <c r="EW418" s="96"/>
      <c r="EX418" s="96"/>
      <c r="EY418" s="96"/>
      <c r="EZ418" s="97" t="s">
        <v>479</v>
      </c>
      <c r="FA418" s="97" t="s">
        <v>3381</v>
      </c>
      <c r="FB418" s="872" t="s">
        <v>5060</v>
      </c>
      <c r="FC418" s="97" t="s">
        <v>4948</v>
      </c>
      <c r="FD418" s="97"/>
      <c r="FE418" s="97" t="s">
        <v>4757</v>
      </c>
      <c r="FF418" s="97" t="s">
        <v>4693</v>
      </c>
      <c r="FG418" s="97" t="s">
        <v>3385</v>
      </c>
      <c r="FH418" s="97">
        <v>2</v>
      </c>
      <c r="FI418" s="97">
        <v>8</v>
      </c>
      <c r="FJ418" s="97" t="s">
        <v>4355</v>
      </c>
      <c r="FK418" s="97" t="s">
        <v>4173</v>
      </c>
      <c r="FL418" s="872" t="s">
        <v>3953</v>
      </c>
      <c r="FM418" s="97"/>
      <c r="FN418" s="97"/>
      <c r="FO418" s="872"/>
    </row>
    <row r="419" spans="4:171" ht="41" customHeight="1" x14ac:dyDescent="0.2">
      <c r="E419" s="94" t="s">
        <v>9305</v>
      </c>
      <c r="F419" s="94" t="s">
        <v>9121</v>
      </c>
      <c r="G419" s="97" t="s">
        <v>369</v>
      </c>
      <c r="H419" s="97" t="s">
        <v>454</v>
      </c>
      <c r="I419" s="97" t="s">
        <v>8646</v>
      </c>
      <c r="J419" s="97" t="s">
        <v>8353</v>
      </c>
      <c r="K419" s="97" t="s">
        <v>8353</v>
      </c>
      <c r="L419" s="502">
        <v>2018</v>
      </c>
      <c r="M419" s="841">
        <v>44708</v>
      </c>
      <c r="N419" s="841">
        <v>44926</v>
      </c>
      <c r="O419" s="841"/>
      <c r="P419" s="841"/>
      <c r="Q419" s="841"/>
      <c r="R419" s="841"/>
      <c r="S419" s="841"/>
      <c r="T419" s="841"/>
      <c r="U419" s="841"/>
      <c r="V419" s="841"/>
      <c r="W419" s="841"/>
      <c r="X419" s="841"/>
      <c r="Y419" s="841"/>
      <c r="Z419" s="97"/>
      <c r="AA419" s="842"/>
      <c r="AB419" s="97" t="s">
        <v>7726</v>
      </c>
      <c r="AC419" s="842" t="s">
        <v>7596</v>
      </c>
      <c r="AD419" s="97" t="s">
        <v>7386</v>
      </c>
      <c r="AE419" s="842" t="s">
        <v>7208</v>
      </c>
      <c r="AF419" s="97" t="s">
        <v>7122</v>
      </c>
      <c r="AG419" s="842" t="s">
        <v>7057</v>
      </c>
      <c r="AH419" s="97" t="s">
        <v>6777</v>
      </c>
      <c r="AI419" s="97" t="s">
        <v>6777</v>
      </c>
      <c r="AJ419" s="97" t="s">
        <v>477</v>
      </c>
      <c r="AK419" s="97" t="s">
        <v>6390</v>
      </c>
      <c r="AL419" s="580">
        <f t="shared" si="47"/>
        <v>5.9850000000000003</v>
      </c>
      <c r="AM419" s="504">
        <v>5.9850000000000003</v>
      </c>
      <c r="AN419" s="516"/>
      <c r="AO419" s="97"/>
      <c r="AP419" s="97"/>
      <c r="AQ419" s="504">
        <v>5.9850000000000003</v>
      </c>
      <c r="AR419" s="507">
        <v>1</v>
      </c>
      <c r="AS419" s="507">
        <v>1</v>
      </c>
      <c r="AT419" s="516">
        <v>0</v>
      </c>
      <c r="AU419" s="504">
        <v>0</v>
      </c>
      <c r="AV419" s="516">
        <v>0</v>
      </c>
      <c r="AW419" s="504">
        <v>0</v>
      </c>
      <c r="AX419" s="516">
        <v>0</v>
      </c>
      <c r="AY419" s="504">
        <v>0</v>
      </c>
      <c r="AZ419" s="516"/>
      <c r="BA419" s="504"/>
      <c r="BB419" s="504"/>
      <c r="BC419" s="504"/>
      <c r="BD419" s="504"/>
      <c r="BE419" s="507" t="s">
        <v>479</v>
      </c>
      <c r="BF419" s="507" t="s">
        <v>6267</v>
      </c>
      <c r="BG419" s="507"/>
      <c r="BH419" s="504">
        <v>0</v>
      </c>
      <c r="BI419" s="504">
        <v>0</v>
      </c>
      <c r="BJ419" s="504">
        <v>0</v>
      </c>
      <c r="BK419" s="96">
        <v>5</v>
      </c>
      <c r="BL419" s="96">
        <v>5</v>
      </c>
      <c r="BM419" s="96">
        <v>5</v>
      </c>
      <c r="BN419" s="96">
        <v>0</v>
      </c>
      <c r="BO419" s="96">
        <v>0</v>
      </c>
      <c r="BP419" s="96">
        <v>0</v>
      </c>
      <c r="BQ419" s="96">
        <v>0</v>
      </c>
      <c r="BR419" s="96">
        <v>0</v>
      </c>
      <c r="BS419" s="96">
        <v>0</v>
      </c>
      <c r="BT419" s="96">
        <v>0</v>
      </c>
      <c r="BU419" s="96">
        <v>0</v>
      </c>
      <c r="BV419" s="96">
        <v>0</v>
      </c>
      <c r="BW419" s="96">
        <v>2</v>
      </c>
      <c r="BX419" s="96">
        <v>3</v>
      </c>
      <c r="BY419" s="96">
        <v>0</v>
      </c>
      <c r="BZ419" s="96">
        <v>0</v>
      </c>
      <c r="CA419" s="96">
        <v>0</v>
      </c>
      <c r="CB419" s="96">
        <v>0</v>
      </c>
      <c r="CC419" s="96">
        <v>0</v>
      </c>
      <c r="CD419" s="96">
        <v>0</v>
      </c>
      <c r="CE419" s="96">
        <v>0</v>
      </c>
      <c r="CF419" s="96">
        <v>0</v>
      </c>
      <c r="CG419" s="96">
        <v>0</v>
      </c>
      <c r="CH419" s="96">
        <v>0</v>
      </c>
      <c r="CI419" s="96">
        <v>0</v>
      </c>
      <c r="CJ419" s="96">
        <v>0</v>
      </c>
      <c r="CK419" s="96">
        <v>0</v>
      </c>
      <c r="CL419" s="815">
        <f>SUM(BN419:CK419)</f>
        <v>5</v>
      </c>
      <c r="CM419" s="824">
        <f t="shared" si="46"/>
        <v>0</v>
      </c>
      <c r="CN419" s="504">
        <v>52.743000000000002</v>
      </c>
      <c r="CO419" s="97"/>
      <c r="CP419" s="97"/>
      <c r="CQ419" s="97">
        <v>100</v>
      </c>
      <c r="CR419" s="504">
        <v>52.743000000000002</v>
      </c>
      <c r="CS419" s="887" t="s">
        <v>5824</v>
      </c>
      <c r="CT419" s="97" t="s">
        <v>470</v>
      </c>
      <c r="CU419" s="97"/>
      <c r="CV419" s="97"/>
      <c r="CW419" s="97"/>
      <c r="CX419" s="96">
        <v>0</v>
      </c>
      <c r="CY419" s="96">
        <v>0</v>
      </c>
      <c r="CZ419" s="96">
        <v>2</v>
      </c>
      <c r="DA419" s="97" t="s">
        <v>479</v>
      </c>
      <c r="DB419" s="842" t="s">
        <v>5681</v>
      </c>
      <c r="DC419" s="96">
        <v>150</v>
      </c>
      <c r="DD419" s="97" t="s">
        <v>470</v>
      </c>
      <c r="DE419" s="97"/>
      <c r="DF419" s="96">
        <v>0</v>
      </c>
      <c r="DG419" s="96" t="s">
        <v>470</v>
      </c>
      <c r="DH419" s="96"/>
      <c r="DI419" s="96">
        <v>0</v>
      </c>
      <c r="DJ419" s="96" t="s">
        <v>470</v>
      </c>
      <c r="DK419" s="96"/>
      <c r="DL419" s="96">
        <v>0</v>
      </c>
      <c r="DM419" s="97" t="s">
        <v>470</v>
      </c>
      <c r="DN419" s="97"/>
      <c r="DO419" s="96">
        <v>0</v>
      </c>
      <c r="DP419" s="97" t="s">
        <v>470</v>
      </c>
      <c r="DQ419" s="97"/>
      <c r="DR419" s="96">
        <v>0</v>
      </c>
      <c r="DS419" s="97" t="s">
        <v>470</v>
      </c>
      <c r="DT419" s="97"/>
      <c r="DU419" s="96">
        <v>0</v>
      </c>
      <c r="DV419" s="97" t="s">
        <v>470</v>
      </c>
      <c r="DW419" s="97"/>
      <c r="DX419" s="96">
        <v>0</v>
      </c>
      <c r="DY419" s="97" t="s">
        <v>470</v>
      </c>
      <c r="DZ419" s="97"/>
      <c r="EA419" s="96">
        <v>0</v>
      </c>
      <c r="EB419" s="97" t="s">
        <v>470</v>
      </c>
      <c r="EC419" s="97"/>
      <c r="ED419" s="96">
        <v>0</v>
      </c>
      <c r="EE419" s="96" t="s">
        <v>470</v>
      </c>
      <c r="EF419" s="96"/>
      <c r="EG419" s="96">
        <v>0</v>
      </c>
      <c r="EH419" s="97" t="s">
        <v>470</v>
      </c>
      <c r="EI419" s="97"/>
      <c r="EJ419" s="96">
        <v>0</v>
      </c>
      <c r="EK419" s="97" t="s">
        <v>470</v>
      </c>
      <c r="EL419" s="97"/>
      <c r="EM419" s="96">
        <v>0</v>
      </c>
      <c r="EN419" s="97" t="s">
        <v>470</v>
      </c>
      <c r="EO419" s="97"/>
      <c r="EP419" s="96">
        <v>0</v>
      </c>
      <c r="EQ419" s="96" t="s">
        <v>470</v>
      </c>
      <c r="ER419" s="96"/>
      <c r="ES419" s="96">
        <v>0</v>
      </c>
      <c r="ET419" s="97"/>
      <c r="EU419" s="97"/>
      <c r="EV419" s="96">
        <v>0</v>
      </c>
      <c r="EW419" s="96"/>
      <c r="EX419" s="96"/>
      <c r="EY419" s="96"/>
      <c r="EZ419" s="97" t="s">
        <v>479</v>
      </c>
      <c r="FA419" s="97" t="s">
        <v>3381</v>
      </c>
      <c r="FB419" s="842" t="s">
        <v>5059</v>
      </c>
      <c r="FC419" s="97" t="s">
        <v>4947</v>
      </c>
      <c r="FD419" s="97"/>
      <c r="FE419" s="97" t="s">
        <v>4756</v>
      </c>
      <c r="FF419" s="97"/>
      <c r="FG419" s="97" t="s">
        <v>3385</v>
      </c>
      <c r="FH419" s="97">
        <v>2</v>
      </c>
      <c r="FI419" s="97">
        <v>9</v>
      </c>
      <c r="FJ419" s="97" t="s">
        <v>4354</v>
      </c>
      <c r="FK419" s="97">
        <v>89825887108</v>
      </c>
      <c r="FL419" s="842" t="s">
        <v>3952</v>
      </c>
      <c r="FM419" s="97"/>
      <c r="FN419" s="97"/>
      <c r="FO419" s="842"/>
    </row>
    <row r="420" spans="4:171" ht="42" customHeight="1" x14ac:dyDescent="0.2">
      <c r="E420" s="94" t="s">
        <v>9305</v>
      </c>
      <c r="F420" s="94" t="s">
        <v>9121</v>
      </c>
      <c r="G420" s="97" t="s">
        <v>369</v>
      </c>
      <c r="H420" s="97" t="s">
        <v>454</v>
      </c>
      <c r="I420" s="97" t="s">
        <v>8645</v>
      </c>
      <c r="J420" s="97" t="s">
        <v>8365</v>
      </c>
      <c r="K420" s="97" t="s">
        <v>8352</v>
      </c>
      <c r="L420" s="502">
        <v>2019</v>
      </c>
      <c r="M420" s="841" t="s">
        <v>8268</v>
      </c>
      <c r="N420" s="841" t="s">
        <v>1314</v>
      </c>
      <c r="O420" s="841"/>
      <c r="P420" s="841"/>
      <c r="Q420" s="841"/>
      <c r="R420" s="841"/>
      <c r="S420" s="841"/>
      <c r="T420" s="841"/>
      <c r="U420" s="841"/>
      <c r="V420" s="841"/>
      <c r="W420" s="841"/>
      <c r="X420" s="841"/>
      <c r="Y420" s="841"/>
      <c r="Z420" s="97" t="s">
        <v>8030</v>
      </c>
      <c r="AA420" s="97" t="s">
        <v>7903</v>
      </c>
      <c r="AB420" s="97" t="s">
        <v>7725</v>
      </c>
      <c r="AC420" s="97" t="s">
        <v>6217</v>
      </c>
      <c r="AD420" s="97" t="s">
        <v>7385</v>
      </c>
      <c r="AE420" s="97" t="s">
        <v>7207</v>
      </c>
      <c r="AF420" s="97" t="s">
        <v>7121</v>
      </c>
      <c r="AG420" s="97" t="s">
        <v>7056</v>
      </c>
      <c r="AH420" s="97" t="s">
        <v>6936</v>
      </c>
      <c r="AI420" s="97" t="s">
        <v>6776</v>
      </c>
      <c r="AJ420" s="97" t="s">
        <v>6638</v>
      </c>
      <c r="AK420" s="97" t="s">
        <v>6389</v>
      </c>
      <c r="AL420" s="580">
        <f t="shared" si="47"/>
        <v>2.2350000000000003</v>
      </c>
      <c r="AM420" s="504">
        <v>2.2350000000000003</v>
      </c>
      <c r="AN420" s="516"/>
      <c r="AO420" s="97"/>
      <c r="AP420" s="97"/>
      <c r="AQ420" s="504">
        <v>2.1230000000000002</v>
      </c>
      <c r="AR420" s="507">
        <v>0.94989999999999997</v>
      </c>
      <c r="AS420" s="507">
        <v>5.9999999999999995E-4</v>
      </c>
      <c r="AT420" s="516">
        <v>0</v>
      </c>
      <c r="AU420" s="507">
        <v>0</v>
      </c>
      <c r="AV420" s="516">
        <v>0</v>
      </c>
      <c r="AW420" s="507">
        <v>0</v>
      </c>
      <c r="AX420" s="516">
        <v>0.112</v>
      </c>
      <c r="AY420" s="507">
        <v>5.0099999999999999E-2</v>
      </c>
      <c r="AZ420" s="516"/>
      <c r="BA420" s="507"/>
      <c r="BB420" s="507"/>
      <c r="BC420" s="507"/>
      <c r="BD420" s="507"/>
      <c r="BE420" s="507" t="s">
        <v>479</v>
      </c>
      <c r="BF420" s="507" t="s">
        <v>6266</v>
      </c>
      <c r="BG420" s="507" t="s">
        <v>6217</v>
      </c>
      <c r="BH420" s="852">
        <v>0</v>
      </c>
      <c r="BI420" s="504">
        <v>6.6559999999999997</v>
      </c>
      <c r="BJ420" s="507">
        <v>1.8E-3</v>
      </c>
      <c r="BK420" s="96">
        <v>4</v>
      </c>
      <c r="BL420" s="96">
        <v>4</v>
      </c>
      <c r="BM420" s="96">
        <v>4</v>
      </c>
      <c r="BN420" s="96">
        <v>0</v>
      </c>
      <c r="BO420" s="96">
        <v>0</v>
      </c>
      <c r="BP420" s="96">
        <v>0</v>
      </c>
      <c r="BQ420" s="96">
        <v>0</v>
      </c>
      <c r="BR420" s="96">
        <v>0</v>
      </c>
      <c r="BS420" s="96">
        <v>0</v>
      </c>
      <c r="BT420" s="96">
        <v>0</v>
      </c>
      <c r="BU420" s="96">
        <v>0</v>
      </c>
      <c r="BV420" s="96">
        <v>2</v>
      </c>
      <c r="BW420" s="96">
        <v>0</v>
      </c>
      <c r="BX420" s="96">
        <v>0</v>
      </c>
      <c r="BY420" s="96">
        <v>2</v>
      </c>
      <c r="BZ420" s="96">
        <v>0</v>
      </c>
      <c r="CA420" s="96">
        <v>0</v>
      </c>
      <c r="CB420" s="96">
        <v>0</v>
      </c>
      <c r="CC420" s="96">
        <v>0</v>
      </c>
      <c r="CD420" s="96">
        <v>0</v>
      </c>
      <c r="CE420" s="96">
        <v>0</v>
      </c>
      <c r="CF420" s="96">
        <v>0</v>
      </c>
      <c r="CG420" s="96">
        <v>0</v>
      </c>
      <c r="CH420" s="96">
        <v>0</v>
      </c>
      <c r="CI420" s="96">
        <v>0</v>
      </c>
      <c r="CJ420" s="96">
        <v>0</v>
      </c>
      <c r="CK420" s="96">
        <v>0</v>
      </c>
      <c r="CL420" s="815">
        <v>4</v>
      </c>
      <c r="CM420" s="824">
        <f t="shared" si="46"/>
        <v>0</v>
      </c>
      <c r="CN420" s="504">
        <v>11.5</v>
      </c>
      <c r="CO420" s="97" t="s">
        <v>6027</v>
      </c>
      <c r="CP420" s="97" t="s">
        <v>5473</v>
      </c>
      <c r="CQ420" s="97">
        <v>26.827999999999999</v>
      </c>
      <c r="CR420" s="504">
        <v>45.8</v>
      </c>
      <c r="CS420" s="507" t="s">
        <v>5823</v>
      </c>
      <c r="CT420" s="97" t="s">
        <v>470</v>
      </c>
      <c r="CU420" s="97"/>
      <c r="CV420" s="97"/>
      <c r="CW420" s="97"/>
      <c r="CX420" s="96">
        <v>0</v>
      </c>
      <c r="CY420" s="96">
        <v>0</v>
      </c>
      <c r="CZ420" s="96">
        <v>2</v>
      </c>
      <c r="DA420" s="97" t="s">
        <v>479</v>
      </c>
      <c r="DB420" s="97" t="s">
        <v>5680</v>
      </c>
      <c r="DC420" s="96">
        <v>624</v>
      </c>
      <c r="DD420" s="97" t="s">
        <v>479</v>
      </c>
      <c r="DE420" s="97" t="s">
        <v>5597</v>
      </c>
      <c r="DF420" s="96">
        <v>0</v>
      </c>
      <c r="DG420" s="96" t="s">
        <v>470</v>
      </c>
      <c r="DH420" s="96"/>
      <c r="DI420" s="96">
        <v>0</v>
      </c>
      <c r="DJ420" s="96"/>
      <c r="DK420" s="96"/>
      <c r="DL420" s="96">
        <v>0</v>
      </c>
      <c r="DM420" s="97"/>
      <c r="DN420" s="97"/>
      <c r="DO420" s="96">
        <v>0</v>
      </c>
      <c r="DP420" s="97"/>
      <c r="DQ420" s="97"/>
      <c r="DR420" s="96">
        <v>0</v>
      </c>
      <c r="DS420" s="97"/>
      <c r="DT420" s="97"/>
      <c r="DU420" s="96">
        <v>0</v>
      </c>
      <c r="DV420" s="97" t="s">
        <v>5497</v>
      </c>
      <c r="DW420" s="97" t="s">
        <v>5473</v>
      </c>
      <c r="DX420" s="96">
        <v>40</v>
      </c>
      <c r="DY420" s="97" t="s">
        <v>470</v>
      </c>
      <c r="DZ420" s="97"/>
      <c r="EA420" s="96">
        <v>0</v>
      </c>
      <c r="EB420" s="97" t="s">
        <v>479</v>
      </c>
      <c r="EC420" s="97" t="s">
        <v>5389</v>
      </c>
      <c r="ED420" s="96">
        <v>40</v>
      </c>
      <c r="EE420" s="96" t="s">
        <v>470</v>
      </c>
      <c r="EF420" s="96"/>
      <c r="EG420" s="96">
        <v>0</v>
      </c>
      <c r="EH420" s="97" t="s">
        <v>470</v>
      </c>
      <c r="EI420" s="97"/>
      <c r="EJ420" s="96">
        <v>0</v>
      </c>
      <c r="EK420" s="97"/>
      <c r="EL420" s="97"/>
      <c r="EM420" s="96">
        <v>0</v>
      </c>
      <c r="EN420" s="97"/>
      <c r="EO420" s="97"/>
      <c r="EP420" s="96">
        <v>0</v>
      </c>
      <c r="EQ420" s="96" t="s">
        <v>479</v>
      </c>
      <c r="ER420" s="96" t="s">
        <v>5273</v>
      </c>
      <c r="ES420" s="96">
        <v>10</v>
      </c>
      <c r="ET420" s="97" t="s">
        <v>470</v>
      </c>
      <c r="EU420" s="97"/>
      <c r="EV420" s="96">
        <v>0</v>
      </c>
      <c r="EW420" s="96"/>
      <c r="EX420" s="96"/>
      <c r="EY420" s="96"/>
      <c r="EZ420" s="97" t="s">
        <v>479</v>
      </c>
      <c r="FA420" s="97" t="s">
        <v>3381</v>
      </c>
      <c r="FB420" s="97" t="s">
        <v>5058</v>
      </c>
      <c r="FC420" s="97" t="s">
        <v>4946</v>
      </c>
      <c r="FD420" s="97"/>
      <c r="FE420" s="97" t="s">
        <v>4755</v>
      </c>
      <c r="FF420" s="97" t="s">
        <v>4692</v>
      </c>
      <c r="FG420" s="97" t="s">
        <v>4590</v>
      </c>
      <c r="FH420" s="97">
        <v>15</v>
      </c>
      <c r="FI420" s="97">
        <v>83</v>
      </c>
      <c r="FJ420" s="97" t="s">
        <v>4353</v>
      </c>
      <c r="FK420" s="97" t="s">
        <v>4172</v>
      </c>
      <c r="FL420" s="97" t="s">
        <v>3951</v>
      </c>
      <c r="FM420" s="97"/>
      <c r="FN420" s="97"/>
      <c r="FO420" s="97"/>
    </row>
    <row r="421" spans="4:171" ht="48" customHeight="1" x14ac:dyDescent="0.2">
      <c r="E421" s="94" t="s">
        <v>9305</v>
      </c>
      <c r="F421" s="94" t="s">
        <v>9121</v>
      </c>
      <c r="G421" s="97" t="s">
        <v>369</v>
      </c>
      <c r="H421" s="97" t="s">
        <v>454</v>
      </c>
      <c r="I421" s="97" t="s">
        <v>8644</v>
      </c>
      <c r="J421" s="97" t="s">
        <v>8351</v>
      </c>
      <c r="K421" s="97" t="s">
        <v>8351</v>
      </c>
      <c r="L421" s="502">
        <v>2017</v>
      </c>
      <c r="M421" s="841" t="s">
        <v>864</v>
      </c>
      <c r="N421" s="841" t="s">
        <v>865</v>
      </c>
      <c r="O421" s="841"/>
      <c r="P421" s="841"/>
      <c r="Q421" s="841"/>
      <c r="R421" s="841"/>
      <c r="S421" s="841"/>
      <c r="T421" s="841"/>
      <c r="U421" s="841"/>
      <c r="V421" s="841"/>
      <c r="W421" s="841"/>
      <c r="X421" s="841"/>
      <c r="Y421" s="841"/>
      <c r="Z421" s="97" t="s">
        <v>470</v>
      </c>
      <c r="AA421" s="97"/>
      <c r="AB421" s="97" t="s">
        <v>7724</v>
      </c>
      <c r="AC421" s="97" t="s">
        <v>7595</v>
      </c>
      <c r="AD421" s="97" t="s">
        <v>470</v>
      </c>
      <c r="AE421" s="97"/>
      <c r="AF421" s="97" t="s">
        <v>470</v>
      </c>
      <c r="AG421" s="97"/>
      <c r="AH421" s="97" t="s">
        <v>6935</v>
      </c>
      <c r="AI421" s="97" t="s">
        <v>6388</v>
      </c>
      <c r="AJ421" s="97" t="s">
        <v>2328</v>
      </c>
      <c r="AK421" s="97" t="s">
        <v>6388</v>
      </c>
      <c r="AL421" s="580">
        <f t="shared" si="47"/>
        <v>29.38</v>
      </c>
      <c r="AM421" s="504">
        <v>29.38</v>
      </c>
      <c r="AN421" s="516"/>
      <c r="AO421" s="97"/>
      <c r="AP421" s="97"/>
      <c r="AQ421" s="504">
        <v>27.84</v>
      </c>
      <c r="AR421" s="507">
        <v>0.9476</v>
      </c>
      <c r="AS421" s="507">
        <v>4.1000000000000003E-3</v>
      </c>
      <c r="AT421" s="516">
        <v>0.41899999999999998</v>
      </c>
      <c r="AU421" s="507">
        <v>1.43E-2</v>
      </c>
      <c r="AV421" s="516">
        <v>0.35099999999999998</v>
      </c>
      <c r="AW421" s="507">
        <v>1.1900000000000001E-2</v>
      </c>
      <c r="AX421" s="516">
        <v>0.77</v>
      </c>
      <c r="AY421" s="507">
        <v>2.6200000000000001E-2</v>
      </c>
      <c r="AZ421" s="516"/>
      <c r="BA421" s="507"/>
      <c r="BB421" s="507"/>
      <c r="BC421" s="507"/>
      <c r="BD421" s="507"/>
      <c r="BE421" s="507" t="s">
        <v>479</v>
      </c>
      <c r="BF421" s="507" t="s">
        <v>6265</v>
      </c>
      <c r="BG421" s="507"/>
      <c r="BH421" s="852">
        <v>0</v>
      </c>
      <c r="BI421" s="504">
        <v>21.885999999999999</v>
      </c>
      <c r="BJ421" s="507">
        <v>4.1999999999999997E-3</v>
      </c>
      <c r="BK421" s="96">
        <v>21</v>
      </c>
      <c r="BL421" s="96">
        <v>21</v>
      </c>
      <c r="BM421" s="96">
        <v>21</v>
      </c>
      <c r="BN421" s="96">
        <v>0</v>
      </c>
      <c r="BO421" s="96">
        <v>5</v>
      </c>
      <c r="BP421" s="96">
        <v>0</v>
      </c>
      <c r="BQ421" s="96">
        <v>0</v>
      </c>
      <c r="BR421" s="96">
        <v>0</v>
      </c>
      <c r="BS421" s="96">
        <v>4</v>
      </c>
      <c r="BT421" s="96">
        <v>2</v>
      </c>
      <c r="BU421" s="96">
        <v>2</v>
      </c>
      <c r="BV421" s="96">
        <v>0</v>
      </c>
      <c r="BW421" s="96">
        <v>2</v>
      </c>
      <c r="BX421" s="96">
        <v>2</v>
      </c>
      <c r="BY421" s="96">
        <v>0</v>
      </c>
      <c r="BZ421" s="96">
        <v>1</v>
      </c>
      <c r="CA421" s="96">
        <v>0</v>
      </c>
      <c r="CB421" s="96">
        <v>1</v>
      </c>
      <c r="CC421" s="96">
        <v>0</v>
      </c>
      <c r="CD421" s="96">
        <v>0</v>
      </c>
      <c r="CE421" s="96">
        <v>0</v>
      </c>
      <c r="CF421" s="96">
        <v>0</v>
      </c>
      <c r="CG421" s="96">
        <v>0</v>
      </c>
      <c r="CH421" s="96">
        <v>0</v>
      </c>
      <c r="CI421" s="96">
        <v>0</v>
      </c>
      <c r="CJ421" s="96">
        <v>0</v>
      </c>
      <c r="CK421" s="96">
        <v>2</v>
      </c>
      <c r="CL421" s="815">
        <v>21</v>
      </c>
      <c r="CM421" s="824">
        <f t="shared" si="46"/>
        <v>0</v>
      </c>
      <c r="CN421" s="504">
        <v>86.58</v>
      </c>
      <c r="CO421" s="97" t="s">
        <v>6026</v>
      </c>
      <c r="CP421" s="97"/>
      <c r="CQ421" s="97">
        <v>191.7</v>
      </c>
      <c r="CR421" s="504">
        <v>45.158999999999999</v>
      </c>
      <c r="CS421" s="507" t="s">
        <v>5822</v>
      </c>
      <c r="CT421" s="97" t="s">
        <v>540</v>
      </c>
      <c r="CU421" s="97" t="s">
        <v>5794</v>
      </c>
      <c r="CV421" s="97" t="s">
        <v>5779</v>
      </c>
      <c r="CW421" s="97" t="s">
        <v>5759</v>
      </c>
      <c r="CX421" s="96">
        <v>3</v>
      </c>
      <c r="CY421" s="96">
        <v>25</v>
      </c>
      <c r="CZ421" s="96">
        <v>8</v>
      </c>
      <c r="DA421" s="97" t="s">
        <v>479</v>
      </c>
      <c r="DB421" s="97" t="s">
        <v>5679</v>
      </c>
      <c r="DC421" s="96">
        <v>356</v>
      </c>
      <c r="DD421" s="97" t="s">
        <v>479</v>
      </c>
      <c r="DE421" s="97" t="s">
        <v>5596</v>
      </c>
      <c r="DF421" s="96">
        <v>356</v>
      </c>
      <c r="DG421" s="96" t="s">
        <v>470</v>
      </c>
      <c r="DH421" s="96"/>
      <c r="DI421" s="96">
        <v>0</v>
      </c>
      <c r="DJ421" s="96" t="s">
        <v>470</v>
      </c>
      <c r="DK421" s="96"/>
      <c r="DL421" s="96">
        <v>0</v>
      </c>
      <c r="DM421" s="97" t="s">
        <v>470</v>
      </c>
      <c r="DN421" s="97"/>
      <c r="DO421" s="96">
        <v>0</v>
      </c>
      <c r="DP421" s="97" t="s">
        <v>470</v>
      </c>
      <c r="DQ421" s="97"/>
      <c r="DR421" s="96">
        <v>0</v>
      </c>
      <c r="DS421" s="97" t="s">
        <v>470</v>
      </c>
      <c r="DT421" s="97"/>
      <c r="DU421" s="96">
        <v>0</v>
      </c>
      <c r="DV421" s="97"/>
      <c r="DW421" s="97"/>
      <c r="DX421" s="96">
        <v>0</v>
      </c>
      <c r="DY421" s="97" t="s">
        <v>470</v>
      </c>
      <c r="DZ421" s="97"/>
      <c r="EA421" s="96">
        <v>0</v>
      </c>
      <c r="EB421" s="97" t="s">
        <v>470</v>
      </c>
      <c r="EC421" s="97"/>
      <c r="ED421" s="96">
        <v>0</v>
      </c>
      <c r="EE421" s="96" t="s">
        <v>470</v>
      </c>
      <c r="EF421" s="96"/>
      <c r="EG421" s="96">
        <v>0</v>
      </c>
      <c r="EH421" s="97" t="s">
        <v>470</v>
      </c>
      <c r="EI421" s="97"/>
      <c r="EJ421" s="96">
        <v>0</v>
      </c>
      <c r="EK421" s="97" t="s">
        <v>470</v>
      </c>
      <c r="EL421" s="97"/>
      <c r="EM421" s="96">
        <v>0</v>
      </c>
      <c r="EN421" s="97" t="s">
        <v>470</v>
      </c>
      <c r="EO421" s="97"/>
      <c r="EP421" s="96">
        <v>0</v>
      </c>
      <c r="EQ421" s="96" t="s">
        <v>479</v>
      </c>
      <c r="ER421" s="96" t="s">
        <v>5272</v>
      </c>
      <c r="ES421" s="96">
        <v>31</v>
      </c>
      <c r="ET421" s="97"/>
      <c r="EU421" s="97"/>
      <c r="EV421" s="96">
        <v>0</v>
      </c>
      <c r="EW421" s="96"/>
      <c r="EX421" s="96"/>
      <c r="EY421" s="96"/>
      <c r="EZ421" s="97" t="s">
        <v>479</v>
      </c>
      <c r="FA421" s="97" t="s">
        <v>3381</v>
      </c>
      <c r="FB421" s="97" t="s">
        <v>5057</v>
      </c>
      <c r="FC421" s="97"/>
      <c r="FD421" s="97" t="s">
        <v>4889</v>
      </c>
      <c r="FE421" s="97" t="s">
        <v>4754</v>
      </c>
      <c r="FF421" s="97" t="s">
        <v>470</v>
      </c>
      <c r="FG421" s="97" t="s">
        <v>4589</v>
      </c>
      <c r="FH421" s="97">
        <v>2</v>
      </c>
      <c r="FI421" s="97">
        <v>14</v>
      </c>
      <c r="FJ421" s="97" t="s">
        <v>4352</v>
      </c>
      <c r="FK421" s="97" t="s">
        <v>4171</v>
      </c>
      <c r="FL421" s="97" t="s">
        <v>3950</v>
      </c>
      <c r="FM421" s="97"/>
      <c r="FN421" s="97"/>
      <c r="FO421" s="97"/>
    </row>
    <row r="422" spans="4:171" ht="47" customHeight="1" x14ac:dyDescent="0.2">
      <c r="D422" s="93" t="s">
        <v>9314</v>
      </c>
      <c r="E422" s="94" t="s">
        <v>9305</v>
      </c>
      <c r="F422" s="94" t="s">
        <v>9121</v>
      </c>
      <c r="G422" s="97" t="s">
        <v>369</v>
      </c>
      <c r="H422" s="97" t="s">
        <v>454</v>
      </c>
      <c r="I422" s="97" t="s">
        <v>8643</v>
      </c>
      <c r="J422" s="97" t="s">
        <v>8456</v>
      </c>
      <c r="K422" s="97" t="s">
        <v>8350</v>
      </c>
      <c r="L422" s="502">
        <v>2018</v>
      </c>
      <c r="M422" s="841">
        <v>44510</v>
      </c>
      <c r="N422" s="841">
        <v>44926</v>
      </c>
      <c r="O422" s="841"/>
      <c r="P422" s="841"/>
      <c r="Q422" s="841"/>
      <c r="R422" s="841"/>
      <c r="S422" s="841"/>
      <c r="T422" s="841"/>
      <c r="U422" s="841"/>
      <c r="V422" s="841"/>
      <c r="W422" s="841"/>
      <c r="X422" s="841"/>
      <c r="Y422" s="841"/>
      <c r="Z422" s="97" t="s">
        <v>8029</v>
      </c>
      <c r="AA422" s="97" t="s">
        <v>7055</v>
      </c>
      <c r="AB422" s="97" t="s">
        <v>7723</v>
      </c>
      <c r="AC422" s="97" t="s">
        <v>7594</v>
      </c>
      <c r="AD422" s="97" t="s">
        <v>7384</v>
      </c>
      <c r="AE422" s="97" t="s">
        <v>7055</v>
      </c>
      <c r="AF422" s="97" t="s">
        <v>7120</v>
      </c>
      <c r="AG422" s="97" t="s">
        <v>7055</v>
      </c>
      <c r="AH422" s="97" t="s">
        <v>6934</v>
      </c>
      <c r="AI422" s="97" t="s">
        <v>6775</v>
      </c>
      <c r="AJ422" s="97" t="s">
        <v>6637</v>
      </c>
      <c r="AK422" s="97" t="s">
        <v>6387</v>
      </c>
      <c r="AL422" s="580">
        <f t="shared" si="47"/>
        <v>1.141</v>
      </c>
      <c r="AM422" s="504">
        <v>1.141</v>
      </c>
      <c r="AN422" s="516"/>
      <c r="AO422" s="97"/>
      <c r="AP422" s="97"/>
      <c r="AQ422" s="504">
        <v>1.141</v>
      </c>
      <c r="AR422" s="507">
        <v>0.41039999999999999</v>
      </c>
      <c r="AS422" s="507">
        <v>8.8000000000000005E-3</v>
      </c>
      <c r="AT422" s="516">
        <v>0</v>
      </c>
      <c r="AU422" s="504">
        <v>0</v>
      </c>
      <c r="AV422" s="516">
        <v>0</v>
      </c>
      <c r="AW422" s="504">
        <v>0</v>
      </c>
      <c r="AX422" s="516">
        <v>0</v>
      </c>
      <c r="AY422" s="504">
        <v>0</v>
      </c>
      <c r="AZ422" s="516"/>
      <c r="BA422" s="504"/>
      <c r="BB422" s="504"/>
      <c r="BC422" s="504"/>
      <c r="BD422" s="504"/>
      <c r="BE422" s="507"/>
      <c r="BF422" s="507"/>
      <c r="BG422" s="507"/>
      <c r="BH422" s="852">
        <v>0</v>
      </c>
      <c r="BI422" s="504">
        <v>6.0629999999999997</v>
      </c>
      <c r="BJ422" s="507">
        <v>2.0899999999999998E-2</v>
      </c>
      <c r="BK422" s="96">
        <v>4</v>
      </c>
      <c r="BL422" s="96">
        <v>2</v>
      </c>
      <c r="BM422" s="96">
        <v>1</v>
      </c>
      <c r="BN422" s="96">
        <v>0</v>
      </c>
      <c r="BO422" s="96">
        <v>0</v>
      </c>
      <c r="BP422" s="96">
        <v>0</v>
      </c>
      <c r="BQ422" s="96">
        <v>0</v>
      </c>
      <c r="BR422" s="96">
        <v>0</v>
      </c>
      <c r="BS422" s="96">
        <v>0</v>
      </c>
      <c r="BT422" s="96">
        <v>0</v>
      </c>
      <c r="BU422" s="96">
        <v>0</v>
      </c>
      <c r="BV422" s="96">
        <v>1</v>
      </c>
      <c r="BW422" s="96">
        <v>0</v>
      </c>
      <c r="BX422" s="96">
        <v>0</v>
      </c>
      <c r="BY422" s="96">
        <v>0</v>
      </c>
      <c r="BZ422" s="96">
        <v>0</v>
      </c>
      <c r="CA422" s="96">
        <v>0</v>
      </c>
      <c r="CB422" s="96">
        <v>0</v>
      </c>
      <c r="CC422" s="96">
        <v>0</v>
      </c>
      <c r="CD422" s="96">
        <v>0</v>
      </c>
      <c r="CE422" s="96">
        <v>0</v>
      </c>
      <c r="CF422" s="96">
        <v>0</v>
      </c>
      <c r="CG422" s="96">
        <v>0</v>
      </c>
      <c r="CH422" s="96">
        <v>0</v>
      </c>
      <c r="CI422" s="96">
        <v>0</v>
      </c>
      <c r="CJ422" s="96">
        <v>0</v>
      </c>
      <c r="CK422" s="96">
        <v>0</v>
      </c>
      <c r="CL422" s="815">
        <v>1</v>
      </c>
      <c r="CM422" s="824">
        <f t="shared" si="46"/>
        <v>0</v>
      </c>
      <c r="CN422" s="504">
        <v>5.7830000000000004</v>
      </c>
      <c r="CO422" s="97" t="s">
        <v>6025</v>
      </c>
      <c r="CP422" s="97"/>
      <c r="CQ422" s="97">
        <v>0.87</v>
      </c>
      <c r="CR422" s="504">
        <v>22.1</v>
      </c>
      <c r="CS422" s="507" t="s">
        <v>5822</v>
      </c>
      <c r="CT422" s="97" t="s">
        <v>479</v>
      </c>
      <c r="CU422" s="97" t="s">
        <v>5793</v>
      </c>
      <c r="CV422" s="97"/>
      <c r="CW422" s="97" t="s">
        <v>5758</v>
      </c>
      <c r="CX422" s="96">
        <v>3</v>
      </c>
      <c r="CY422" s="96">
        <v>30</v>
      </c>
      <c r="CZ422" s="96">
        <v>1</v>
      </c>
      <c r="DA422" s="97" t="s">
        <v>479</v>
      </c>
      <c r="DB422" s="97" t="s">
        <v>5678</v>
      </c>
      <c r="DC422" s="96">
        <v>155</v>
      </c>
      <c r="DD422" s="97" t="s">
        <v>479</v>
      </c>
      <c r="DE422" s="97" t="s">
        <v>621</v>
      </c>
      <c r="DF422" s="96">
        <v>10</v>
      </c>
      <c r="DG422" s="96" t="s">
        <v>470</v>
      </c>
      <c r="DH422" s="96"/>
      <c r="DI422" s="96">
        <v>0</v>
      </c>
      <c r="DJ422" s="96" t="s">
        <v>470</v>
      </c>
      <c r="DK422" s="96"/>
      <c r="DL422" s="96">
        <v>0</v>
      </c>
      <c r="DM422" s="97" t="s">
        <v>470</v>
      </c>
      <c r="DN422" s="97"/>
      <c r="DO422" s="96">
        <v>0</v>
      </c>
      <c r="DP422" s="97" t="s">
        <v>479</v>
      </c>
      <c r="DQ422" s="97" t="s">
        <v>5535</v>
      </c>
      <c r="DR422" s="96">
        <v>77</v>
      </c>
      <c r="DS422" s="97" t="s">
        <v>470</v>
      </c>
      <c r="DT422" s="97"/>
      <c r="DU422" s="96">
        <v>0</v>
      </c>
      <c r="DV422" s="97"/>
      <c r="DW422" s="97"/>
      <c r="DX422" s="96">
        <v>0</v>
      </c>
      <c r="DY422" s="97" t="s">
        <v>479</v>
      </c>
      <c r="DZ422" s="97" t="s">
        <v>5449</v>
      </c>
      <c r="EA422" s="96">
        <v>636</v>
      </c>
      <c r="EB422" s="97" t="s">
        <v>470</v>
      </c>
      <c r="EC422" s="97"/>
      <c r="ED422" s="96">
        <v>0</v>
      </c>
      <c r="EE422" s="96" t="s">
        <v>470</v>
      </c>
      <c r="EF422" s="96"/>
      <c r="EG422" s="96">
        <v>0</v>
      </c>
      <c r="EH422" s="97" t="s">
        <v>470</v>
      </c>
      <c r="EI422" s="97"/>
      <c r="EJ422" s="96">
        <v>0</v>
      </c>
      <c r="EK422" s="97" t="s">
        <v>470</v>
      </c>
      <c r="EL422" s="97"/>
      <c r="EM422" s="96">
        <v>0</v>
      </c>
      <c r="EN422" s="97" t="s">
        <v>470</v>
      </c>
      <c r="EO422" s="97"/>
      <c r="EP422" s="96">
        <v>0</v>
      </c>
      <c r="EQ422" s="96" t="s">
        <v>479</v>
      </c>
      <c r="ER422" s="96" t="s">
        <v>5271</v>
      </c>
      <c r="ES422" s="96">
        <v>0</v>
      </c>
      <c r="ET422" s="97"/>
      <c r="EU422" s="97"/>
      <c r="EV422" s="96">
        <v>0</v>
      </c>
      <c r="EW422" s="96"/>
      <c r="EX422" s="96"/>
      <c r="EY422" s="96"/>
      <c r="EZ422" s="97" t="s">
        <v>479</v>
      </c>
      <c r="FA422" s="97" t="s">
        <v>3381</v>
      </c>
      <c r="FB422" s="97" t="s">
        <v>5056</v>
      </c>
      <c r="FC422" s="97" t="s">
        <v>4945</v>
      </c>
      <c r="FD422" s="97" t="s">
        <v>4691</v>
      </c>
      <c r="FE422" s="97" t="s">
        <v>4753</v>
      </c>
      <c r="FF422" s="97" t="s">
        <v>4691</v>
      </c>
      <c r="FG422" s="97" t="s">
        <v>4583</v>
      </c>
      <c r="FH422" s="97">
        <v>2</v>
      </c>
      <c r="FI422" s="97">
        <v>23</v>
      </c>
      <c r="FJ422" s="97" t="s">
        <v>4351</v>
      </c>
      <c r="FK422" s="97" t="s">
        <v>4170</v>
      </c>
      <c r="FL422" s="97" t="s">
        <v>3949</v>
      </c>
      <c r="FM422" s="97"/>
      <c r="FN422" s="97"/>
      <c r="FO422" s="97"/>
    </row>
    <row r="423" spans="4:171" ht="48" customHeight="1" x14ac:dyDescent="0.2">
      <c r="E423" s="94" t="s">
        <v>9305</v>
      </c>
      <c r="F423" s="94" t="s">
        <v>9121</v>
      </c>
      <c r="G423" s="97" t="s">
        <v>369</v>
      </c>
      <c r="H423" s="97" t="s">
        <v>454</v>
      </c>
      <c r="I423" s="97" t="s">
        <v>8642</v>
      </c>
      <c r="J423" s="97" t="s">
        <v>8455</v>
      </c>
      <c r="K423" s="97" t="s">
        <v>8349</v>
      </c>
      <c r="L423" s="502">
        <v>2021</v>
      </c>
      <c r="M423" s="841">
        <v>44315</v>
      </c>
      <c r="N423" s="841">
        <v>44926</v>
      </c>
      <c r="O423" s="841"/>
      <c r="P423" s="841"/>
      <c r="Q423" s="841"/>
      <c r="R423" s="841"/>
      <c r="S423" s="841"/>
      <c r="T423" s="841"/>
      <c r="U423" s="841"/>
      <c r="V423" s="841"/>
      <c r="W423" s="841"/>
      <c r="X423" s="841"/>
      <c r="Y423" s="841"/>
      <c r="Z423" s="97" t="s">
        <v>8028</v>
      </c>
      <c r="AA423" s="97" t="s">
        <v>7902</v>
      </c>
      <c r="AB423" s="97" t="s">
        <v>7722</v>
      </c>
      <c r="AC423" s="97" t="s">
        <v>7593</v>
      </c>
      <c r="AD423" s="97" t="s">
        <v>7383</v>
      </c>
      <c r="AE423" s="97" t="s">
        <v>7206</v>
      </c>
      <c r="AF423" s="97" t="s">
        <v>7119</v>
      </c>
      <c r="AG423" s="842" t="s">
        <v>7054</v>
      </c>
      <c r="AH423" s="97" t="s">
        <v>6933</v>
      </c>
      <c r="AI423" s="97" t="s">
        <v>6774</v>
      </c>
      <c r="AJ423" s="97" t="s">
        <v>6636</v>
      </c>
      <c r="AK423" s="97" t="s">
        <v>6386</v>
      </c>
      <c r="AL423" s="580">
        <f t="shared" si="47"/>
        <v>21.51</v>
      </c>
      <c r="AM423" s="504">
        <v>21.51</v>
      </c>
      <c r="AN423" s="516"/>
      <c r="AO423" s="97"/>
      <c r="AP423" s="97"/>
      <c r="AQ423" s="504">
        <v>21.48</v>
      </c>
      <c r="AR423" s="507">
        <v>0.99860529986052993</v>
      </c>
      <c r="AS423" s="507">
        <v>5.8675715328812105E-4</v>
      </c>
      <c r="AT423" s="516">
        <v>0</v>
      </c>
      <c r="AU423" s="507">
        <v>0</v>
      </c>
      <c r="AV423" s="516">
        <v>0</v>
      </c>
      <c r="AW423" s="507">
        <v>0</v>
      </c>
      <c r="AX423" s="516">
        <v>0.03</v>
      </c>
      <c r="AY423" s="507">
        <v>1.3947001394700139E-3</v>
      </c>
      <c r="AZ423" s="516"/>
      <c r="BA423" s="507"/>
      <c r="BB423" s="507"/>
      <c r="BC423" s="507"/>
      <c r="BD423" s="507"/>
      <c r="BE423" s="507" t="s">
        <v>479</v>
      </c>
      <c r="BF423" s="507" t="s">
        <v>6264</v>
      </c>
      <c r="BG423" s="507"/>
      <c r="BH423" s="852">
        <v>0</v>
      </c>
      <c r="BI423" s="504">
        <v>45</v>
      </c>
      <c r="BJ423" s="507">
        <v>8.6057908268121733E-4</v>
      </c>
      <c r="BK423" s="96">
        <v>13</v>
      </c>
      <c r="BL423" s="96">
        <v>7</v>
      </c>
      <c r="BM423" s="96">
        <v>7</v>
      </c>
      <c r="BN423" s="96">
        <v>0</v>
      </c>
      <c r="BO423" s="96">
        <v>0</v>
      </c>
      <c r="BP423" s="96">
        <v>0</v>
      </c>
      <c r="BQ423" s="96">
        <v>0</v>
      </c>
      <c r="BR423" s="96">
        <v>0</v>
      </c>
      <c r="BS423" s="96">
        <v>0</v>
      </c>
      <c r="BT423" s="96">
        <v>0</v>
      </c>
      <c r="BU423" s="96">
        <v>0</v>
      </c>
      <c r="BV423" s="96">
        <v>0</v>
      </c>
      <c r="BW423" s="96">
        <v>0</v>
      </c>
      <c r="BX423" s="96">
        <v>0</v>
      </c>
      <c r="BY423" s="96">
        <v>3</v>
      </c>
      <c r="BZ423" s="96">
        <v>0</v>
      </c>
      <c r="CA423" s="96">
        <v>0</v>
      </c>
      <c r="CB423" s="96">
        <v>1</v>
      </c>
      <c r="CC423" s="96">
        <v>0</v>
      </c>
      <c r="CD423" s="96">
        <v>0</v>
      </c>
      <c r="CE423" s="96">
        <v>0</v>
      </c>
      <c r="CF423" s="96">
        <v>0</v>
      </c>
      <c r="CG423" s="96">
        <v>0</v>
      </c>
      <c r="CH423" s="96">
        <v>0</v>
      </c>
      <c r="CI423" s="96">
        <v>0</v>
      </c>
      <c r="CJ423" s="96">
        <v>0</v>
      </c>
      <c r="CK423" s="96">
        <v>1</v>
      </c>
      <c r="CL423" s="815">
        <v>5</v>
      </c>
      <c r="CM423" s="824">
        <f t="shared" si="46"/>
        <v>0</v>
      </c>
      <c r="CN423" s="504">
        <v>184.3</v>
      </c>
      <c r="CO423" s="97" t="s">
        <v>9650</v>
      </c>
      <c r="CP423" s="97"/>
      <c r="CQ423" s="963">
        <v>0.4654745668535637</v>
      </c>
      <c r="CR423" s="504">
        <v>395.94</v>
      </c>
      <c r="CS423" s="887" t="s">
        <v>1902</v>
      </c>
      <c r="CT423" s="97" t="s">
        <v>470</v>
      </c>
      <c r="CU423" s="97"/>
      <c r="CV423" s="97"/>
      <c r="CW423" s="97"/>
      <c r="CX423" s="96"/>
      <c r="CY423" s="96"/>
      <c r="CZ423" s="96">
        <v>13</v>
      </c>
      <c r="DA423" s="97" t="s">
        <v>479</v>
      </c>
      <c r="DB423" s="97" t="s">
        <v>5677</v>
      </c>
      <c r="DC423" s="96">
        <v>1304</v>
      </c>
      <c r="DD423" s="97" t="s">
        <v>479</v>
      </c>
      <c r="DE423" s="97" t="s">
        <v>5595</v>
      </c>
      <c r="DF423" s="96">
        <v>3</v>
      </c>
      <c r="DG423" s="96" t="s">
        <v>479</v>
      </c>
      <c r="DH423" s="96" t="s">
        <v>5555</v>
      </c>
      <c r="DI423" s="96">
        <v>0</v>
      </c>
      <c r="DJ423" s="96" t="s">
        <v>470</v>
      </c>
      <c r="DK423" s="96"/>
      <c r="DL423" s="96">
        <v>0</v>
      </c>
      <c r="DM423" s="97" t="s">
        <v>470</v>
      </c>
      <c r="DN423" s="97"/>
      <c r="DO423" s="96">
        <v>0</v>
      </c>
      <c r="DP423" s="97" t="s">
        <v>470</v>
      </c>
      <c r="DQ423" s="97"/>
      <c r="DR423" s="96">
        <v>0</v>
      </c>
      <c r="DS423" s="97" t="s">
        <v>470</v>
      </c>
      <c r="DT423" s="97"/>
      <c r="DU423" s="96">
        <v>0</v>
      </c>
      <c r="DV423" s="97" t="s">
        <v>5496</v>
      </c>
      <c r="DW423" s="97" t="s">
        <v>5472</v>
      </c>
      <c r="DX423" s="96"/>
      <c r="DY423" s="97" t="s">
        <v>479</v>
      </c>
      <c r="DZ423" s="842" t="s">
        <v>3376</v>
      </c>
      <c r="EA423" s="96">
        <v>11488</v>
      </c>
      <c r="EB423" s="97" t="s">
        <v>470</v>
      </c>
      <c r="EC423" s="97"/>
      <c r="ED423" s="96">
        <v>0</v>
      </c>
      <c r="EE423" s="96" t="s">
        <v>470</v>
      </c>
      <c r="EF423" s="96"/>
      <c r="EG423" s="96">
        <v>0</v>
      </c>
      <c r="EH423" s="97" t="s">
        <v>470</v>
      </c>
      <c r="EI423" s="97"/>
      <c r="EJ423" s="96">
        <v>0</v>
      </c>
      <c r="EK423" s="97" t="s">
        <v>470</v>
      </c>
      <c r="EL423" s="97"/>
      <c r="EM423" s="96"/>
      <c r="EN423" s="97" t="s">
        <v>470</v>
      </c>
      <c r="EO423" s="97"/>
      <c r="EP423" s="96">
        <v>0</v>
      </c>
      <c r="EQ423" s="96" t="s">
        <v>479</v>
      </c>
      <c r="ER423" s="96" t="s">
        <v>5270</v>
      </c>
      <c r="ES423" s="96">
        <v>25</v>
      </c>
      <c r="ET423" s="97" t="s">
        <v>470</v>
      </c>
      <c r="EU423" s="97"/>
      <c r="EV423" s="96">
        <v>0</v>
      </c>
      <c r="EW423" s="96"/>
      <c r="EX423" s="96"/>
      <c r="EY423" s="96"/>
      <c r="EZ423" s="97" t="s">
        <v>479</v>
      </c>
      <c r="FA423" s="97" t="s">
        <v>3381</v>
      </c>
      <c r="FB423" s="842" t="s">
        <v>5055</v>
      </c>
      <c r="FC423" s="842" t="s">
        <v>4944</v>
      </c>
      <c r="FD423" s="842" t="s">
        <v>4888</v>
      </c>
      <c r="FE423" s="97" t="s">
        <v>4752</v>
      </c>
      <c r="FF423" s="97" t="s">
        <v>4690</v>
      </c>
      <c r="FG423" s="97" t="s">
        <v>4588</v>
      </c>
      <c r="FH423" s="97">
        <v>6</v>
      </c>
      <c r="FI423" s="97">
        <v>6</v>
      </c>
      <c r="FJ423" s="97" t="s">
        <v>4350</v>
      </c>
      <c r="FK423" s="97" t="s">
        <v>4169</v>
      </c>
      <c r="FL423" s="842" t="s">
        <v>3948</v>
      </c>
      <c r="FM423" s="97"/>
      <c r="FN423" s="97"/>
      <c r="FO423" s="97"/>
    </row>
    <row r="424" spans="4:171" ht="47" customHeight="1" x14ac:dyDescent="0.2">
      <c r="E424" s="94" t="s">
        <v>9305</v>
      </c>
      <c r="F424" s="94" t="s">
        <v>9121</v>
      </c>
      <c r="G424" s="97" t="s">
        <v>369</v>
      </c>
      <c r="H424" s="97" t="s">
        <v>454</v>
      </c>
      <c r="I424" s="1157" t="s">
        <v>8641</v>
      </c>
      <c r="J424" s="1157" t="s">
        <v>7721</v>
      </c>
      <c r="K424" s="1157" t="s">
        <v>8348</v>
      </c>
      <c r="L424" s="1158">
        <v>2021</v>
      </c>
      <c r="M424" s="1159">
        <v>44676</v>
      </c>
      <c r="N424" s="1159">
        <v>44926</v>
      </c>
      <c r="O424" s="1159"/>
      <c r="P424" s="1159"/>
      <c r="Q424" s="1159"/>
      <c r="R424" s="1159"/>
      <c r="S424" s="1159"/>
      <c r="T424" s="1159"/>
      <c r="U424" s="1159"/>
      <c r="V424" s="1159"/>
      <c r="W424" s="1159"/>
      <c r="X424" s="1159"/>
      <c r="Y424" s="1159"/>
      <c r="Z424" s="1157" t="s">
        <v>8027</v>
      </c>
      <c r="AA424" s="1157" t="s">
        <v>9651</v>
      </c>
      <c r="AB424" s="1157" t="s">
        <v>7721</v>
      </c>
      <c r="AC424" s="1160" t="s">
        <v>6216</v>
      </c>
      <c r="AD424" s="1157" t="s">
        <v>7382</v>
      </c>
      <c r="AE424" s="1157" t="s">
        <v>9652</v>
      </c>
      <c r="AF424" s="1157" t="s">
        <v>7118</v>
      </c>
      <c r="AG424" s="1157" t="s">
        <v>7053</v>
      </c>
      <c r="AH424" s="1157" t="s">
        <v>6932</v>
      </c>
      <c r="AI424" s="1157" t="s">
        <v>6773</v>
      </c>
      <c r="AJ424" s="1157" t="s">
        <v>504</v>
      </c>
      <c r="AK424" s="1157" t="s">
        <v>6385</v>
      </c>
      <c r="AL424" s="580">
        <f t="shared" si="47"/>
        <v>31.992000000000001</v>
      </c>
      <c r="AM424" s="1161">
        <v>31.992000000000001</v>
      </c>
      <c r="AN424" s="1162"/>
      <c r="AO424" s="1163"/>
      <c r="AP424" s="1163"/>
      <c r="AQ424" s="1161">
        <v>30.199000000000002</v>
      </c>
      <c r="AR424" s="1164">
        <v>0.94400000000000006</v>
      </c>
      <c r="AS424" s="1164">
        <v>1.2999999999999999E-3</v>
      </c>
      <c r="AT424" s="1162">
        <v>0</v>
      </c>
      <c r="AU424" s="1164" t="s">
        <v>6345</v>
      </c>
      <c r="AV424" s="1162">
        <v>0</v>
      </c>
      <c r="AW424" s="1164" t="s">
        <v>6345</v>
      </c>
      <c r="AX424" s="1162">
        <v>1.7929999999999999</v>
      </c>
      <c r="AY424" s="1164">
        <v>5.5999999999999994E-2</v>
      </c>
      <c r="AZ424" s="1162"/>
      <c r="BA424" s="1165"/>
      <c r="BB424" s="1165"/>
      <c r="BC424" s="1165"/>
      <c r="BD424" s="1165"/>
      <c r="BE424" s="1165" t="s">
        <v>479</v>
      </c>
      <c r="BF424" s="1165" t="s">
        <v>6263</v>
      </c>
      <c r="BG424" s="1166" t="s">
        <v>6216</v>
      </c>
      <c r="BH424" s="1167">
        <v>0</v>
      </c>
      <c r="BI424" s="1168">
        <v>29.95</v>
      </c>
      <c r="BJ424" s="1165">
        <v>1.2999999999999999E-3</v>
      </c>
      <c r="BK424" s="1169">
        <v>25</v>
      </c>
      <c r="BL424" s="1169">
        <v>19</v>
      </c>
      <c r="BM424" s="1169">
        <v>4</v>
      </c>
      <c r="BN424" s="1169">
        <v>0</v>
      </c>
      <c r="BO424" s="1169">
        <v>0</v>
      </c>
      <c r="BP424" s="1169">
        <v>0</v>
      </c>
      <c r="BQ424" s="1169">
        <v>0</v>
      </c>
      <c r="BR424" s="1169">
        <v>0</v>
      </c>
      <c r="BS424" s="1169">
        <v>0</v>
      </c>
      <c r="BT424" s="1169">
        <v>2</v>
      </c>
      <c r="BU424" s="1169">
        <v>0</v>
      </c>
      <c r="BV424" s="1169">
        <v>0</v>
      </c>
      <c r="BW424" s="1169">
        <v>0</v>
      </c>
      <c r="BX424" s="1169">
        <v>1</v>
      </c>
      <c r="BY424" s="1169">
        <v>1</v>
      </c>
      <c r="BZ424" s="1169">
        <v>0</v>
      </c>
      <c r="CA424" s="1169">
        <v>0</v>
      </c>
      <c r="CB424" s="1169">
        <v>0</v>
      </c>
      <c r="CC424" s="1169">
        <v>0</v>
      </c>
      <c r="CD424" s="1169">
        <v>0</v>
      </c>
      <c r="CE424" s="1169">
        <v>0</v>
      </c>
      <c r="CF424" s="1169">
        <v>0</v>
      </c>
      <c r="CG424" s="1169">
        <v>0</v>
      </c>
      <c r="CH424" s="1169">
        <v>0</v>
      </c>
      <c r="CI424" s="1169">
        <v>0</v>
      </c>
      <c r="CJ424" s="1169">
        <v>0</v>
      </c>
      <c r="CK424" s="1169">
        <v>0</v>
      </c>
      <c r="CL424" s="1170">
        <v>4</v>
      </c>
      <c r="CM424" s="824">
        <f t="shared" si="46"/>
        <v>0</v>
      </c>
      <c r="CN424" s="1168">
        <v>73</v>
      </c>
      <c r="CO424" s="1157" t="s">
        <v>6024</v>
      </c>
      <c r="CP424" s="1157"/>
      <c r="CQ424" s="1157">
        <v>26</v>
      </c>
      <c r="CR424" s="1168">
        <v>280.834</v>
      </c>
      <c r="CS424" s="1165" t="s">
        <v>5821</v>
      </c>
      <c r="CT424" s="1157" t="s">
        <v>470</v>
      </c>
      <c r="CU424" s="1157"/>
      <c r="CV424" s="1157"/>
      <c r="CW424" s="1157"/>
      <c r="CX424" s="1169">
        <v>0</v>
      </c>
      <c r="CY424" s="1169">
        <v>0</v>
      </c>
      <c r="CZ424" s="1169">
        <v>2</v>
      </c>
      <c r="DA424" s="1157" t="s">
        <v>479</v>
      </c>
      <c r="DB424" s="1157" t="s">
        <v>5421</v>
      </c>
      <c r="DC424" s="1169">
        <v>2753</v>
      </c>
      <c r="DD424" s="1157" t="s">
        <v>470</v>
      </c>
      <c r="DE424" s="1157"/>
      <c r="DF424" s="1169">
        <v>0</v>
      </c>
      <c r="DG424" s="1157" t="s">
        <v>470</v>
      </c>
      <c r="DH424" s="1169"/>
      <c r="DI424" s="1169">
        <v>0</v>
      </c>
      <c r="DJ424" s="1157" t="s">
        <v>470</v>
      </c>
      <c r="DK424" s="1169"/>
      <c r="DL424" s="1169">
        <v>0</v>
      </c>
      <c r="DM424" s="1157" t="s">
        <v>470</v>
      </c>
      <c r="DN424" s="1157"/>
      <c r="DO424" s="1169">
        <v>0</v>
      </c>
      <c r="DP424" s="1157" t="s">
        <v>470</v>
      </c>
      <c r="DQ424" s="1157"/>
      <c r="DR424" s="1169">
        <v>0</v>
      </c>
      <c r="DS424" s="1157" t="s">
        <v>470</v>
      </c>
      <c r="DT424" s="1157"/>
      <c r="DU424" s="1169">
        <v>0</v>
      </c>
      <c r="DV424" s="1157" t="s">
        <v>470</v>
      </c>
      <c r="DW424" s="1157"/>
      <c r="DX424" s="1169">
        <v>0</v>
      </c>
      <c r="DY424" s="1157" t="s">
        <v>470</v>
      </c>
      <c r="DZ424" s="1157"/>
      <c r="EA424" s="1169">
        <v>0</v>
      </c>
      <c r="EB424" s="1157" t="s">
        <v>470</v>
      </c>
      <c r="EC424" s="1157"/>
      <c r="ED424" s="1169">
        <v>0</v>
      </c>
      <c r="EE424" s="1157" t="s">
        <v>470</v>
      </c>
      <c r="EF424" s="1169"/>
      <c r="EG424" s="1169">
        <v>0</v>
      </c>
      <c r="EH424" s="1157" t="s">
        <v>470</v>
      </c>
      <c r="EI424" s="1157"/>
      <c r="EJ424" s="1169">
        <v>0</v>
      </c>
      <c r="EK424" s="1157" t="s">
        <v>470</v>
      </c>
      <c r="EL424" s="1157"/>
      <c r="EM424" s="1169">
        <v>0</v>
      </c>
      <c r="EN424" s="1157" t="s">
        <v>470</v>
      </c>
      <c r="EO424" s="1157"/>
      <c r="EP424" s="1169">
        <v>0</v>
      </c>
      <c r="EQ424" s="1169" t="s">
        <v>479</v>
      </c>
      <c r="ER424" s="1169" t="s">
        <v>4887</v>
      </c>
      <c r="ES424" s="1169">
        <v>10</v>
      </c>
      <c r="ET424" s="1157" t="s">
        <v>470</v>
      </c>
      <c r="EU424" s="1157"/>
      <c r="EV424" s="1169">
        <v>0</v>
      </c>
      <c r="EW424" s="1169"/>
      <c r="EX424" s="1169"/>
      <c r="EY424" s="1169"/>
      <c r="EZ424" s="1157" t="s">
        <v>540</v>
      </c>
      <c r="FA424" s="1157" t="s">
        <v>9653</v>
      </c>
      <c r="FB424" s="1157" t="s">
        <v>5054</v>
      </c>
      <c r="FC424" s="1157" t="s">
        <v>4943</v>
      </c>
      <c r="FD424" s="1157" t="s">
        <v>4887</v>
      </c>
      <c r="FE424" s="1157" t="s">
        <v>4751</v>
      </c>
      <c r="FF424" s="1157"/>
      <c r="FG424" s="1157" t="s">
        <v>4587</v>
      </c>
      <c r="FH424" s="1157">
        <v>15</v>
      </c>
      <c r="FI424" s="1157">
        <v>65</v>
      </c>
      <c r="FJ424" s="1157" t="s">
        <v>4349</v>
      </c>
      <c r="FK424" s="1157" t="s">
        <v>4168</v>
      </c>
      <c r="FL424" s="1157" t="s">
        <v>3947</v>
      </c>
      <c r="FM424" s="1157"/>
      <c r="FN424" s="1157"/>
      <c r="FO424" s="1157"/>
    </row>
    <row r="425" spans="4:171" ht="48" customHeight="1" x14ac:dyDescent="0.2">
      <c r="E425" s="94" t="s">
        <v>9305</v>
      </c>
      <c r="F425" s="94" t="s">
        <v>9121</v>
      </c>
      <c r="G425" s="97" t="s">
        <v>369</v>
      </c>
      <c r="H425" s="97" t="s">
        <v>454</v>
      </c>
      <c r="I425" s="97" t="s">
        <v>8640</v>
      </c>
      <c r="J425" s="97" t="s">
        <v>3260</v>
      </c>
      <c r="K425" s="97" t="s">
        <v>3260</v>
      </c>
      <c r="L425" s="502">
        <v>2018</v>
      </c>
      <c r="M425" s="841">
        <v>44562</v>
      </c>
      <c r="N425" s="841">
        <v>44926</v>
      </c>
      <c r="O425" s="841"/>
      <c r="P425" s="841"/>
      <c r="Q425" s="841"/>
      <c r="R425" s="841"/>
      <c r="S425" s="841"/>
      <c r="T425" s="841"/>
      <c r="U425" s="841"/>
      <c r="V425" s="841"/>
      <c r="W425" s="841"/>
      <c r="X425" s="841"/>
      <c r="Y425" s="841"/>
      <c r="Z425" s="97"/>
      <c r="AA425" s="97"/>
      <c r="AB425" s="97" t="s">
        <v>7720</v>
      </c>
      <c r="AC425" s="97" t="s">
        <v>7592</v>
      </c>
      <c r="AD425" s="97" t="s">
        <v>7381</v>
      </c>
      <c r="AE425" s="97" t="s">
        <v>7205</v>
      </c>
      <c r="AF425" s="97"/>
      <c r="AG425" s="97"/>
      <c r="AH425" s="97" t="s">
        <v>6931</v>
      </c>
      <c r="AI425" s="97" t="s">
        <v>6772</v>
      </c>
      <c r="AJ425" s="97" t="s">
        <v>6635</v>
      </c>
      <c r="AK425" s="97" t="s">
        <v>6384</v>
      </c>
      <c r="AL425" s="580">
        <f t="shared" si="47"/>
        <v>48.100399999999993</v>
      </c>
      <c r="AM425" s="504">
        <v>48.100399999999993</v>
      </c>
      <c r="AN425" s="516"/>
      <c r="AO425" s="97"/>
      <c r="AP425" s="97"/>
      <c r="AQ425" s="504">
        <v>47.854999999999997</v>
      </c>
      <c r="AR425" s="507">
        <v>0.99590856495933533</v>
      </c>
      <c r="AS425" s="507"/>
      <c r="AT425" s="516">
        <v>8.8999999999999996E-2</v>
      </c>
      <c r="AU425" s="507">
        <v>1.852175577920402E-3</v>
      </c>
      <c r="AV425" s="516">
        <v>3.0799999999999998E-2</v>
      </c>
      <c r="AW425" s="507">
        <v>6.4097761572975715E-4</v>
      </c>
      <c r="AX425" s="516">
        <v>0.12560000000000002</v>
      </c>
      <c r="AY425" s="507">
        <v>2.6138567706382311E-3</v>
      </c>
      <c r="AZ425" s="516"/>
      <c r="BA425" s="507"/>
      <c r="BB425" s="507"/>
      <c r="BC425" s="507"/>
      <c r="BD425" s="507"/>
      <c r="BE425" s="507"/>
      <c r="BF425" s="507"/>
      <c r="BG425" s="97"/>
      <c r="BH425" s="504">
        <v>133.98500000000001</v>
      </c>
      <c r="BI425" s="504" t="e">
        <v>#REF!</v>
      </c>
      <c r="BJ425" s="507">
        <v>0</v>
      </c>
      <c r="BK425" s="96">
        <v>12</v>
      </c>
      <c r="BL425" s="96">
        <v>11</v>
      </c>
      <c r="BM425" s="96">
        <v>10</v>
      </c>
      <c r="BN425" s="96">
        <v>0</v>
      </c>
      <c r="BO425" s="96">
        <v>3</v>
      </c>
      <c r="BP425" s="96">
        <v>1</v>
      </c>
      <c r="BQ425" s="96">
        <v>1</v>
      </c>
      <c r="BR425" s="96">
        <v>0</v>
      </c>
      <c r="BS425" s="96">
        <v>1</v>
      </c>
      <c r="BT425" s="96">
        <v>1</v>
      </c>
      <c r="BU425" s="96">
        <v>0</v>
      </c>
      <c r="BV425" s="96">
        <v>0</v>
      </c>
      <c r="BW425" s="96">
        <v>0</v>
      </c>
      <c r="BX425" s="96">
        <v>0</v>
      </c>
      <c r="BY425" s="96">
        <v>3</v>
      </c>
      <c r="BZ425" s="96">
        <v>2</v>
      </c>
      <c r="CA425" s="96">
        <v>0</v>
      </c>
      <c r="CB425" s="96">
        <v>0</v>
      </c>
      <c r="CC425" s="96">
        <v>0</v>
      </c>
      <c r="CD425" s="96">
        <v>0</v>
      </c>
      <c r="CE425" s="96">
        <v>0</v>
      </c>
      <c r="CF425" s="96">
        <v>0</v>
      </c>
      <c r="CG425" s="96">
        <v>0</v>
      </c>
      <c r="CH425" s="96">
        <v>0</v>
      </c>
      <c r="CI425" s="96">
        <v>0</v>
      </c>
      <c r="CJ425" s="96">
        <v>0</v>
      </c>
      <c r="CK425" s="96">
        <v>0</v>
      </c>
      <c r="CL425" s="815">
        <f t="shared" ref="CL425:CL430" si="49">SUM(BN425:CK425)</f>
        <v>12</v>
      </c>
      <c r="CM425" s="824">
        <f t="shared" si="46"/>
        <v>0</v>
      </c>
      <c r="CN425" s="611">
        <v>2.7</v>
      </c>
      <c r="CO425" s="97"/>
      <c r="CP425" s="97"/>
      <c r="CQ425" s="619">
        <f>CN425/CR425*100</f>
        <v>8.9108910891089117</v>
      </c>
      <c r="CR425" s="611">
        <v>30.3</v>
      </c>
      <c r="CS425" s="507" t="s">
        <v>5820</v>
      </c>
      <c r="CT425" s="97" t="s">
        <v>470</v>
      </c>
      <c r="CU425" s="97"/>
      <c r="CV425" s="97"/>
      <c r="CW425" s="97"/>
      <c r="CX425" s="96" t="e">
        <v>#REF!</v>
      </c>
      <c r="CY425" s="96" t="e">
        <v>#REF!</v>
      </c>
      <c r="CZ425" s="96">
        <v>23</v>
      </c>
      <c r="DA425" s="97"/>
      <c r="DB425" s="97"/>
      <c r="DC425" s="96" t="e">
        <v>#REF!</v>
      </c>
      <c r="DD425" s="97"/>
      <c r="DE425" s="97"/>
      <c r="DF425" s="96" t="e">
        <v>#REF!</v>
      </c>
      <c r="DG425" s="96"/>
      <c r="DH425" s="96"/>
      <c r="DI425" s="96" t="e">
        <v>#REF!</v>
      </c>
      <c r="DJ425" s="96"/>
      <c r="DK425" s="96"/>
      <c r="DL425" s="96" t="e">
        <v>#REF!</v>
      </c>
      <c r="DM425" s="97"/>
      <c r="DN425" s="97"/>
      <c r="DO425" s="96" t="e">
        <v>#REF!</v>
      </c>
      <c r="DP425" s="97"/>
      <c r="DQ425" s="97"/>
      <c r="DR425" s="96" t="e">
        <v>#REF!</v>
      </c>
      <c r="DS425" s="97"/>
      <c r="DT425" s="97"/>
      <c r="DU425" s="96" t="e">
        <v>#REF!</v>
      </c>
      <c r="DV425" s="97"/>
      <c r="DW425" s="97"/>
      <c r="DX425" s="96" t="e">
        <v>#REF!</v>
      </c>
      <c r="DY425" s="97"/>
      <c r="DZ425" s="97"/>
      <c r="EA425" s="96" t="e">
        <v>#REF!</v>
      </c>
      <c r="EB425" s="97"/>
      <c r="EC425" s="97"/>
      <c r="ED425" s="96" t="e">
        <v>#REF!</v>
      </c>
      <c r="EE425" s="96"/>
      <c r="EF425" s="96"/>
      <c r="EG425" s="96" t="e">
        <v>#REF!</v>
      </c>
      <c r="EH425" s="97"/>
      <c r="EI425" s="97"/>
      <c r="EJ425" s="96" t="e">
        <v>#REF!</v>
      </c>
      <c r="EK425" s="97"/>
      <c r="EL425" s="97"/>
      <c r="EM425" s="96" t="e">
        <v>#REF!</v>
      </c>
      <c r="EN425" s="97"/>
      <c r="EO425" s="97"/>
      <c r="EP425" s="96" t="e">
        <v>#REF!</v>
      </c>
      <c r="EQ425" s="96"/>
      <c r="ER425" s="96"/>
      <c r="ES425" s="96">
        <v>13</v>
      </c>
      <c r="ET425" s="97"/>
      <c r="EU425" s="97"/>
      <c r="EV425" s="96" t="e">
        <v>#REF!</v>
      </c>
      <c r="EW425" s="96"/>
      <c r="EX425" s="96"/>
      <c r="EY425" s="96"/>
      <c r="EZ425" s="97" t="s">
        <v>479</v>
      </c>
      <c r="FA425" s="97" t="s">
        <v>3381</v>
      </c>
      <c r="FB425" s="97" t="s">
        <v>5053</v>
      </c>
      <c r="FC425" s="97"/>
      <c r="FD425" s="97"/>
      <c r="FE425" s="97"/>
      <c r="FF425" s="97"/>
      <c r="FG425" s="97" t="s">
        <v>4586</v>
      </c>
      <c r="FH425" s="96" t="e">
        <v>#REF!</v>
      </c>
      <c r="FI425" s="96" t="e">
        <v>#REF!</v>
      </c>
      <c r="FJ425" s="97" t="s">
        <v>4348</v>
      </c>
      <c r="FK425" s="97" t="s">
        <v>4167</v>
      </c>
      <c r="FL425" s="842" t="s">
        <v>3946</v>
      </c>
      <c r="FM425" s="97" t="s">
        <v>3854</v>
      </c>
      <c r="FN425" s="97" t="s">
        <v>3785</v>
      </c>
      <c r="FO425" s="97" t="s">
        <v>3707</v>
      </c>
    </row>
    <row r="426" spans="4:171" ht="47" customHeight="1" x14ac:dyDescent="0.2">
      <c r="D426" s="93" t="s">
        <v>9314</v>
      </c>
      <c r="E426" s="94" t="s">
        <v>9305</v>
      </c>
      <c r="F426" s="94" t="s">
        <v>9121</v>
      </c>
      <c r="G426" s="97" t="s">
        <v>369</v>
      </c>
      <c r="H426" s="97" t="s">
        <v>454</v>
      </c>
      <c r="I426" s="97" t="s">
        <v>8639</v>
      </c>
      <c r="J426" s="97" t="s">
        <v>8365</v>
      </c>
      <c r="K426" s="97"/>
      <c r="L426" s="502">
        <v>2018</v>
      </c>
      <c r="M426" s="841">
        <v>44501</v>
      </c>
      <c r="N426" s="841" t="s">
        <v>8204</v>
      </c>
      <c r="O426" s="841"/>
      <c r="P426" s="841"/>
      <c r="Q426" s="841"/>
      <c r="R426" s="841"/>
      <c r="S426" s="841"/>
      <c r="T426" s="841"/>
      <c r="U426" s="841"/>
      <c r="V426" s="841"/>
      <c r="W426" s="841"/>
      <c r="X426" s="841"/>
      <c r="Y426" s="841"/>
      <c r="Z426" s="97" t="s">
        <v>470</v>
      </c>
      <c r="AA426" s="97" t="s">
        <v>470</v>
      </c>
      <c r="AB426" s="97" t="s">
        <v>9654</v>
      </c>
      <c r="AC426" s="97" t="s">
        <v>7591</v>
      </c>
      <c r="AD426" s="97" t="s">
        <v>7380</v>
      </c>
      <c r="AE426" s="97" t="s">
        <v>7204</v>
      </c>
      <c r="AF426" s="97" t="s">
        <v>470</v>
      </c>
      <c r="AG426" s="97" t="s">
        <v>470</v>
      </c>
      <c r="AH426" s="97" t="s">
        <v>6930</v>
      </c>
      <c r="AI426" s="97" t="s">
        <v>6383</v>
      </c>
      <c r="AJ426" s="97" t="s">
        <v>6634</v>
      </c>
      <c r="AK426" s="97" t="s">
        <v>6383</v>
      </c>
      <c r="AL426" s="580">
        <f t="shared" si="47"/>
        <v>3.6049999999999995</v>
      </c>
      <c r="AM426" s="504">
        <v>3.6049999999999995</v>
      </c>
      <c r="AN426" s="516"/>
      <c r="AO426" s="97"/>
      <c r="AP426" s="97"/>
      <c r="AQ426" s="504">
        <f>0.8+2.8</f>
        <v>3.5999999999999996</v>
      </c>
      <c r="AR426" s="507">
        <v>0.29499999999999998</v>
      </c>
      <c r="AS426" s="507">
        <v>1.7000000000000001E-2</v>
      </c>
      <c r="AT426" s="516">
        <v>0</v>
      </c>
      <c r="AU426" s="507">
        <v>0</v>
      </c>
      <c r="AV426" s="516">
        <v>0</v>
      </c>
      <c r="AW426" s="507">
        <v>0</v>
      </c>
      <c r="AX426" s="516">
        <v>5.0000000000000001E-3</v>
      </c>
      <c r="AY426" s="507">
        <v>5.0000000000000001E-4</v>
      </c>
      <c r="AZ426" s="516"/>
      <c r="BA426" s="507"/>
      <c r="BB426" s="507"/>
      <c r="BC426" s="507"/>
      <c r="BD426" s="507"/>
      <c r="BE426" s="507" t="s">
        <v>479</v>
      </c>
      <c r="BF426" s="507" t="s">
        <v>6262</v>
      </c>
      <c r="BG426" s="97" t="s">
        <v>5052</v>
      </c>
      <c r="BH426" s="852">
        <v>79.847999999999999</v>
      </c>
      <c r="BI426" s="504"/>
      <c r="BJ426" s="507"/>
      <c r="BK426" s="96">
        <v>5</v>
      </c>
      <c r="BL426" s="96">
        <v>4</v>
      </c>
      <c r="BM426" s="96">
        <v>3</v>
      </c>
      <c r="BN426" s="96"/>
      <c r="BO426" s="96">
        <v>1</v>
      </c>
      <c r="BP426" s="96"/>
      <c r="BQ426" s="96"/>
      <c r="BR426" s="96"/>
      <c r="BS426" s="96"/>
      <c r="BT426" s="96"/>
      <c r="BU426" s="96"/>
      <c r="BV426" s="96"/>
      <c r="BW426" s="96"/>
      <c r="BX426" s="96"/>
      <c r="BY426" s="96">
        <v>1</v>
      </c>
      <c r="BZ426" s="96">
        <v>1</v>
      </c>
      <c r="CA426" s="96"/>
      <c r="CB426" s="96"/>
      <c r="CC426" s="96"/>
      <c r="CD426" s="96"/>
      <c r="CE426" s="96"/>
      <c r="CF426" s="96"/>
      <c r="CG426" s="96"/>
      <c r="CH426" s="96"/>
      <c r="CI426" s="96"/>
      <c r="CJ426" s="96"/>
      <c r="CK426" s="96"/>
      <c r="CL426" s="815">
        <f t="shared" si="49"/>
        <v>3</v>
      </c>
      <c r="CM426" s="824">
        <f t="shared" si="46"/>
        <v>0</v>
      </c>
      <c r="CN426" s="504">
        <v>11.095000000000001</v>
      </c>
      <c r="CO426" s="97" t="s">
        <v>6023</v>
      </c>
      <c r="CP426" s="97" t="s">
        <v>470</v>
      </c>
      <c r="CQ426" s="97">
        <v>100</v>
      </c>
      <c r="CR426" s="504">
        <v>11.095000000000001</v>
      </c>
      <c r="CS426" s="507" t="s">
        <v>5820</v>
      </c>
      <c r="CT426" s="97" t="s">
        <v>470</v>
      </c>
      <c r="CU426" s="97"/>
      <c r="CV426" s="97"/>
      <c r="CW426" s="97"/>
      <c r="CX426" s="96"/>
      <c r="CY426" s="96"/>
      <c r="CZ426" s="96"/>
      <c r="DA426" s="97" t="s">
        <v>479</v>
      </c>
      <c r="DB426" s="97" t="s">
        <v>5628</v>
      </c>
      <c r="DC426" s="96">
        <v>822</v>
      </c>
      <c r="DD426" s="97" t="s">
        <v>479</v>
      </c>
      <c r="DE426" s="97" t="s">
        <v>5594</v>
      </c>
      <c r="DF426" s="96">
        <v>41</v>
      </c>
      <c r="DG426" s="96" t="s">
        <v>470</v>
      </c>
      <c r="DH426" s="96"/>
      <c r="DI426" s="96"/>
      <c r="DJ426" s="96" t="s">
        <v>470</v>
      </c>
      <c r="DK426" s="96"/>
      <c r="DL426" s="96"/>
      <c r="DM426" s="97" t="s">
        <v>470</v>
      </c>
      <c r="DN426" s="97"/>
      <c r="DO426" s="96"/>
      <c r="DP426" s="97" t="s">
        <v>470</v>
      </c>
      <c r="DQ426" s="97"/>
      <c r="DR426" s="96"/>
      <c r="DS426" s="97" t="s">
        <v>470</v>
      </c>
      <c r="DT426" s="97"/>
      <c r="DU426" s="96"/>
      <c r="DV426" s="97" t="s">
        <v>5495</v>
      </c>
      <c r="DW426" s="97" t="s">
        <v>5471</v>
      </c>
      <c r="DX426" s="96">
        <v>4</v>
      </c>
      <c r="DY426" s="97" t="s">
        <v>479</v>
      </c>
      <c r="DZ426" s="97" t="s">
        <v>5448</v>
      </c>
      <c r="EA426" s="96">
        <v>276</v>
      </c>
      <c r="EB426" s="97" t="s">
        <v>470</v>
      </c>
      <c r="EC426" s="97"/>
      <c r="ED426" s="96"/>
      <c r="EE426" s="96" t="s">
        <v>470</v>
      </c>
      <c r="EF426" s="96"/>
      <c r="EG426" s="96"/>
      <c r="EH426" s="97" t="s">
        <v>470</v>
      </c>
      <c r="EI426" s="97"/>
      <c r="EJ426" s="96"/>
      <c r="EK426" s="97" t="s">
        <v>470</v>
      </c>
      <c r="EL426" s="97"/>
      <c r="EM426" s="96"/>
      <c r="EN426" s="97" t="s">
        <v>470</v>
      </c>
      <c r="EO426" s="97"/>
      <c r="EP426" s="96"/>
      <c r="EQ426" s="96" t="s">
        <v>479</v>
      </c>
      <c r="ER426" s="96" t="s">
        <v>5269</v>
      </c>
      <c r="ES426" s="96">
        <v>10</v>
      </c>
      <c r="ET426" s="97" t="s">
        <v>470</v>
      </c>
      <c r="EU426" s="97"/>
      <c r="EV426" s="96"/>
      <c r="EW426" s="96"/>
      <c r="EX426" s="96"/>
      <c r="EY426" s="96"/>
      <c r="EZ426" s="97" t="s">
        <v>479</v>
      </c>
      <c r="FA426" s="97" t="s">
        <v>3381</v>
      </c>
      <c r="FB426" s="97" t="s">
        <v>5052</v>
      </c>
      <c r="FC426" s="97" t="s">
        <v>4942</v>
      </c>
      <c r="FD426" s="97" t="s">
        <v>470</v>
      </c>
      <c r="FE426" s="97" t="s">
        <v>4750</v>
      </c>
      <c r="FF426" s="97" t="s">
        <v>470</v>
      </c>
      <c r="FG426" s="97" t="s">
        <v>4583</v>
      </c>
      <c r="FH426" s="97">
        <v>2</v>
      </c>
      <c r="FI426" s="97">
        <v>4</v>
      </c>
      <c r="FJ426" s="97" t="s">
        <v>4348</v>
      </c>
      <c r="FK426" s="97" t="s">
        <v>4167</v>
      </c>
      <c r="FL426" s="842" t="s">
        <v>3946</v>
      </c>
      <c r="FM426" s="97" t="s">
        <v>3854</v>
      </c>
      <c r="FN426" s="97" t="s">
        <v>3785</v>
      </c>
      <c r="FO426" s="97" t="s">
        <v>3707</v>
      </c>
    </row>
    <row r="427" spans="4:171" ht="48" customHeight="1" x14ac:dyDescent="0.2">
      <c r="E427" s="94" t="s">
        <v>9305</v>
      </c>
      <c r="F427" s="94" t="s">
        <v>9121</v>
      </c>
      <c r="G427" s="97" t="s">
        <v>369</v>
      </c>
      <c r="H427" s="97" t="s">
        <v>454</v>
      </c>
      <c r="I427" s="97" t="s">
        <v>8638</v>
      </c>
      <c r="J427" s="97" t="s">
        <v>8365</v>
      </c>
      <c r="K427" s="97"/>
      <c r="L427" s="502">
        <v>2021</v>
      </c>
      <c r="M427" s="841">
        <v>44562</v>
      </c>
      <c r="N427" s="841" t="s">
        <v>8203</v>
      </c>
      <c r="O427" s="841"/>
      <c r="P427" s="841"/>
      <c r="Q427" s="841"/>
      <c r="R427" s="841"/>
      <c r="S427" s="841"/>
      <c r="T427" s="841"/>
      <c r="U427" s="841"/>
      <c r="V427" s="841"/>
      <c r="W427" s="841"/>
      <c r="X427" s="841"/>
      <c r="Y427" s="841"/>
      <c r="Z427" s="97"/>
      <c r="AA427" s="97"/>
      <c r="AB427" s="97" t="s">
        <v>7719</v>
      </c>
      <c r="AC427" s="842" t="s">
        <v>7590</v>
      </c>
      <c r="AD427" s="97" t="s">
        <v>7379</v>
      </c>
      <c r="AE427" s="842" t="s">
        <v>7203</v>
      </c>
      <c r="AF427" s="97"/>
      <c r="AG427" s="97"/>
      <c r="AH427" s="97" t="s">
        <v>6382</v>
      </c>
      <c r="AI427" s="97" t="s">
        <v>6382</v>
      </c>
      <c r="AJ427" s="97" t="s">
        <v>6633</v>
      </c>
      <c r="AK427" s="97" t="s">
        <v>6382</v>
      </c>
      <c r="AL427" s="580">
        <f t="shared" si="47"/>
        <v>9.6599999999999984</v>
      </c>
      <c r="AM427" s="504">
        <v>9.6599999999999984</v>
      </c>
      <c r="AN427" s="516"/>
      <c r="AO427" s="97"/>
      <c r="AP427" s="97"/>
      <c r="AQ427" s="504">
        <v>9.6199999999999992</v>
      </c>
      <c r="AR427" s="507">
        <v>1</v>
      </c>
      <c r="AS427" s="507">
        <v>9.4E-2</v>
      </c>
      <c r="AT427" s="516"/>
      <c r="AU427" s="507"/>
      <c r="AV427" s="516"/>
      <c r="AW427" s="507"/>
      <c r="AX427" s="516">
        <v>0.04</v>
      </c>
      <c r="AY427" s="507">
        <v>4.1999999999999997E-3</v>
      </c>
      <c r="AZ427" s="516"/>
      <c r="BA427" s="507"/>
      <c r="BB427" s="507"/>
      <c r="BC427" s="507"/>
      <c r="BD427" s="507"/>
      <c r="BE427" s="507" t="s">
        <v>479</v>
      </c>
      <c r="BF427" s="507" t="s">
        <v>6261</v>
      </c>
      <c r="BG427" s="507"/>
      <c r="BH427" s="852">
        <v>0.19900000000000001</v>
      </c>
      <c r="BI427" s="504">
        <v>0</v>
      </c>
      <c r="BJ427" s="507">
        <v>0</v>
      </c>
      <c r="BK427" s="96"/>
      <c r="BL427" s="96">
        <v>1</v>
      </c>
      <c r="BM427" s="96">
        <v>1</v>
      </c>
      <c r="BN427" s="96"/>
      <c r="BO427" s="96"/>
      <c r="BP427" s="96"/>
      <c r="BQ427" s="96"/>
      <c r="BR427" s="96"/>
      <c r="BS427" s="96"/>
      <c r="BT427" s="96"/>
      <c r="BU427" s="96"/>
      <c r="BV427" s="96"/>
      <c r="BW427" s="96"/>
      <c r="BX427" s="96"/>
      <c r="BY427" s="96">
        <v>1</v>
      </c>
      <c r="BZ427" s="96"/>
      <c r="CA427" s="96"/>
      <c r="CB427" s="96"/>
      <c r="CC427" s="96"/>
      <c r="CD427" s="96"/>
      <c r="CE427" s="96"/>
      <c r="CF427" s="96"/>
      <c r="CG427" s="96"/>
      <c r="CH427" s="96"/>
      <c r="CI427" s="96"/>
      <c r="CJ427" s="96"/>
      <c r="CK427" s="96"/>
      <c r="CL427" s="815">
        <f t="shared" si="49"/>
        <v>1</v>
      </c>
      <c r="CM427" s="824">
        <f t="shared" si="46"/>
        <v>0</v>
      </c>
      <c r="CN427" s="504">
        <v>2.6930000000000001</v>
      </c>
      <c r="CO427" s="97" t="s">
        <v>6022</v>
      </c>
      <c r="CP427" s="97"/>
      <c r="CQ427" s="507">
        <v>0.98</v>
      </c>
      <c r="CR427" s="504">
        <v>2.7469999999999999</v>
      </c>
      <c r="CS427" s="887" t="s">
        <v>5819</v>
      </c>
      <c r="CT427" s="97" t="s">
        <v>470</v>
      </c>
      <c r="CU427" s="97"/>
      <c r="CV427" s="97"/>
      <c r="CW427" s="97"/>
      <c r="CX427" s="96"/>
      <c r="CY427" s="96"/>
      <c r="CZ427" s="96">
        <v>2</v>
      </c>
      <c r="DA427" s="97" t="s">
        <v>479</v>
      </c>
      <c r="DB427" s="97" t="s">
        <v>5676</v>
      </c>
      <c r="DC427" s="96">
        <v>304</v>
      </c>
      <c r="DD427" s="97" t="s">
        <v>479</v>
      </c>
      <c r="DE427" s="97" t="s">
        <v>1007</v>
      </c>
      <c r="DF427" s="96">
        <v>47</v>
      </c>
      <c r="DG427" s="96" t="s">
        <v>470</v>
      </c>
      <c r="DH427" s="96"/>
      <c r="DI427" s="96"/>
      <c r="DJ427" s="96" t="s">
        <v>470</v>
      </c>
      <c r="DK427" s="96"/>
      <c r="DL427" s="96"/>
      <c r="DM427" s="97" t="s">
        <v>470</v>
      </c>
      <c r="DN427" s="97"/>
      <c r="DO427" s="96"/>
      <c r="DP427" s="97" t="s">
        <v>470</v>
      </c>
      <c r="DQ427" s="97"/>
      <c r="DR427" s="96"/>
      <c r="DS427" s="97" t="s">
        <v>470</v>
      </c>
      <c r="DT427" s="97"/>
      <c r="DU427" s="96"/>
      <c r="DV427" s="97"/>
      <c r="DW427" s="97"/>
      <c r="DX427" s="96"/>
      <c r="DY427" s="97" t="s">
        <v>470</v>
      </c>
      <c r="DZ427" s="97"/>
      <c r="EA427" s="96"/>
      <c r="EB427" s="97" t="s">
        <v>470</v>
      </c>
      <c r="EC427" s="97"/>
      <c r="ED427" s="96"/>
      <c r="EE427" s="96" t="s">
        <v>470</v>
      </c>
      <c r="EF427" s="96"/>
      <c r="EG427" s="96"/>
      <c r="EH427" s="97" t="s">
        <v>470</v>
      </c>
      <c r="EI427" s="97"/>
      <c r="EJ427" s="96"/>
      <c r="EK427" s="97" t="s">
        <v>470</v>
      </c>
      <c r="EL427" s="97"/>
      <c r="EM427" s="96"/>
      <c r="EN427" s="97" t="s">
        <v>470</v>
      </c>
      <c r="EO427" s="97"/>
      <c r="EP427" s="96"/>
      <c r="EQ427" s="96" t="s">
        <v>479</v>
      </c>
      <c r="ER427" s="96" t="s">
        <v>5268</v>
      </c>
      <c r="ES427" s="96"/>
      <c r="ET427" s="97"/>
      <c r="EU427" s="97"/>
      <c r="EV427" s="96"/>
      <c r="EW427" s="96"/>
      <c r="EX427" s="96"/>
      <c r="EY427" s="96"/>
      <c r="EZ427" s="97" t="s">
        <v>479</v>
      </c>
      <c r="FA427" s="97" t="s">
        <v>3381</v>
      </c>
      <c r="FB427" s="842" t="s">
        <v>5051</v>
      </c>
      <c r="FC427" s="842" t="s">
        <v>4941</v>
      </c>
      <c r="FD427" s="97"/>
      <c r="FE427" s="97"/>
      <c r="FF427" s="97"/>
      <c r="FG427" s="97" t="s">
        <v>4583</v>
      </c>
      <c r="FH427" s="97">
        <v>2</v>
      </c>
      <c r="FI427" s="97">
        <v>4</v>
      </c>
      <c r="FJ427" s="97" t="s">
        <v>4347</v>
      </c>
      <c r="FK427" s="97" t="s">
        <v>4166</v>
      </c>
      <c r="FL427" s="97" t="s">
        <v>3945</v>
      </c>
      <c r="FM427" s="97"/>
      <c r="FN427" s="97"/>
      <c r="FO427" s="97"/>
    </row>
    <row r="428" spans="4:171" ht="47" customHeight="1" x14ac:dyDescent="0.2">
      <c r="E428" s="94" t="s">
        <v>9305</v>
      </c>
      <c r="F428" s="94" t="s">
        <v>9121</v>
      </c>
      <c r="G428" s="97" t="s">
        <v>369</v>
      </c>
      <c r="H428" s="97" t="s">
        <v>454</v>
      </c>
      <c r="I428" s="97" t="s">
        <v>8637</v>
      </c>
      <c r="J428" s="97" t="s">
        <v>8365</v>
      </c>
      <c r="K428" s="97"/>
      <c r="L428" s="502">
        <v>2021</v>
      </c>
      <c r="M428" s="841">
        <v>44562</v>
      </c>
      <c r="N428" s="841" t="s">
        <v>8203</v>
      </c>
      <c r="O428" s="841"/>
      <c r="P428" s="841"/>
      <c r="Q428" s="841"/>
      <c r="R428" s="841"/>
      <c r="S428" s="841"/>
      <c r="T428" s="841"/>
      <c r="U428" s="841"/>
      <c r="V428" s="841"/>
      <c r="W428" s="841"/>
      <c r="X428" s="841"/>
      <c r="Y428" s="841"/>
      <c r="Z428" s="97"/>
      <c r="AA428" s="97"/>
      <c r="AB428" s="97" t="s">
        <v>7718</v>
      </c>
      <c r="AC428" s="872" t="s">
        <v>7589</v>
      </c>
      <c r="AD428" s="97" t="s">
        <v>7378</v>
      </c>
      <c r="AE428" s="872" t="s">
        <v>7202</v>
      </c>
      <c r="AF428" s="97"/>
      <c r="AG428" s="97"/>
      <c r="AH428" s="97" t="s">
        <v>6381</v>
      </c>
      <c r="AI428" s="97" t="s">
        <v>6381</v>
      </c>
      <c r="AJ428" s="97" t="s">
        <v>6632</v>
      </c>
      <c r="AK428" s="97" t="s">
        <v>6381</v>
      </c>
      <c r="AL428" s="580">
        <f t="shared" si="47"/>
        <v>10.400000000000002</v>
      </c>
      <c r="AM428" s="504">
        <v>10.400000000000002</v>
      </c>
      <c r="AN428" s="516"/>
      <c r="AO428" s="97"/>
      <c r="AP428" s="97"/>
      <c r="AQ428" s="504">
        <v>10.3</v>
      </c>
      <c r="AR428" s="507">
        <f>AQ428/AL428</f>
        <v>0.9903846153846152</v>
      </c>
      <c r="AS428" s="507">
        <f>AQ428/45.165</f>
        <v>0.228052695671427</v>
      </c>
      <c r="AT428" s="516">
        <v>0.05</v>
      </c>
      <c r="AU428" s="507">
        <f>AT428/AL428</f>
        <v>4.8076923076923071E-3</v>
      </c>
      <c r="AV428" s="516">
        <v>0</v>
      </c>
      <c r="AW428" s="507">
        <v>0</v>
      </c>
      <c r="AX428" s="516">
        <v>0.05</v>
      </c>
      <c r="AY428" s="507">
        <v>4.7999999999999996E-3</v>
      </c>
      <c r="AZ428" s="516"/>
      <c r="BA428" s="507"/>
      <c r="BB428" s="507"/>
      <c r="BC428" s="507"/>
      <c r="BD428" s="507"/>
      <c r="BE428" s="507" t="s">
        <v>479</v>
      </c>
      <c r="BF428" s="507" t="s">
        <v>6260</v>
      </c>
      <c r="BG428" s="507"/>
      <c r="BH428" s="852">
        <v>53.87</v>
      </c>
      <c r="BI428" s="504">
        <v>0</v>
      </c>
      <c r="BJ428" s="507"/>
      <c r="BK428" s="96">
        <v>1</v>
      </c>
      <c r="BL428" s="96">
        <v>1</v>
      </c>
      <c r="BM428" s="96">
        <v>1</v>
      </c>
      <c r="BN428" s="96"/>
      <c r="BO428" s="96"/>
      <c r="BP428" s="96"/>
      <c r="BQ428" s="96"/>
      <c r="BR428" s="96"/>
      <c r="BS428" s="96"/>
      <c r="BT428" s="96"/>
      <c r="BU428" s="96"/>
      <c r="BV428" s="96"/>
      <c r="BW428" s="96"/>
      <c r="BX428" s="96"/>
      <c r="BY428" s="96">
        <v>1</v>
      </c>
      <c r="BZ428" s="96"/>
      <c r="CA428" s="96"/>
      <c r="CB428" s="96"/>
      <c r="CC428" s="96"/>
      <c r="CD428" s="96"/>
      <c r="CE428" s="96"/>
      <c r="CF428" s="96"/>
      <c r="CG428" s="96"/>
      <c r="CH428" s="96"/>
      <c r="CI428" s="96"/>
      <c r="CJ428" s="96"/>
      <c r="CK428" s="96"/>
      <c r="CL428" s="815">
        <f t="shared" si="49"/>
        <v>1</v>
      </c>
      <c r="CM428" s="824">
        <f t="shared" si="46"/>
        <v>0</v>
      </c>
      <c r="CN428" s="504">
        <v>1.708</v>
      </c>
      <c r="CO428" s="97" t="s">
        <v>6021</v>
      </c>
      <c r="CP428" s="97"/>
      <c r="CQ428" s="507">
        <f>CN428/CR428</f>
        <v>1.2341040462427746</v>
      </c>
      <c r="CR428" s="504">
        <v>1.3839999999999999</v>
      </c>
      <c r="CS428" s="888" t="s">
        <v>5818</v>
      </c>
      <c r="CT428" s="97" t="s">
        <v>470</v>
      </c>
      <c r="CU428" s="97"/>
      <c r="CV428" s="97"/>
      <c r="CW428" s="97"/>
      <c r="CX428" s="96"/>
      <c r="CY428" s="96"/>
      <c r="CZ428" s="96"/>
      <c r="DA428" s="97" t="s">
        <v>479</v>
      </c>
      <c r="DB428" s="872" t="s">
        <v>5675</v>
      </c>
      <c r="DC428" s="96">
        <v>604</v>
      </c>
      <c r="DD428" s="97" t="s">
        <v>479</v>
      </c>
      <c r="DE428" s="97" t="s">
        <v>5593</v>
      </c>
      <c r="DF428" s="96">
        <v>37</v>
      </c>
      <c r="DG428" s="96" t="s">
        <v>470</v>
      </c>
      <c r="DH428" s="96"/>
      <c r="DI428" s="96"/>
      <c r="DJ428" s="96" t="s">
        <v>470</v>
      </c>
      <c r="DK428" s="96"/>
      <c r="DL428" s="96"/>
      <c r="DM428" s="97" t="s">
        <v>470</v>
      </c>
      <c r="DN428" s="97"/>
      <c r="DO428" s="96"/>
      <c r="DP428" s="97" t="s">
        <v>470</v>
      </c>
      <c r="DQ428" s="97"/>
      <c r="DR428" s="96"/>
      <c r="DS428" s="97" t="s">
        <v>470</v>
      </c>
      <c r="DT428" s="97"/>
      <c r="DU428" s="96"/>
      <c r="DV428" s="97" t="s">
        <v>470</v>
      </c>
      <c r="DW428" s="97"/>
      <c r="DX428" s="96"/>
      <c r="DY428" s="97"/>
      <c r="DZ428" s="97"/>
      <c r="EA428" s="96"/>
      <c r="EB428" s="97" t="s">
        <v>479</v>
      </c>
      <c r="EC428" s="872" t="s">
        <v>5388</v>
      </c>
      <c r="ED428" s="96">
        <v>37</v>
      </c>
      <c r="EE428" s="96" t="s">
        <v>470</v>
      </c>
      <c r="EF428" s="96"/>
      <c r="EG428" s="96"/>
      <c r="EH428" s="97" t="s">
        <v>470</v>
      </c>
      <c r="EI428" s="97"/>
      <c r="EJ428" s="96"/>
      <c r="EK428" s="97" t="s">
        <v>470</v>
      </c>
      <c r="EL428" s="97"/>
      <c r="EM428" s="96"/>
      <c r="EN428" s="97" t="s">
        <v>479</v>
      </c>
      <c r="EO428" s="872" t="s">
        <v>5329</v>
      </c>
      <c r="EP428" s="96">
        <v>6</v>
      </c>
      <c r="EQ428" s="96" t="s">
        <v>470</v>
      </c>
      <c r="ER428" s="96"/>
      <c r="ES428" s="96"/>
      <c r="ET428" s="97" t="s">
        <v>470</v>
      </c>
      <c r="EU428" s="97"/>
      <c r="EV428" s="96"/>
      <c r="EW428" s="96"/>
      <c r="EX428" s="96"/>
      <c r="EY428" s="96"/>
      <c r="EZ428" s="97" t="s">
        <v>479</v>
      </c>
      <c r="FA428" s="97" t="s">
        <v>3381</v>
      </c>
      <c r="FB428" s="872" t="s">
        <v>5050</v>
      </c>
      <c r="FC428" s="97" t="s">
        <v>4940</v>
      </c>
      <c r="FD428" s="97"/>
      <c r="FE428" s="97" t="s">
        <v>4749</v>
      </c>
      <c r="FF428" s="97" t="s">
        <v>4689</v>
      </c>
      <c r="FG428" s="97" t="s">
        <v>4583</v>
      </c>
      <c r="FH428" s="97">
        <v>2</v>
      </c>
      <c r="FI428" s="97">
        <v>4</v>
      </c>
      <c r="FJ428" s="97" t="s">
        <v>3853</v>
      </c>
      <c r="FK428" s="97" t="s">
        <v>3784</v>
      </c>
      <c r="FL428" s="872" t="s">
        <v>3706</v>
      </c>
      <c r="FM428" s="97" t="s">
        <v>3853</v>
      </c>
      <c r="FN428" s="97" t="s">
        <v>3784</v>
      </c>
      <c r="FO428" s="872" t="s">
        <v>3706</v>
      </c>
    </row>
    <row r="429" spans="4:171" ht="48" customHeight="1" x14ac:dyDescent="0.2">
      <c r="E429" s="94" t="s">
        <v>9305</v>
      </c>
      <c r="F429" s="94" t="s">
        <v>9121</v>
      </c>
      <c r="G429" s="97" t="s">
        <v>369</v>
      </c>
      <c r="H429" s="97" t="s">
        <v>454</v>
      </c>
      <c r="I429" s="97" t="s">
        <v>8636</v>
      </c>
      <c r="J429" s="97" t="s">
        <v>8454</v>
      </c>
      <c r="K429" s="97"/>
      <c r="L429" s="502">
        <v>2022</v>
      </c>
      <c r="M429" s="841">
        <v>44596</v>
      </c>
      <c r="N429" s="841" t="s">
        <v>8202</v>
      </c>
      <c r="O429" s="841"/>
      <c r="P429" s="841"/>
      <c r="Q429" s="841"/>
      <c r="R429" s="841"/>
      <c r="S429" s="841"/>
      <c r="T429" s="841"/>
      <c r="U429" s="841"/>
      <c r="V429" s="841"/>
      <c r="W429" s="841"/>
      <c r="X429" s="841"/>
      <c r="Y429" s="841"/>
      <c r="Z429" s="97" t="s">
        <v>470</v>
      </c>
      <c r="AA429" s="97"/>
      <c r="AB429" s="97" t="s">
        <v>7717</v>
      </c>
      <c r="AC429" s="97" t="s">
        <v>6215</v>
      </c>
      <c r="AD429" s="97" t="s">
        <v>7377</v>
      </c>
      <c r="AE429" s="97" t="s">
        <v>7201</v>
      </c>
      <c r="AF429" s="97"/>
      <c r="AG429" s="97"/>
      <c r="AH429" s="97" t="s">
        <v>6929</v>
      </c>
      <c r="AI429" s="97" t="s">
        <v>6772</v>
      </c>
      <c r="AJ429" s="97" t="s">
        <v>1763</v>
      </c>
      <c r="AK429" s="97" t="s">
        <v>6380</v>
      </c>
      <c r="AL429" s="580">
        <f t="shared" si="47"/>
        <v>9.7025999999999986</v>
      </c>
      <c r="AM429" s="504">
        <v>9.7025999999999986</v>
      </c>
      <c r="AN429" s="516"/>
      <c r="AO429" s="97"/>
      <c r="AP429" s="97"/>
      <c r="AQ429" s="504">
        <v>9.6329999999999991</v>
      </c>
      <c r="AR429" s="507">
        <v>0.98699999999999999</v>
      </c>
      <c r="AS429" s="507">
        <v>0.29399999999999998</v>
      </c>
      <c r="AT429" s="516">
        <v>3.9E-2</v>
      </c>
      <c r="AU429" s="507">
        <v>4.0000000000000001E-3</v>
      </c>
      <c r="AV429" s="516">
        <v>0.03</v>
      </c>
      <c r="AW429" s="507">
        <v>3.0000000000000001E-3</v>
      </c>
      <c r="AX429" s="516">
        <v>5.9999999999999995E-4</v>
      </c>
      <c r="AY429" s="507">
        <v>6.1999999999999998E-3</v>
      </c>
      <c r="AZ429" s="516"/>
      <c r="BA429" s="507"/>
      <c r="BB429" s="507"/>
      <c r="BC429" s="507"/>
      <c r="BD429" s="507"/>
      <c r="BE429" s="507" t="s">
        <v>479</v>
      </c>
      <c r="BF429" s="97" t="s">
        <v>6259</v>
      </c>
      <c r="BG429" s="842" t="s">
        <v>6215</v>
      </c>
      <c r="BH429" s="852"/>
      <c r="BI429" s="504">
        <v>0</v>
      </c>
      <c r="BJ429" s="507">
        <v>0</v>
      </c>
      <c r="BK429" s="96">
        <v>1</v>
      </c>
      <c r="BL429" s="96">
        <v>1</v>
      </c>
      <c r="BM429" s="96">
        <v>1</v>
      </c>
      <c r="BN429" s="96"/>
      <c r="BO429" s="96"/>
      <c r="BP429" s="96"/>
      <c r="BQ429" s="96"/>
      <c r="BR429" s="96"/>
      <c r="BS429" s="96"/>
      <c r="BT429" s="96">
        <v>1</v>
      </c>
      <c r="BU429" s="96"/>
      <c r="BV429" s="96"/>
      <c r="BW429" s="96"/>
      <c r="BX429" s="96"/>
      <c r="BY429" s="96"/>
      <c r="BZ429" s="96"/>
      <c r="CA429" s="96"/>
      <c r="CB429" s="96"/>
      <c r="CC429" s="96"/>
      <c r="CD429" s="96"/>
      <c r="CE429" s="96"/>
      <c r="CF429" s="96"/>
      <c r="CG429" s="96"/>
      <c r="CH429" s="96"/>
      <c r="CI429" s="96"/>
      <c r="CJ429" s="96"/>
      <c r="CK429" s="96"/>
      <c r="CL429" s="815">
        <f t="shared" si="49"/>
        <v>1</v>
      </c>
      <c r="CM429" s="824">
        <f t="shared" si="46"/>
        <v>0</v>
      </c>
      <c r="CN429" s="504">
        <v>1.306</v>
      </c>
      <c r="CO429" s="97" t="s">
        <v>6020</v>
      </c>
      <c r="CP429" s="97"/>
      <c r="CQ429" s="97">
        <v>45.2</v>
      </c>
      <c r="CR429" s="504">
        <v>3.4620000000000002</v>
      </c>
      <c r="CS429" s="842" t="s">
        <v>5817</v>
      </c>
      <c r="CT429" s="97" t="s">
        <v>470</v>
      </c>
      <c r="CU429" s="97"/>
      <c r="CV429" s="97"/>
      <c r="CW429" s="97"/>
      <c r="CX429" s="96"/>
      <c r="CY429" s="96"/>
      <c r="CZ429" s="96"/>
      <c r="DA429" s="97" t="s">
        <v>479</v>
      </c>
      <c r="DB429" s="97" t="s">
        <v>5674</v>
      </c>
      <c r="DC429" s="96">
        <v>267</v>
      </c>
      <c r="DD429" s="97" t="s">
        <v>479</v>
      </c>
      <c r="DE429" s="842" t="s">
        <v>5592</v>
      </c>
      <c r="DF429" s="96">
        <v>28</v>
      </c>
      <c r="DG429" s="96" t="s">
        <v>470</v>
      </c>
      <c r="DH429" s="96"/>
      <c r="DI429" s="96"/>
      <c r="DJ429" s="96" t="s">
        <v>470</v>
      </c>
      <c r="DK429" s="96"/>
      <c r="DL429" s="96"/>
      <c r="DM429" s="97" t="s">
        <v>470</v>
      </c>
      <c r="DN429" s="97"/>
      <c r="DO429" s="96"/>
      <c r="DP429" s="97" t="s">
        <v>470</v>
      </c>
      <c r="DQ429" s="97"/>
      <c r="DR429" s="96"/>
      <c r="DS429" s="97" t="s">
        <v>470</v>
      </c>
      <c r="DT429" s="97"/>
      <c r="DU429" s="96"/>
      <c r="DV429" s="97"/>
      <c r="DW429" s="97"/>
      <c r="DX429" s="96"/>
      <c r="DY429" s="97" t="s">
        <v>470</v>
      </c>
      <c r="DZ429" s="97"/>
      <c r="EA429" s="96"/>
      <c r="EB429" s="97" t="s">
        <v>470</v>
      </c>
      <c r="EC429" s="97"/>
      <c r="ED429" s="96"/>
      <c r="EE429" s="96" t="s">
        <v>470</v>
      </c>
      <c r="EF429" s="96"/>
      <c r="EG429" s="96"/>
      <c r="EH429" s="97" t="s">
        <v>470</v>
      </c>
      <c r="EI429" s="97"/>
      <c r="EJ429" s="96"/>
      <c r="EK429" s="97" t="s">
        <v>470</v>
      </c>
      <c r="EL429" s="97"/>
      <c r="EM429" s="96"/>
      <c r="EN429" s="97" t="s">
        <v>470</v>
      </c>
      <c r="EO429" s="97"/>
      <c r="EP429" s="96"/>
      <c r="EQ429" s="96" t="s">
        <v>470</v>
      </c>
      <c r="ER429" s="96"/>
      <c r="ES429" s="96"/>
      <c r="ET429" s="97"/>
      <c r="EU429" s="97"/>
      <c r="EV429" s="96"/>
      <c r="EW429" s="96"/>
      <c r="EX429" s="96"/>
      <c r="EY429" s="96"/>
      <c r="EZ429" s="97" t="s">
        <v>479</v>
      </c>
      <c r="FA429" s="97" t="s">
        <v>3381</v>
      </c>
      <c r="FB429" s="842" t="s">
        <v>5049</v>
      </c>
      <c r="FC429" s="842" t="s">
        <v>4939</v>
      </c>
      <c r="FD429" s="843" t="s">
        <v>470</v>
      </c>
      <c r="FE429" s="97" t="s">
        <v>4748</v>
      </c>
      <c r="FF429" s="97" t="s">
        <v>470</v>
      </c>
      <c r="FG429" s="97" t="s">
        <v>4583</v>
      </c>
      <c r="FH429" s="97">
        <v>2</v>
      </c>
      <c r="FI429" s="97">
        <v>4</v>
      </c>
      <c r="FJ429" s="97" t="s">
        <v>3852</v>
      </c>
      <c r="FK429" s="97" t="s">
        <v>3783</v>
      </c>
      <c r="FL429" s="842" t="s">
        <v>3705</v>
      </c>
      <c r="FM429" s="97" t="s">
        <v>3852</v>
      </c>
      <c r="FN429" s="97" t="s">
        <v>3783</v>
      </c>
      <c r="FO429" s="842" t="s">
        <v>3705</v>
      </c>
    </row>
    <row r="430" spans="4:171" ht="47" customHeight="1" x14ac:dyDescent="0.2">
      <c r="E430" s="94" t="s">
        <v>9305</v>
      </c>
      <c r="F430" s="94" t="s">
        <v>9121</v>
      </c>
      <c r="G430" s="97" t="s">
        <v>369</v>
      </c>
      <c r="H430" s="97" t="s">
        <v>454</v>
      </c>
      <c r="I430" s="97" t="s">
        <v>8635</v>
      </c>
      <c r="J430" s="97"/>
      <c r="K430" s="97"/>
      <c r="L430" s="502">
        <v>2018</v>
      </c>
      <c r="M430" s="841">
        <v>44571</v>
      </c>
      <c r="N430" s="841">
        <v>44910</v>
      </c>
      <c r="O430" s="841"/>
      <c r="P430" s="841"/>
      <c r="Q430" s="841"/>
      <c r="R430" s="841"/>
      <c r="S430" s="841"/>
      <c r="T430" s="841"/>
      <c r="U430" s="841"/>
      <c r="V430" s="841"/>
      <c r="W430" s="841"/>
      <c r="X430" s="841"/>
      <c r="Y430" s="841"/>
      <c r="Z430" s="97"/>
      <c r="AA430" s="97"/>
      <c r="AB430" s="97" t="s">
        <v>7716</v>
      </c>
      <c r="AC430" s="842" t="s">
        <v>7588</v>
      </c>
      <c r="AD430" s="97" t="s">
        <v>7376</v>
      </c>
      <c r="AE430" s="842" t="s">
        <v>7200</v>
      </c>
      <c r="AF430" s="97"/>
      <c r="AG430" s="97"/>
      <c r="AH430" s="97" t="s">
        <v>6379</v>
      </c>
      <c r="AI430" s="97" t="s">
        <v>6379</v>
      </c>
      <c r="AJ430" s="97" t="s">
        <v>6379</v>
      </c>
      <c r="AK430" s="97" t="s">
        <v>6379</v>
      </c>
      <c r="AL430" s="580">
        <f t="shared" si="47"/>
        <v>11.25</v>
      </c>
      <c r="AM430" s="504">
        <v>11.25</v>
      </c>
      <c r="AN430" s="516"/>
      <c r="AO430" s="97"/>
      <c r="AP430" s="97"/>
      <c r="AQ430" s="504">
        <v>11.23</v>
      </c>
      <c r="AR430" s="507">
        <v>0.98819999999999997</v>
      </c>
      <c r="AS430" s="507">
        <v>1</v>
      </c>
      <c r="AT430" s="516"/>
      <c r="AU430" s="507"/>
      <c r="AV430" s="516"/>
      <c r="AW430" s="507"/>
      <c r="AX430" s="516">
        <v>0.02</v>
      </c>
      <c r="AY430" s="507">
        <v>1.8E-3</v>
      </c>
      <c r="AZ430" s="516"/>
      <c r="BA430" s="507"/>
      <c r="BB430" s="507"/>
      <c r="BC430" s="507"/>
      <c r="BD430" s="507"/>
      <c r="BE430" s="507" t="s">
        <v>470</v>
      </c>
      <c r="BF430" s="507"/>
      <c r="BG430" s="507"/>
      <c r="BH430" s="852"/>
      <c r="BI430" s="504">
        <v>0</v>
      </c>
      <c r="BJ430" s="507">
        <v>0</v>
      </c>
      <c r="BK430" s="96">
        <v>1</v>
      </c>
      <c r="BL430" s="96">
        <v>1</v>
      </c>
      <c r="BM430" s="96">
        <v>1</v>
      </c>
      <c r="BN430" s="96"/>
      <c r="BO430" s="96">
        <v>2</v>
      </c>
      <c r="BP430" s="96">
        <v>1</v>
      </c>
      <c r="BQ430" s="96"/>
      <c r="BR430" s="96"/>
      <c r="BS430" s="96"/>
      <c r="BT430" s="96"/>
      <c r="BU430" s="96"/>
      <c r="BV430" s="96"/>
      <c r="BW430" s="96"/>
      <c r="BX430" s="96"/>
      <c r="BY430" s="96"/>
      <c r="BZ430" s="96"/>
      <c r="CA430" s="96"/>
      <c r="CB430" s="96"/>
      <c r="CC430" s="96"/>
      <c r="CD430" s="96"/>
      <c r="CE430" s="96"/>
      <c r="CF430" s="96"/>
      <c r="CG430" s="96"/>
      <c r="CH430" s="96"/>
      <c r="CI430" s="96"/>
      <c r="CJ430" s="96"/>
      <c r="CK430" s="96"/>
      <c r="CL430" s="815">
        <f t="shared" si="49"/>
        <v>3</v>
      </c>
      <c r="CM430" s="824">
        <f t="shared" si="46"/>
        <v>0</v>
      </c>
      <c r="CN430" s="504">
        <v>2.66</v>
      </c>
      <c r="CO430" s="97" t="s">
        <v>6019</v>
      </c>
      <c r="CP430" s="842" t="s">
        <v>5971</v>
      </c>
      <c r="CQ430" s="97">
        <v>100</v>
      </c>
      <c r="CR430" s="504">
        <v>2.66</v>
      </c>
      <c r="CS430" s="842" t="s">
        <v>5817</v>
      </c>
      <c r="CT430" s="97" t="s">
        <v>470</v>
      </c>
      <c r="CU430" s="97"/>
      <c r="CV430" s="97"/>
      <c r="CW430" s="97"/>
      <c r="CX430" s="96"/>
      <c r="CY430" s="96"/>
      <c r="CZ430" s="96">
        <v>3</v>
      </c>
      <c r="DA430" s="97" t="s">
        <v>479</v>
      </c>
      <c r="DB430" s="97" t="s">
        <v>5673</v>
      </c>
      <c r="DC430" s="96"/>
      <c r="DD430" s="97" t="s">
        <v>470</v>
      </c>
      <c r="DE430" s="97"/>
      <c r="DF430" s="96"/>
      <c r="DG430" s="96" t="s">
        <v>470</v>
      </c>
      <c r="DH430" s="96"/>
      <c r="DI430" s="96"/>
      <c r="DJ430" s="96" t="s">
        <v>470</v>
      </c>
      <c r="DK430" s="96"/>
      <c r="DL430" s="96"/>
      <c r="DM430" s="97" t="s">
        <v>470</v>
      </c>
      <c r="DN430" s="97"/>
      <c r="DO430" s="96"/>
      <c r="DP430" s="97" t="s">
        <v>479</v>
      </c>
      <c r="DQ430" s="842" t="s">
        <v>5048</v>
      </c>
      <c r="DR430" s="948"/>
      <c r="DS430" s="97" t="s">
        <v>470</v>
      </c>
      <c r="DT430" s="97"/>
      <c r="DU430" s="96"/>
      <c r="DV430" s="97" t="s">
        <v>470</v>
      </c>
      <c r="DW430" s="97"/>
      <c r="DX430" s="96"/>
      <c r="DY430" s="97" t="s">
        <v>470</v>
      </c>
      <c r="DZ430" s="97"/>
      <c r="EA430" s="96"/>
      <c r="EB430" s="97" t="s">
        <v>470</v>
      </c>
      <c r="EC430" s="97"/>
      <c r="ED430" s="96"/>
      <c r="EE430" s="96" t="s">
        <v>470</v>
      </c>
      <c r="EF430" s="96"/>
      <c r="EG430" s="96"/>
      <c r="EH430" s="97" t="s">
        <v>470</v>
      </c>
      <c r="EI430" s="97"/>
      <c r="EJ430" s="96"/>
      <c r="EK430" s="97" t="s">
        <v>470</v>
      </c>
      <c r="EL430" s="97"/>
      <c r="EM430" s="96"/>
      <c r="EN430" s="97" t="s">
        <v>540</v>
      </c>
      <c r="EO430" s="948" t="s">
        <v>5048</v>
      </c>
      <c r="EP430" s="948"/>
      <c r="EQ430" s="96" t="s">
        <v>470</v>
      </c>
      <c r="ER430" s="96"/>
      <c r="ES430" s="96"/>
      <c r="ET430" s="97"/>
      <c r="EU430" s="97"/>
      <c r="EV430" s="96"/>
      <c r="EW430" s="96"/>
      <c r="EX430" s="96"/>
      <c r="EY430" s="96"/>
      <c r="EZ430" s="97" t="s">
        <v>479</v>
      </c>
      <c r="FA430" s="97" t="s">
        <v>3381</v>
      </c>
      <c r="FB430" s="97" t="s">
        <v>5048</v>
      </c>
      <c r="FC430" s="97" t="s">
        <v>4747</v>
      </c>
      <c r="FD430" s="97"/>
      <c r="FE430" s="97" t="s">
        <v>4747</v>
      </c>
      <c r="FF430" s="97"/>
      <c r="FG430" s="97" t="s">
        <v>4583</v>
      </c>
      <c r="FH430" s="97">
        <v>2</v>
      </c>
      <c r="FI430" s="97">
        <v>4</v>
      </c>
      <c r="FJ430" s="97" t="s">
        <v>3851</v>
      </c>
      <c r="FK430" s="97" t="s">
        <v>3782</v>
      </c>
      <c r="FL430" s="842" t="s">
        <v>3704</v>
      </c>
      <c r="FM430" s="97" t="s">
        <v>3851</v>
      </c>
      <c r="FN430" s="97" t="s">
        <v>3782</v>
      </c>
      <c r="FO430" s="842" t="s">
        <v>3704</v>
      </c>
    </row>
    <row r="431" spans="4:171" ht="48" customHeight="1" x14ac:dyDescent="0.2">
      <c r="E431" s="94" t="s">
        <v>9305</v>
      </c>
      <c r="F431" s="94" t="s">
        <v>9121</v>
      </c>
      <c r="G431" s="97" t="s">
        <v>369</v>
      </c>
      <c r="H431" s="97" t="s">
        <v>454</v>
      </c>
      <c r="I431" s="97" t="s">
        <v>8634</v>
      </c>
      <c r="J431" s="97" t="s">
        <v>5242</v>
      </c>
      <c r="K431" s="502"/>
      <c r="L431" s="502">
        <v>2019</v>
      </c>
      <c r="M431" s="841" t="s">
        <v>8267</v>
      </c>
      <c r="N431" s="841" t="s">
        <v>8201</v>
      </c>
      <c r="O431" s="841"/>
      <c r="P431" s="841"/>
      <c r="Q431" s="841"/>
      <c r="R431" s="841"/>
      <c r="S431" s="841"/>
      <c r="T431" s="841"/>
      <c r="U431" s="841"/>
      <c r="V431" s="841"/>
      <c r="W431" s="841"/>
      <c r="X431" s="841"/>
      <c r="Y431" s="841"/>
      <c r="Z431" s="97" t="s">
        <v>6258</v>
      </c>
      <c r="AA431" s="872" t="s">
        <v>6214</v>
      </c>
      <c r="AB431" s="97" t="s">
        <v>7715</v>
      </c>
      <c r="AC431" s="872" t="s">
        <v>7587</v>
      </c>
      <c r="AD431" s="97" t="s">
        <v>7375</v>
      </c>
      <c r="AE431" s="872" t="s">
        <v>7199</v>
      </c>
      <c r="AF431" s="97"/>
      <c r="AG431" s="97"/>
      <c r="AH431" s="97" t="s">
        <v>6378</v>
      </c>
      <c r="AI431" s="97" t="s">
        <v>6378</v>
      </c>
      <c r="AJ431" s="97" t="s">
        <v>6631</v>
      </c>
      <c r="AK431" s="97" t="s">
        <v>6378</v>
      </c>
      <c r="AL431" s="580">
        <f t="shared" si="47"/>
        <v>2.3957999999999995</v>
      </c>
      <c r="AM431" s="504">
        <v>2.3957999999999995</v>
      </c>
      <c r="AN431" s="516"/>
      <c r="AO431" s="97"/>
      <c r="AP431" s="97"/>
      <c r="AQ431" s="504">
        <v>2.3849999999999998</v>
      </c>
      <c r="AR431" s="507">
        <v>0.995</v>
      </c>
      <c r="AS431" s="507">
        <v>0</v>
      </c>
      <c r="AT431" s="516"/>
      <c r="AU431" s="97">
        <v>2E-3</v>
      </c>
      <c r="AV431" s="516">
        <v>8.0000000000000004E-4</v>
      </c>
      <c r="AW431" s="504">
        <v>0</v>
      </c>
      <c r="AX431" s="516">
        <v>0.01</v>
      </c>
      <c r="AY431" s="507">
        <v>4.1999999999999997E-3</v>
      </c>
      <c r="AZ431" s="516"/>
      <c r="BA431" s="507"/>
      <c r="BB431" s="507"/>
      <c r="BC431" s="507"/>
      <c r="BD431" s="507"/>
      <c r="BE431" s="507" t="s">
        <v>479</v>
      </c>
      <c r="BF431" s="97" t="s">
        <v>6258</v>
      </c>
      <c r="BG431" s="872" t="s">
        <v>6214</v>
      </c>
      <c r="BH431" s="97">
        <v>6.8000000000000005E-2</v>
      </c>
      <c r="BI431" s="504">
        <v>0</v>
      </c>
      <c r="BJ431" s="507">
        <v>0</v>
      </c>
      <c r="BK431" s="96">
        <v>1</v>
      </c>
      <c r="BL431" s="96">
        <v>1</v>
      </c>
      <c r="BM431" s="96">
        <v>1</v>
      </c>
      <c r="BN431" s="96"/>
      <c r="BO431" s="96"/>
      <c r="BP431" s="96"/>
      <c r="BQ431" s="96"/>
      <c r="BR431" s="96"/>
      <c r="BS431" s="96">
        <v>1</v>
      </c>
      <c r="BT431" s="96"/>
      <c r="BU431" s="96"/>
      <c r="BV431" s="96"/>
      <c r="BW431" s="96"/>
      <c r="BX431" s="96"/>
      <c r="BY431" s="96"/>
      <c r="BZ431" s="96"/>
      <c r="CA431" s="96"/>
      <c r="CB431" s="96"/>
      <c r="CC431" s="96"/>
      <c r="CD431" s="96"/>
      <c r="CE431" s="96"/>
      <c r="CF431" s="96"/>
      <c r="CG431" s="96"/>
      <c r="CH431" s="96"/>
      <c r="CI431" s="854"/>
      <c r="CJ431" s="504"/>
      <c r="CK431" s="97"/>
      <c r="CL431" s="502">
        <v>1</v>
      </c>
      <c r="CM431" s="824">
        <f t="shared" si="46"/>
        <v>0</v>
      </c>
      <c r="CN431" s="504">
        <v>0.58199999999999996</v>
      </c>
      <c r="CO431" s="97"/>
      <c r="CP431" s="97"/>
      <c r="CQ431" s="97">
        <v>100</v>
      </c>
      <c r="CR431" s="504">
        <v>0.58199999999999996</v>
      </c>
      <c r="CS431" s="842" t="s">
        <v>5817</v>
      </c>
      <c r="CT431" s="97" t="s">
        <v>470</v>
      </c>
      <c r="CU431" s="97"/>
      <c r="CV431" s="97"/>
      <c r="CW431" s="96"/>
      <c r="CX431" s="96">
        <v>10</v>
      </c>
      <c r="CY431" s="96">
        <v>2</v>
      </c>
      <c r="CZ431" s="97"/>
      <c r="DA431" s="97" t="s">
        <v>470</v>
      </c>
      <c r="DB431" s="97"/>
      <c r="DC431" s="96"/>
      <c r="DD431" s="97" t="s">
        <v>479</v>
      </c>
      <c r="DE431" s="97" t="s">
        <v>1243</v>
      </c>
      <c r="DF431" s="96">
        <v>20</v>
      </c>
      <c r="DG431" s="96" t="s">
        <v>470</v>
      </c>
      <c r="DH431" s="96"/>
      <c r="DI431" s="96"/>
      <c r="DJ431" s="96" t="s">
        <v>470</v>
      </c>
      <c r="DK431" s="96"/>
      <c r="DL431" s="96"/>
      <c r="DM431" s="97" t="s">
        <v>470</v>
      </c>
      <c r="DN431" s="97"/>
      <c r="DO431" s="96"/>
      <c r="DP431" s="97" t="s">
        <v>470</v>
      </c>
      <c r="DQ431" s="97"/>
      <c r="DR431" s="96"/>
      <c r="DS431" s="97" t="s">
        <v>470</v>
      </c>
      <c r="DT431" s="97"/>
      <c r="DU431" s="96"/>
      <c r="DV431" s="97"/>
      <c r="DW431" s="97"/>
      <c r="DX431" s="96"/>
      <c r="DY431" s="97" t="s">
        <v>470</v>
      </c>
      <c r="DZ431" s="97"/>
      <c r="EA431" s="96"/>
      <c r="EB431" s="97" t="s">
        <v>479</v>
      </c>
      <c r="EC431" s="554" t="s">
        <v>1243</v>
      </c>
      <c r="ED431" s="96">
        <v>20</v>
      </c>
      <c r="EE431" s="96" t="s">
        <v>470</v>
      </c>
      <c r="EF431" s="96"/>
      <c r="EG431" s="96"/>
      <c r="EH431" s="97" t="s">
        <v>470</v>
      </c>
      <c r="EI431" s="97"/>
      <c r="EJ431" s="96"/>
      <c r="EK431" s="97" t="s">
        <v>470</v>
      </c>
      <c r="EL431" s="97"/>
      <c r="EM431" s="96"/>
      <c r="EN431" s="97" t="s">
        <v>470</v>
      </c>
      <c r="EO431" s="97"/>
      <c r="EP431" s="96"/>
      <c r="EQ431" s="97" t="s">
        <v>479</v>
      </c>
      <c r="ER431" s="872"/>
      <c r="ES431" s="96">
        <v>10</v>
      </c>
      <c r="ET431" s="97"/>
      <c r="EU431" s="97"/>
      <c r="EV431" s="96"/>
      <c r="EW431" s="96"/>
      <c r="EX431" s="96"/>
      <c r="EY431" s="96"/>
      <c r="EZ431" s="97" t="s">
        <v>479</v>
      </c>
      <c r="FA431" s="97" t="s">
        <v>3381</v>
      </c>
      <c r="FB431" s="872" t="s">
        <v>5047</v>
      </c>
      <c r="FC431" s="872" t="s">
        <v>4938</v>
      </c>
      <c r="FD431" s="97"/>
      <c r="FE431" s="97" t="s">
        <v>4746</v>
      </c>
      <c r="FF431" s="97" t="s">
        <v>4688</v>
      </c>
      <c r="FG431" s="97" t="s">
        <v>4583</v>
      </c>
      <c r="FH431" s="97">
        <v>2</v>
      </c>
      <c r="FI431" s="97">
        <v>4</v>
      </c>
      <c r="FJ431" s="97" t="s">
        <v>4346</v>
      </c>
      <c r="FK431" s="97" t="s">
        <v>3781</v>
      </c>
      <c r="FL431" s="872" t="s">
        <v>3944</v>
      </c>
      <c r="FM431" s="97" t="s">
        <v>3850</v>
      </c>
      <c r="FN431" s="97" t="s">
        <v>3781</v>
      </c>
      <c r="FO431" s="872" t="s">
        <v>3703</v>
      </c>
    </row>
    <row r="432" spans="4:171" ht="47" customHeight="1" x14ac:dyDescent="0.2">
      <c r="E432" s="94" t="s">
        <v>9305</v>
      </c>
      <c r="F432" s="94" t="s">
        <v>9121</v>
      </c>
      <c r="G432" s="97" t="s">
        <v>369</v>
      </c>
      <c r="H432" s="97" t="s">
        <v>454</v>
      </c>
      <c r="I432" s="97" t="s">
        <v>8633</v>
      </c>
      <c r="J432" s="97" t="s">
        <v>3260</v>
      </c>
      <c r="K432" s="97" t="s">
        <v>3260</v>
      </c>
      <c r="L432" s="502">
        <v>2018</v>
      </c>
      <c r="M432" s="841">
        <v>44197</v>
      </c>
      <c r="N432" s="841">
        <v>44926</v>
      </c>
      <c r="O432" s="841"/>
      <c r="P432" s="841"/>
      <c r="Q432" s="841"/>
      <c r="R432" s="841"/>
      <c r="S432" s="841"/>
      <c r="T432" s="841"/>
      <c r="U432" s="841"/>
      <c r="V432" s="841"/>
      <c r="W432" s="841"/>
      <c r="X432" s="841"/>
      <c r="Y432" s="841"/>
      <c r="Z432" s="97"/>
      <c r="AA432" s="97"/>
      <c r="AB432" s="97" t="s">
        <v>7714</v>
      </c>
      <c r="AC432" s="97" t="s">
        <v>7586</v>
      </c>
      <c r="AD432" s="97" t="s">
        <v>7374</v>
      </c>
      <c r="AE432" s="97" t="s">
        <v>7198</v>
      </c>
      <c r="AF432" s="97"/>
      <c r="AG432" s="97"/>
      <c r="AH432" s="97" t="s">
        <v>6377</v>
      </c>
      <c r="AI432" s="97" t="s">
        <v>6377</v>
      </c>
      <c r="AJ432" s="97" t="s">
        <v>1763</v>
      </c>
      <c r="AK432" s="97" t="s">
        <v>6377</v>
      </c>
      <c r="AL432" s="580">
        <f t="shared" si="47"/>
        <v>1.087</v>
      </c>
      <c r="AM432" s="504">
        <v>1.087</v>
      </c>
      <c r="AN432" s="516"/>
      <c r="AO432" s="97"/>
      <c r="AP432" s="97"/>
      <c r="AQ432" s="504">
        <v>1.087</v>
      </c>
      <c r="AR432" s="507">
        <v>1</v>
      </c>
      <c r="AS432" s="507">
        <v>1</v>
      </c>
      <c r="AT432" s="516">
        <v>0</v>
      </c>
      <c r="AU432" s="507">
        <v>0</v>
      </c>
      <c r="AV432" s="516"/>
      <c r="AW432" s="504">
        <v>0</v>
      </c>
      <c r="AX432" s="516">
        <v>0</v>
      </c>
      <c r="AY432" s="507">
        <v>0</v>
      </c>
      <c r="AZ432" s="516"/>
      <c r="BA432" s="507"/>
      <c r="BB432" s="507"/>
      <c r="BC432" s="507"/>
      <c r="BD432" s="507"/>
      <c r="BE432" s="507" t="s">
        <v>479</v>
      </c>
      <c r="BF432" s="507" t="s">
        <v>6257</v>
      </c>
      <c r="BG432" s="507"/>
      <c r="BH432" s="507"/>
      <c r="BI432" s="504">
        <v>0</v>
      </c>
      <c r="BJ432" s="507">
        <v>0</v>
      </c>
      <c r="BK432" s="96">
        <v>3</v>
      </c>
      <c r="BL432" s="96">
        <v>2</v>
      </c>
      <c r="BM432" s="96">
        <v>2</v>
      </c>
      <c r="BN432" s="96"/>
      <c r="BO432" s="96"/>
      <c r="BP432" s="96"/>
      <c r="BQ432" s="96">
        <v>1</v>
      </c>
      <c r="BR432" s="96"/>
      <c r="BS432" s="96"/>
      <c r="BT432" s="96"/>
      <c r="BU432" s="96"/>
      <c r="BV432" s="96"/>
      <c r="BW432" s="96"/>
      <c r="BX432" s="96"/>
      <c r="BY432" s="96"/>
      <c r="BZ432" s="96">
        <v>1</v>
      </c>
      <c r="CA432" s="96"/>
      <c r="CB432" s="96"/>
      <c r="CC432" s="96"/>
      <c r="CD432" s="96"/>
      <c r="CE432" s="96"/>
      <c r="CF432" s="96"/>
      <c r="CG432" s="96"/>
      <c r="CH432" s="96"/>
      <c r="CI432" s="854"/>
      <c r="CJ432" s="504"/>
      <c r="CK432" s="97"/>
      <c r="CL432" s="502">
        <f>SUM(BN432:CK432)</f>
        <v>2</v>
      </c>
      <c r="CM432" s="824">
        <f t="shared" si="46"/>
        <v>0</v>
      </c>
      <c r="CN432" s="504">
        <v>0.73299999999999998</v>
      </c>
      <c r="CO432" s="97" t="s">
        <v>6018</v>
      </c>
      <c r="CP432" s="97"/>
      <c r="CQ432" s="97">
        <v>27</v>
      </c>
      <c r="CR432" s="504">
        <v>2.69</v>
      </c>
      <c r="CS432" s="842" t="s">
        <v>5817</v>
      </c>
      <c r="CT432" s="97" t="s">
        <v>470</v>
      </c>
      <c r="CU432" s="97">
        <v>0</v>
      </c>
      <c r="CV432" s="97">
        <v>0</v>
      </c>
      <c r="CW432" s="97">
        <v>0</v>
      </c>
      <c r="CX432" s="96">
        <v>0</v>
      </c>
      <c r="CY432" s="96">
        <v>10</v>
      </c>
      <c r="CZ432" s="96">
        <v>1</v>
      </c>
      <c r="DA432" s="97" t="s">
        <v>479</v>
      </c>
      <c r="DB432" s="97" t="s">
        <v>1876</v>
      </c>
      <c r="DC432" s="96">
        <v>700</v>
      </c>
      <c r="DD432" s="97" t="s">
        <v>479</v>
      </c>
      <c r="DE432" s="97" t="s">
        <v>1007</v>
      </c>
      <c r="DF432" s="96">
        <v>30</v>
      </c>
      <c r="DG432" s="96" t="s">
        <v>470</v>
      </c>
      <c r="DH432" s="96"/>
      <c r="DI432" s="96"/>
      <c r="DJ432" s="96" t="s">
        <v>470</v>
      </c>
      <c r="DK432" s="96"/>
      <c r="DL432" s="96"/>
      <c r="DM432" s="97" t="s">
        <v>470</v>
      </c>
      <c r="DN432" s="97"/>
      <c r="DO432" s="96"/>
      <c r="DP432" s="97"/>
      <c r="DQ432" s="97"/>
      <c r="DR432" s="96"/>
      <c r="DS432" s="97" t="s">
        <v>470</v>
      </c>
      <c r="DT432" s="97"/>
      <c r="DU432" s="96"/>
      <c r="DV432" s="97"/>
      <c r="DW432" s="97"/>
      <c r="DX432" s="96"/>
      <c r="DY432" s="97" t="s">
        <v>470</v>
      </c>
      <c r="DZ432" s="97"/>
      <c r="EA432" s="96"/>
      <c r="EB432" s="97" t="s">
        <v>479</v>
      </c>
      <c r="EC432" s="97" t="s">
        <v>1007</v>
      </c>
      <c r="ED432" s="96">
        <v>27</v>
      </c>
      <c r="EE432" s="96" t="s">
        <v>470</v>
      </c>
      <c r="EF432" s="96"/>
      <c r="EG432" s="96"/>
      <c r="EH432" s="97" t="s">
        <v>470</v>
      </c>
      <c r="EI432" s="97"/>
      <c r="EJ432" s="96"/>
      <c r="EK432" s="97" t="s">
        <v>470</v>
      </c>
      <c r="EL432" s="97"/>
      <c r="EM432" s="96"/>
      <c r="EN432" s="97" t="s">
        <v>470</v>
      </c>
      <c r="EO432" s="97"/>
      <c r="EP432" s="96"/>
      <c r="EQ432" s="96" t="s">
        <v>470</v>
      </c>
      <c r="ER432" s="96"/>
      <c r="ES432" s="96"/>
      <c r="ET432" s="97"/>
      <c r="EU432" s="97"/>
      <c r="EV432" s="96"/>
      <c r="EW432" s="96"/>
      <c r="EX432" s="96"/>
      <c r="EY432" s="96"/>
      <c r="EZ432" s="97" t="s">
        <v>479</v>
      </c>
      <c r="FA432" s="97" t="s">
        <v>3381</v>
      </c>
      <c r="FB432" s="97"/>
      <c r="FC432" s="97"/>
      <c r="FD432" s="97"/>
      <c r="FE432" s="97"/>
      <c r="FF432" s="97"/>
      <c r="FG432" s="97" t="s">
        <v>4583</v>
      </c>
      <c r="FH432" s="97">
        <v>2</v>
      </c>
      <c r="FI432" s="97">
        <v>3</v>
      </c>
      <c r="FJ432" s="97" t="s">
        <v>4345</v>
      </c>
      <c r="FK432" s="97" t="s">
        <v>4165</v>
      </c>
      <c r="FL432" s="872" t="s">
        <v>3702</v>
      </c>
      <c r="FM432" s="97" t="s">
        <v>3849</v>
      </c>
      <c r="FN432" s="97" t="s">
        <v>3780</v>
      </c>
      <c r="FO432" s="872" t="s">
        <v>3702</v>
      </c>
    </row>
    <row r="433" spans="5:195" ht="48" customHeight="1" x14ac:dyDescent="0.2">
      <c r="E433" s="94" t="s">
        <v>9305</v>
      </c>
      <c r="F433" s="94" t="s">
        <v>9121</v>
      </c>
      <c r="G433" s="97" t="s">
        <v>369</v>
      </c>
      <c r="H433" s="97" t="s">
        <v>454</v>
      </c>
      <c r="I433" s="97" t="s">
        <v>8632</v>
      </c>
      <c r="J433" s="97" t="s">
        <v>1414</v>
      </c>
      <c r="K433" s="97" t="s">
        <v>1414</v>
      </c>
      <c r="L433" s="502">
        <v>2018</v>
      </c>
      <c r="M433" s="841">
        <v>44531</v>
      </c>
      <c r="N433" s="841">
        <v>44849</v>
      </c>
      <c r="O433" s="841"/>
      <c r="P433" s="841"/>
      <c r="Q433" s="841"/>
      <c r="R433" s="841"/>
      <c r="S433" s="841"/>
      <c r="T433" s="841"/>
      <c r="U433" s="841"/>
      <c r="V433" s="841"/>
      <c r="W433" s="841"/>
      <c r="X433" s="841"/>
      <c r="Y433" s="841"/>
      <c r="Z433" s="97" t="s">
        <v>8026</v>
      </c>
      <c r="AA433" s="97" t="s">
        <v>7901</v>
      </c>
      <c r="AB433" s="97" t="s">
        <v>7713</v>
      </c>
      <c r="AC433" s="97" t="s">
        <v>7585</v>
      </c>
      <c r="AD433" s="97" t="s">
        <v>7373</v>
      </c>
      <c r="AE433" s="97" t="s">
        <v>7197</v>
      </c>
      <c r="AF433" s="97" t="s">
        <v>7117</v>
      </c>
      <c r="AG433" s="97" t="s">
        <v>7052</v>
      </c>
      <c r="AH433" s="97" t="s">
        <v>6928</v>
      </c>
      <c r="AI433" s="97" t="s">
        <v>6376</v>
      </c>
      <c r="AJ433" s="97" t="s">
        <v>6630</v>
      </c>
      <c r="AK433" s="97" t="s">
        <v>6376</v>
      </c>
      <c r="AL433" s="580">
        <f t="shared" si="47"/>
        <v>8.9329999999999998</v>
      </c>
      <c r="AM433" s="504">
        <v>8.9329999999999998</v>
      </c>
      <c r="AN433" s="516"/>
      <c r="AO433" s="97"/>
      <c r="AP433" s="97"/>
      <c r="AQ433" s="504">
        <v>8.923</v>
      </c>
      <c r="AR433" s="507">
        <v>0.99890000000000001</v>
      </c>
      <c r="AS433" s="507">
        <v>1.6000000000000001E-3</v>
      </c>
      <c r="AT433" s="516">
        <v>0</v>
      </c>
      <c r="AU433" s="507">
        <v>0</v>
      </c>
      <c r="AV433" s="516">
        <v>0</v>
      </c>
      <c r="AW433" s="507">
        <v>0</v>
      </c>
      <c r="AX433" s="516">
        <v>0.01</v>
      </c>
      <c r="AY433" s="507">
        <v>1.1000000000000001E-3</v>
      </c>
      <c r="AZ433" s="516"/>
      <c r="BA433" s="507"/>
      <c r="BB433" s="507"/>
      <c r="BC433" s="507"/>
      <c r="BD433" s="507"/>
      <c r="BE433" s="507" t="s">
        <v>479</v>
      </c>
      <c r="BF433" s="507" t="s">
        <v>6256</v>
      </c>
      <c r="BG433" s="507"/>
      <c r="BH433" s="507"/>
      <c r="BI433" s="504">
        <v>8.1140000000000008</v>
      </c>
      <c r="BJ433" s="507">
        <v>1.6000000000000001E-3</v>
      </c>
      <c r="BK433" s="96">
        <v>13</v>
      </c>
      <c r="BL433" s="96">
        <v>11</v>
      </c>
      <c r="BM433" s="96">
        <v>5</v>
      </c>
      <c r="BN433" s="96">
        <v>0</v>
      </c>
      <c r="BO433" s="96">
        <v>0</v>
      </c>
      <c r="BP433" s="96">
        <v>0</v>
      </c>
      <c r="BQ433" s="96">
        <v>0</v>
      </c>
      <c r="BR433" s="96">
        <v>0</v>
      </c>
      <c r="BS433" s="96">
        <v>0</v>
      </c>
      <c r="BT433" s="96">
        <v>0</v>
      </c>
      <c r="BU433" s="96">
        <v>0</v>
      </c>
      <c r="BV433" s="96">
        <v>0</v>
      </c>
      <c r="BW433" s="96">
        <v>2</v>
      </c>
      <c r="BX433" s="96">
        <v>2</v>
      </c>
      <c r="BY433" s="96">
        <v>0</v>
      </c>
      <c r="BZ433" s="96">
        <v>0</v>
      </c>
      <c r="CA433" s="96">
        <v>0</v>
      </c>
      <c r="CB433" s="96">
        <v>0</v>
      </c>
      <c r="CC433" s="96">
        <v>0</v>
      </c>
      <c r="CD433" s="96">
        <v>0</v>
      </c>
      <c r="CE433" s="96">
        <v>0</v>
      </c>
      <c r="CF433" s="96">
        <v>0</v>
      </c>
      <c r="CG433" s="96">
        <v>0</v>
      </c>
      <c r="CH433" s="96">
        <v>0</v>
      </c>
      <c r="CI433" s="96">
        <v>0</v>
      </c>
      <c r="CJ433" s="96">
        <v>1</v>
      </c>
      <c r="CK433" s="96">
        <v>0</v>
      </c>
      <c r="CL433" s="815">
        <v>5</v>
      </c>
      <c r="CM433" s="824">
        <f t="shared" si="46"/>
        <v>0</v>
      </c>
      <c r="CN433" s="504">
        <v>13.396000000000001</v>
      </c>
      <c r="CO433" s="97" t="s">
        <v>6017</v>
      </c>
      <c r="CP433" s="97"/>
      <c r="CQ433" s="97">
        <v>10.39</v>
      </c>
      <c r="CR433" s="504">
        <v>128.86500000000001</v>
      </c>
      <c r="CS433" s="507" t="s">
        <v>5816</v>
      </c>
      <c r="CT433" s="97" t="s">
        <v>470</v>
      </c>
      <c r="CU433" s="97"/>
      <c r="CV433" s="97"/>
      <c r="CW433" s="97"/>
      <c r="CX433" s="96">
        <v>0</v>
      </c>
      <c r="CY433" s="96">
        <v>0</v>
      </c>
      <c r="CZ433" s="96">
        <v>0</v>
      </c>
      <c r="DA433" s="97" t="s">
        <v>479</v>
      </c>
      <c r="DB433" s="97" t="s">
        <v>5672</v>
      </c>
      <c r="DC433" s="96">
        <v>341</v>
      </c>
      <c r="DD433" s="97" t="s">
        <v>479</v>
      </c>
      <c r="DE433" s="97" t="s">
        <v>1007</v>
      </c>
      <c r="DF433" s="96">
        <v>80</v>
      </c>
      <c r="DG433" s="96" t="s">
        <v>470</v>
      </c>
      <c r="DH433" s="96"/>
      <c r="DI433" s="96">
        <v>0</v>
      </c>
      <c r="DJ433" s="96" t="s">
        <v>470</v>
      </c>
      <c r="DK433" s="96"/>
      <c r="DL433" s="96">
        <v>0</v>
      </c>
      <c r="DM433" s="97" t="s">
        <v>470</v>
      </c>
      <c r="DN433" s="97"/>
      <c r="DO433" s="96">
        <v>0</v>
      </c>
      <c r="DP433" s="97" t="s">
        <v>470</v>
      </c>
      <c r="DQ433" s="97"/>
      <c r="DR433" s="96">
        <v>0</v>
      </c>
      <c r="DS433" s="97" t="s">
        <v>470</v>
      </c>
      <c r="DT433" s="97"/>
      <c r="DU433" s="96">
        <v>0</v>
      </c>
      <c r="DV433" s="97"/>
      <c r="DW433" s="97"/>
      <c r="DX433" s="96">
        <v>0</v>
      </c>
      <c r="DY433" s="97" t="s">
        <v>479</v>
      </c>
      <c r="DZ433" s="842" t="s">
        <v>5447</v>
      </c>
      <c r="EA433" s="96">
        <v>2054</v>
      </c>
      <c r="EB433" s="97" t="s">
        <v>470</v>
      </c>
      <c r="EC433" s="97"/>
      <c r="ED433" s="96">
        <v>0</v>
      </c>
      <c r="EE433" s="96" t="s">
        <v>470</v>
      </c>
      <c r="EF433" s="96"/>
      <c r="EG433" s="96">
        <v>0</v>
      </c>
      <c r="EH433" s="97" t="s">
        <v>470</v>
      </c>
      <c r="EI433" s="97"/>
      <c r="EJ433" s="96">
        <v>0</v>
      </c>
      <c r="EK433" s="97"/>
      <c r="EL433" s="97"/>
      <c r="EM433" s="96">
        <v>0</v>
      </c>
      <c r="EN433" s="97" t="s">
        <v>470</v>
      </c>
      <c r="EO433" s="97"/>
      <c r="EP433" s="96">
        <v>0</v>
      </c>
      <c r="EQ433" s="96" t="s">
        <v>479</v>
      </c>
      <c r="ER433" s="96" t="s">
        <v>5267</v>
      </c>
      <c r="ES433" s="96">
        <v>10</v>
      </c>
      <c r="ET433" s="97"/>
      <c r="EU433" s="97"/>
      <c r="EV433" s="96">
        <v>0</v>
      </c>
      <c r="EW433" s="96"/>
      <c r="EX433" s="96"/>
      <c r="EY433" s="96"/>
      <c r="EZ433" s="97" t="s">
        <v>540</v>
      </c>
      <c r="FA433" s="97" t="s">
        <v>5198</v>
      </c>
      <c r="FB433" s="97" t="s">
        <v>5046</v>
      </c>
      <c r="FC433" s="97"/>
      <c r="FD433" s="97"/>
      <c r="FE433" s="97" t="s">
        <v>4745</v>
      </c>
      <c r="FF433" s="97"/>
      <c r="FG433" s="97" t="s">
        <v>4585</v>
      </c>
      <c r="FH433" s="97">
        <v>10</v>
      </c>
      <c r="FI433" s="97">
        <v>55</v>
      </c>
      <c r="FJ433" s="97" t="s">
        <v>4344</v>
      </c>
      <c r="FK433" s="97" t="s">
        <v>4164</v>
      </c>
      <c r="FL433" s="842" t="s">
        <v>3943</v>
      </c>
      <c r="FM433" s="97" t="s">
        <v>3848</v>
      </c>
      <c r="FN433" s="97" t="s">
        <v>3779</v>
      </c>
      <c r="FO433" s="97" t="s">
        <v>3701</v>
      </c>
    </row>
    <row r="434" spans="5:195" ht="47" customHeight="1" x14ac:dyDescent="0.2">
      <c r="E434" s="94" t="s">
        <v>9305</v>
      </c>
      <c r="F434" s="94" t="s">
        <v>9121</v>
      </c>
      <c r="G434" s="97" t="s">
        <v>369</v>
      </c>
      <c r="H434" s="97" t="s">
        <v>454</v>
      </c>
      <c r="I434" s="97" t="s">
        <v>8631</v>
      </c>
      <c r="J434" s="97" t="s">
        <v>8453</v>
      </c>
      <c r="K434" s="97" t="s">
        <v>8347</v>
      </c>
      <c r="L434" s="502">
        <v>2019</v>
      </c>
      <c r="M434" s="841" t="s">
        <v>8266</v>
      </c>
      <c r="N434" s="841" t="s">
        <v>8200</v>
      </c>
      <c r="O434" s="841"/>
      <c r="P434" s="841"/>
      <c r="Q434" s="841"/>
      <c r="R434" s="841"/>
      <c r="S434" s="841"/>
      <c r="T434" s="841"/>
      <c r="U434" s="841"/>
      <c r="V434" s="841"/>
      <c r="W434" s="841"/>
      <c r="X434" s="841"/>
      <c r="Y434" s="841"/>
      <c r="Z434" s="97" t="s">
        <v>8025</v>
      </c>
      <c r="AA434" s="97" t="s">
        <v>7900</v>
      </c>
      <c r="AB434" s="97" t="s">
        <v>7712</v>
      </c>
      <c r="AC434" s="97" t="s">
        <v>7584</v>
      </c>
      <c r="AD434" s="97" t="s">
        <v>7372</v>
      </c>
      <c r="AE434" s="842" t="s">
        <v>7196</v>
      </c>
      <c r="AF434" s="97" t="s">
        <v>7116</v>
      </c>
      <c r="AG434" s="97" t="s">
        <v>7051</v>
      </c>
      <c r="AH434" s="97" t="s">
        <v>6927</v>
      </c>
      <c r="AI434" s="97" t="s">
        <v>6771</v>
      </c>
      <c r="AJ434" s="97" t="s">
        <v>6629</v>
      </c>
      <c r="AK434" s="97" t="s">
        <v>6375</v>
      </c>
      <c r="AL434" s="580">
        <f t="shared" si="47"/>
        <v>21.411000000000001</v>
      </c>
      <c r="AM434" s="504">
        <v>21.411000000000001</v>
      </c>
      <c r="AN434" s="516"/>
      <c r="AO434" s="97"/>
      <c r="AP434" s="97"/>
      <c r="AQ434" s="504">
        <v>21.411000000000001</v>
      </c>
      <c r="AR434" s="507">
        <v>1</v>
      </c>
      <c r="AS434" s="507">
        <v>1.4E-3</v>
      </c>
      <c r="AT434" s="516">
        <v>0</v>
      </c>
      <c r="AU434" s="507">
        <v>0</v>
      </c>
      <c r="AV434" s="516">
        <v>0</v>
      </c>
      <c r="AW434" s="507">
        <v>0</v>
      </c>
      <c r="AX434" s="516">
        <v>0</v>
      </c>
      <c r="AY434" s="507">
        <v>0</v>
      </c>
      <c r="AZ434" s="516"/>
      <c r="BA434" s="507"/>
      <c r="BB434" s="507"/>
      <c r="BC434" s="507"/>
      <c r="BD434" s="507"/>
      <c r="BE434" s="507" t="s">
        <v>479</v>
      </c>
      <c r="BF434" s="507" t="s">
        <v>6255</v>
      </c>
      <c r="BG434" s="507" t="s">
        <v>470</v>
      </c>
      <c r="BH434" s="852">
        <v>3.0000000000000001E-3</v>
      </c>
      <c r="BI434" s="504">
        <v>53.316000000000003</v>
      </c>
      <c r="BJ434" s="507">
        <v>3.3999999999999998E-3</v>
      </c>
      <c r="BK434" s="96">
        <v>5</v>
      </c>
      <c r="BL434" s="96">
        <v>5</v>
      </c>
      <c r="BM434" s="96">
        <v>4</v>
      </c>
      <c r="BN434" s="96">
        <v>0</v>
      </c>
      <c r="BO434" s="96">
        <v>0</v>
      </c>
      <c r="BP434" s="96">
        <v>0</v>
      </c>
      <c r="BQ434" s="96">
        <v>0</v>
      </c>
      <c r="BR434" s="96">
        <v>0</v>
      </c>
      <c r="BS434" s="96">
        <v>0</v>
      </c>
      <c r="BT434" s="96">
        <v>1</v>
      </c>
      <c r="BU434" s="96">
        <v>1</v>
      </c>
      <c r="BV434" s="96">
        <v>2</v>
      </c>
      <c r="BW434" s="96">
        <v>0</v>
      </c>
      <c r="BX434" s="96">
        <v>0</v>
      </c>
      <c r="BY434" s="96">
        <v>0</v>
      </c>
      <c r="BZ434" s="96">
        <v>0</v>
      </c>
      <c r="CA434" s="96">
        <v>0</v>
      </c>
      <c r="CB434" s="96">
        <v>0</v>
      </c>
      <c r="CC434" s="96">
        <v>0</v>
      </c>
      <c r="CD434" s="96">
        <v>0</v>
      </c>
      <c r="CE434" s="96">
        <v>0</v>
      </c>
      <c r="CF434" s="96">
        <v>0</v>
      </c>
      <c r="CG434" s="96">
        <v>0</v>
      </c>
      <c r="CH434" s="96">
        <v>0</v>
      </c>
      <c r="CI434" s="96">
        <v>0</v>
      </c>
      <c r="CJ434" s="96">
        <v>0</v>
      </c>
      <c r="CK434" s="96">
        <v>0</v>
      </c>
      <c r="CL434" s="815">
        <v>4</v>
      </c>
      <c r="CM434" s="824">
        <f t="shared" si="46"/>
        <v>0</v>
      </c>
      <c r="CN434" s="504">
        <v>1.18</v>
      </c>
      <c r="CO434" s="97" t="s">
        <v>6016</v>
      </c>
      <c r="CP434" s="97" t="s">
        <v>470</v>
      </c>
      <c r="CQ434" s="507">
        <v>8.9999999999999993E-3</v>
      </c>
      <c r="CR434" s="504">
        <v>126.86799999999999</v>
      </c>
      <c r="CS434" s="507" t="s">
        <v>5815</v>
      </c>
      <c r="CT434" s="97" t="s">
        <v>470</v>
      </c>
      <c r="CU434" s="97"/>
      <c r="CV434" s="97"/>
      <c r="CW434" s="97"/>
      <c r="CX434" s="96">
        <v>0</v>
      </c>
      <c r="CY434" s="96">
        <v>0</v>
      </c>
      <c r="CZ434" s="96">
        <v>3</v>
      </c>
      <c r="DA434" s="97" t="s">
        <v>479</v>
      </c>
      <c r="DB434" s="97" t="s">
        <v>5671</v>
      </c>
      <c r="DC434" s="96">
        <v>187</v>
      </c>
      <c r="DD434" s="97" t="s">
        <v>479</v>
      </c>
      <c r="DE434" s="97" t="s">
        <v>541</v>
      </c>
      <c r="DF434" s="96">
        <v>313</v>
      </c>
      <c r="DG434" s="96" t="s">
        <v>470</v>
      </c>
      <c r="DH434" s="96"/>
      <c r="DI434" s="96">
        <v>0</v>
      </c>
      <c r="DJ434" s="96" t="s">
        <v>470</v>
      </c>
      <c r="DK434" s="96"/>
      <c r="DL434" s="96">
        <v>0</v>
      </c>
      <c r="DM434" s="97" t="s">
        <v>470</v>
      </c>
      <c r="DN434" s="97"/>
      <c r="DO434" s="96">
        <v>0</v>
      </c>
      <c r="DP434" s="97" t="s">
        <v>470</v>
      </c>
      <c r="DQ434" s="842"/>
      <c r="DR434" s="96"/>
      <c r="DS434" s="97" t="s">
        <v>470</v>
      </c>
      <c r="DT434" s="97"/>
      <c r="DU434" s="96">
        <v>0</v>
      </c>
      <c r="DV434" s="97" t="s">
        <v>5494</v>
      </c>
      <c r="DW434" s="97" t="s">
        <v>5470</v>
      </c>
      <c r="DX434" s="96">
        <v>5</v>
      </c>
      <c r="DY434" s="97" t="s">
        <v>470</v>
      </c>
      <c r="DZ434" s="842"/>
      <c r="EA434" s="96">
        <v>0</v>
      </c>
      <c r="EB434" s="97"/>
      <c r="EC434" s="97"/>
      <c r="ED434" s="96">
        <v>0</v>
      </c>
      <c r="EE434" s="96" t="s">
        <v>470</v>
      </c>
      <c r="EF434" s="96"/>
      <c r="EG434" s="96">
        <v>0</v>
      </c>
      <c r="EH434" s="97" t="s">
        <v>470</v>
      </c>
      <c r="EI434" s="97"/>
      <c r="EJ434" s="96">
        <v>0</v>
      </c>
      <c r="EK434" s="97" t="s">
        <v>470</v>
      </c>
      <c r="EL434" s="97"/>
      <c r="EM434" s="96">
        <v>0</v>
      </c>
      <c r="EN434" s="97" t="s">
        <v>470</v>
      </c>
      <c r="EO434" s="97"/>
      <c r="EP434" s="96">
        <v>0</v>
      </c>
      <c r="EQ434" s="96" t="s">
        <v>479</v>
      </c>
      <c r="ER434" s="96" t="s">
        <v>5266</v>
      </c>
      <c r="ES434" s="96">
        <v>5</v>
      </c>
      <c r="ET434" s="97" t="s">
        <v>470</v>
      </c>
      <c r="EU434" s="97"/>
      <c r="EV434" s="96">
        <v>0</v>
      </c>
      <c r="EW434" s="96"/>
      <c r="EX434" s="96"/>
      <c r="EY434" s="96"/>
      <c r="EZ434" s="97" t="s">
        <v>479</v>
      </c>
      <c r="FA434" s="97" t="s">
        <v>3381</v>
      </c>
      <c r="FB434" s="97" t="s">
        <v>5045</v>
      </c>
      <c r="FC434" s="97" t="s">
        <v>4937</v>
      </c>
      <c r="FD434" s="97" t="s">
        <v>4886</v>
      </c>
      <c r="FE434" s="97" t="s">
        <v>4744</v>
      </c>
      <c r="FF434" s="97" t="s">
        <v>4687</v>
      </c>
      <c r="FG434" s="97" t="s">
        <v>4584</v>
      </c>
      <c r="FH434" s="97">
        <v>1</v>
      </c>
      <c r="FI434" s="97">
        <v>30</v>
      </c>
      <c r="FJ434" s="97" t="s">
        <v>3847</v>
      </c>
      <c r="FK434" s="97" t="s">
        <v>3778</v>
      </c>
      <c r="FL434" s="842" t="s">
        <v>3700</v>
      </c>
      <c r="FM434" s="97" t="s">
        <v>3847</v>
      </c>
      <c r="FN434" s="97" t="s">
        <v>3778</v>
      </c>
      <c r="FO434" s="97" t="s">
        <v>3700</v>
      </c>
    </row>
    <row r="435" spans="5:195" ht="48" customHeight="1" x14ac:dyDescent="0.2">
      <c r="E435" s="94" t="s">
        <v>9305</v>
      </c>
      <c r="F435" s="94" t="s">
        <v>9121</v>
      </c>
      <c r="G435" s="97" t="s">
        <v>369</v>
      </c>
      <c r="H435" s="97" t="s">
        <v>454</v>
      </c>
      <c r="I435" s="97" t="s">
        <v>8630</v>
      </c>
      <c r="J435" s="97" t="s">
        <v>2402</v>
      </c>
      <c r="K435" s="97" t="s">
        <v>2402</v>
      </c>
      <c r="L435" s="502">
        <v>2017</v>
      </c>
      <c r="M435" s="841">
        <v>44832</v>
      </c>
      <c r="N435" s="841" t="s">
        <v>865</v>
      </c>
      <c r="O435" s="841"/>
      <c r="P435" s="841"/>
      <c r="Q435" s="841"/>
      <c r="R435" s="841"/>
      <c r="S435" s="841"/>
      <c r="T435" s="841"/>
      <c r="U435" s="841"/>
      <c r="V435" s="841"/>
      <c r="W435" s="841"/>
      <c r="X435" s="841"/>
      <c r="Y435" s="841"/>
      <c r="Z435" s="97"/>
      <c r="AA435" s="842"/>
      <c r="AB435" s="97" t="s">
        <v>7711</v>
      </c>
      <c r="AC435" s="842" t="s">
        <v>7583</v>
      </c>
      <c r="AD435" s="97" t="s">
        <v>7371</v>
      </c>
      <c r="AE435" s="842" t="s">
        <v>7195</v>
      </c>
      <c r="AF435" s="97"/>
      <c r="AG435" s="97"/>
      <c r="AH435" s="97" t="s">
        <v>6926</v>
      </c>
      <c r="AI435" s="97" t="s">
        <v>6770</v>
      </c>
      <c r="AJ435" s="97" t="s">
        <v>3151</v>
      </c>
      <c r="AK435" s="97" t="s">
        <v>6374</v>
      </c>
      <c r="AL435" s="580">
        <f t="shared" si="47"/>
        <v>2.1059999999999999</v>
      </c>
      <c r="AM435" s="504">
        <v>2.1059999999999999</v>
      </c>
      <c r="AN435" s="516"/>
      <c r="AO435" s="97"/>
      <c r="AP435" s="97"/>
      <c r="AQ435" s="504">
        <v>2.1059999999999999</v>
      </c>
      <c r="AR435" s="876">
        <v>1</v>
      </c>
      <c r="AS435" s="507"/>
      <c r="AT435" s="516">
        <v>0</v>
      </c>
      <c r="AU435" s="507">
        <v>0</v>
      </c>
      <c r="AV435" s="516">
        <v>0</v>
      </c>
      <c r="AW435" s="507">
        <v>0</v>
      </c>
      <c r="AX435" s="516">
        <v>0</v>
      </c>
      <c r="AY435" s="507">
        <v>0</v>
      </c>
      <c r="AZ435" s="516"/>
      <c r="BA435" s="507"/>
      <c r="BB435" s="507"/>
      <c r="BC435" s="507"/>
      <c r="BD435" s="507"/>
      <c r="BE435" s="507" t="s">
        <v>479</v>
      </c>
      <c r="BF435" s="507" t="s">
        <v>6254</v>
      </c>
      <c r="BG435" s="507"/>
      <c r="BH435" s="852">
        <v>0</v>
      </c>
      <c r="BI435" s="852">
        <v>0</v>
      </c>
      <c r="BJ435" s="852">
        <v>0</v>
      </c>
      <c r="BK435" s="96">
        <v>1</v>
      </c>
      <c r="BL435" s="96">
        <v>1</v>
      </c>
      <c r="BM435" s="96">
        <v>1</v>
      </c>
      <c r="BN435" s="96">
        <v>0</v>
      </c>
      <c r="BO435" s="96">
        <v>0</v>
      </c>
      <c r="BP435" s="96">
        <v>0</v>
      </c>
      <c r="BQ435" s="96">
        <v>0</v>
      </c>
      <c r="BR435" s="96">
        <v>0</v>
      </c>
      <c r="BS435" s="96">
        <v>0</v>
      </c>
      <c r="BT435" s="96">
        <v>0</v>
      </c>
      <c r="BU435" s="96">
        <v>0</v>
      </c>
      <c r="BV435" s="96">
        <v>0</v>
      </c>
      <c r="BW435" s="96">
        <v>0</v>
      </c>
      <c r="BX435" s="96">
        <v>0</v>
      </c>
      <c r="BY435" s="96">
        <v>1</v>
      </c>
      <c r="BZ435" s="96">
        <v>0</v>
      </c>
      <c r="CA435" s="96">
        <v>0</v>
      </c>
      <c r="CB435" s="96">
        <v>0</v>
      </c>
      <c r="CC435" s="96">
        <v>0</v>
      </c>
      <c r="CD435" s="96">
        <v>0</v>
      </c>
      <c r="CE435" s="96">
        <v>0</v>
      </c>
      <c r="CF435" s="96">
        <v>0</v>
      </c>
      <c r="CG435" s="96">
        <v>0</v>
      </c>
      <c r="CH435" s="96">
        <v>0</v>
      </c>
      <c r="CI435" s="96">
        <v>0</v>
      </c>
      <c r="CJ435" s="96">
        <v>0</v>
      </c>
      <c r="CK435" s="96">
        <v>0</v>
      </c>
      <c r="CL435" s="815">
        <v>1</v>
      </c>
      <c r="CM435" s="824">
        <f t="shared" si="46"/>
        <v>0</v>
      </c>
      <c r="CN435" s="611">
        <v>1.5</v>
      </c>
      <c r="CO435" s="97" t="s">
        <v>6015</v>
      </c>
      <c r="CP435" s="97"/>
      <c r="CQ435" s="1031">
        <v>4.1300000000000003E-2</v>
      </c>
      <c r="CR435" s="611">
        <v>36.200000000000003</v>
      </c>
      <c r="CS435" s="887" t="s">
        <v>5814</v>
      </c>
      <c r="CT435" s="97" t="s">
        <v>470</v>
      </c>
      <c r="CU435" s="97"/>
      <c r="CV435" s="97"/>
      <c r="CW435" s="97"/>
      <c r="CX435" s="96">
        <v>0</v>
      </c>
      <c r="CY435" s="96">
        <v>0</v>
      </c>
      <c r="CZ435" s="96">
        <v>0</v>
      </c>
      <c r="DA435" s="97" t="s">
        <v>470</v>
      </c>
      <c r="DB435" s="97"/>
      <c r="DC435" s="96">
        <v>0</v>
      </c>
      <c r="DD435" s="97" t="s">
        <v>479</v>
      </c>
      <c r="DE435" s="97" t="s">
        <v>2533</v>
      </c>
      <c r="DF435" s="96">
        <v>177</v>
      </c>
      <c r="DG435" s="96" t="s">
        <v>470</v>
      </c>
      <c r="DH435" s="96"/>
      <c r="DI435" s="96">
        <v>0</v>
      </c>
      <c r="DJ435" s="97" t="s">
        <v>470</v>
      </c>
      <c r="DK435" s="96"/>
      <c r="DL435" s="96">
        <v>0</v>
      </c>
      <c r="DM435" s="97" t="s">
        <v>470</v>
      </c>
      <c r="DN435" s="97"/>
      <c r="DO435" s="96">
        <v>0</v>
      </c>
      <c r="DP435" s="97" t="s">
        <v>470</v>
      </c>
      <c r="DQ435" s="97"/>
      <c r="DR435" s="96">
        <v>0</v>
      </c>
      <c r="DS435" s="97" t="s">
        <v>470</v>
      </c>
      <c r="DT435" s="97"/>
      <c r="DU435" s="96">
        <v>0</v>
      </c>
      <c r="DV435" s="97"/>
      <c r="DW435" s="97"/>
      <c r="DX435" s="96">
        <v>0</v>
      </c>
      <c r="DY435" s="97" t="s">
        <v>470</v>
      </c>
      <c r="DZ435" s="97"/>
      <c r="EA435" s="96">
        <v>0</v>
      </c>
      <c r="EB435" s="97" t="s">
        <v>470</v>
      </c>
      <c r="EC435" s="97"/>
      <c r="ED435" s="96">
        <v>0</v>
      </c>
      <c r="EE435" s="97" t="s">
        <v>470</v>
      </c>
      <c r="EF435" s="96"/>
      <c r="EG435" s="96">
        <v>0</v>
      </c>
      <c r="EH435" s="97" t="s">
        <v>470</v>
      </c>
      <c r="EI435" s="97"/>
      <c r="EJ435" s="96">
        <v>0</v>
      </c>
      <c r="EK435" s="97" t="s">
        <v>470</v>
      </c>
      <c r="EL435" s="97"/>
      <c r="EM435" s="96">
        <v>0</v>
      </c>
      <c r="EN435" s="97" t="s">
        <v>479</v>
      </c>
      <c r="EO435" s="97" t="s">
        <v>2533</v>
      </c>
      <c r="EP435" s="96">
        <v>4</v>
      </c>
      <c r="EQ435" s="96" t="s">
        <v>470</v>
      </c>
      <c r="ER435" s="96"/>
      <c r="ES435" s="96">
        <v>0</v>
      </c>
      <c r="ET435" s="97"/>
      <c r="EU435" s="97"/>
      <c r="EV435" s="96">
        <v>0</v>
      </c>
      <c r="EW435" s="96"/>
      <c r="EX435" s="96"/>
      <c r="EY435" s="96"/>
      <c r="EZ435" s="97" t="s">
        <v>479</v>
      </c>
      <c r="FA435" s="97" t="s">
        <v>3381</v>
      </c>
      <c r="FB435" s="842" t="s">
        <v>5044</v>
      </c>
      <c r="FC435" s="97"/>
      <c r="FD435" s="842" t="s">
        <v>4885</v>
      </c>
      <c r="FE435" s="97"/>
      <c r="FF435" s="97"/>
      <c r="FG435" s="97" t="s">
        <v>4583</v>
      </c>
      <c r="FH435" s="97">
        <v>2</v>
      </c>
      <c r="FI435" s="97">
        <v>17</v>
      </c>
      <c r="FJ435" s="97" t="s">
        <v>4343</v>
      </c>
      <c r="FK435" s="97" t="s">
        <v>4163</v>
      </c>
      <c r="FL435" s="842" t="s">
        <v>3942</v>
      </c>
      <c r="FM435" s="97" t="s">
        <v>3846</v>
      </c>
      <c r="FN435" s="842" t="s">
        <v>3777</v>
      </c>
      <c r="FO435" s="97" t="s">
        <v>3699</v>
      </c>
    </row>
    <row r="436" spans="5:195" ht="40" customHeight="1" x14ac:dyDescent="0.2">
      <c r="E436" s="94" t="s">
        <v>9305</v>
      </c>
      <c r="F436" s="94" t="s">
        <v>9121</v>
      </c>
      <c r="G436" s="97" t="s">
        <v>369</v>
      </c>
      <c r="H436" s="97" t="s">
        <v>454</v>
      </c>
      <c r="I436" s="198" t="s">
        <v>8629</v>
      </c>
      <c r="J436" s="198" t="s">
        <v>8452</v>
      </c>
      <c r="K436" s="198" t="s">
        <v>1414</v>
      </c>
      <c r="L436" s="578">
        <v>2018</v>
      </c>
      <c r="M436" s="570" t="s">
        <v>8265</v>
      </c>
      <c r="N436" s="570" t="s">
        <v>8199</v>
      </c>
      <c r="O436" s="570"/>
      <c r="P436" s="570"/>
      <c r="Q436" s="570"/>
      <c r="R436" s="570"/>
      <c r="S436" s="570"/>
      <c r="T436" s="570"/>
      <c r="U436" s="570"/>
      <c r="V436" s="570"/>
      <c r="W436" s="570"/>
      <c r="X436" s="570"/>
      <c r="Y436" s="570"/>
      <c r="Z436" s="198" t="s">
        <v>8024</v>
      </c>
      <c r="AA436" s="198" t="s">
        <v>7899</v>
      </c>
      <c r="AB436" s="198" t="s">
        <v>7710</v>
      </c>
      <c r="AC436" s="198" t="s">
        <v>7582</v>
      </c>
      <c r="AD436" s="198" t="s">
        <v>7370</v>
      </c>
      <c r="AE436" s="950" t="s">
        <v>7194</v>
      </c>
      <c r="AF436" s="198" t="s">
        <v>7115</v>
      </c>
      <c r="AG436" s="198" t="s">
        <v>7050</v>
      </c>
      <c r="AH436" s="198" t="s">
        <v>6925</v>
      </c>
      <c r="AI436" s="198" t="s">
        <v>6769</v>
      </c>
      <c r="AJ436" s="198" t="s">
        <v>1763</v>
      </c>
      <c r="AK436" s="198" t="s">
        <v>6373</v>
      </c>
      <c r="AL436" s="580">
        <f t="shared" si="47"/>
        <v>13.835283260000001</v>
      </c>
      <c r="AM436" s="580">
        <v>13.835283260000001</v>
      </c>
      <c r="AN436" s="580"/>
      <c r="AO436" s="580"/>
      <c r="AP436" s="580"/>
      <c r="AQ436" s="580">
        <v>13.228</v>
      </c>
      <c r="AR436" s="137">
        <f>AQ436/AL436</f>
        <v>0.95610619250884776</v>
      </c>
      <c r="AS436" s="137"/>
      <c r="AT436" s="580">
        <v>0</v>
      </c>
      <c r="AU436" s="137">
        <v>0</v>
      </c>
      <c r="AV436" s="580">
        <v>0</v>
      </c>
      <c r="AW436" s="137">
        <v>0</v>
      </c>
      <c r="AX436" s="823">
        <v>0.60728325999999999</v>
      </c>
      <c r="AY436" s="137">
        <v>4.3894706179978316E-2</v>
      </c>
      <c r="AZ436" s="137"/>
      <c r="BA436" s="137"/>
      <c r="BB436" s="137"/>
      <c r="BC436" s="137"/>
      <c r="BD436" s="137"/>
      <c r="BE436" s="137" t="s">
        <v>470</v>
      </c>
      <c r="BF436" s="137" t="s">
        <v>6253</v>
      </c>
      <c r="BG436" s="137"/>
      <c r="BH436" s="823"/>
      <c r="BI436" s="580">
        <v>0</v>
      </c>
      <c r="BJ436" s="137">
        <v>0</v>
      </c>
      <c r="BK436" s="83">
        <v>6</v>
      </c>
      <c r="BL436" s="83">
        <v>6</v>
      </c>
      <c r="BM436" s="83">
        <v>3</v>
      </c>
      <c r="BN436" s="83">
        <v>0</v>
      </c>
      <c r="BO436" s="83">
        <v>1</v>
      </c>
      <c r="BP436" s="83">
        <v>0</v>
      </c>
      <c r="BQ436" s="83">
        <v>0</v>
      </c>
      <c r="BR436" s="83">
        <v>0</v>
      </c>
      <c r="BS436" s="83">
        <v>0</v>
      </c>
      <c r="BT436" s="83">
        <v>0</v>
      </c>
      <c r="BU436" s="83">
        <v>0</v>
      </c>
      <c r="BV436" s="83">
        <v>0</v>
      </c>
      <c r="BW436" s="83">
        <v>0</v>
      </c>
      <c r="BX436" s="83">
        <v>0</v>
      </c>
      <c r="BY436" s="83">
        <v>1</v>
      </c>
      <c r="BZ436" s="83">
        <v>1</v>
      </c>
      <c r="CA436" s="83">
        <v>0</v>
      </c>
      <c r="CB436" s="83">
        <v>0</v>
      </c>
      <c r="CC436" s="83">
        <v>0</v>
      </c>
      <c r="CD436" s="83">
        <v>0</v>
      </c>
      <c r="CE436" s="83">
        <v>0</v>
      </c>
      <c r="CF436" s="83">
        <v>0</v>
      </c>
      <c r="CG436" s="83">
        <v>0</v>
      </c>
      <c r="CH436" s="83">
        <v>0</v>
      </c>
      <c r="CI436" s="83">
        <v>0</v>
      </c>
      <c r="CJ436" s="83">
        <v>0</v>
      </c>
      <c r="CK436" s="83"/>
      <c r="CL436" s="857">
        <v>3</v>
      </c>
      <c r="CM436" s="824">
        <f t="shared" si="46"/>
        <v>0</v>
      </c>
      <c r="CN436" s="83">
        <v>6.5</v>
      </c>
      <c r="CO436" s="198"/>
      <c r="CP436" s="198"/>
      <c r="CQ436" s="198">
        <v>34.5</v>
      </c>
      <c r="CR436" s="83">
        <v>19.3</v>
      </c>
      <c r="CS436" s="1144" t="s">
        <v>5813</v>
      </c>
      <c r="CT436" s="198" t="s">
        <v>470</v>
      </c>
      <c r="CU436" s="198"/>
      <c r="CV436" s="198"/>
      <c r="CW436" s="198"/>
      <c r="CX436" s="83">
        <v>0</v>
      </c>
      <c r="CY436" s="83">
        <v>0</v>
      </c>
      <c r="CZ436" s="83">
        <v>4</v>
      </c>
      <c r="DA436" s="198" t="s">
        <v>479</v>
      </c>
      <c r="DB436" s="198" t="s">
        <v>5670</v>
      </c>
      <c r="DC436" s="83">
        <v>511</v>
      </c>
      <c r="DD436" s="198" t="s">
        <v>479</v>
      </c>
      <c r="DE436" s="198" t="s">
        <v>5265</v>
      </c>
      <c r="DF436" s="83">
        <v>205</v>
      </c>
      <c r="DG436" s="83" t="s">
        <v>470</v>
      </c>
      <c r="DH436" s="83"/>
      <c r="DI436" s="83"/>
      <c r="DJ436" s="83" t="s">
        <v>470</v>
      </c>
      <c r="DK436" s="83"/>
      <c r="DL436" s="83"/>
      <c r="DM436" s="198" t="s">
        <v>470</v>
      </c>
      <c r="DN436" s="198"/>
      <c r="DO436" s="83"/>
      <c r="DP436" s="198" t="s">
        <v>470</v>
      </c>
      <c r="DQ436" s="198"/>
      <c r="DR436" s="83"/>
      <c r="DS436" s="198" t="s">
        <v>470</v>
      </c>
      <c r="DT436" s="198"/>
      <c r="DU436" s="83"/>
      <c r="DV436" s="198"/>
      <c r="DW436" s="198"/>
      <c r="DX436" s="83"/>
      <c r="DY436" s="198" t="s">
        <v>470</v>
      </c>
      <c r="DZ436" s="198"/>
      <c r="EA436" s="83"/>
      <c r="EB436" s="198" t="s">
        <v>470</v>
      </c>
      <c r="EC436" s="198"/>
      <c r="ED436" s="83"/>
      <c r="EE436" s="83" t="s">
        <v>470</v>
      </c>
      <c r="EF436" s="83"/>
      <c r="EG436" s="83"/>
      <c r="EH436" s="198" t="s">
        <v>470</v>
      </c>
      <c r="EI436" s="198"/>
      <c r="EJ436" s="83"/>
      <c r="EK436" s="198" t="s">
        <v>470</v>
      </c>
      <c r="EL436" s="198"/>
      <c r="EM436" s="83"/>
      <c r="EN436" s="198" t="s">
        <v>470</v>
      </c>
      <c r="EO436" s="198"/>
      <c r="EP436" s="83"/>
      <c r="EQ436" s="83" t="s">
        <v>479</v>
      </c>
      <c r="ER436" s="83" t="s">
        <v>5265</v>
      </c>
      <c r="ES436" s="83">
        <v>7</v>
      </c>
      <c r="ET436" s="198"/>
      <c r="EU436" s="198"/>
      <c r="EV436" s="83"/>
      <c r="EW436" s="83"/>
      <c r="EX436" s="83"/>
      <c r="EY436" s="83"/>
      <c r="EZ436" s="198" t="s">
        <v>479</v>
      </c>
      <c r="FA436" s="198" t="s">
        <v>3381</v>
      </c>
      <c r="FB436" s="198" t="s">
        <v>5043</v>
      </c>
      <c r="FC436" s="198" t="s">
        <v>4936</v>
      </c>
      <c r="FD436" s="198"/>
      <c r="FE436" s="198" t="s">
        <v>4743</v>
      </c>
      <c r="FF436" s="198" t="s">
        <v>4686</v>
      </c>
      <c r="FG436" s="198" t="s">
        <v>4583</v>
      </c>
      <c r="FH436" s="198">
        <v>2</v>
      </c>
      <c r="FI436" s="198">
        <v>5</v>
      </c>
      <c r="FJ436" s="198" t="s">
        <v>4342</v>
      </c>
      <c r="FK436" s="198" t="s">
        <v>4162</v>
      </c>
      <c r="FL436" s="198" t="s">
        <v>3941</v>
      </c>
      <c r="FM436" s="198"/>
      <c r="FN436" s="198"/>
      <c r="FO436" s="198"/>
      <c r="FP436" s="96"/>
      <c r="FQ436" s="96"/>
      <c r="FR436" s="97"/>
      <c r="FS436" s="97"/>
      <c r="FT436" s="96"/>
      <c r="FU436" s="96"/>
      <c r="FV436" s="96"/>
      <c r="FW436" s="96"/>
      <c r="FX436" s="97"/>
      <c r="FY436" s="97"/>
      <c r="FZ436" s="97"/>
      <c r="GA436" s="97"/>
      <c r="GB436" s="97"/>
      <c r="GC436" s="97"/>
      <c r="GD436" s="97"/>
      <c r="GE436" s="97"/>
      <c r="GF436" s="97"/>
      <c r="GG436" s="97"/>
      <c r="GH436" s="97"/>
      <c r="GI436" s="97"/>
      <c r="GJ436" s="97"/>
      <c r="GK436" s="97"/>
      <c r="GL436" s="97"/>
      <c r="GM436" s="97"/>
    </row>
    <row r="437" spans="5:195" ht="104" customHeight="1" x14ac:dyDescent="0.2">
      <c r="E437" s="94" t="s">
        <v>9302</v>
      </c>
      <c r="F437" s="94" t="s">
        <v>9120</v>
      </c>
      <c r="G437" s="198" t="s">
        <v>370</v>
      </c>
      <c r="H437" s="198" t="s">
        <v>455</v>
      </c>
      <c r="I437" s="198"/>
      <c r="J437" s="826" t="s">
        <v>1575</v>
      </c>
      <c r="K437" s="826" t="s">
        <v>656</v>
      </c>
      <c r="L437" s="827" t="s">
        <v>1576</v>
      </c>
      <c r="M437" s="828" t="s">
        <v>1577</v>
      </c>
      <c r="N437" s="828" t="s">
        <v>1578</v>
      </c>
      <c r="O437" s="826" t="s">
        <v>656</v>
      </c>
      <c r="P437" s="826" t="s">
        <v>656</v>
      </c>
      <c r="Q437" s="826" t="s">
        <v>656</v>
      </c>
      <c r="R437" s="826" t="s">
        <v>1579</v>
      </c>
      <c r="S437" s="877" t="s">
        <v>1580</v>
      </c>
      <c r="T437" s="826" t="s">
        <v>1581</v>
      </c>
      <c r="U437" s="877" t="s">
        <v>1582</v>
      </c>
      <c r="V437" s="826" t="s">
        <v>656</v>
      </c>
      <c r="W437" s="826" t="s">
        <v>656</v>
      </c>
      <c r="X437" s="826" t="s">
        <v>1583</v>
      </c>
      <c r="Y437" s="877" t="s">
        <v>1584</v>
      </c>
      <c r="Z437" s="877"/>
      <c r="AA437" s="877"/>
      <c r="AB437" s="877"/>
      <c r="AC437" s="877"/>
      <c r="AD437" s="877"/>
      <c r="AE437" s="877"/>
      <c r="AF437" s="877"/>
      <c r="AG437" s="877"/>
      <c r="AH437" s="826" t="s">
        <v>1585</v>
      </c>
      <c r="AI437" s="826" t="s">
        <v>1585</v>
      </c>
      <c r="AJ437" s="826" t="s">
        <v>504</v>
      </c>
      <c r="AK437" s="826" t="s">
        <v>1586</v>
      </c>
      <c r="AL437" s="580">
        <f t="shared" si="47"/>
        <v>1329.050326</v>
      </c>
      <c r="AM437" s="504">
        <v>1329.050326</v>
      </c>
      <c r="AN437" s="829">
        <v>1320.546</v>
      </c>
      <c r="AO437" s="830">
        <v>0.99360144395311445</v>
      </c>
      <c r="AP437" s="830">
        <v>4.5999999999999999E-3</v>
      </c>
      <c r="AQ437" s="504">
        <v>1.321</v>
      </c>
      <c r="AR437" s="137">
        <v>9.9394304133446619E-4</v>
      </c>
      <c r="AS437" s="137"/>
      <c r="AT437" s="520"/>
      <c r="AU437" s="137"/>
      <c r="AV437" s="520"/>
      <c r="AW437" s="137"/>
      <c r="AX437" s="520">
        <v>7.1833260000000001</v>
      </c>
      <c r="AY437" s="137">
        <v>5.4048576013148719E-3</v>
      </c>
      <c r="AZ437" s="520" t="s">
        <v>656</v>
      </c>
      <c r="BA437" s="830" t="s">
        <v>656</v>
      </c>
      <c r="BB437" s="826" t="s">
        <v>656</v>
      </c>
      <c r="BC437" s="826" t="s">
        <v>656</v>
      </c>
      <c r="BD437" s="826" t="s">
        <v>656</v>
      </c>
      <c r="BE437" s="826" t="s">
        <v>540</v>
      </c>
      <c r="BF437" s="826" t="s">
        <v>1587</v>
      </c>
      <c r="BG437" s="826" t="s">
        <v>656</v>
      </c>
      <c r="BH437" s="826" t="s">
        <v>656</v>
      </c>
      <c r="BI437" s="590">
        <v>1500</v>
      </c>
      <c r="BJ437" s="830">
        <v>5.1000000000000004E-3</v>
      </c>
      <c r="BK437" s="832">
        <v>857</v>
      </c>
      <c r="BL437" s="832">
        <v>754</v>
      </c>
      <c r="BM437" s="832">
        <v>509</v>
      </c>
      <c r="BN437" s="832">
        <v>16</v>
      </c>
      <c r="BO437" s="832">
        <v>97</v>
      </c>
      <c r="BP437" s="832">
        <v>20</v>
      </c>
      <c r="BQ437" s="832">
        <v>8</v>
      </c>
      <c r="BR437" s="832">
        <v>7</v>
      </c>
      <c r="BS437" s="832">
        <v>10</v>
      </c>
      <c r="BT437" s="832">
        <v>124</v>
      </c>
      <c r="BU437" s="832">
        <v>41</v>
      </c>
      <c r="BV437" s="832">
        <v>31</v>
      </c>
      <c r="BW437" s="832">
        <v>71</v>
      </c>
      <c r="BX437" s="832">
        <v>23</v>
      </c>
      <c r="BY437" s="832">
        <v>32</v>
      </c>
      <c r="BZ437" s="832">
        <v>7</v>
      </c>
      <c r="CA437" s="832">
        <v>1</v>
      </c>
      <c r="CB437" s="832">
        <v>1</v>
      </c>
      <c r="CC437" s="832">
        <v>9</v>
      </c>
      <c r="CD437" s="832">
        <v>2</v>
      </c>
      <c r="CE437" s="832">
        <v>5</v>
      </c>
      <c r="CF437" s="832">
        <v>2</v>
      </c>
      <c r="CG437" s="832" t="s">
        <v>656</v>
      </c>
      <c r="CH437" s="832" t="s">
        <v>656</v>
      </c>
      <c r="CI437" s="832">
        <v>2</v>
      </c>
      <c r="CJ437" s="832" t="s">
        <v>656</v>
      </c>
      <c r="CK437" s="832" t="s">
        <v>656</v>
      </c>
      <c r="CL437" s="833">
        <v>509</v>
      </c>
      <c r="CM437" s="824">
        <f t="shared" si="46"/>
        <v>0</v>
      </c>
      <c r="CN437" s="880">
        <v>3135.3939999999998</v>
      </c>
      <c r="CO437" s="826" t="s">
        <v>1588</v>
      </c>
      <c r="CP437" s="826" t="s">
        <v>656</v>
      </c>
      <c r="CQ437" s="830">
        <f>(CN437*100%)/CR437</f>
        <v>0.9171573158602937</v>
      </c>
      <c r="CR437" s="590">
        <v>3418.6</v>
      </c>
      <c r="CS437" s="966" t="s">
        <v>1589</v>
      </c>
      <c r="CT437" s="826" t="s">
        <v>539</v>
      </c>
      <c r="CU437" s="826" t="s">
        <v>656</v>
      </c>
      <c r="CV437" s="826" t="s">
        <v>656</v>
      </c>
      <c r="CW437" s="826" t="s">
        <v>656</v>
      </c>
      <c r="CX437" s="832" t="s">
        <v>656</v>
      </c>
      <c r="CY437" s="832" t="s">
        <v>656</v>
      </c>
      <c r="CZ437" s="832">
        <v>6</v>
      </c>
      <c r="DA437" s="826" t="s">
        <v>540</v>
      </c>
      <c r="DB437" s="826" t="s">
        <v>1590</v>
      </c>
      <c r="DC437" s="832">
        <v>25352</v>
      </c>
      <c r="DD437" s="826" t="s">
        <v>540</v>
      </c>
      <c r="DE437" s="826" t="s">
        <v>541</v>
      </c>
      <c r="DF437" s="832">
        <v>30033</v>
      </c>
      <c r="DG437" s="832" t="s">
        <v>540</v>
      </c>
      <c r="DH437" s="832" t="s">
        <v>1591</v>
      </c>
      <c r="DI437" s="832">
        <v>2927</v>
      </c>
      <c r="DJ437" s="832" t="s">
        <v>540</v>
      </c>
      <c r="DK437" s="832" t="s">
        <v>920</v>
      </c>
      <c r="DL437" s="832">
        <v>10</v>
      </c>
      <c r="DM437" s="826" t="s">
        <v>656</v>
      </c>
      <c r="DN437" s="826" t="s">
        <v>656</v>
      </c>
      <c r="DO437" s="832" t="s">
        <v>656</v>
      </c>
      <c r="DP437" s="826" t="s">
        <v>656</v>
      </c>
      <c r="DQ437" s="826" t="s">
        <v>656</v>
      </c>
      <c r="DR437" s="832" t="s">
        <v>656</v>
      </c>
      <c r="DS437" s="826" t="s">
        <v>540</v>
      </c>
      <c r="DT437" s="826" t="s">
        <v>1592</v>
      </c>
      <c r="DU437" s="832">
        <v>47</v>
      </c>
      <c r="DV437" s="826" t="s">
        <v>1593</v>
      </c>
      <c r="DW437" s="826" t="s">
        <v>1592</v>
      </c>
      <c r="DX437" s="832">
        <v>169</v>
      </c>
      <c r="DY437" s="826" t="s">
        <v>479</v>
      </c>
      <c r="DZ437" s="877" t="s">
        <v>1594</v>
      </c>
      <c r="EA437" s="832">
        <v>106009</v>
      </c>
      <c r="EB437" s="826" t="s">
        <v>479</v>
      </c>
      <c r="EC437" s="826" t="s">
        <v>1595</v>
      </c>
      <c r="ED437" s="832">
        <v>9666</v>
      </c>
      <c r="EE437" s="832" t="s">
        <v>479</v>
      </c>
      <c r="EF437" s="832" t="s">
        <v>1596</v>
      </c>
      <c r="EG437" s="832">
        <v>2926</v>
      </c>
      <c r="EH437" s="826" t="s">
        <v>656</v>
      </c>
      <c r="EI437" s="826" t="s">
        <v>656</v>
      </c>
      <c r="EJ437" s="832" t="s">
        <v>656</v>
      </c>
      <c r="EK437" s="826" t="s">
        <v>656</v>
      </c>
      <c r="EL437" s="826" t="s">
        <v>656</v>
      </c>
      <c r="EM437" s="832" t="s">
        <v>656</v>
      </c>
      <c r="EN437" s="826" t="s">
        <v>540</v>
      </c>
      <c r="EO437" s="826" t="s">
        <v>1597</v>
      </c>
      <c r="EP437" s="832">
        <v>26</v>
      </c>
      <c r="EQ437" s="832" t="s">
        <v>540</v>
      </c>
      <c r="ER437" s="832" t="s">
        <v>920</v>
      </c>
      <c r="ES437" s="832">
        <v>278</v>
      </c>
      <c r="ET437" s="826" t="s">
        <v>656</v>
      </c>
      <c r="EU437" s="826" t="s">
        <v>656</v>
      </c>
      <c r="EV437" s="832" t="s">
        <v>656</v>
      </c>
      <c r="EW437" s="879">
        <v>1</v>
      </c>
      <c r="EX437" s="826" t="s">
        <v>656</v>
      </c>
      <c r="EY437" s="832">
        <v>43</v>
      </c>
      <c r="EZ437" s="826" t="s">
        <v>540</v>
      </c>
      <c r="FA437" s="826" t="s">
        <v>1598</v>
      </c>
      <c r="FB437" s="826" t="s">
        <v>1599</v>
      </c>
      <c r="FC437" s="826" t="s">
        <v>1600</v>
      </c>
      <c r="FD437" s="826" t="s">
        <v>656</v>
      </c>
      <c r="FE437" s="826" t="s">
        <v>1601</v>
      </c>
      <c r="FF437" s="826" t="s">
        <v>656</v>
      </c>
      <c r="FG437" s="826" t="s">
        <v>1602</v>
      </c>
      <c r="FH437" s="826" t="s">
        <v>1603</v>
      </c>
      <c r="FI437" s="826" t="s">
        <v>1604</v>
      </c>
      <c r="FJ437" s="826" t="s">
        <v>1605</v>
      </c>
      <c r="FK437" s="826" t="s">
        <v>1606</v>
      </c>
      <c r="FL437" s="826" t="s">
        <v>1607</v>
      </c>
      <c r="FM437" s="826" t="s">
        <v>1608</v>
      </c>
      <c r="FN437" s="826" t="s">
        <v>1609</v>
      </c>
      <c r="FO437" s="877" t="s">
        <v>1610</v>
      </c>
    </row>
    <row r="438" spans="5:195" ht="104" customHeight="1" x14ac:dyDescent="0.2">
      <c r="E438" s="94" t="s">
        <v>9302</v>
      </c>
      <c r="F438" s="94" t="s">
        <v>9120</v>
      </c>
      <c r="G438" s="198" t="s">
        <v>371</v>
      </c>
      <c r="H438" s="198" t="s">
        <v>456</v>
      </c>
      <c r="I438" s="198"/>
      <c r="J438" s="198" t="s">
        <v>733</v>
      </c>
      <c r="K438" s="198"/>
      <c r="L438" s="578">
        <v>2021</v>
      </c>
      <c r="M438" s="822">
        <v>44621</v>
      </c>
      <c r="N438" s="822">
        <v>44926</v>
      </c>
      <c r="O438" s="198" t="s">
        <v>734</v>
      </c>
      <c r="P438" s="198" t="s">
        <v>735</v>
      </c>
      <c r="Q438" s="549" t="s">
        <v>736</v>
      </c>
      <c r="R438" s="198"/>
      <c r="S438" s="198"/>
      <c r="T438" s="198" t="s">
        <v>737</v>
      </c>
      <c r="U438" s="549" t="s">
        <v>738</v>
      </c>
      <c r="V438" s="198" t="s">
        <v>739</v>
      </c>
      <c r="W438" s="549" t="s">
        <v>740</v>
      </c>
      <c r="X438" s="198" t="s">
        <v>741</v>
      </c>
      <c r="Y438" s="549" t="s">
        <v>742</v>
      </c>
      <c r="Z438" s="549"/>
      <c r="AA438" s="549"/>
      <c r="AB438" s="549"/>
      <c r="AC438" s="549"/>
      <c r="AD438" s="549"/>
      <c r="AE438" s="549"/>
      <c r="AF438" s="549"/>
      <c r="AG438" s="549"/>
      <c r="AH438" s="198" t="s">
        <v>743</v>
      </c>
      <c r="AI438" s="198" t="s">
        <v>743</v>
      </c>
      <c r="AJ438" s="198" t="s">
        <v>477</v>
      </c>
      <c r="AK438" s="198" t="s">
        <v>744</v>
      </c>
      <c r="AL438" s="580">
        <f t="shared" si="47"/>
        <v>28.738000000000003</v>
      </c>
      <c r="AM438" s="504">
        <v>28.738000000000003</v>
      </c>
      <c r="AN438" s="516">
        <v>26.899000000000001</v>
      </c>
      <c r="AO438" s="137">
        <v>0.93700000000000006</v>
      </c>
      <c r="AP438" s="137" t="s">
        <v>745</v>
      </c>
      <c r="AQ438" s="504">
        <v>0.498</v>
      </c>
      <c r="AR438" s="137">
        <v>1.7000000000000001E-2</v>
      </c>
      <c r="AS438" s="137"/>
      <c r="AT438" s="520"/>
      <c r="AU438" s="137"/>
      <c r="AV438" s="520"/>
      <c r="AW438" s="137"/>
      <c r="AX438" s="520">
        <v>1.341</v>
      </c>
      <c r="AY438" s="137">
        <v>4.5999999999999999E-2</v>
      </c>
      <c r="AZ438" s="520">
        <v>0</v>
      </c>
      <c r="BA438" s="137">
        <v>0</v>
      </c>
      <c r="BB438" s="198"/>
      <c r="BC438" s="198"/>
      <c r="BD438" s="198"/>
      <c r="BE438" s="198" t="s">
        <v>479</v>
      </c>
      <c r="BF438" s="198" t="s">
        <v>746</v>
      </c>
      <c r="BG438" s="198"/>
      <c r="BH438" s="198">
        <v>0.97299999999999998</v>
      </c>
      <c r="BI438" s="198">
        <v>50</v>
      </c>
      <c r="BJ438" s="137">
        <v>3.5E-4</v>
      </c>
      <c r="BK438" s="83">
        <v>11</v>
      </c>
      <c r="BL438" s="83">
        <v>9</v>
      </c>
      <c r="BM438" s="83">
        <v>6</v>
      </c>
      <c r="BN438" s="83"/>
      <c r="BO438" s="83">
        <v>2</v>
      </c>
      <c r="BP438" s="83"/>
      <c r="BQ438" s="83"/>
      <c r="BR438" s="83"/>
      <c r="BS438" s="83"/>
      <c r="BT438" s="83"/>
      <c r="BU438" s="83"/>
      <c r="BV438" s="83">
        <v>3</v>
      </c>
      <c r="BW438" s="83">
        <v>1</v>
      </c>
      <c r="BX438" s="83"/>
      <c r="BY438" s="83"/>
      <c r="BZ438" s="83"/>
      <c r="CA438" s="83"/>
      <c r="CB438" s="83"/>
      <c r="CC438" s="83"/>
      <c r="CD438" s="83"/>
      <c r="CE438" s="83"/>
      <c r="CF438" s="83"/>
      <c r="CG438" s="83"/>
      <c r="CH438" s="83"/>
      <c r="CI438" s="83"/>
      <c r="CJ438" s="83"/>
      <c r="CK438" s="83"/>
      <c r="CL438" s="824">
        <f t="shared" ref="CL438:CL440" si="50">SUM(BN438:CK438)</f>
        <v>6</v>
      </c>
      <c r="CM438" s="824">
        <f t="shared" si="46"/>
        <v>0</v>
      </c>
      <c r="CN438" s="580">
        <v>21.643000000000001</v>
      </c>
      <c r="CO438" s="198" t="s">
        <v>747</v>
      </c>
      <c r="CP438" s="198"/>
      <c r="CQ438" s="137">
        <v>1.44E-2</v>
      </c>
      <c r="CR438" s="580">
        <v>1498</v>
      </c>
      <c r="CS438" s="834" t="s">
        <v>748</v>
      </c>
      <c r="CT438" s="198" t="s">
        <v>470</v>
      </c>
      <c r="CU438" s="198"/>
      <c r="CV438" s="198"/>
      <c r="CW438" s="198"/>
      <c r="CX438" s="83"/>
      <c r="CY438" s="83"/>
      <c r="CZ438" s="83">
        <v>4</v>
      </c>
      <c r="DA438" s="198" t="s">
        <v>470</v>
      </c>
      <c r="DB438" s="198"/>
      <c r="DC438" s="198"/>
      <c r="DD438" s="198" t="s">
        <v>479</v>
      </c>
      <c r="DE438" s="198" t="s">
        <v>621</v>
      </c>
      <c r="DF438" s="198">
        <v>5704</v>
      </c>
      <c r="DG438" s="83" t="s">
        <v>470</v>
      </c>
      <c r="DH438" s="83"/>
      <c r="DI438" s="83"/>
      <c r="DJ438" s="83" t="s">
        <v>470</v>
      </c>
      <c r="DK438" s="83"/>
      <c r="DL438" s="83"/>
      <c r="DM438" s="198" t="s">
        <v>470</v>
      </c>
      <c r="DN438" s="198"/>
      <c r="DO438" s="83"/>
      <c r="DP438" s="198" t="s">
        <v>470</v>
      </c>
      <c r="DQ438" s="198"/>
      <c r="DR438" s="198"/>
      <c r="DS438" s="198" t="s">
        <v>470</v>
      </c>
      <c r="DT438" s="198"/>
      <c r="DU438" s="83"/>
      <c r="DV438" s="198"/>
      <c r="DW438" s="198"/>
      <c r="DX438" s="83"/>
      <c r="DY438" s="198" t="s">
        <v>470</v>
      </c>
      <c r="DZ438" s="198"/>
      <c r="EA438" s="83"/>
      <c r="EB438" s="198" t="s">
        <v>470</v>
      </c>
      <c r="EC438" s="198"/>
      <c r="ED438" s="83"/>
      <c r="EE438" s="83" t="s">
        <v>470</v>
      </c>
      <c r="EF438" s="83"/>
      <c r="EG438" s="83"/>
      <c r="EH438" s="198" t="s">
        <v>470</v>
      </c>
      <c r="EI438" s="198"/>
      <c r="EJ438" s="83"/>
      <c r="EK438" s="198" t="s">
        <v>470</v>
      </c>
      <c r="EL438" s="198"/>
      <c r="EM438" s="83"/>
      <c r="EN438" s="198" t="s">
        <v>470</v>
      </c>
      <c r="EO438" s="198"/>
      <c r="EP438" s="83"/>
      <c r="EQ438" s="198" t="s">
        <v>479</v>
      </c>
      <c r="ER438" s="198" t="s">
        <v>749</v>
      </c>
      <c r="ES438" s="83">
        <v>9</v>
      </c>
      <c r="ET438" s="198"/>
      <c r="EU438" s="198"/>
      <c r="EV438" s="83"/>
      <c r="EW438" s="837">
        <v>1</v>
      </c>
      <c r="EX438" s="198"/>
      <c r="EY438" s="505">
        <v>9</v>
      </c>
      <c r="EZ438" s="549" t="s">
        <v>750</v>
      </c>
      <c r="FA438" s="198" t="s">
        <v>751</v>
      </c>
      <c r="FB438" s="549" t="s">
        <v>752</v>
      </c>
      <c r="FC438" s="549" t="s">
        <v>9655</v>
      </c>
      <c r="FD438" s="198"/>
      <c r="FE438" s="198" t="s">
        <v>753</v>
      </c>
      <c r="FF438" s="198"/>
      <c r="FG438" s="198"/>
      <c r="FH438" s="198"/>
      <c r="FI438" s="198"/>
      <c r="FJ438" s="198" t="s">
        <v>754</v>
      </c>
      <c r="FK438" s="198" t="s">
        <v>755</v>
      </c>
      <c r="FL438" s="549" t="s">
        <v>756</v>
      </c>
      <c r="FM438" s="198"/>
      <c r="FN438" s="198"/>
      <c r="FO438" s="549"/>
    </row>
    <row r="439" spans="5:195" ht="104" customHeight="1" x14ac:dyDescent="0.2">
      <c r="E439" s="94" t="s">
        <v>9302</v>
      </c>
      <c r="F439" s="94" t="s">
        <v>9120</v>
      </c>
      <c r="G439" s="198" t="s">
        <v>372</v>
      </c>
      <c r="H439" s="198" t="s">
        <v>457</v>
      </c>
      <c r="I439" s="198"/>
      <c r="J439" s="550" t="s">
        <v>1413</v>
      </c>
      <c r="K439" s="550" t="s">
        <v>1414</v>
      </c>
      <c r="L439" s="1095">
        <v>2017</v>
      </c>
      <c r="M439" s="1171">
        <v>44562</v>
      </c>
      <c r="N439" s="1171">
        <v>44926</v>
      </c>
      <c r="O439" s="550" t="s">
        <v>1415</v>
      </c>
      <c r="P439" s="550" t="s">
        <v>1416</v>
      </c>
      <c r="Q439" s="846" t="s">
        <v>1417</v>
      </c>
      <c r="R439" s="550" t="s">
        <v>1418</v>
      </c>
      <c r="S439" s="550" t="s">
        <v>1419</v>
      </c>
      <c r="T439" s="550" t="s">
        <v>1420</v>
      </c>
      <c r="U439" s="846" t="s">
        <v>1421</v>
      </c>
      <c r="V439" s="550" t="s">
        <v>656</v>
      </c>
      <c r="W439" s="846" t="s">
        <v>656</v>
      </c>
      <c r="X439" s="550" t="s">
        <v>1422</v>
      </c>
      <c r="Y439" s="846" t="s">
        <v>1423</v>
      </c>
      <c r="Z439" s="846"/>
      <c r="AA439" s="846"/>
      <c r="AB439" s="846"/>
      <c r="AC439" s="846"/>
      <c r="AD439" s="846"/>
      <c r="AE439" s="846"/>
      <c r="AF439" s="846"/>
      <c r="AG439" s="846"/>
      <c r="AH439" s="550" t="s">
        <v>1424</v>
      </c>
      <c r="AI439" s="550" t="s">
        <v>1425</v>
      </c>
      <c r="AJ439" s="550" t="s">
        <v>1426</v>
      </c>
      <c r="AK439" s="550" t="s">
        <v>1427</v>
      </c>
      <c r="AL439" s="580">
        <f t="shared" si="47"/>
        <v>1177.0461422600001</v>
      </c>
      <c r="AM439" s="504">
        <v>1177.0461422600001</v>
      </c>
      <c r="AN439" s="516">
        <f>666.749+22.02</f>
        <v>688.76900000000001</v>
      </c>
      <c r="AO439" s="137">
        <f>AN439/AL439</f>
        <v>0.585167373878412</v>
      </c>
      <c r="AP439" s="137">
        <f>AN439/80427.6716108</f>
        <v>8.5638311566825307E-3</v>
      </c>
      <c r="AQ439" s="504">
        <f>187.5964+31.327</f>
        <v>218.92339999999999</v>
      </c>
      <c r="AR439" s="137">
        <f>AQ439/AL439</f>
        <v>0.18599389789397189</v>
      </c>
      <c r="AS439" s="137"/>
      <c r="AT439" s="520">
        <f>115.807+4.897</f>
        <v>120.70400000000001</v>
      </c>
      <c r="AU439" s="137">
        <f>AT439/AL439</f>
        <v>0.10254823125985613</v>
      </c>
      <c r="AV439" s="520">
        <f>2.0225+2.928</f>
        <v>4.9504999999999999</v>
      </c>
      <c r="AW439" s="137">
        <f>AV439/AL439</f>
        <v>4.2058674016761475E-3</v>
      </c>
      <c r="AX439" s="520">
        <v>143.69924226000001</v>
      </c>
      <c r="AY439" s="137">
        <f>AX439/AL439</f>
        <v>0.12208462956608372</v>
      </c>
      <c r="AZ439" s="520" t="s">
        <v>470</v>
      </c>
      <c r="BA439" s="137" t="s">
        <v>656</v>
      </c>
      <c r="BB439" s="198" t="s">
        <v>656</v>
      </c>
      <c r="BC439" s="198" t="s">
        <v>656</v>
      </c>
      <c r="BD439" s="198" t="s">
        <v>656</v>
      </c>
      <c r="BE439" s="198" t="s">
        <v>470</v>
      </c>
      <c r="BF439" s="198" t="s">
        <v>656</v>
      </c>
      <c r="BG439" s="198" t="s">
        <v>656</v>
      </c>
      <c r="BH439" s="198" t="s">
        <v>656</v>
      </c>
      <c r="BI439" s="580">
        <f>980.9654+29.2152</f>
        <v>1010.1806</v>
      </c>
      <c r="BJ439" s="137">
        <f>BI439/90046.0537</f>
        <v>1.1218488301170271E-2</v>
      </c>
      <c r="BK439" s="83">
        <f>935+43</f>
        <v>978</v>
      </c>
      <c r="BL439" s="83">
        <f>935+26</f>
        <v>961</v>
      </c>
      <c r="BM439" s="83">
        <f>935+26</f>
        <v>961</v>
      </c>
      <c r="BN439" s="83">
        <f>151</f>
        <v>151</v>
      </c>
      <c r="BO439" s="83">
        <f>377+8</f>
        <v>385</v>
      </c>
      <c r="BP439" s="83">
        <v>1</v>
      </c>
      <c r="BQ439" s="83">
        <v>87</v>
      </c>
      <c r="BR439" s="83"/>
      <c r="BS439" s="83">
        <v>25</v>
      </c>
      <c r="BT439" s="83">
        <f>16+15</f>
        <v>31</v>
      </c>
      <c r="BU439" s="83">
        <f>35+1</f>
        <v>36</v>
      </c>
      <c r="BV439" s="83">
        <v>1</v>
      </c>
      <c r="BW439" s="83">
        <v>0</v>
      </c>
      <c r="BX439" s="83">
        <v>55</v>
      </c>
      <c r="BY439" s="83">
        <v>44</v>
      </c>
      <c r="BZ439" s="83">
        <f>41+1</f>
        <v>42</v>
      </c>
      <c r="CA439" s="83">
        <v>19</v>
      </c>
      <c r="CB439" s="83"/>
      <c r="CC439" s="83"/>
      <c r="CD439" s="83"/>
      <c r="CE439" s="83"/>
      <c r="CF439" s="83"/>
      <c r="CG439" s="83"/>
      <c r="CH439" s="83"/>
      <c r="CI439" s="83"/>
      <c r="CJ439" s="83"/>
      <c r="CK439" s="83">
        <v>84</v>
      </c>
      <c r="CL439" s="824">
        <f t="shared" si="50"/>
        <v>961</v>
      </c>
      <c r="CM439" s="824">
        <f t="shared" si="46"/>
        <v>0</v>
      </c>
      <c r="CN439" s="591">
        <f>429.195+340</f>
        <v>769.19499999999994</v>
      </c>
      <c r="CO439" s="550" t="s">
        <v>1428</v>
      </c>
      <c r="CP439" s="550" t="s">
        <v>656</v>
      </c>
      <c r="CQ439" s="995">
        <f>CN439/CR439</f>
        <v>0.64183610376584666</v>
      </c>
      <c r="CR439" s="591">
        <v>1198.4290000000001</v>
      </c>
      <c r="CS439" s="550" t="s">
        <v>1429</v>
      </c>
      <c r="CT439" s="550" t="s">
        <v>470</v>
      </c>
      <c r="CU439" s="550" t="s">
        <v>656</v>
      </c>
      <c r="CV439" s="550" t="s">
        <v>656</v>
      </c>
      <c r="CW439" s="895" t="s">
        <v>656</v>
      </c>
      <c r="CX439" s="895" t="s">
        <v>656</v>
      </c>
      <c r="CY439" s="895" t="s">
        <v>656</v>
      </c>
      <c r="CZ439" s="895">
        <v>30</v>
      </c>
      <c r="DA439" s="895" t="s">
        <v>479</v>
      </c>
      <c r="DB439" s="550" t="s">
        <v>1430</v>
      </c>
      <c r="DC439" s="895">
        <v>4635</v>
      </c>
      <c r="DD439" s="550" t="s">
        <v>479</v>
      </c>
      <c r="DE439" s="550" t="s">
        <v>1431</v>
      </c>
      <c r="DF439" s="550">
        <f>369045+4635</f>
        <v>373680</v>
      </c>
      <c r="DG439" s="895" t="s">
        <v>470</v>
      </c>
      <c r="DH439" s="895" t="s">
        <v>656</v>
      </c>
      <c r="DI439" s="895" t="s">
        <v>656</v>
      </c>
      <c r="DJ439" s="895" t="s">
        <v>470</v>
      </c>
      <c r="DK439" s="895" t="s">
        <v>960</v>
      </c>
      <c r="DL439" s="895"/>
      <c r="DM439" s="895"/>
      <c r="DN439" s="895"/>
      <c r="DO439" s="895"/>
      <c r="DP439" s="550" t="s">
        <v>470</v>
      </c>
      <c r="DQ439" s="550"/>
      <c r="DR439" s="895"/>
      <c r="DS439" s="550" t="s">
        <v>479</v>
      </c>
      <c r="DT439" s="550"/>
      <c r="DU439" s="895">
        <f>DT475</f>
        <v>0</v>
      </c>
      <c r="DV439" s="550" t="s">
        <v>470</v>
      </c>
      <c r="DW439" s="550"/>
      <c r="DX439" s="895"/>
      <c r="DY439" s="550" t="s">
        <v>470</v>
      </c>
      <c r="DZ439" s="550"/>
      <c r="EA439" s="895"/>
      <c r="EB439" s="550" t="s">
        <v>479</v>
      </c>
      <c r="EC439" s="550" t="s">
        <v>1432</v>
      </c>
      <c r="ED439" s="550">
        <f>369045+4635</f>
        <v>373680</v>
      </c>
      <c r="EE439" s="895" t="s">
        <v>470</v>
      </c>
      <c r="EF439" s="895"/>
      <c r="EG439" s="895"/>
      <c r="EH439" s="550" t="s">
        <v>479</v>
      </c>
      <c r="EI439" s="550"/>
      <c r="EJ439" s="895">
        <f>EI475</f>
        <v>0</v>
      </c>
      <c r="EK439" s="550" t="s">
        <v>479</v>
      </c>
      <c r="EL439" s="550"/>
      <c r="EM439" s="895">
        <f>EL475</f>
        <v>0</v>
      </c>
      <c r="EN439" s="550" t="s">
        <v>479</v>
      </c>
      <c r="EO439" s="1172" t="s">
        <v>1433</v>
      </c>
      <c r="EP439" s="895">
        <f>14+14</f>
        <v>28</v>
      </c>
      <c r="EQ439" s="895" t="s">
        <v>479</v>
      </c>
      <c r="ER439" s="895" t="s">
        <v>1434</v>
      </c>
      <c r="ES439" s="895">
        <v>9</v>
      </c>
      <c r="ET439" s="550" t="s">
        <v>470</v>
      </c>
      <c r="EU439" s="550" t="s">
        <v>656</v>
      </c>
      <c r="EV439" s="895" t="s">
        <v>656</v>
      </c>
      <c r="EW439" s="995">
        <v>1</v>
      </c>
      <c r="EX439" s="550" t="s">
        <v>656</v>
      </c>
      <c r="EY439" s="550">
        <v>297</v>
      </c>
      <c r="EZ439" s="550" t="s">
        <v>1435</v>
      </c>
      <c r="FA439" s="550" t="s">
        <v>1436</v>
      </c>
      <c r="FB439" s="846" t="s">
        <v>1437</v>
      </c>
      <c r="FC439" s="846" t="s">
        <v>1438</v>
      </c>
      <c r="FD439" s="550" t="s">
        <v>1439</v>
      </c>
      <c r="FE439" s="550"/>
      <c r="FF439" s="1231" t="s">
        <v>9656</v>
      </c>
      <c r="FG439" s="1231"/>
      <c r="FH439" s="550">
        <f>26+26+4+4+4+1</f>
        <v>65</v>
      </c>
      <c r="FI439" s="550">
        <f>1630+115+220+12</f>
        <v>1977</v>
      </c>
      <c r="FJ439" s="550" t="s">
        <v>1440</v>
      </c>
      <c r="FK439" s="550" t="s">
        <v>1441</v>
      </c>
      <c r="FL439" s="846" t="s">
        <v>1442</v>
      </c>
      <c r="FM439" s="550" t="s">
        <v>1443</v>
      </c>
      <c r="FN439" s="550" t="s">
        <v>1444</v>
      </c>
      <c r="FO439" s="846" t="s">
        <v>1445</v>
      </c>
    </row>
    <row r="440" spans="5:195" ht="104" customHeight="1" x14ac:dyDescent="0.2">
      <c r="E440" s="94" t="s">
        <v>9302</v>
      </c>
      <c r="F440" s="94" t="s">
        <v>9120</v>
      </c>
      <c r="G440" s="198" t="s">
        <v>373</v>
      </c>
      <c r="H440" s="97" t="s">
        <v>458</v>
      </c>
      <c r="I440" s="198"/>
      <c r="J440" s="198" t="s">
        <v>2075</v>
      </c>
      <c r="K440" s="198" t="s">
        <v>2075</v>
      </c>
      <c r="L440" s="578">
        <v>2019</v>
      </c>
      <c r="M440" s="822">
        <v>44608</v>
      </c>
      <c r="N440" s="822">
        <v>44926</v>
      </c>
      <c r="O440" s="198" t="s">
        <v>2076</v>
      </c>
      <c r="P440" s="198" t="s">
        <v>2077</v>
      </c>
      <c r="Q440" s="198" t="s">
        <v>2078</v>
      </c>
      <c r="R440" s="198" t="s">
        <v>656</v>
      </c>
      <c r="S440" s="198" t="s">
        <v>656</v>
      </c>
      <c r="T440" s="198" t="s">
        <v>656</v>
      </c>
      <c r="U440" s="198" t="s">
        <v>656</v>
      </c>
      <c r="V440" s="198" t="s">
        <v>2079</v>
      </c>
      <c r="W440" s="198" t="s">
        <v>2078</v>
      </c>
      <c r="X440" s="198" t="s">
        <v>656</v>
      </c>
      <c r="Y440" s="198" t="s">
        <v>656</v>
      </c>
      <c r="Z440" s="198"/>
      <c r="AA440" s="198"/>
      <c r="AB440" s="198"/>
      <c r="AC440" s="198"/>
      <c r="AD440" s="198"/>
      <c r="AE440" s="198"/>
      <c r="AF440" s="198"/>
      <c r="AG440" s="198"/>
      <c r="AH440" s="198" t="s">
        <v>2080</v>
      </c>
      <c r="AI440" s="198" t="s">
        <v>2080</v>
      </c>
      <c r="AJ440" s="198" t="s">
        <v>504</v>
      </c>
      <c r="AK440" s="198" t="s">
        <v>583</v>
      </c>
      <c r="AL440" s="580">
        <f t="shared" si="47"/>
        <v>72.599999999999994</v>
      </c>
      <c r="AM440" s="504">
        <v>72.599999999999994</v>
      </c>
      <c r="AN440" s="516">
        <v>50</v>
      </c>
      <c r="AO440" s="137">
        <f>AN440/AL440*100%</f>
        <v>0.68870523415977969</v>
      </c>
      <c r="AP440" s="137">
        <v>1.1999999999999999E-3</v>
      </c>
      <c r="AQ440" s="504">
        <v>22.5</v>
      </c>
      <c r="AR440" s="137">
        <f>AQ440/AL440*100%</f>
        <v>0.30991735537190085</v>
      </c>
      <c r="AS440" s="137"/>
      <c r="AT440" s="520">
        <v>0.08</v>
      </c>
      <c r="AU440" s="137">
        <f>AT440/AL440*100%</f>
        <v>1.1019283746556475E-3</v>
      </c>
      <c r="AV440" s="520">
        <v>0.02</v>
      </c>
      <c r="AW440" s="137">
        <f>AV440/AL440*100%</f>
        <v>2.7548209366391188E-4</v>
      </c>
      <c r="AX440" s="520" t="s">
        <v>656</v>
      </c>
      <c r="AY440" s="137" t="s">
        <v>656</v>
      </c>
      <c r="AZ440" s="520" t="s">
        <v>656</v>
      </c>
      <c r="BA440" s="137" t="s">
        <v>656</v>
      </c>
      <c r="BB440" s="198" t="s">
        <v>656</v>
      </c>
      <c r="BC440" s="198" t="s">
        <v>656</v>
      </c>
      <c r="BD440" s="198" t="s">
        <v>656</v>
      </c>
      <c r="BE440" s="198" t="s">
        <v>479</v>
      </c>
      <c r="BF440" s="198" t="s">
        <v>2081</v>
      </c>
      <c r="BG440" s="198" t="s">
        <v>656</v>
      </c>
      <c r="BH440" s="198" t="s">
        <v>656</v>
      </c>
      <c r="BI440" s="520">
        <v>0</v>
      </c>
      <c r="BJ440" s="137">
        <v>0</v>
      </c>
      <c r="BK440" s="83">
        <v>26</v>
      </c>
      <c r="BL440" s="83">
        <v>26</v>
      </c>
      <c r="BM440" s="83">
        <v>22</v>
      </c>
      <c r="BN440" s="83" t="s">
        <v>656</v>
      </c>
      <c r="BO440" s="83">
        <v>1</v>
      </c>
      <c r="BP440" s="83">
        <v>1</v>
      </c>
      <c r="BQ440" s="83"/>
      <c r="BR440" s="83"/>
      <c r="BS440" s="83"/>
      <c r="BT440" s="83"/>
      <c r="BU440" s="83"/>
      <c r="BV440" s="83">
        <v>2</v>
      </c>
      <c r="BW440" s="83">
        <v>4</v>
      </c>
      <c r="BX440" s="83">
        <v>3</v>
      </c>
      <c r="BY440" s="83">
        <v>1</v>
      </c>
      <c r="BZ440" s="83">
        <v>1</v>
      </c>
      <c r="CA440" s="83">
        <v>2</v>
      </c>
      <c r="CB440" s="83">
        <v>6</v>
      </c>
      <c r="CC440" s="83"/>
      <c r="CD440" s="83"/>
      <c r="CE440" s="83"/>
      <c r="CF440" s="83"/>
      <c r="CG440" s="83"/>
      <c r="CH440" s="83"/>
      <c r="CI440" s="83"/>
      <c r="CJ440" s="83"/>
      <c r="CK440" s="83">
        <v>5</v>
      </c>
      <c r="CL440" s="824">
        <f t="shared" si="50"/>
        <v>26</v>
      </c>
      <c r="CM440" s="824">
        <f t="shared" si="46"/>
        <v>0</v>
      </c>
      <c r="CN440" s="580">
        <v>37.231999999999999</v>
      </c>
      <c r="CO440" s="198" t="s">
        <v>2082</v>
      </c>
      <c r="CP440" s="198" t="s">
        <v>656</v>
      </c>
      <c r="CQ440" s="137">
        <f>CN440/50.04*100%</f>
        <v>0.74404476418864907</v>
      </c>
      <c r="CR440" s="580">
        <v>50.04</v>
      </c>
      <c r="CS440" s="137" t="s">
        <v>2083</v>
      </c>
      <c r="CT440" s="198" t="s">
        <v>470</v>
      </c>
      <c r="CU440" s="198" t="s">
        <v>656</v>
      </c>
      <c r="CV440" s="198" t="s">
        <v>656</v>
      </c>
      <c r="CW440" s="198" t="s">
        <v>656</v>
      </c>
      <c r="CX440" s="83" t="s">
        <v>656</v>
      </c>
      <c r="CY440" s="83" t="s">
        <v>656</v>
      </c>
      <c r="CZ440" s="83" t="s">
        <v>656</v>
      </c>
      <c r="DA440" s="198" t="s">
        <v>479</v>
      </c>
      <c r="DB440" s="198" t="s">
        <v>2084</v>
      </c>
      <c r="DC440" s="83">
        <v>108</v>
      </c>
      <c r="DD440" s="198" t="s">
        <v>479</v>
      </c>
      <c r="DE440" s="198" t="s">
        <v>2085</v>
      </c>
      <c r="DF440" s="83">
        <v>21</v>
      </c>
      <c r="DG440" s="83" t="s">
        <v>470</v>
      </c>
      <c r="DH440" s="83" t="s">
        <v>656</v>
      </c>
      <c r="DI440" s="83" t="s">
        <v>656</v>
      </c>
      <c r="DJ440" s="83" t="s">
        <v>470</v>
      </c>
      <c r="DK440" s="83" t="s">
        <v>656</v>
      </c>
      <c r="DL440" s="83" t="s">
        <v>656</v>
      </c>
      <c r="DM440" s="198" t="s">
        <v>470</v>
      </c>
      <c r="DN440" s="198" t="s">
        <v>656</v>
      </c>
      <c r="DO440" s="83" t="s">
        <v>656</v>
      </c>
      <c r="DP440" s="198" t="s">
        <v>470</v>
      </c>
      <c r="DQ440" s="198" t="s">
        <v>656</v>
      </c>
      <c r="DR440" s="83" t="s">
        <v>656</v>
      </c>
      <c r="DS440" s="198" t="s">
        <v>470</v>
      </c>
      <c r="DT440" s="198" t="s">
        <v>656</v>
      </c>
      <c r="DU440" s="83" t="s">
        <v>656</v>
      </c>
      <c r="DV440" s="198" t="s">
        <v>470</v>
      </c>
      <c r="DW440" s="198" t="s">
        <v>656</v>
      </c>
      <c r="DX440" s="83" t="s">
        <v>656</v>
      </c>
      <c r="DY440" s="198" t="s">
        <v>479</v>
      </c>
      <c r="DZ440" s="198" t="s">
        <v>2086</v>
      </c>
      <c r="EA440" s="83">
        <v>99</v>
      </c>
      <c r="EB440" s="198" t="s">
        <v>479</v>
      </c>
      <c r="EC440" s="198" t="s">
        <v>541</v>
      </c>
      <c r="ED440" s="83">
        <v>27</v>
      </c>
      <c r="EE440" s="83" t="s">
        <v>470</v>
      </c>
      <c r="EF440" s="83" t="s">
        <v>656</v>
      </c>
      <c r="EG440" s="83" t="s">
        <v>656</v>
      </c>
      <c r="EH440" s="198" t="s">
        <v>470</v>
      </c>
      <c r="EI440" s="198" t="s">
        <v>656</v>
      </c>
      <c r="EJ440" s="83" t="s">
        <v>656</v>
      </c>
      <c r="EK440" s="198" t="s">
        <v>470</v>
      </c>
      <c r="EL440" s="198" t="s">
        <v>656</v>
      </c>
      <c r="EM440" s="83" t="s">
        <v>656</v>
      </c>
      <c r="EN440" s="198" t="s">
        <v>479</v>
      </c>
      <c r="EO440" s="198" t="s">
        <v>2087</v>
      </c>
      <c r="EP440" s="83">
        <v>43</v>
      </c>
      <c r="EQ440" s="83" t="s">
        <v>470</v>
      </c>
      <c r="ER440" s="83" t="s">
        <v>656</v>
      </c>
      <c r="ES440" s="83" t="s">
        <v>656</v>
      </c>
      <c r="ET440" s="198" t="s">
        <v>470</v>
      </c>
      <c r="EU440" s="198" t="s">
        <v>656</v>
      </c>
      <c r="EV440" s="83" t="s">
        <v>656</v>
      </c>
      <c r="EW440" s="837">
        <v>1</v>
      </c>
      <c r="EX440" s="198" t="s">
        <v>656</v>
      </c>
      <c r="EY440" s="505">
        <v>17</v>
      </c>
      <c r="EZ440" s="198" t="s">
        <v>470</v>
      </c>
      <c r="FA440" s="198" t="s">
        <v>656</v>
      </c>
      <c r="FB440" s="549" t="s">
        <v>2088</v>
      </c>
      <c r="FC440" s="549" t="s">
        <v>2088</v>
      </c>
      <c r="FD440" s="198" t="s">
        <v>656</v>
      </c>
      <c r="FE440" s="198" t="s">
        <v>2089</v>
      </c>
      <c r="FF440" s="198" t="s">
        <v>656</v>
      </c>
      <c r="FG440" s="198" t="s">
        <v>2090</v>
      </c>
      <c r="FH440" s="198" t="s">
        <v>656</v>
      </c>
      <c r="FI440" s="198" t="s">
        <v>656</v>
      </c>
      <c r="FJ440" s="198" t="s">
        <v>2091</v>
      </c>
      <c r="FK440" s="198" t="s">
        <v>2092</v>
      </c>
      <c r="FL440" s="549" t="s">
        <v>2093</v>
      </c>
      <c r="FM440" s="198"/>
      <c r="FN440" s="198"/>
      <c r="FO440" s="549"/>
    </row>
    <row r="441" spans="5:195" ht="46" customHeight="1" x14ac:dyDescent="0.2">
      <c r="G441" s="198" t="s">
        <v>374</v>
      </c>
      <c r="H441" s="198" t="s">
        <v>459</v>
      </c>
      <c r="I441" s="198"/>
      <c r="AL441" s="580">
        <f t="shared" si="47"/>
        <v>0</v>
      </c>
      <c r="AM441" s="504">
        <v>0</v>
      </c>
      <c r="AN441" s="510"/>
      <c r="AQ441" s="511"/>
      <c r="AT441" s="569"/>
      <c r="AV441" s="569"/>
      <c r="AX441" s="569"/>
      <c r="AZ441" s="569"/>
      <c r="CL441" s="512"/>
      <c r="CM441" s="824">
        <f t="shared" si="46"/>
        <v>0</v>
      </c>
    </row>
    <row r="442" spans="5:195" ht="46" customHeight="1" x14ac:dyDescent="0.2">
      <c r="E442" s="94" t="s">
        <v>9313</v>
      </c>
      <c r="F442" s="94" t="s">
        <v>9121</v>
      </c>
      <c r="G442" s="97" t="s">
        <v>374</v>
      </c>
      <c r="H442" s="97" t="s">
        <v>459</v>
      </c>
      <c r="I442" s="926" t="s">
        <v>8627</v>
      </c>
      <c r="J442" s="926" t="s">
        <v>8343</v>
      </c>
      <c r="K442" s="926" t="s">
        <v>8345</v>
      </c>
      <c r="L442" s="1173">
        <v>2018</v>
      </c>
      <c r="M442" s="1174">
        <v>44317</v>
      </c>
      <c r="N442" s="1174">
        <v>44868</v>
      </c>
      <c r="O442" s="1174"/>
      <c r="P442" s="1174"/>
      <c r="Q442" s="1174"/>
      <c r="R442" s="1174"/>
      <c r="S442" s="1174"/>
      <c r="T442" s="1174"/>
      <c r="U442" s="1174"/>
      <c r="V442" s="1174"/>
      <c r="W442" s="1174"/>
      <c r="X442" s="1174"/>
      <c r="Y442" s="1174"/>
      <c r="Z442" s="926" t="s">
        <v>8022</v>
      </c>
      <c r="AA442" s="926" t="s">
        <v>7897</v>
      </c>
      <c r="AB442" s="926" t="s">
        <v>7708</v>
      </c>
      <c r="AC442" s="926" t="s">
        <v>6213</v>
      </c>
      <c r="AD442" s="926" t="s">
        <v>7368</v>
      </c>
      <c r="AE442" s="1175" t="s">
        <v>7192</v>
      </c>
      <c r="AF442" s="926" t="s">
        <v>7113</v>
      </c>
      <c r="AG442" s="926" t="s">
        <v>7048</v>
      </c>
      <c r="AH442" s="926" t="s">
        <v>6923</v>
      </c>
      <c r="AI442" s="926" t="s">
        <v>6767</v>
      </c>
      <c r="AJ442" s="926" t="s">
        <v>6627</v>
      </c>
      <c r="AK442" s="926" t="s">
        <v>6371</v>
      </c>
      <c r="AL442" s="580">
        <f t="shared" si="47"/>
        <v>20.61777038</v>
      </c>
      <c r="AM442" s="504">
        <v>20.61777038</v>
      </c>
      <c r="AN442" s="516"/>
      <c r="AO442" s="97"/>
      <c r="AP442" s="97"/>
      <c r="AQ442" s="504">
        <v>19.882000000000001</v>
      </c>
      <c r="AR442" s="507">
        <f>20684172.8/21485082.69</f>
        <v>0.96272251303120304</v>
      </c>
      <c r="AS442" s="507">
        <f>20.6841728/4075.99976354</f>
        <v>5.074625613333163E-3</v>
      </c>
      <c r="AT442" s="516">
        <v>0.54177038</v>
      </c>
      <c r="AU442" s="507">
        <f>AT442/20.6841728</f>
        <v>2.6192508892596372E-2</v>
      </c>
      <c r="AV442" s="516">
        <v>0.19400000000000001</v>
      </c>
      <c r="AW442" s="507"/>
      <c r="AX442" s="1176"/>
      <c r="AY442" s="507">
        <f>AX442/20.6841728</f>
        <v>0</v>
      </c>
      <c r="AZ442" s="516"/>
      <c r="BA442" s="927"/>
      <c r="BB442" s="927"/>
      <c r="BC442" s="927"/>
      <c r="BD442" s="927"/>
      <c r="BE442" s="927" t="s">
        <v>479</v>
      </c>
      <c r="BF442" s="927" t="s">
        <v>6252</v>
      </c>
      <c r="BG442" s="1177" t="s">
        <v>6213</v>
      </c>
      <c r="BH442" s="928">
        <v>0</v>
      </c>
      <c r="BI442" s="929">
        <v>9.3879999999999999</v>
      </c>
      <c r="BJ442" s="927">
        <f>9193/4174817</f>
        <v>2.2020126870231677E-3</v>
      </c>
      <c r="BK442" s="930">
        <f>16+33</f>
        <v>49</v>
      </c>
      <c r="BL442" s="930">
        <f>16+7</f>
        <v>23</v>
      </c>
      <c r="BM442" s="930">
        <v>19</v>
      </c>
      <c r="BN442" s="930"/>
      <c r="BO442" s="930"/>
      <c r="BP442" s="930"/>
      <c r="BQ442" s="930"/>
      <c r="BR442" s="930"/>
      <c r="BS442" s="930">
        <v>1</v>
      </c>
      <c r="BT442" s="930">
        <v>1</v>
      </c>
      <c r="BU442" s="930"/>
      <c r="BV442" s="930"/>
      <c r="BW442" s="930">
        <v>1</v>
      </c>
      <c r="BX442" s="930">
        <v>7</v>
      </c>
      <c r="BY442" s="930">
        <v>1</v>
      </c>
      <c r="BZ442" s="930"/>
      <c r="CA442" s="930"/>
      <c r="CB442" s="930"/>
      <c r="CC442" s="930"/>
      <c r="CD442" s="930"/>
      <c r="CE442" s="930"/>
      <c r="CF442" s="930"/>
      <c r="CG442" s="930">
        <v>7</v>
      </c>
      <c r="CH442" s="930"/>
      <c r="CI442" s="930">
        <v>1</v>
      </c>
      <c r="CJ442" s="930"/>
      <c r="CK442" s="930"/>
      <c r="CL442" s="931">
        <f>SUM(BN442:CK442)</f>
        <v>19</v>
      </c>
      <c r="CM442" s="824">
        <f>SUM(BN442:CK442)-CL442</f>
        <v>0</v>
      </c>
      <c r="CN442" s="929">
        <v>24</v>
      </c>
      <c r="CO442" s="926" t="s">
        <v>6013</v>
      </c>
      <c r="CP442" s="926" t="s">
        <v>656</v>
      </c>
      <c r="CQ442" s="1178">
        <f>CN442/CR442*100</f>
        <v>73.651261277849386</v>
      </c>
      <c r="CR442" s="929">
        <v>32.585999999999999</v>
      </c>
      <c r="CS442" s="1179" t="s">
        <v>5811</v>
      </c>
      <c r="CT442" s="926" t="s">
        <v>540</v>
      </c>
      <c r="CU442" s="926" t="s">
        <v>5792</v>
      </c>
      <c r="CV442" s="1175" t="s">
        <v>5777</v>
      </c>
      <c r="CW442" s="926" t="s">
        <v>5756</v>
      </c>
      <c r="CX442" s="930">
        <v>6</v>
      </c>
      <c r="CY442" s="1180" t="s">
        <v>5742</v>
      </c>
      <c r="CZ442" s="930">
        <v>4</v>
      </c>
      <c r="DA442" s="926" t="s">
        <v>540</v>
      </c>
      <c r="DB442" s="926" t="s">
        <v>5575</v>
      </c>
      <c r="DC442" s="930">
        <v>120</v>
      </c>
      <c r="DD442" s="926" t="s">
        <v>540</v>
      </c>
      <c r="DE442" s="926" t="s">
        <v>5590</v>
      </c>
      <c r="DF442" s="930">
        <v>289</v>
      </c>
      <c r="DG442" s="930" t="s">
        <v>470</v>
      </c>
      <c r="DH442" s="930" t="s">
        <v>656</v>
      </c>
      <c r="DI442" s="930" t="s">
        <v>656</v>
      </c>
      <c r="DJ442" s="930" t="s">
        <v>470</v>
      </c>
      <c r="DK442" s="930" t="s">
        <v>656</v>
      </c>
      <c r="DL442" s="930" t="s">
        <v>656</v>
      </c>
      <c r="DM442" s="926" t="s">
        <v>540</v>
      </c>
      <c r="DN442" s="926" t="s">
        <v>5545</v>
      </c>
      <c r="DO442" s="930">
        <v>2700</v>
      </c>
      <c r="DP442" s="926" t="s">
        <v>540</v>
      </c>
      <c r="DQ442" s="926" t="s">
        <v>5533</v>
      </c>
      <c r="DR442" s="930"/>
      <c r="DS442" s="926" t="s">
        <v>540</v>
      </c>
      <c r="DT442" s="926" t="s">
        <v>5520</v>
      </c>
      <c r="DU442" s="930">
        <v>4</v>
      </c>
      <c r="DV442" s="926" t="s">
        <v>656</v>
      </c>
      <c r="DW442" s="926" t="s">
        <v>656</v>
      </c>
      <c r="DX442" s="930" t="s">
        <v>656</v>
      </c>
      <c r="DY442" s="926" t="s">
        <v>540</v>
      </c>
      <c r="DZ442" s="926" t="s">
        <v>5445</v>
      </c>
      <c r="EA442" s="930">
        <v>457</v>
      </c>
      <c r="EB442" s="926" t="s">
        <v>540</v>
      </c>
      <c r="EC442" s="926" t="s">
        <v>5386</v>
      </c>
      <c r="ED442" s="930">
        <v>10651</v>
      </c>
      <c r="EE442" s="930" t="s">
        <v>470</v>
      </c>
      <c r="EF442" s="930" t="s">
        <v>656</v>
      </c>
      <c r="EG442" s="930" t="s">
        <v>656</v>
      </c>
      <c r="EH442" s="930" t="s">
        <v>470</v>
      </c>
      <c r="EI442" s="930" t="s">
        <v>656</v>
      </c>
      <c r="EJ442" s="930" t="s">
        <v>656</v>
      </c>
      <c r="EK442" s="930" t="s">
        <v>470</v>
      </c>
      <c r="EL442" s="930" t="s">
        <v>656</v>
      </c>
      <c r="EM442" s="930" t="s">
        <v>656</v>
      </c>
      <c r="EN442" s="930" t="s">
        <v>470</v>
      </c>
      <c r="EO442" s="930" t="s">
        <v>656</v>
      </c>
      <c r="EP442" s="930" t="s">
        <v>656</v>
      </c>
      <c r="EQ442" s="930" t="s">
        <v>540</v>
      </c>
      <c r="ER442" s="1180" t="s">
        <v>5263</v>
      </c>
      <c r="ES442" s="930">
        <v>13</v>
      </c>
      <c r="ET442" s="926" t="s">
        <v>656</v>
      </c>
      <c r="EU442" s="926" t="s">
        <v>656</v>
      </c>
      <c r="EV442" s="930" t="s">
        <v>656</v>
      </c>
      <c r="EW442" s="930"/>
      <c r="EX442" s="930"/>
      <c r="EY442" s="930"/>
      <c r="EZ442" s="926" t="s">
        <v>470</v>
      </c>
      <c r="FA442" s="926" t="s">
        <v>5196</v>
      </c>
      <c r="FB442" s="1175" t="s">
        <v>5042</v>
      </c>
      <c r="FC442" s="1175" t="s">
        <v>4934</v>
      </c>
      <c r="FD442" s="1175" t="s">
        <v>4883</v>
      </c>
      <c r="FE442" s="926" t="s">
        <v>4742</v>
      </c>
      <c r="FF442" s="1175" t="s">
        <v>4684</v>
      </c>
      <c r="FG442" s="926" t="s">
        <v>4581</v>
      </c>
      <c r="FH442" s="926">
        <v>28</v>
      </c>
      <c r="FI442" s="926">
        <v>458</v>
      </c>
      <c r="FJ442" s="926" t="s">
        <v>4340</v>
      </c>
      <c r="FK442" s="926" t="s">
        <v>4160</v>
      </c>
      <c r="FL442" s="1175" t="s">
        <v>3939</v>
      </c>
      <c r="FM442" s="926" t="s">
        <v>3844</v>
      </c>
      <c r="FN442" s="926" t="s">
        <v>3775</v>
      </c>
      <c r="FO442" s="1181" t="s">
        <v>3697</v>
      </c>
    </row>
    <row r="443" spans="5:195" ht="46" customHeight="1" x14ac:dyDescent="0.2">
      <c r="E443" s="94" t="s">
        <v>9313</v>
      </c>
      <c r="F443" s="94" t="s">
        <v>9121</v>
      </c>
      <c r="G443" s="97" t="s">
        <v>374</v>
      </c>
      <c r="H443" s="97" t="s">
        <v>459</v>
      </c>
      <c r="I443" s="926" t="s">
        <v>8626</v>
      </c>
      <c r="J443" s="926" t="s">
        <v>8343</v>
      </c>
      <c r="K443" s="926" t="s">
        <v>8345</v>
      </c>
      <c r="L443" s="1173">
        <v>2020</v>
      </c>
      <c r="M443" s="1174" t="s">
        <v>578</v>
      </c>
      <c r="N443" s="1174" t="s">
        <v>554</v>
      </c>
      <c r="O443" s="1174"/>
      <c r="P443" s="1174"/>
      <c r="Q443" s="1174"/>
      <c r="R443" s="1174"/>
      <c r="S443" s="1174"/>
      <c r="T443" s="1174"/>
      <c r="U443" s="1174"/>
      <c r="V443" s="1174"/>
      <c r="W443" s="1174"/>
      <c r="X443" s="1174"/>
      <c r="Y443" s="1174"/>
      <c r="Z443" s="926" t="s">
        <v>8021</v>
      </c>
      <c r="AA443" s="1182" t="s">
        <v>7896</v>
      </c>
      <c r="AB443" s="926" t="s">
        <v>7707</v>
      </c>
      <c r="AC443" s="1182" t="s">
        <v>7580</v>
      </c>
      <c r="AD443" s="926" t="s">
        <v>7367</v>
      </c>
      <c r="AE443" s="1181" t="s">
        <v>7191</v>
      </c>
      <c r="AF443" s="926" t="s">
        <v>7112</v>
      </c>
      <c r="AG443" s="1181" t="s">
        <v>7047</v>
      </c>
      <c r="AH443" s="926" t="s">
        <v>6922</v>
      </c>
      <c r="AI443" s="926" t="s">
        <v>6766</v>
      </c>
      <c r="AJ443" s="926" t="s">
        <v>6626</v>
      </c>
      <c r="AK443" s="926" t="s">
        <v>6370</v>
      </c>
      <c r="AL443" s="580">
        <f t="shared" si="47"/>
        <v>13.146000000000001</v>
      </c>
      <c r="AM443" s="504">
        <v>13.146000000000001</v>
      </c>
      <c r="AN443" s="516"/>
      <c r="AO443" s="97"/>
      <c r="AP443" s="97"/>
      <c r="AQ443" s="504">
        <v>13.146000000000001</v>
      </c>
      <c r="AR443" s="507">
        <v>1</v>
      </c>
      <c r="AS443" s="507">
        <v>6.9999999999999999E-4</v>
      </c>
      <c r="AT443" s="516">
        <v>0</v>
      </c>
      <c r="AU443" s="507">
        <v>0</v>
      </c>
      <c r="AV443" s="516">
        <v>0</v>
      </c>
      <c r="AW443" s="507">
        <v>0</v>
      </c>
      <c r="AX443" s="516">
        <v>0</v>
      </c>
      <c r="AY443" s="507">
        <v>0</v>
      </c>
      <c r="AZ443" s="516"/>
      <c r="BA443" s="927"/>
      <c r="BB443" s="927"/>
      <c r="BC443" s="927"/>
      <c r="BD443" s="927"/>
      <c r="BE443" s="927" t="s">
        <v>479</v>
      </c>
      <c r="BF443" s="927" t="s">
        <v>6251</v>
      </c>
      <c r="BG443" s="927" t="s">
        <v>6212</v>
      </c>
      <c r="BH443" s="928">
        <v>0</v>
      </c>
      <c r="BI443" s="928">
        <v>308.12299999999999</v>
      </c>
      <c r="BJ443" s="928">
        <v>1.37E-2</v>
      </c>
      <c r="BK443" s="930">
        <f>91+16</f>
        <v>107</v>
      </c>
      <c r="BL443" s="930">
        <v>24</v>
      </c>
      <c r="BM443" s="930">
        <v>24</v>
      </c>
      <c r="BN443" s="930"/>
      <c r="BO443" s="930">
        <v>1</v>
      </c>
      <c r="BP443" s="930"/>
      <c r="BQ443" s="930"/>
      <c r="BR443" s="930"/>
      <c r="BS443" s="930"/>
      <c r="BT443" s="930"/>
      <c r="BU443" s="930"/>
      <c r="BV443" s="930">
        <v>1</v>
      </c>
      <c r="BW443" s="930">
        <v>3</v>
      </c>
      <c r="BX443" s="930">
        <v>1</v>
      </c>
      <c r="BY443" s="930">
        <v>1</v>
      </c>
      <c r="BZ443" s="930"/>
      <c r="CA443" s="930">
        <v>1</v>
      </c>
      <c r="CB443" s="930"/>
      <c r="CC443" s="930"/>
      <c r="CD443" s="930"/>
      <c r="CE443" s="930"/>
      <c r="CF443" s="930"/>
      <c r="CG443" s="930">
        <v>16</v>
      </c>
      <c r="CH443" s="930"/>
      <c r="CI443" s="930"/>
      <c r="CJ443" s="930"/>
      <c r="CK443" s="930"/>
      <c r="CL443" s="931">
        <f>SUM(BN443:CK443)</f>
        <v>24</v>
      </c>
      <c r="CM443" s="824">
        <f>SUM(BN443:CK443)-CL443</f>
        <v>0</v>
      </c>
      <c r="CN443" s="929">
        <v>107.122</v>
      </c>
      <c r="CO443" s="926" t="s">
        <v>6012</v>
      </c>
      <c r="CP443" s="926"/>
      <c r="CQ443" s="926">
        <v>100</v>
      </c>
      <c r="CR443" s="929">
        <v>107.122</v>
      </c>
      <c r="CS443" s="926" t="s">
        <v>5809</v>
      </c>
      <c r="CT443" s="926" t="s">
        <v>479</v>
      </c>
      <c r="CU443" s="926" t="s">
        <v>5790</v>
      </c>
      <c r="CV443" s="926" t="s">
        <v>5776</v>
      </c>
      <c r="CW443" s="926"/>
      <c r="CX443" s="930">
        <v>5</v>
      </c>
      <c r="CY443" s="930" t="s">
        <v>5741</v>
      </c>
      <c r="CZ443" s="930">
        <v>5</v>
      </c>
      <c r="DA443" s="926" t="s">
        <v>479</v>
      </c>
      <c r="DB443" s="926" t="s">
        <v>5668</v>
      </c>
      <c r="DC443" s="930">
        <v>177</v>
      </c>
      <c r="DD443" s="926" t="s">
        <v>479</v>
      </c>
      <c r="DE443" s="926" t="s">
        <v>5545</v>
      </c>
      <c r="DF443" s="930">
        <v>230</v>
      </c>
      <c r="DG443" s="930" t="s">
        <v>470</v>
      </c>
      <c r="DH443" s="930"/>
      <c r="DI443" s="930"/>
      <c r="DJ443" s="930" t="s">
        <v>470</v>
      </c>
      <c r="DK443" s="930"/>
      <c r="DL443" s="930"/>
      <c r="DM443" s="926" t="s">
        <v>470</v>
      </c>
      <c r="DN443" s="926"/>
      <c r="DO443" s="930"/>
      <c r="DP443" s="926" t="s">
        <v>479</v>
      </c>
      <c r="DQ443" s="926" t="s">
        <v>5532</v>
      </c>
      <c r="DR443" s="930">
        <v>91</v>
      </c>
      <c r="DS443" s="926" t="s">
        <v>470</v>
      </c>
      <c r="DT443" s="926"/>
      <c r="DU443" s="930"/>
      <c r="DV443" s="926"/>
      <c r="DW443" s="926"/>
      <c r="DX443" s="930"/>
      <c r="DY443" s="926" t="s">
        <v>479</v>
      </c>
      <c r="DZ443" s="926" t="s">
        <v>5262</v>
      </c>
      <c r="EA443" s="930">
        <v>3155</v>
      </c>
      <c r="EB443" s="926" t="s">
        <v>470</v>
      </c>
      <c r="EC443" s="926"/>
      <c r="ED443" s="930"/>
      <c r="EE443" s="930" t="s">
        <v>470</v>
      </c>
      <c r="EF443" s="930"/>
      <c r="EG443" s="930"/>
      <c r="EH443" s="926" t="s">
        <v>470</v>
      </c>
      <c r="EI443" s="926"/>
      <c r="EJ443" s="930"/>
      <c r="EK443" s="926" t="s">
        <v>470</v>
      </c>
      <c r="EL443" s="926"/>
      <c r="EM443" s="930"/>
      <c r="EN443" s="926" t="s">
        <v>470</v>
      </c>
      <c r="EO443" s="926"/>
      <c r="EP443" s="930"/>
      <c r="EQ443" s="930" t="s">
        <v>479</v>
      </c>
      <c r="ER443" s="926" t="s">
        <v>5262</v>
      </c>
      <c r="ES443" s="930">
        <v>13</v>
      </c>
      <c r="ET443" s="926" t="s">
        <v>470</v>
      </c>
      <c r="EU443" s="926"/>
      <c r="EV443" s="930"/>
      <c r="EW443" s="930"/>
      <c r="EX443" s="930"/>
      <c r="EY443" s="930"/>
      <c r="EZ443" s="926" t="s">
        <v>479</v>
      </c>
      <c r="FA443" s="926" t="s">
        <v>5195</v>
      </c>
      <c r="FB443" s="926" t="s">
        <v>5041</v>
      </c>
      <c r="FC443" s="926" t="s">
        <v>4933</v>
      </c>
      <c r="FD443" s="1181" t="s">
        <v>4882</v>
      </c>
      <c r="FE443" s="926" t="s">
        <v>4741</v>
      </c>
      <c r="FF443" s="926" t="s">
        <v>4683</v>
      </c>
      <c r="FG443" s="926" t="s">
        <v>470</v>
      </c>
      <c r="FH443" s="926"/>
      <c r="FI443" s="926"/>
      <c r="FJ443" s="926" t="s">
        <v>4339</v>
      </c>
      <c r="FK443" s="926" t="s">
        <v>4159</v>
      </c>
      <c r="FL443" s="1182" t="s">
        <v>3938</v>
      </c>
      <c r="FM443" s="926" t="s">
        <v>3844</v>
      </c>
      <c r="FN443" s="926" t="s">
        <v>3775</v>
      </c>
      <c r="FO443" s="1181" t="s">
        <v>3697</v>
      </c>
    </row>
    <row r="444" spans="5:195" ht="46" customHeight="1" x14ac:dyDescent="0.2">
      <c r="E444" s="94" t="s">
        <v>9313</v>
      </c>
      <c r="F444" s="94" t="s">
        <v>9121</v>
      </c>
      <c r="G444" s="97" t="s">
        <v>374</v>
      </c>
      <c r="H444" s="97" t="s">
        <v>459</v>
      </c>
      <c r="I444" s="926" t="s">
        <v>8628</v>
      </c>
      <c r="J444" s="926" t="s">
        <v>8343</v>
      </c>
      <c r="K444" s="926" t="s">
        <v>8345</v>
      </c>
      <c r="L444" s="1173">
        <v>2018</v>
      </c>
      <c r="M444" s="1174">
        <v>44317</v>
      </c>
      <c r="N444" s="1174">
        <v>44922</v>
      </c>
      <c r="O444" s="1174"/>
      <c r="P444" s="1174"/>
      <c r="Q444" s="1174"/>
      <c r="R444" s="1174"/>
      <c r="S444" s="1174"/>
      <c r="T444" s="1174"/>
      <c r="U444" s="1174"/>
      <c r="V444" s="1174"/>
      <c r="W444" s="1174"/>
      <c r="X444" s="1174"/>
      <c r="Y444" s="1174"/>
      <c r="Z444" s="926" t="s">
        <v>8023</v>
      </c>
      <c r="AA444" s="1181" t="s">
        <v>7898</v>
      </c>
      <c r="AB444" s="926" t="s">
        <v>7709</v>
      </c>
      <c r="AC444" s="926" t="s">
        <v>7581</v>
      </c>
      <c r="AD444" s="926" t="s">
        <v>7369</v>
      </c>
      <c r="AE444" s="1181" t="s">
        <v>7193</v>
      </c>
      <c r="AF444" s="926" t="s">
        <v>7114</v>
      </c>
      <c r="AG444" s="926" t="s">
        <v>7049</v>
      </c>
      <c r="AH444" s="926" t="s">
        <v>6924</v>
      </c>
      <c r="AI444" s="926" t="s">
        <v>6768</v>
      </c>
      <c r="AJ444" s="926" t="s">
        <v>6628</v>
      </c>
      <c r="AK444" s="926" t="s">
        <v>6372</v>
      </c>
      <c r="AL444" s="580">
        <f t="shared" si="47"/>
        <v>10.384</v>
      </c>
      <c r="AM444" s="504">
        <v>10.384</v>
      </c>
      <c r="AN444" s="516"/>
      <c r="AO444" s="97"/>
      <c r="AP444" s="97"/>
      <c r="AQ444" s="504">
        <v>10.384</v>
      </c>
      <c r="AR444" s="507">
        <v>1</v>
      </c>
      <c r="AS444" s="507">
        <v>8.0000000000000004E-4</v>
      </c>
      <c r="AT444" s="516">
        <v>0</v>
      </c>
      <c r="AU444" s="507">
        <v>0</v>
      </c>
      <c r="AV444" s="516">
        <v>0</v>
      </c>
      <c r="AW444" s="507">
        <v>0</v>
      </c>
      <c r="AX444" s="516">
        <v>0</v>
      </c>
      <c r="AY444" s="507">
        <v>0</v>
      </c>
      <c r="AZ444" s="516"/>
      <c r="BA444" s="927"/>
      <c r="BB444" s="927"/>
      <c r="BC444" s="927"/>
      <c r="BD444" s="927"/>
      <c r="BE444" s="927" t="s">
        <v>470</v>
      </c>
      <c r="BF444" s="927"/>
      <c r="BG444" s="927"/>
      <c r="BH444" s="928"/>
      <c r="BI444" s="929">
        <v>17.286000000000001</v>
      </c>
      <c r="BJ444" s="927">
        <v>1.4E-3</v>
      </c>
      <c r="BK444" s="930">
        <f>38+18</f>
        <v>56</v>
      </c>
      <c r="BL444" s="930">
        <f>9+10</f>
        <v>19</v>
      </c>
      <c r="BM444" s="930">
        <f>2+10</f>
        <v>12</v>
      </c>
      <c r="BN444" s="930"/>
      <c r="BO444" s="930"/>
      <c r="BP444" s="930"/>
      <c r="BQ444" s="930"/>
      <c r="BR444" s="930"/>
      <c r="BS444" s="930"/>
      <c r="BT444" s="930"/>
      <c r="BU444" s="930"/>
      <c r="BV444" s="930"/>
      <c r="BW444" s="930"/>
      <c r="BX444" s="930"/>
      <c r="BY444" s="930">
        <v>2</v>
      </c>
      <c r="BZ444" s="930"/>
      <c r="CA444" s="930"/>
      <c r="CB444" s="930"/>
      <c r="CC444" s="930"/>
      <c r="CD444" s="930"/>
      <c r="CE444" s="930"/>
      <c r="CF444" s="930"/>
      <c r="CG444" s="930">
        <v>10</v>
      </c>
      <c r="CH444" s="930"/>
      <c r="CI444" s="930"/>
      <c r="CJ444" s="930"/>
      <c r="CK444" s="930"/>
      <c r="CL444" s="931">
        <f>SUM(BN444:CK444)</f>
        <v>12</v>
      </c>
      <c r="CM444" s="824">
        <f>SUM(BN444:CK444)-CL444</f>
        <v>0</v>
      </c>
      <c r="CN444" s="929">
        <v>48.430999999999997</v>
      </c>
      <c r="CO444" s="926" t="s">
        <v>6014</v>
      </c>
      <c r="CP444" s="926"/>
      <c r="CQ444" s="926">
        <v>100</v>
      </c>
      <c r="CR444" s="929">
        <v>48.430999999999997</v>
      </c>
      <c r="CS444" s="1177" t="s">
        <v>5812</v>
      </c>
      <c r="CT444" s="926" t="s">
        <v>540</v>
      </c>
      <c r="CU444" s="926" t="s">
        <v>5790</v>
      </c>
      <c r="CV444" s="1181" t="s">
        <v>5778</v>
      </c>
      <c r="CW444" s="926" t="s">
        <v>5757</v>
      </c>
      <c r="CX444" s="1178">
        <v>3</v>
      </c>
      <c r="CY444" s="1178">
        <v>42</v>
      </c>
      <c r="CZ444" s="1178">
        <v>5</v>
      </c>
      <c r="DA444" s="926" t="s">
        <v>479</v>
      </c>
      <c r="DB444" s="926" t="s">
        <v>5669</v>
      </c>
      <c r="DC444" s="1178">
        <f>24+2420</f>
        <v>2444</v>
      </c>
      <c r="DD444" s="926" t="s">
        <v>479</v>
      </c>
      <c r="DE444" s="926" t="s">
        <v>5591</v>
      </c>
      <c r="DF444" s="1178">
        <f>45+354</f>
        <v>399</v>
      </c>
      <c r="DG444" s="930" t="s">
        <v>470</v>
      </c>
      <c r="DH444" s="930"/>
      <c r="DI444" s="930"/>
      <c r="DJ444" s="930" t="s">
        <v>470</v>
      </c>
      <c r="DK444" s="930"/>
      <c r="DL444" s="930"/>
      <c r="DM444" s="926" t="s">
        <v>470</v>
      </c>
      <c r="DN444" s="926"/>
      <c r="DO444" s="930"/>
      <c r="DP444" s="926" t="s">
        <v>479</v>
      </c>
      <c r="DQ444" s="926" t="s">
        <v>5534</v>
      </c>
      <c r="DR444" s="926">
        <v>14</v>
      </c>
      <c r="DS444" s="926" t="s">
        <v>479</v>
      </c>
      <c r="DT444" s="1181" t="s">
        <v>5521</v>
      </c>
      <c r="DU444" s="926">
        <v>15</v>
      </c>
      <c r="DV444" s="926" t="s">
        <v>470</v>
      </c>
      <c r="DW444" s="926"/>
      <c r="DX444" s="930"/>
      <c r="DY444" s="926" t="s">
        <v>479</v>
      </c>
      <c r="DZ444" s="926" t="s">
        <v>5446</v>
      </c>
      <c r="EA444" s="1178">
        <f>1497+1753</f>
        <v>3250</v>
      </c>
      <c r="EB444" s="926" t="s">
        <v>479</v>
      </c>
      <c r="EC444" s="926" t="s">
        <v>5387</v>
      </c>
      <c r="ED444" s="1178">
        <v>14677</v>
      </c>
      <c r="EE444" s="930" t="s">
        <v>470</v>
      </c>
      <c r="EF444" s="930"/>
      <c r="EG444" s="930"/>
      <c r="EH444" s="926" t="s">
        <v>470</v>
      </c>
      <c r="EI444" s="926"/>
      <c r="EJ444" s="930"/>
      <c r="EK444" s="926" t="s">
        <v>470</v>
      </c>
      <c r="EL444" s="926"/>
      <c r="EM444" s="930"/>
      <c r="EN444" s="926" t="s">
        <v>479</v>
      </c>
      <c r="EO444" s="1181" t="s">
        <v>5328</v>
      </c>
      <c r="EP444" s="1178">
        <v>15</v>
      </c>
      <c r="EQ444" s="926" t="s">
        <v>479</v>
      </c>
      <c r="ER444" s="926" t="s">
        <v>5264</v>
      </c>
      <c r="ES444" s="1178">
        <v>19</v>
      </c>
      <c r="ET444" s="926" t="s">
        <v>470</v>
      </c>
      <c r="EU444" s="926"/>
      <c r="EV444" s="930"/>
      <c r="EW444" s="930"/>
      <c r="EX444" s="930"/>
      <c r="EY444" s="930"/>
      <c r="EZ444" s="926" t="s">
        <v>479</v>
      </c>
      <c r="FA444" s="926" t="s">
        <v>5197</v>
      </c>
      <c r="FB444" s="1181" t="s">
        <v>5038</v>
      </c>
      <c r="FC444" s="1181" t="s">
        <v>4935</v>
      </c>
      <c r="FD444" s="1181" t="s">
        <v>4884</v>
      </c>
      <c r="FE444" s="926" t="s">
        <v>9657</v>
      </c>
      <c r="FF444" s="926" t="s">
        <v>4685</v>
      </c>
      <c r="FG444" s="926" t="s">
        <v>4582</v>
      </c>
      <c r="FH444" s="926">
        <v>1</v>
      </c>
      <c r="FI444" s="926">
        <v>42</v>
      </c>
      <c r="FJ444" s="926" t="s">
        <v>4341</v>
      </c>
      <c r="FK444" s="926" t="s">
        <v>4161</v>
      </c>
      <c r="FL444" s="926" t="s">
        <v>3940</v>
      </c>
      <c r="FM444" s="926" t="s">
        <v>3844</v>
      </c>
      <c r="FN444" s="926" t="s">
        <v>3775</v>
      </c>
      <c r="FO444" s="1181" t="s">
        <v>3697</v>
      </c>
    </row>
    <row r="445" spans="5:195" ht="43" customHeight="1" x14ac:dyDescent="0.2">
      <c r="E445" s="94" t="s">
        <v>9313</v>
      </c>
      <c r="F445" s="94" t="s">
        <v>9121</v>
      </c>
      <c r="G445" s="97" t="s">
        <v>374</v>
      </c>
      <c r="H445" s="97" t="s">
        <v>459</v>
      </c>
      <c r="I445" s="1183" t="s">
        <v>8625</v>
      </c>
      <c r="J445" s="1184" t="s">
        <v>8343</v>
      </c>
      <c r="K445" s="1184" t="s">
        <v>8345</v>
      </c>
      <c r="L445" s="1184">
        <v>2019</v>
      </c>
      <c r="M445" s="1185">
        <v>44595</v>
      </c>
      <c r="N445" s="1185">
        <v>44922</v>
      </c>
      <c r="O445" s="1185"/>
      <c r="P445" s="1185"/>
      <c r="Q445" s="1185"/>
      <c r="R445" s="1185"/>
      <c r="S445" s="1185"/>
      <c r="T445" s="1185"/>
      <c r="U445" s="1185"/>
      <c r="V445" s="1185"/>
      <c r="W445" s="1185"/>
      <c r="X445" s="1185"/>
      <c r="Y445" s="1185"/>
      <c r="Z445" s="1183" t="s">
        <v>8020</v>
      </c>
      <c r="AA445" s="1183" t="s">
        <v>5775</v>
      </c>
      <c r="AB445" s="1183" t="s">
        <v>7706</v>
      </c>
      <c r="AC445" s="1186" t="s">
        <v>7579</v>
      </c>
      <c r="AD445" s="1183" t="s">
        <v>7366</v>
      </c>
      <c r="AE445" s="1186" t="s">
        <v>7190</v>
      </c>
      <c r="AF445" s="1183"/>
      <c r="AG445" s="1183"/>
      <c r="AH445" s="1183" t="s">
        <v>6921</v>
      </c>
      <c r="AI445" s="1183" t="s">
        <v>6369</v>
      </c>
      <c r="AJ445" s="1183" t="s">
        <v>6625</v>
      </c>
      <c r="AK445" s="1183" t="s">
        <v>6369</v>
      </c>
      <c r="AL445" s="580">
        <f t="shared" si="47"/>
        <v>65.557999999999993</v>
      </c>
      <c r="AM445" s="504">
        <v>65.557999999999993</v>
      </c>
      <c r="AN445" s="516"/>
      <c r="AO445" s="97"/>
      <c r="AP445" s="97"/>
      <c r="AQ445" s="504">
        <v>65.491</v>
      </c>
      <c r="AR445" s="507">
        <v>0.999</v>
      </c>
      <c r="AS445" s="507">
        <v>3.5999999999999999E-3</v>
      </c>
      <c r="AT445" s="516">
        <v>6.7000000000000004E-2</v>
      </c>
      <c r="AU445" s="507"/>
      <c r="AV445" s="516"/>
      <c r="AW445" s="507"/>
      <c r="AX445" s="516">
        <v>0</v>
      </c>
      <c r="AY445" s="908">
        <v>1E-4</v>
      </c>
      <c r="AZ445" s="516"/>
      <c r="BA445" s="1187"/>
      <c r="BB445" s="1187"/>
      <c r="BC445" s="1187"/>
      <c r="BD445" s="1187"/>
      <c r="BE445" s="1188" t="s">
        <v>479</v>
      </c>
      <c r="BF445" s="1188" t="s">
        <v>6250</v>
      </c>
      <c r="BG445" s="1188" t="s">
        <v>5775</v>
      </c>
      <c r="BH445" s="1189">
        <v>6.0999999999999999E-2</v>
      </c>
      <c r="BI445" s="1190">
        <v>90.5</v>
      </c>
      <c r="BJ445" s="1188">
        <v>1.1599999999999999E-2</v>
      </c>
      <c r="BK445" s="1191">
        <v>51</v>
      </c>
      <c r="BL445" s="1191">
        <v>18</v>
      </c>
      <c r="BM445" s="1191">
        <v>18</v>
      </c>
      <c r="BN445" s="1191"/>
      <c r="BO445" s="1191"/>
      <c r="BP445" s="1191"/>
      <c r="BQ445" s="1191"/>
      <c r="BR445" s="1191"/>
      <c r="BS445" s="1191"/>
      <c r="BT445" s="1191">
        <v>1</v>
      </c>
      <c r="BU445" s="1191"/>
      <c r="BV445" s="1191">
        <v>4</v>
      </c>
      <c r="BW445" s="1191"/>
      <c r="BX445" s="1191"/>
      <c r="BY445" s="1191">
        <f>6+2</f>
        <v>8</v>
      </c>
      <c r="BZ445" s="1191"/>
      <c r="CA445" s="1191"/>
      <c r="CB445" s="1191">
        <v>6</v>
      </c>
      <c r="CC445" s="1191"/>
      <c r="CD445" s="1191"/>
      <c r="CE445" s="1191"/>
      <c r="CF445" s="1191"/>
      <c r="CG445" s="1191">
        <v>14</v>
      </c>
      <c r="CH445" s="1191"/>
      <c r="CI445" s="1191"/>
      <c r="CJ445" s="1191">
        <v>1</v>
      </c>
      <c r="CK445" s="1191"/>
      <c r="CL445" s="1192">
        <f t="shared" ref="CL445:CL455" si="51">SUM(BN445:CK445)</f>
        <v>34</v>
      </c>
      <c r="CM445" s="824">
        <f t="shared" si="46"/>
        <v>0</v>
      </c>
      <c r="CN445" s="1191">
        <v>109.488</v>
      </c>
      <c r="CO445" s="1183" t="s">
        <v>6011</v>
      </c>
      <c r="CP445" s="1186" t="s">
        <v>5970</v>
      </c>
      <c r="CQ445" s="1183">
        <v>100</v>
      </c>
      <c r="CR445" s="1191">
        <v>109.488</v>
      </c>
      <c r="CS445" s="1193" t="s">
        <v>5805</v>
      </c>
      <c r="CT445" s="1183" t="s">
        <v>479</v>
      </c>
      <c r="CU445" s="1183" t="s">
        <v>5790</v>
      </c>
      <c r="CV445" s="1183" t="s">
        <v>5775</v>
      </c>
      <c r="CW445" s="1183"/>
      <c r="CX445" s="1191">
        <v>3</v>
      </c>
      <c r="CY445" s="1191"/>
      <c r="CZ445" s="1191">
        <v>3</v>
      </c>
      <c r="DA445" s="1183" t="s">
        <v>479</v>
      </c>
      <c r="DB445" s="1183" t="s">
        <v>5667</v>
      </c>
      <c r="DC445" s="1191">
        <v>3599</v>
      </c>
      <c r="DD445" s="1183" t="s">
        <v>479</v>
      </c>
      <c r="DE445" s="1183" t="s">
        <v>5589</v>
      </c>
      <c r="DF445" s="1191">
        <v>680</v>
      </c>
      <c r="DG445" s="1191"/>
      <c r="DH445" s="1191"/>
      <c r="DI445" s="1191"/>
      <c r="DJ445" s="1191"/>
      <c r="DK445" s="1191"/>
      <c r="DL445" s="1191"/>
      <c r="DM445" s="1183"/>
      <c r="DN445" s="1183"/>
      <c r="DO445" s="1191"/>
      <c r="DP445" s="1183"/>
      <c r="DQ445" s="1183"/>
      <c r="DR445" s="1191"/>
      <c r="DS445" s="1183"/>
      <c r="DT445" s="1183"/>
      <c r="DU445" s="1191"/>
      <c r="DV445" s="1183"/>
      <c r="DW445" s="1183"/>
      <c r="DX445" s="1191"/>
      <c r="DY445" s="1183" t="s">
        <v>479</v>
      </c>
      <c r="DZ445" s="1183" t="s">
        <v>5444</v>
      </c>
      <c r="EA445" s="1191">
        <v>2919</v>
      </c>
      <c r="EB445" s="1183"/>
      <c r="EC445" s="1183"/>
      <c r="ED445" s="1191"/>
      <c r="EE445" s="1191"/>
      <c r="EF445" s="1191"/>
      <c r="EG445" s="1191"/>
      <c r="EH445" s="1183"/>
      <c r="EI445" s="1183"/>
      <c r="EJ445" s="1191"/>
      <c r="EK445" s="1183"/>
      <c r="EL445" s="1183"/>
      <c r="EM445" s="1191"/>
      <c r="EN445" s="1183"/>
      <c r="EO445" s="1183"/>
      <c r="EP445" s="1191"/>
      <c r="EQ445" s="1191" t="s">
        <v>479</v>
      </c>
      <c r="ER445" s="1183" t="s">
        <v>1097</v>
      </c>
      <c r="ES445" s="1191">
        <v>11</v>
      </c>
      <c r="ET445" s="1183" t="s">
        <v>5239</v>
      </c>
      <c r="EU445" s="1183" t="s">
        <v>543</v>
      </c>
      <c r="EV445" s="1191">
        <v>32</v>
      </c>
      <c r="EW445" s="1191"/>
      <c r="EX445" s="1191"/>
      <c r="EY445" s="1191"/>
      <c r="EZ445" s="1183"/>
      <c r="FA445" s="1183"/>
      <c r="FB445" s="1186" t="s">
        <v>5040</v>
      </c>
      <c r="FC445" s="1183" t="s">
        <v>9658</v>
      </c>
      <c r="FD445" s="1186" t="s">
        <v>4881</v>
      </c>
      <c r="FE445" s="1183" t="s">
        <v>9659</v>
      </c>
      <c r="FF445" s="1183"/>
      <c r="FG445" s="1183"/>
      <c r="FH445" s="1183"/>
      <c r="FI445" s="1183"/>
      <c r="FJ445" s="1183" t="s">
        <v>4338</v>
      </c>
      <c r="FK445" s="1183" t="s">
        <v>4158</v>
      </c>
      <c r="FL445" s="1186" t="s">
        <v>3937</v>
      </c>
      <c r="FM445" s="1183" t="s">
        <v>3844</v>
      </c>
      <c r="FN445" s="1183" t="s">
        <v>3775</v>
      </c>
      <c r="FO445" s="1183" t="s">
        <v>3697</v>
      </c>
    </row>
    <row r="446" spans="5:195" ht="43" customHeight="1" x14ac:dyDescent="0.2">
      <c r="E446" s="94" t="s">
        <v>9313</v>
      </c>
      <c r="F446" s="94" t="s">
        <v>9121</v>
      </c>
      <c r="G446" s="97" t="s">
        <v>374</v>
      </c>
      <c r="H446" s="97" t="s">
        <v>459</v>
      </c>
      <c r="I446" s="1183" t="s">
        <v>8624</v>
      </c>
      <c r="J446" s="1183" t="s">
        <v>8451</v>
      </c>
      <c r="K446" s="1183" t="s">
        <v>8346</v>
      </c>
      <c r="L446" s="1184">
        <v>2018</v>
      </c>
      <c r="M446" s="1185">
        <v>44470</v>
      </c>
      <c r="N446" s="1185" t="s">
        <v>8198</v>
      </c>
      <c r="O446" s="1185"/>
      <c r="P446" s="1185"/>
      <c r="Q446" s="1185"/>
      <c r="R446" s="1185"/>
      <c r="S446" s="1185"/>
      <c r="T446" s="1185"/>
      <c r="U446" s="1185"/>
      <c r="V446" s="1185"/>
      <c r="W446" s="1185"/>
      <c r="X446" s="1185"/>
      <c r="Y446" s="1185"/>
      <c r="Z446" s="1183" t="s">
        <v>8019</v>
      </c>
      <c r="AA446" s="1194" t="s">
        <v>7895</v>
      </c>
      <c r="AB446" s="1183" t="s">
        <v>7705</v>
      </c>
      <c r="AC446" s="1186" t="s">
        <v>7578</v>
      </c>
      <c r="AD446" s="1183" t="s">
        <v>7365</v>
      </c>
      <c r="AE446" s="1183" t="s">
        <v>7046</v>
      </c>
      <c r="AF446" s="1183" t="s">
        <v>7111</v>
      </c>
      <c r="AG446" s="1183" t="s">
        <v>7046</v>
      </c>
      <c r="AH446" s="1183" t="s">
        <v>6920</v>
      </c>
      <c r="AI446" s="1183" t="s">
        <v>6765</v>
      </c>
      <c r="AJ446" s="1183" t="s">
        <v>6622</v>
      </c>
      <c r="AK446" s="1183" t="s">
        <v>6368</v>
      </c>
      <c r="AL446" s="580">
        <f t="shared" si="47"/>
        <v>30.762</v>
      </c>
      <c r="AM446" s="504">
        <v>30.762</v>
      </c>
      <c r="AN446" s="516"/>
      <c r="AO446" s="97"/>
      <c r="AP446" s="97"/>
      <c r="AQ446" s="504">
        <v>29.603999999999999</v>
      </c>
      <c r="AR446" s="507">
        <v>0.99980000000000002</v>
      </c>
      <c r="AS446" s="507">
        <v>3.8E-3</v>
      </c>
      <c r="AT446" s="516">
        <v>1.1579999999999999</v>
      </c>
      <c r="AU446" s="507">
        <v>0</v>
      </c>
      <c r="AV446" s="516">
        <v>0</v>
      </c>
      <c r="AW446" s="507">
        <v>0</v>
      </c>
      <c r="AX446" s="516">
        <v>0</v>
      </c>
      <c r="AY446" s="507">
        <v>1.8000000000000001E-4</v>
      </c>
      <c r="AZ446" s="516"/>
      <c r="BA446" s="1188"/>
      <c r="BB446" s="1188"/>
      <c r="BC446" s="1188"/>
      <c r="BD446" s="1188"/>
      <c r="BE446" s="1188"/>
      <c r="BF446" s="1188"/>
      <c r="BG446" s="1188"/>
      <c r="BH446" s="1189"/>
      <c r="BI446" s="1190">
        <v>15.737</v>
      </c>
      <c r="BJ446" s="1188">
        <v>2.3E-3</v>
      </c>
      <c r="BK446" s="1191">
        <f>128+88</f>
        <v>216</v>
      </c>
      <c r="BL446" s="1191">
        <f>40+8</f>
        <v>48</v>
      </c>
      <c r="BM446" s="1191">
        <f>26+8</f>
        <v>34</v>
      </c>
      <c r="BN446" s="1191"/>
      <c r="BO446" s="1191"/>
      <c r="BP446" s="1191"/>
      <c r="BQ446" s="1191"/>
      <c r="BR446" s="1191"/>
      <c r="BS446" s="1191"/>
      <c r="BT446" s="1191">
        <v>5</v>
      </c>
      <c r="BU446" s="1191">
        <v>3</v>
      </c>
      <c r="BV446" s="1191"/>
      <c r="BW446" s="1191"/>
      <c r="BX446" s="1191"/>
      <c r="BY446" s="1191">
        <v>1</v>
      </c>
      <c r="BZ446" s="1191"/>
      <c r="CA446" s="1191"/>
      <c r="CB446" s="1191">
        <v>7</v>
      </c>
      <c r="CC446" s="1191"/>
      <c r="CD446" s="1191"/>
      <c r="CE446" s="1191"/>
      <c r="CF446" s="1191"/>
      <c r="CG446" s="1191">
        <v>8</v>
      </c>
      <c r="CH446" s="1191"/>
      <c r="CI446" s="1191"/>
      <c r="CJ446" s="1191"/>
      <c r="CK446" s="1191">
        <v>4</v>
      </c>
      <c r="CL446" s="1192">
        <f t="shared" si="51"/>
        <v>28</v>
      </c>
      <c r="CM446" s="824">
        <f t="shared" si="46"/>
        <v>0</v>
      </c>
      <c r="CN446" s="1190">
        <v>29.213999999999999</v>
      </c>
      <c r="CO446" s="1183" t="s">
        <v>6010</v>
      </c>
      <c r="CP446" s="1183"/>
      <c r="CQ446" s="1183">
        <f>100+13.8</f>
        <v>113.8</v>
      </c>
      <c r="CR446" s="1190">
        <v>29.213999999999999</v>
      </c>
      <c r="CS446" s="1195" t="s">
        <v>5810</v>
      </c>
      <c r="CT446" s="1183" t="s">
        <v>479</v>
      </c>
      <c r="CU446" s="1183" t="s">
        <v>5791</v>
      </c>
      <c r="CV446" s="1194" t="s">
        <v>5774</v>
      </c>
      <c r="CW446" s="1183" t="s">
        <v>5755</v>
      </c>
      <c r="CX446" s="1191">
        <v>20</v>
      </c>
      <c r="CY446" s="1191">
        <v>72</v>
      </c>
      <c r="CZ446" s="1191">
        <v>0</v>
      </c>
      <c r="DA446" s="1183" t="s">
        <v>479</v>
      </c>
      <c r="DB446" s="1183" t="s">
        <v>5666</v>
      </c>
      <c r="DC446" s="1191">
        <v>510</v>
      </c>
      <c r="DD446" s="1183" t="s">
        <v>479</v>
      </c>
      <c r="DE446" s="1194" t="s">
        <v>5588</v>
      </c>
      <c r="DF446" s="1191">
        <v>3564</v>
      </c>
      <c r="DG446" s="1191" t="s">
        <v>470</v>
      </c>
      <c r="DH446" s="1191"/>
      <c r="DI446" s="1191"/>
      <c r="DJ446" s="1191" t="s">
        <v>5553</v>
      </c>
      <c r="DK446" s="1191"/>
      <c r="DL446" s="1191"/>
      <c r="DM446" s="1183" t="s">
        <v>470</v>
      </c>
      <c r="DN446" s="1183"/>
      <c r="DO446" s="1191"/>
      <c r="DP446" s="1183" t="s">
        <v>479</v>
      </c>
      <c r="DQ446" s="1183" t="s">
        <v>5531</v>
      </c>
      <c r="DR446" s="1191">
        <v>108</v>
      </c>
      <c r="DS446" s="1183" t="s">
        <v>479</v>
      </c>
      <c r="DT446" s="1183" t="s">
        <v>5520</v>
      </c>
      <c r="DU446" s="1191">
        <v>5</v>
      </c>
      <c r="DV446" s="1183" t="s">
        <v>5493</v>
      </c>
      <c r="DW446" s="1194" t="s">
        <v>4932</v>
      </c>
      <c r="DX446" s="1191">
        <v>3654</v>
      </c>
      <c r="DY446" s="1183" t="s">
        <v>479</v>
      </c>
      <c r="DZ446" s="1183" t="s">
        <v>5443</v>
      </c>
      <c r="EA446" s="1191">
        <v>2323</v>
      </c>
      <c r="EB446" s="1183" t="s">
        <v>479</v>
      </c>
      <c r="EC446" s="1183" t="s">
        <v>5385</v>
      </c>
      <c r="ED446" s="1191">
        <f>2323+3654</f>
        <v>5977</v>
      </c>
      <c r="EE446" s="1191" t="s">
        <v>470</v>
      </c>
      <c r="EF446" s="1191"/>
      <c r="EG446" s="1191"/>
      <c r="EH446" s="1191" t="s">
        <v>470</v>
      </c>
      <c r="EI446" s="1183"/>
      <c r="EJ446" s="1191"/>
      <c r="EK446" s="1191" t="s">
        <v>470</v>
      </c>
      <c r="EL446" s="1183"/>
      <c r="EM446" s="1191"/>
      <c r="EN446" s="1183" t="s">
        <v>470</v>
      </c>
      <c r="EO446" s="1183"/>
      <c r="EP446" s="1191"/>
      <c r="EQ446" s="1191" t="s">
        <v>479</v>
      </c>
      <c r="ER446" s="1191" t="s">
        <v>5261</v>
      </c>
      <c r="ES446" s="1191">
        <v>20</v>
      </c>
      <c r="ET446" s="1183" t="s">
        <v>5238</v>
      </c>
      <c r="EU446" s="1183" t="s">
        <v>4932</v>
      </c>
      <c r="EV446" s="1191">
        <v>3654</v>
      </c>
      <c r="EW446" s="1191"/>
      <c r="EX446" s="1191"/>
      <c r="EY446" s="1191"/>
      <c r="EZ446" s="1183" t="s">
        <v>479</v>
      </c>
      <c r="FA446" s="1183" t="s">
        <v>5194</v>
      </c>
      <c r="FB446" s="1194" t="s">
        <v>5039</v>
      </c>
      <c r="FC446" s="1194" t="s">
        <v>4932</v>
      </c>
      <c r="FD446" s="1183"/>
      <c r="FE446" s="1183" t="s">
        <v>4740</v>
      </c>
      <c r="FF446" s="1183" t="s">
        <v>4682</v>
      </c>
      <c r="FG446" s="1183" t="s">
        <v>470</v>
      </c>
      <c r="FH446" s="1183"/>
      <c r="FI446" s="1183"/>
      <c r="FJ446" s="1183" t="s">
        <v>4337</v>
      </c>
      <c r="FK446" s="1183" t="s">
        <v>4157</v>
      </c>
      <c r="FL446" s="1186" t="s">
        <v>3936</v>
      </c>
      <c r="FM446" s="1183" t="s">
        <v>3844</v>
      </c>
      <c r="FN446" s="1183" t="s">
        <v>3775</v>
      </c>
      <c r="FO446" s="1183" t="s">
        <v>3697</v>
      </c>
    </row>
    <row r="447" spans="5:195" ht="28" customHeight="1" x14ac:dyDescent="0.2">
      <c r="E447" s="94" t="s">
        <v>9313</v>
      </c>
      <c r="F447" s="94" t="s">
        <v>9121</v>
      </c>
      <c r="G447" s="97" t="s">
        <v>374</v>
      </c>
      <c r="H447" s="97" t="s">
        <v>459</v>
      </c>
      <c r="I447" s="1183" t="s">
        <v>8623</v>
      </c>
      <c r="J447" s="1183" t="s">
        <v>8450</v>
      </c>
      <c r="K447" s="1183" t="s">
        <v>8345</v>
      </c>
      <c r="L447" s="1184">
        <v>2018</v>
      </c>
      <c r="M447" s="1185">
        <v>44317</v>
      </c>
      <c r="N447" s="1185">
        <v>44925</v>
      </c>
      <c r="O447" s="1185"/>
      <c r="P447" s="1185"/>
      <c r="Q447" s="1185"/>
      <c r="R447" s="1185"/>
      <c r="S447" s="1185"/>
      <c r="T447" s="1185"/>
      <c r="U447" s="1185"/>
      <c r="V447" s="1185"/>
      <c r="W447" s="1185"/>
      <c r="X447" s="1185"/>
      <c r="Y447" s="1185"/>
      <c r="Z447" s="1183" t="s">
        <v>8018</v>
      </c>
      <c r="AA447" s="1196" t="s">
        <v>5773</v>
      </c>
      <c r="AB447" s="1183" t="s">
        <v>7704</v>
      </c>
      <c r="AC447" s="1186" t="s">
        <v>5773</v>
      </c>
      <c r="AD447" s="1183" t="s">
        <v>7364</v>
      </c>
      <c r="AE447" s="1186" t="s">
        <v>7189</v>
      </c>
      <c r="AF447" s="1183"/>
      <c r="AG447" s="1183"/>
      <c r="AH447" s="1183" t="s">
        <v>6764</v>
      </c>
      <c r="AI447" s="1183" t="s">
        <v>6764</v>
      </c>
      <c r="AJ447" s="1183" t="s">
        <v>6624</v>
      </c>
      <c r="AK447" s="1183" t="s">
        <v>6367</v>
      </c>
      <c r="AL447" s="580">
        <f t="shared" si="47"/>
        <v>213.23839999999998</v>
      </c>
      <c r="AM447" s="504">
        <v>213.23839999999998</v>
      </c>
      <c r="AN447" s="516"/>
      <c r="AO447" s="97"/>
      <c r="AP447" s="97"/>
      <c r="AQ447" s="504">
        <v>210.03639999999999</v>
      </c>
      <c r="AR447" s="507">
        <v>1</v>
      </c>
      <c r="AS447" s="507">
        <v>0.16520000000000001</v>
      </c>
      <c r="AT447" s="516">
        <v>0</v>
      </c>
      <c r="AU447" s="507">
        <v>0</v>
      </c>
      <c r="AV447" s="516">
        <v>3.202</v>
      </c>
      <c r="AW447" s="507">
        <v>0</v>
      </c>
      <c r="AX447" s="516">
        <v>0</v>
      </c>
      <c r="AY447" s="507">
        <v>0</v>
      </c>
      <c r="AZ447" s="516"/>
      <c r="BA447" s="1188"/>
      <c r="BB447" s="1188"/>
      <c r="BC447" s="1188"/>
      <c r="BD447" s="1188"/>
      <c r="BE447" s="1188" t="s">
        <v>479</v>
      </c>
      <c r="BF447" s="1188" t="s">
        <v>6249</v>
      </c>
      <c r="BG447" s="1193" t="s">
        <v>5773</v>
      </c>
      <c r="BH447" s="1189">
        <v>3.202</v>
      </c>
      <c r="BI447" s="1190">
        <v>779.66899999999998</v>
      </c>
      <c r="BJ447" s="1188">
        <v>6.3E-2</v>
      </c>
      <c r="BK447" s="1191">
        <v>94</v>
      </c>
      <c r="BL447" s="1191">
        <v>62</v>
      </c>
      <c r="BM447" s="1191">
        <v>41</v>
      </c>
      <c r="BN447" s="1191"/>
      <c r="BO447" s="1191">
        <v>8</v>
      </c>
      <c r="BP447" s="1191"/>
      <c r="BQ447" s="1191"/>
      <c r="BR447" s="1191"/>
      <c r="BS447" s="1191"/>
      <c r="BT447" s="1191"/>
      <c r="BU447" s="1191"/>
      <c r="BV447" s="1191">
        <v>1</v>
      </c>
      <c r="BW447" s="1191"/>
      <c r="BX447" s="1191">
        <v>4</v>
      </c>
      <c r="BY447" s="1191">
        <v>3</v>
      </c>
      <c r="BZ447" s="1191"/>
      <c r="CA447" s="1191"/>
      <c r="CB447" s="1191">
        <v>1</v>
      </c>
      <c r="CC447" s="1191"/>
      <c r="CD447" s="1191"/>
      <c r="CE447" s="1191"/>
      <c r="CF447" s="1191"/>
      <c r="CG447" s="1191">
        <v>23</v>
      </c>
      <c r="CH447" s="1191"/>
      <c r="CI447" s="1191"/>
      <c r="CJ447" s="1191"/>
      <c r="CK447" s="1191">
        <v>1</v>
      </c>
      <c r="CL447" s="1192">
        <f t="shared" si="51"/>
        <v>41</v>
      </c>
      <c r="CM447" s="824">
        <f t="shared" si="46"/>
        <v>0</v>
      </c>
      <c r="CN447" s="1190">
        <v>33.417000000000002</v>
      </c>
      <c r="CO447" s="1183" t="s">
        <v>6009</v>
      </c>
      <c r="CP447" s="1193" t="s">
        <v>5810</v>
      </c>
      <c r="CQ447" s="1183">
        <v>100</v>
      </c>
      <c r="CR447" s="1190">
        <v>33.417000000000002</v>
      </c>
      <c r="CS447" s="1193" t="s">
        <v>5810</v>
      </c>
      <c r="CT447" s="1183" t="s">
        <v>479</v>
      </c>
      <c r="CU447" s="1183" t="s">
        <v>5469</v>
      </c>
      <c r="CV447" s="1186" t="s">
        <v>5773</v>
      </c>
      <c r="CW447" s="1183" t="s">
        <v>5754</v>
      </c>
      <c r="CX447" s="1191">
        <v>10</v>
      </c>
      <c r="CY447" s="1191" t="s">
        <v>5740</v>
      </c>
      <c r="CZ447" s="1191">
        <v>5</v>
      </c>
      <c r="DA447" s="1183" t="s">
        <v>479</v>
      </c>
      <c r="DB447" s="1183" t="s">
        <v>5665</v>
      </c>
      <c r="DC447" s="1191">
        <v>193</v>
      </c>
      <c r="DD447" s="1183" t="s">
        <v>479</v>
      </c>
      <c r="DE447" s="1183" t="s">
        <v>5587</v>
      </c>
      <c r="DF447" s="1191">
        <v>893</v>
      </c>
      <c r="DG447" s="1191" t="s">
        <v>470</v>
      </c>
      <c r="DH447" s="1191"/>
      <c r="DI447" s="1191"/>
      <c r="DJ447" s="1191" t="s">
        <v>470</v>
      </c>
      <c r="DK447" s="1191"/>
      <c r="DL447" s="1191"/>
      <c r="DM447" s="1183" t="s">
        <v>470</v>
      </c>
      <c r="DN447" s="1183"/>
      <c r="DO447" s="1191"/>
      <c r="DP447" s="1183" t="s">
        <v>479</v>
      </c>
      <c r="DQ447" s="1183" t="s">
        <v>5530</v>
      </c>
      <c r="DR447" s="1191">
        <v>20</v>
      </c>
      <c r="DS447" s="1183" t="s">
        <v>470</v>
      </c>
      <c r="DT447" s="1183"/>
      <c r="DU447" s="1191"/>
      <c r="DV447" s="1183" t="s">
        <v>479</v>
      </c>
      <c r="DW447" s="1183" t="s">
        <v>5469</v>
      </c>
      <c r="DX447" s="1191">
        <v>29</v>
      </c>
      <c r="DY447" s="1183" t="s">
        <v>479</v>
      </c>
      <c r="DZ447" s="1183" t="s">
        <v>5442</v>
      </c>
      <c r="EA447" s="1183">
        <v>901</v>
      </c>
      <c r="EB447" s="1183" t="s">
        <v>479</v>
      </c>
      <c r="EC447" s="1183" t="s">
        <v>920</v>
      </c>
      <c r="ED447" s="1191">
        <v>10932</v>
      </c>
      <c r="EE447" s="1191" t="s">
        <v>470</v>
      </c>
      <c r="EF447" s="1191"/>
      <c r="EG447" s="1191"/>
      <c r="EH447" s="1183" t="s">
        <v>470</v>
      </c>
      <c r="EI447" s="1183"/>
      <c r="EJ447" s="1191"/>
      <c r="EK447" s="1183" t="s">
        <v>470</v>
      </c>
      <c r="EL447" s="1183"/>
      <c r="EM447" s="1191"/>
      <c r="EN447" s="1183" t="s">
        <v>470</v>
      </c>
      <c r="EO447" s="1183"/>
      <c r="EP447" s="1191"/>
      <c r="EQ447" s="1191" t="s">
        <v>479</v>
      </c>
      <c r="ER447" s="1191" t="s">
        <v>5260</v>
      </c>
      <c r="ES447" s="1191">
        <v>12</v>
      </c>
      <c r="ET447" s="1183"/>
      <c r="EU447" s="1183"/>
      <c r="EV447" s="1191"/>
      <c r="EW447" s="1191"/>
      <c r="EX447" s="1191"/>
      <c r="EY447" s="1191"/>
      <c r="EZ447" s="1183" t="s">
        <v>470</v>
      </c>
      <c r="FA447" s="1183"/>
      <c r="FB447" s="1183" t="s">
        <v>5038</v>
      </c>
      <c r="FC447" s="1186" t="s">
        <v>4931</v>
      </c>
      <c r="FD447" s="1186" t="s">
        <v>4880</v>
      </c>
      <c r="FE447" s="1183" t="s">
        <v>4739</v>
      </c>
      <c r="FF447" s="1183" t="s">
        <v>4681</v>
      </c>
      <c r="FG447" s="1183" t="s">
        <v>4580</v>
      </c>
      <c r="FH447" s="1183">
        <v>4</v>
      </c>
      <c r="FI447" s="1183">
        <v>35</v>
      </c>
      <c r="FJ447" s="1183" t="s">
        <v>4336</v>
      </c>
      <c r="FK447" s="1183" t="s">
        <v>4156</v>
      </c>
      <c r="FL447" s="1186" t="s">
        <v>3935</v>
      </c>
      <c r="FM447" s="1183" t="s">
        <v>3844</v>
      </c>
      <c r="FN447" s="1183" t="s">
        <v>3775</v>
      </c>
      <c r="FO447" s="1183" t="s">
        <v>3697</v>
      </c>
    </row>
    <row r="448" spans="5:195" ht="43" customHeight="1" x14ac:dyDescent="0.2">
      <c r="E448" s="94" t="s">
        <v>9313</v>
      </c>
      <c r="F448" s="94" t="s">
        <v>9121</v>
      </c>
      <c r="G448" s="97" t="s">
        <v>374</v>
      </c>
      <c r="H448" s="97" t="s">
        <v>459</v>
      </c>
      <c r="I448" s="1183" t="s">
        <v>8622</v>
      </c>
      <c r="J448" s="1183" t="s">
        <v>8343</v>
      </c>
      <c r="K448" s="1183" t="s">
        <v>8345</v>
      </c>
      <c r="L448" s="1184">
        <v>2018</v>
      </c>
      <c r="M448" s="1185" t="s">
        <v>528</v>
      </c>
      <c r="N448" s="1185" t="s">
        <v>8197</v>
      </c>
      <c r="O448" s="1185"/>
      <c r="P448" s="1185"/>
      <c r="Q448" s="1185"/>
      <c r="R448" s="1185"/>
      <c r="S448" s="1185"/>
      <c r="T448" s="1185"/>
      <c r="U448" s="1185"/>
      <c r="V448" s="1185"/>
      <c r="W448" s="1185"/>
      <c r="X448" s="1185"/>
      <c r="Y448" s="1185"/>
      <c r="Z448" s="1183"/>
      <c r="AA448" s="1183"/>
      <c r="AB448" s="1183" t="s">
        <v>7703</v>
      </c>
      <c r="AC448" s="1186" t="s">
        <v>5772</v>
      </c>
      <c r="AD448" s="1183" t="s">
        <v>7363</v>
      </c>
      <c r="AE448" s="1194" t="s">
        <v>7188</v>
      </c>
      <c r="AF448" s="1183"/>
      <c r="AG448" s="1183"/>
      <c r="AH448" s="1183" t="s">
        <v>6919</v>
      </c>
      <c r="AI448" s="1183" t="s">
        <v>6763</v>
      </c>
      <c r="AJ448" s="1183" t="s">
        <v>6623</v>
      </c>
      <c r="AK448" s="1183" t="s">
        <v>6366</v>
      </c>
      <c r="AL448" s="580">
        <f t="shared" si="47"/>
        <v>23.412553730000003</v>
      </c>
      <c r="AM448" s="504">
        <v>23.412553730000003</v>
      </c>
      <c r="AN448" s="516"/>
      <c r="AO448" s="97"/>
      <c r="AP448" s="97"/>
      <c r="AQ448" s="504">
        <f>18.012554+5.39999973</f>
        <v>23.412553730000003</v>
      </c>
      <c r="AR448" s="507">
        <f>AQ448/AL448</f>
        <v>1</v>
      </c>
      <c r="AS448" s="507">
        <f>AL448/13020.530823</f>
        <v>1.7981259019519472E-3</v>
      </c>
      <c r="AT448" s="516">
        <v>0</v>
      </c>
      <c r="AU448" s="507">
        <v>0</v>
      </c>
      <c r="AV448" s="516">
        <v>0</v>
      </c>
      <c r="AW448" s="507">
        <v>0</v>
      </c>
      <c r="AX448" s="516">
        <v>0</v>
      </c>
      <c r="AY448" s="507">
        <v>0</v>
      </c>
      <c r="AZ448" s="516"/>
      <c r="BA448" s="1188"/>
      <c r="BB448" s="1188"/>
      <c r="BC448" s="1188"/>
      <c r="BD448" s="1188"/>
      <c r="BE448" s="1188" t="s">
        <v>479</v>
      </c>
      <c r="BF448" s="1183" t="s">
        <v>6248</v>
      </c>
      <c r="BG448" s="1194" t="s">
        <v>5772</v>
      </c>
      <c r="BH448" s="1189">
        <v>0</v>
      </c>
      <c r="BI448" s="1190">
        <f>25.733088+5.724</f>
        <v>31.457087999999999</v>
      </c>
      <c r="BJ448" s="1188">
        <f>BI448/13701.434756</f>
        <v>2.2958973684288511E-3</v>
      </c>
      <c r="BK448" s="1191"/>
      <c r="BL448" s="1191">
        <v>14</v>
      </c>
      <c r="BM448" s="1191">
        <v>6</v>
      </c>
      <c r="BN448" s="1191"/>
      <c r="BO448" s="1191"/>
      <c r="BP448" s="1191"/>
      <c r="BQ448" s="1191"/>
      <c r="BR448" s="1191"/>
      <c r="BS448" s="1191"/>
      <c r="BT448" s="1191"/>
      <c r="BU448" s="1191"/>
      <c r="BV448" s="1191"/>
      <c r="BW448" s="1191"/>
      <c r="BX448" s="1191">
        <v>1</v>
      </c>
      <c r="BY448" s="1191">
        <v>3</v>
      </c>
      <c r="BZ448" s="1191"/>
      <c r="CA448" s="1191"/>
      <c r="CB448" s="1191">
        <v>1</v>
      </c>
      <c r="CC448" s="1191"/>
      <c r="CD448" s="1191"/>
      <c r="CE448" s="1191"/>
      <c r="CF448" s="1191"/>
      <c r="CG448" s="1191">
        <v>18</v>
      </c>
      <c r="CH448" s="1191"/>
      <c r="CI448" s="1191"/>
      <c r="CJ448" s="1191"/>
      <c r="CK448" s="1191">
        <v>1</v>
      </c>
      <c r="CL448" s="1192">
        <f t="shared" si="51"/>
        <v>24</v>
      </c>
      <c r="CM448" s="824">
        <f t="shared" si="46"/>
        <v>0</v>
      </c>
      <c r="CN448" s="1190">
        <v>2.9129999999999998</v>
      </c>
      <c r="CO448" s="1183" t="s">
        <v>6008</v>
      </c>
      <c r="CP448" s="1183"/>
      <c r="CQ448" s="1197">
        <v>95.12</v>
      </c>
      <c r="CR448" s="1190">
        <v>67.319999999999993</v>
      </c>
      <c r="CS448" s="1193" t="s">
        <v>5809</v>
      </c>
      <c r="CT448" s="1183" t="s">
        <v>479</v>
      </c>
      <c r="CU448" s="1183" t="s">
        <v>5790</v>
      </c>
      <c r="CV448" s="1186" t="s">
        <v>5772</v>
      </c>
      <c r="CW448" s="1183" t="s">
        <v>5753</v>
      </c>
      <c r="CX448" s="1191"/>
      <c r="CY448" s="1191">
        <v>3</v>
      </c>
      <c r="CZ448" s="1191"/>
      <c r="DA448" s="1183" t="s">
        <v>470</v>
      </c>
      <c r="DB448" s="1183"/>
      <c r="DC448" s="1191"/>
      <c r="DD448" s="1183" t="s">
        <v>470</v>
      </c>
      <c r="DE448" s="1183"/>
      <c r="DF448" s="1191"/>
      <c r="DG448" s="1191" t="s">
        <v>470</v>
      </c>
      <c r="DH448" s="1191"/>
      <c r="DI448" s="1191"/>
      <c r="DJ448" s="1191" t="s">
        <v>470</v>
      </c>
      <c r="DK448" s="1191"/>
      <c r="DL448" s="1191"/>
      <c r="DM448" s="1183" t="s">
        <v>470</v>
      </c>
      <c r="DN448" s="1183"/>
      <c r="DO448" s="1191"/>
      <c r="DP448" s="1183" t="s">
        <v>479</v>
      </c>
      <c r="DQ448" s="1183" t="s">
        <v>5529</v>
      </c>
      <c r="DR448" s="1183" t="s">
        <v>5525</v>
      </c>
      <c r="DS448" s="1183" t="s">
        <v>470</v>
      </c>
      <c r="DT448" s="1183"/>
      <c r="DU448" s="1183"/>
      <c r="DV448" s="1183" t="s">
        <v>5492</v>
      </c>
      <c r="DW448" s="1183" t="s">
        <v>5468</v>
      </c>
      <c r="DX448" s="1183">
        <v>1</v>
      </c>
      <c r="DY448" s="1183" t="s">
        <v>479</v>
      </c>
      <c r="DZ448" s="1183" t="s">
        <v>5441</v>
      </c>
      <c r="EA448" s="1183">
        <v>1354</v>
      </c>
      <c r="EB448" s="1183" t="s">
        <v>470</v>
      </c>
      <c r="EC448" s="1183"/>
      <c r="ED448" s="1191"/>
      <c r="EE448" s="1191" t="s">
        <v>470</v>
      </c>
      <c r="EF448" s="1191"/>
      <c r="EG448" s="1191"/>
      <c r="EH448" s="1183" t="s">
        <v>470</v>
      </c>
      <c r="EI448" s="1183"/>
      <c r="EJ448" s="1191"/>
      <c r="EK448" s="1183" t="s">
        <v>470</v>
      </c>
      <c r="EL448" s="1183"/>
      <c r="EM448" s="1191"/>
      <c r="EN448" s="1183" t="s">
        <v>479</v>
      </c>
      <c r="EO448" s="1183" t="s">
        <v>1097</v>
      </c>
      <c r="EP448" s="1183" t="s">
        <v>5323</v>
      </c>
      <c r="EQ448" s="1191" t="s">
        <v>470</v>
      </c>
      <c r="ER448" s="1191"/>
      <c r="ES448" s="1191"/>
      <c r="ET448" s="1183" t="s">
        <v>5237</v>
      </c>
      <c r="EU448" s="1183"/>
      <c r="EV448" s="1183"/>
      <c r="EW448" s="1183"/>
      <c r="EX448" s="1183"/>
      <c r="EY448" s="1183"/>
      <c r="EZ448" s="1183" t="s">
        <v>479</v>
      </c>
      <c r="FA448" s="1183" t="s">
        <v>5193</v>
      </c>
      <c r="FB448" s="1186" t="s">
        <v>5037</v>
      </c>
      <c r="FC448" s="1183" t="s">
        <v>4930</v>
      </c>
      <c r="FD448" s="1183" t="s">
        <v>656</v>
      </c>
      <c r="FE448" s="1183" t="s">
        <v>4738</v>
      </c>
      <c r="FF448" s="1183" t="s">
        <v>4680</v>
      </c>
      <c r="FG448" s="1183"/>
      <c r="FH448" s="1183"/>
      <c r="FI448" s="1183"/>
      <c r="FJ448" s="1183" t="s">
        <v>4335</v>
      </c>
      <c r="FK448" s="1183" t="s">
        <v>4155</v>
      </c>
      <c r="FL448" s="1183" t="s">
        <v>3934</v>
      </c>
      <c r="FM448" s="1183" t="s">
        <v>3844</v>
      </c>
      <c r="FN448" s="1183" t="s">
        <v>3775</v>
      </c>
      <c r="FO448" s="1183" t="s">
        <v>3697</v>
      </c>
    </row>
    <row r="449" spans="5:171" ht="28" customHeight="1" x14ac:dyDescent="0.2">
      <c r="E449" s="94" t="s">
        <v>9313</v>
      </c>
      <c r="F449" s="94" t="s">
        <v>9121</v>
      </c>
      <c r="G449" s="97" t="s">
        <v>374</v>
      </c>
      <c r="H449" s="97" t="s">
        <v>459</v>
      </c>
      <c r="I449" s="1183" t="s">
        <v>8621</v>
      </c>
      <c r="J449" s="1183" t="s">
        <v>8343</v>
      </c>
      <c r="K449" s="1183" t="s">
        <v>8344</v>
      </c>
      <c r="L449" s="1184">
        <v>2019</v>
      </c>
      <c r="M449" s="1185">
        <v>44428</v>
      </c>
      <c r="N449" s="1185">
        <v>44926</v>
      </c>
      <c r="O449" s="1185"/>
      <c r="P449" s="1185"/>
      <c r="Q449" s="1185"/>
      <c r="R449" s="1185"/>
      <c r="S449" s="1185"/>
      <c r="T449" s="1185"/>
      <c r="U449" s="1185"/>
      <c r="V449" s="1185"/>
      <c r="W449" s="1185"/>
      <c r="X449" s="1185"/>
      <c r="Y449" s="1185"/>
      <c r="Z449" s="1183"/>
      <c r="AA449" s="1194"/>
      <c r="AB449" s="1183" t="s">
        <v>7702</v>
      </c>
      <c r="AC449" s="1194" t="s">
        <v>7577</v>
      </c>
      <c r="AD449" s="1183" t="s">
        <v>7362</v>
      </c>
      <c r="AE449" s="1194" t="s">
        <v>7187</v>
      </c>
      <c r="AF449" s="1183" t="s">
        <v>7111</v>
      </c>
      <c r="AG449" s="1194" t="s">
        <v>7045</v>
      </c>
      <c r="AH449" s="1183" t="s">
        <v>6918</v>
      </c>
      <c r="AI449" s="1183" t="s">
        <v>6762</v>
      </c>
      <c r="AJ449" s="1183" t="s">
        <v>6622</v>
      </c>
      <c r="AK449" s="1183" t="s">
        <v>6365</v>
      </c>
      <c r="AL449" s="580">
        <f t="shared" si="47"/>
        <v>7.2720000000000002</v>
      </c>
      <c r="AM449" s="504">
        <v>7.2720000000000002</v>
      </c>
      <c r="AN449" s="516"/>
      <c r="AO449" s="97"/>
      <c r="AP449" s="97"/>
      <c r="AQ449" s="504">
        <v>7.2320000000000002</v>
      </c>
      <c r="AR449" s="507">
        <f>AQ449/AL449*100%</f>
        <v>0.99449944994499451</v>
      </c>
      <c r="AS449" s="507">
        <v>3.5E-4</v>
      </c>
      <c r="AT449" s="516">
        <v>0.04</v>
      </c>
      <c r="AU449" s="507">
        <f>AT449/AL449</f>
        <v>5.5005500550055009E-3</v>
      </c>
      <c r="AV449" s="516"/>
      <c r="AW449" s="507" t="s">
        <v>1482</v>
      </c>
      <c r="AX449" s="516">
        <v>0</v>
      </c>
      <c r="AY449" s="507">
        <f>AX449/AL449*100%</f>
        <v>0</v>
      </c>
      <c r="AZ449" s="516"/>
      <c r="BA449" s="1188"/>
      <c r="BB449" s="1188"/>
      <c r="BC449" s="1188"/>
      <c r="BD449" s="1188"/>
      <c r="BE449" s="1188" t="s">
        <v>470</v>
      </c>
      <c r="BF449" s="1188" t="s">
        <v>1482</v>
      </c>
      <c r="BG449" s="1188" t="s">
        <v>1482</v>
      </c>
      <c r="BH449" s="1189" t="s">
        <v>1482</v>
      </c>
      <c r="BI449" s="1190">
        <f>7.564</f>
        <v>7.5640000000000001</v>
      </c>
      <c r="BJ449" s="1188">
        <v>8.0000000000000004E-4</v>
      </c>
      <c r="BK449" s="1191">
        <f>12+20</f>
        <v>32</v>
      </c>
      <c r="BL449" s="1191">
        <f>11+13</f>
        <v>24</v>
      </c>
      <c r="BM449" s="1191">
        <f>2+13</f>
        <v>15</v>
      </c>
      <c r="BN449" s="1191"/>
      <c r="BO449" s="1191"/>
      <c r="BP449" s="1191"/>
      <c r="BQ449" s="1191"/>
      <c r="BR449" s="1191"/>
      <c r="BS449" s="1191">
        <v>1</v>
      </c>
      <c r="BT449" s="1191"/>
      <c r="BU449" s="1191">
        <v>1</v>
      </c>
      <c r="BV449" s="1191"/>
      <c r="BW449" s="1191">
        <v>4</v>
      </c>
      <c r="BX449" s="1191"/>
      <c r="BY449" s="1191"/>
      <c r="BZ449" s="1191"/>
      <c r="CA449" s="1191"/>
      <c r="CB449" s="1191">
        <v>2</v>
      </c>
      <c r="CC449" s="1191"/>
      <c r="CD449" s="1191"/>
      <c r="CE449" s="1191"/>
      <c r="CF449" s="1191"/>
      <c r="CG449" s="1191">
        <v>13</v>
      </c>
      <c r="CH449" s="1191"/>
      <c r="CI449" s="1191">
        <v>2</v>
      </c>
      <c r="CJ449" s="1191"/>
      <c r="CK449" s="1191"/>
      <c r="CL449" s="1192">
        <f t="shared" si="51"/>
        <v>23</v>
      </c>
      <c r="CM449" s="824">
        <f t="shared" si="46"/>
        <v>0</v>
      </c>
      <c r="CN449" s="1190">
        <v>9.4359999999999999</v>
      </c>
      <c r="CO449" s="1183" t="s">
        <v>1924</v>
      </c>
      <c r="CP449" s="1183"/>
      <c r="CQ449" s="1183">
        <v>100</v>
      </c>
      <c r="CR449" s="1190">
        <v>9.4359999999999999</v>
      </c>
      <c r="CS449" s="1188" t="s">
        <v>1902</v>
      </c>
      <c r="CT449" s="1183" t="s">
        <v>479</v>
      </c>
      <c r="CU449" s="1183" t="s">
        <v>5790</v>
      </c>
      <c r="CV449" s="1183" t="s">
        <v>5771</v>
      </c>
      <c r="CW449" s="1183" t="s">
        <v>1482</v>
      </c>
      <c r="CX449" s="1191">
        <v>3</v>
      </c>
      <c r="CY449" s="1191"/>
      <c r="CZ449" s="1191">
        <v>5</v>
      </c>
      <c r="DA449" s="1183" t="s">
        <v>470</v>
      </c>
      <c r="DB449" s="1183" t="s">
        <v>1482</v>
      </c>
      <c r="DC449" s="1191" t="s">
        <v>1482</v>
      </c>
      <c r="DD449" s="1183" t="s">
        <v>479</v>
      </c>
      <c r="DE449" s="1183" t="s">
        <v>5586</v>
      </c>
      <c r="DF449" s="1191">
        <v>90</v>
      </c>
      <c r="DG449" s="1191" t="s">
        <v>470</v>
      </c>
      <c r="DH449" s="1183" t="s">
        <v>1482</v>
      </c>
      <c r="DI449" s="1191" t="s">
        <v>1482</v>
      </c>
      <c r="DJ449" s="1191" t="s">
        <v>470</v>
      </c>
      <c r="DK449" s="1183" t="s">
        <v>1482</v>
      </c>
      <c r="DL449" s="1191" t="s">
        <v>1482</v>
      </c>
      <c r="DM449" s="1183" t="s">
        <v>470</v>
      </c>
      <c r="DN449" s="1183" t="s">
        <v>1482</v>
      </c>
      <c r="DO449" s="1191" t="s">
        <v>1482</v>
      </c>
      <c r="DP449" s="1183" t="s">
        <v>479</v>
      </c>
      <c r="DQ449" s="1183" t="s">
        <v>5528</v>
      </c>
      <c r="DR449" s="1191">
        <v>12</v>
      </c>
      <c r="DS449" s="1183" t="s">
        <v>470</v>
      </c>
      <c r="DT449" s="1183" t="s">
        <v>1482</v>
      </c>
      <c r="DU449" s="1191" t="s">
        <v>1482</v>
      </c>
      <c r="DV449" s="1183" t="s">
        <v>470</v>
      </c>
      <c r="DW449" s="1183" t="s">
        <v>1482</v>
      </c>
      <c r="DX449" s="1191" t="s">
        <v>1482</v>
      </c>
      <c r="DY449" s="1183" t="s">
        <v>479</v>
      </c>
      <c r="DZ449" s="1183" t="s">
        <v>5440</v>
      </c>
      <c r="EA449" s="1191">
        <v>269</v>
      </c>
      <c r="EB449" s="1183" t="s">
        <v>479</v>
      </c>
      <c r="EC449" s="1183" t="s">
        <v>543</v>
      </c>
      <c r="ED449" s="1191">
        <f>20+587</f>
        <v>607</v>
      </c>
      <c r="EE449" s="1191" t="s">
        <v>470</v>
      </c>
      <c r="EF449" s="1191" t="s">
        <v>1482</v>
      </c>
      <c r="EG449" s="1191" t="s">
        <v>1482</v>
      </c>
      <c r="EH449" s="1183" t="s">
        <v>470</v>
      </c>
      <c r="EI449" s="1183" t="s">
        <v>1482</v>
      </c>
      <c r="EJ449" s="1191" t="s">
        <v>1482</v>
      </c>
      <c r="EK449" s="1183" t="s">
        <v>470</v>
      </c>
      <c r="EL449" s="1183" t="s">
        <v>1482</v>
      </c>
      <c r="EM449" s="1191" t="s">
        <v>1482</v>
      </c>
      <c r="EN449" s="1183" t="s">
        <v>470</v>
      </c>
      <c r="EO449" s="1183" t="s">
        <v>1482</v>
      </c>
      <c r="EP449" s="1191" t="s">
        <v>1482</v>
      </c>
      <c r="EQ449" s="1191" t="s">
        <v>470</v>
      </c>
      <c r="ER449" s="1191" t="s">
        <v>1482</v>
      </c>
      <c r="ES449" s="1191" t="s">
        <v>1482</v>
      </c>
      <c r="ET449" s="1183" t="s">
        <v>470</v>
      </c>
      <c r="EU449" s="1183" t="s">
        <v>1482</v>
      </c>
      <c r="EV449" s="1191" t="s">
        <v>1482</v>
      </c>
      <c r="EW449" s="1191"/>
      <c r="EX449" s="1191"/>
      <c r="EY449" s="1191"/>
      <c r="EZ449" s="1183" t="s">
        <v>479</v>
      </c>
      <c r="FA449" s="1183" t="s">
        <v>5192</v>
      </c>
      <c r="FB449" s="1183" t="s">
        <v>5036</v>
      </c>
      <c r="FC449" s="1183" t="s">
        <v>4929</v>
      </c>
      <c r="FD449" s="1183" t="s">
        <v>4879</v>
      </c>
      <c r="FE449" s="1183" t="s">
        <v>4737</v>
      </c>
      <c r="FF449" s="1183" t="s">
        <v>4679</v>
      </c>
      <c r="FG449" s="1183" t="s">
        <v>4579</v>
      </c>
      <c r="FH449" s="1183">
        <v>1</v>
      </c>
      <c r="FI449" s="1183">
        <v>9</v>
      </c>
      <c r="FJ449" s="1183" t="s">
        <v>4334</v>
      </c>
      <c r="FK449" s="1183" t="s">
        <v>4154</v>
      </c>
      <c r="FL449" s="1186" t="s">
        <v>3933</v>
      </c>
      <c r="FM449" s="1183" t="s">
        <v>3844</v>
      </c>
      <c r="FN449" s="1183" t="s">
        <v>3775</v>
      </c>
      <c r="FO449" s="1183" t="s">
        <v>3697</v>
      </c>
    </row>
    <row r="450" spans="5:171" ht="43" customHeight="1" x14ac:dyDescent="0.2">
      <c r="E450" s="94" t="s">
        <v>9313</v>
      </c>
      <c r="F450" s="94" t="s">
        <v>9121</v>
      </c>
      <c r="G450" s="97" t="s">
        <v>374</v>
      </c>
      <c r="H450" s="97" t="s">
        <v>459</v>
      </c>
      <c r="I450" s="1183" t="s">
        <v>8620</v>
      </c>
      <c r="J450" s="1183" t="s">
        <v>8343</v>
      </c>
      <c r="K450" s="1183" t="s">
        <v>8344</v>
      </c>
      <c r="L450" s="1184">
        <v>2019</v>
      </c>
      <c r="M450" s="1185">
        <v>44682</v>
      </c>
      <c r="N450" s="1185">
        <v>44866</v>
      </c>
      <c r="O450" s="1185"/>
      <c r="P450" s="1185"/>
      <c r="Q450" s="1185"/>
      <c r="R450" s="1185"/>
      <c r="S450" s="1185"/>
      <c r="T450" s="1185"/>
      <c r="U450" s="1185"/>
      <c r="V450" s="1185"/>
      <c r="W450" s="1185"/>
      <c r="X450" s="1185"/>
      <c r="Y450" s="1185"/>
      <c r="Z450" s="1183"/>
      <c r="AA450" s="1183"/>
      <c r="AB450" s="1183" t="s">
        <v>7701</v>
      </c>
      <c r="AC450" s="1194" t="s">
        <v>5770</v>
      </c>
      <c r="AD450" s="1183" t="s">
        <v>7361</v>
      </c>
      <c r="AE450" s="1194" t="s">
        <v>7186</v>
      </c>
      <c r="AF450" s="1183" t="s">
        <v>1924</v>
      </c>
      <c r="AG450" s="1183"/>
      <c r="AH450" s="1183" t="s">
        <v>6917</v>
      </c>
      <c r="AI450" s="1183" t="s">
        <v>6761</v>
      </c>
      <c r="AJ450" s="1183" t="s">
        <v>6621</v>
      </c>
      <c r="AK450" s="1183" t="s">
        <v>6364</v>
      </c>
      <c r="AL450" s="580">
        <f t="shared" si="47"/>
        <v>4.5459999999999994</v>
      </c>
      <c r="AM450" s="504">
        <v>4.5459999999999994</v>
      </c>
      <c r="AN450" s="516"/>
      <c r="AO450" s="97"/>
      <c r="AP450" s="97"/>
      <c r="AQ450" s="504">
        <v>4.375</v>
      </c>
      <c r="AR450" s="507">
        <f>AQ450/AL450</f>
        <v>0.96238451385833712</v>
      </c>
      <c r="AS450" s="507">
        <v>4.6999999999999999E-4</v>
      </c>
      <c r="AT450" s="516">
        <v>0.06</v>
      </c>
      <c r="AU450" s="507">
        <v>0.02</v>
      </c>
      <c r="AV450" s="516">
        <v>0.111</v>
      </c>
      <c r="AW450" s="507">
        <v>0.05</v>
      </c>
      <c r="AX450" s="516">
        <v>0</v>
      </c>
      <c r="AY450" s="507">
        <f>AX450/AL450*100%</f>
        <v>0</v>
      </c>
      <c r="AZ450" s="516"/>
      <c r="BA450" s="1188"/>
      <c r="BB450" s="1188"/>
      <c r="BC450" s="1188"/>
      <c r="BD450" s="1188"/>
      <c r="BE450" s="1188" t="s">
        <v>470</v>
      </c>
      <c r="BF450" s="1188"/>
      <c r="BG450" s="1188"/>
      <c r="BH450" s="1189"/>
      <c r="BI450" s="1190">
        <v>5.0640000000000001</v>
      </c>
      <c r="BJ450" s="1188">
        <v>4.4999999999999999E-4</v>
      </c>
      <c r="BK450" s="1191">
        <v>42</v>
      </c>
      <c r="BL450" s="1191">
        <v>9</v>
      </c>
      <c r="BM450" s="1191">
        <v>16</v>
      </c>
      <c r="BN450" s="1191"/>
      <c r="BO450" s="1191"/>
      <c r="BP450" s="1191"/>
      <c r="BQ450" s="1191"/>
      <c r="BR450" s="1191"/>
      <c r="BS450" s="1191"/>
      <c r="BT450" s="1191"/>
      <c r="BU450" s="1191">
        <v>2</v>
      </c>
      <c r="BV450" s="1191"/>
      <c r="BW450" s="1191"/>
      <c r="BX450" s="1191"/>
      <c r="BY450" s="1191">
        <v>2</v>
      </c>
      <c r="BZ450" s="1191"/>
      <c r="CA450" s="1191"/>
      <c r="CB450" s="1191">
        <v>1</v>
      </c>
      <c r="CC450" s="1191"/>
      <c r="CD450" s="1191"/>
      <c r="CE450" s="1191"/>
      <c r="CF450" s="1191"/>
      <c r="CG450" s="1191">
        <v>11</v>
      </c>
      <c r="CH450" s="1191"/>
      <c r="CI450" s="1191"/>
      <c r="CJ450" s="1191"/>
      <c r="CK450" s="1191"/>
      <c r="CL450" s="1192">
        <f t="shared" si="51"/>
        <v>16</v>
      </c>
      <c r="CM450" s="824">
        <f t="shared" si="46"/>
        <v>0</v>
      </c>
      <c r="CN450" s="1190">
        <v>7.5</v>
      </c>
      <c r="CO450" s="1183" t="s">
        <v>1924</v>
      </c>
      <c r="CP450" s="1183"/>
      <c r="CQ450" s="1197">
        <v>76.06</v>
      </c>
      <c r="CR450" s="1190">
        <v>9.86</v>
      </c>
      <c r="CS450" s="1198" t="s">
        <v>5808</v>
      </c>
      <c r="CT450" s="1183" t="s">
        <v>479</v>
      </c>
      <c r="CU450" s="1183" t="s">
        <v>5790</v>
      </c>
      <c r="CV450" s="1194" t="s">
        <v>5770</v>
      </c>
      <c r="CW450" s="1183" t="s">
        <v>470</v>
      </c>
      <c r="CX450" s="1191">
        <v>12</v>
      </c>
      <c r="CY450" s="1191">
        <v>34</v>
      </c>
      <c r="CZ450" s="1191"/>
      <c r="DA450" s="1183" t="s">
        <v>470</v>
      </c>
      <c r="DB450" s="1183"/>
      <c r="DC450" s="1191"/>
      <c r="DD450" s="1183" t="s">
        <v>479</v>
      </c>
      <c r="DE450" s="1194" t="s">
        <v>5585</v>
      </c>
      <c r="DF450" s="1191">
        <v>453</v>
      </c>
      <c r="DG450" s="1191" t="s">
        <v>539</v>
      </c>
      <c r="DH450" s="1191"/>
      <c r="DI450" s="1191"/>
      <c r="DJ450" s="1191" t="s">
        <v>539</v>
      </c>
      <c r="DK450" s="1191"/>
      <c r="DL450" s="1191"/>
      <c r="DM450" s="1183" t="s">
        <v>539</v>
      </c>
      <c r="DN450" s="1183"/>
      <c r="DO450" s="1191"/>
      <c r="DP450" s="1183" t="s">
        <v>540</v>
      </c>
      <c r="DQ450" s="1183" t="s">
        <v>5439</v>
      </c>
      <c r="DR450" s="1191">
        <v>22</v>
      </c>
      <c r="DS450" s="1183" t="s">
        <v>539</v>
      </c>
      <c r="DT450" s="1183"/>
      <c r="DU450" s="1191"/>
      <c r="DV450" s="1183"/>
      <c r="DW450" s="1183"/>
      <c r="DX450" s="1191"/>
      <c r="DY450" s="1183" t="s">
        <v>540</v>
      </c>
      <c r="DZ450" s="1183" t="s">
        <v>5439</v>
      </c>
      <c r="EA450" s="1191">
        <v>1213</v>
      </c>
      <c r="EB450" s="1183" t="s">
        <v>539</v>
      </c>
      <c r="EC450" s="1183"/>
      <c r="ED450" s="1191"/>
      <c r="EE450" s="1191" t="s">
        <v>539</v>
      </c>
      <c r="EF450" s="1191"/>
      <c r="EG450" s="1191"/>
      <c r="EH450" s="1183" t="s">
        <v>539</v>
      </c>
      <c r="EI450" s="1183"/>
      <c r="EJ450" s="1191"/>
      <c r="EK450" s="1183" t="s">
        <v>470</v>
      </c>
      <c r="EL450" s="1183"/>
      <c r="EM450" s="1191"/>
      <c r="EN450" s="1183"/>
      <c r="EO450" s="1191"/>
      <c r="EP450" s="1191"/>
      <c r="EQ450" s="1191" t="s">
        <v>479</v>
      </c>
      <c r="ER450" s="1194" t="s">
        <v>5259</v>
      </c>
      <c r="ES450" s="1191">
        <v>9</v>
      </c>
      <c r="ET450" s="1183"/>
      <c r="EU450" s="1183"/>
      <c r="EV450" s="1191"/>
      <c r="EW450" s="1191"/>
      <c r="EX450" s="1191"/>
      <c r="EY450" s="1191"/>
      <c r="EZ450" s="1183" t="s">
        <v>540</v>
      </c>
      <c r="FA450" s="1183" t="s">
        <v>5191</v>
      </c>
      <c r="FB450" s="1194" t="s">
        <v>5035</v>
      </c>
      <c r="FC450" s="1183" t="s">
        <v>9660</v>
      </c>
      <c r="FD450" s="1194" t="s">
        <v>4879</v>
      </c>
      <c r="FE450" s="1183" t="s">
        <v>4736</v>
      </c>
      <c r="FF450" s="1183"/>
      <c r="FG450" s="1183"/>
      <c r="FH450" s="1183"/>
      <c r="FI450" s="1183"/>
      <c r="FJ450" s="1183" t="s">
        <v>4333</v>
      </c>
      <c r="FK450" s="1183" t="s">
        <v>4153</v>
      </c>
      <c r="FL450" s="1183" t="s">
        <v>3932</v>
      </c>
      <c r="FM450" s="1183" t="s">
        <v>3844</v>
      </c>
      <c r="FN450" s="1183" t="s">
        <v>3775</v>
      </c>
      <c r="FO450" s="1183" t="s">
        <v>3697</v>
      </c>
    </row>
    <row r="451" spans="5:171" ht="43" customHeight="1" x14ac:dyDescent="0.2">
      <c r="E451" s="94" t="s">
        <v>9313</v>
      </c>
      <c r="F451" s="94" t="s">
        <v>9121</v>
      </c>
      <c r="G451" s="97" t="s">
        <v>374</v>
      </c>
      <c r="H451" s="97" t="s">
        <v>459</v>
      </c>
      <c r="I451" s="926" t="s">
        <v>8619</v>
      </c>
      <c r="J451" s="1173" t="s">
        <v>8343</v>
      </c>
      <c r="K451" s="1173" t="s">
        <v>8344</v>
      </c>
      <c r="L451" s="1173">
        <v>2019</v>
      </c>
      <c r="M451" s="1174" t="s">
        <v>8264</v>
      </c>
      <c r="N451" s="1174">
        <v>44922</v>
      </c>
      <c r="O451" s="1174"/>
      <c r="P451" s="1174"/>
      <c r="Q451" s="1174"/>
      <c r="R451" s="1174"/>
      <c r="S451" s="1174"/>
      <c r="T451" s="1174"/>
      <c r="U451" s="1174"/>
      <c r="V451" s="1174"/>
      <c r="W451" s="1174"/>
      <c r="X451" s="1174"/>
      <c r="Y451" s="1174"/>
      <c r="Z451" s="926" t="s">
        <v>8017</v>
      </c>
      <c r="AA451" s="1181" t="s">
        <v>6211</v>
      </c>
      <c r="AB451" s="926" t="s">
        <v>7700</v>
      </c>
      <c r="AC451" s="1181" t="s">
        <v>7576</v>
      </c>
      <c r="AD451" s="926" t="s">
        <v>7360</v>
      </c>
      <c r="AE451" s="1181" t="s">
        <v>7185</v>
      </c>
      <c r="AF451" s="926" t="s">
        <v>7110</v>
      </c>
      <c r="AG451" s="1181" t="s">
        <v>7044</v>
      </c>
      <c r="AH451" s="926" t="s">
        <v>6916</v>
      </c>
      <c r="AI451" s="926" t="s">
        <v>6760</v>
      </c>
      <c r="AJ451" s="926" t="s">
        <v>6620</v>
      </c>
      <c r="AK451" s="926" t="s">
        <v>6363</v>
      </c>
      <c r="AL451" s="580">
        <f t="shared" si="47"/>
        <v>14.76</v>
      </c>
      <c r="AM451" s="504">
        <v>14.76</v>
      </c>
      <c r="AN451" s="516"/>
      <c r="AO451" s="97"/>
      <c r="AP451" s="97"/>
      <c r="AQ451" s="504">
        <v>14.76</v>
      </c>
      <c r="AR451" s="507">
        <v>1</v>
      </c>
      <c r="AS451" s="507">
        <v>1.6999999999999999E-3</v>
      </c>
      <c r="AT451" s="516"/>
      <c r="AU451" s="507"/>
      <c r="AV451" s="516"/>
      <c r="AW451" s="507"/>
      <c r="AX451" s="516"/>
      <c r="AY451" s="507"/>
      <c r="AZ451" s="516"/>
      <c r="BA451" s="927"/>
      <c r="BB451" s="927"/>
      <c r="BC451" s="927"/>
      <c r="BD451" s="927"/>
      <c r="BE451" s="927" t="s">
        <v>479</v>
      </c>
      <c r="BF451" s="927" t="s">
        <v>6247</v>
      </c>
      <c r="BG451" s="1177" t="s">
        <v>6211</v>
      </c>
      <c r="BH451" s="928">
        <v>0</v>
      </c>
      <c r="BI451" s="929">
        <v>14.125</v>
      </c>
      <c r="BJ451" s="927">
        <v>1.5E-3</v>
      </c>
      <c r="BK451" s="930">
        <v>128</v>
      </c>
      <c r="BL451" s="930">
        <v>41</v>
      </c>
      <c r="BM451" s="930">
        <v>25</v>
      </c>
      <c r="BN451" s="930"/>
      <c r="BO451" s="930">
        <v>1</v>
      </c>
      <c r="BP451" s="930"/>
      <c r="BQ451" s="930"/>
      <c r="BR451" s="930"/>
      <c r="BS451" s="930">
        <v>1</v>
      </c>
      <c r="BT451" s="930"/>
      <c r="BU451" s="930"/>
      <c r="BV451" s="930">
        <v>1</v>
      </c>
      <c r="BW451" s="930">
        <v>1</v>
      </c>
      <c r="BX451" s="930"/>
      <c r="BY451" s="930">
        <v>3</v>
      </c>
      <c r="BZ451" s="930"/>
      <c r="CA451" s="930"/>
      <c r="CB451" s="930"/>
      <c r="CC451" s="930"/>
      <c r="CD451" s="930"/>
      <c r="CE451" s="930"/>
      <c r="CF451" s="930"/>
      <c r="CG451" s="930">
        <v>13</v>
      </c>
      <c r="CH451" s="930"/>
      <c r="CI451" s="930"/>
      <c r="CJ451" s="930"/>
      <c r="CK451" s="930"/>
      <c r="CL451" s="1173">
        <f t="shared" si="51"/>
        <v>20</v>
      </c>
      <c r="CM451" s="824">
        <f t="shared" si="46"/>
        <v>0</v>
      </c>
      <c r="CN451" s="929">
        <v>17.138999999999999</v>
      </c>
      <c r="CO451" s="926" t="s">
        <v>6007</v>
      </c>
      <c r="CP451" s="926" t="s">
        <v>5969</v>
      </c>
      <c r="CQ451" s="1178">
        <v>100</v>
      </c>
      <c r="CR451" s="929">
        <v>17.138999999999999</v>
      </c>
      <c r="CS451" s="1177" t="s">
        <v>5807</v>
      </c>
      <c r="CT451" s="926" t="s">
        <v>470</v>
      </c>
      <c r="CU451" s="926"/>
      <c r="CV451" s="926"/>
      <c r="CW451" s="926"/>
      <c r="CX451" s="930"/>
      <c r="CY451" s="930"/>
      <c r="CZ451" s="930"/>
      <c r="DA451" s="926" t="s">
        <v>479</v>
      </c>
      <c r="DB451" s="926" t="s">
        <v>5664</v>
      </c>
      <c r="DC451" s="930">
        <v>140</v>
      </c>
      <c r="DD451" s="926" t="s">
        <v>479</v>
      </c>
      <c r="DE451" s="926" t="s">
        <v>5584</v>
      </c>
      <c r="DF451" s="930">
        <v>220</v>
      </c>
      <c r="DG451" s="930"/>
      <c r="DH451" s="930"/>
      <c r="DI451" s="930"/>
      <c r="DJ451" s="930"/>
      <c r="DK451" s="930"/>
      <c r="DL451" s="930"/>
      <c r="DM451" s="926" t="s">
        <v>479</v>
      </c>
      <c r="DN451" s="926" t="s">
        <v>5544</v>
      </c>
      <c r="DO451" s="930">
        <v>1901</v>
      </c>
      <c r="DP451" s="926" t="s">
        <v>479</v>
      </c>
      <c r="DQ451" s="926" t="s">
        <v>5527</v>
      </c>
      <c r="DR451" s="930">
        <v>55</v>
      </c>
      <c r="DS451" s="926"/>
      <c r="DT451" s="926"/>
      <c r="DU451" s="930"/>
      <c r="DV451" s="926"/>
      <c r="DW451" s="926"/>
      <c r="DX451" s="930"/>
      <c r="DY451" s="926"/>
      <c r="DZ451" s="926"/>
      <c r="EA451" s="930"/>
      <c r="EB451" s="926" t="s">
        <v>479</v>
      </c>
      <c r="EC451" s="926" t="s">
        <v>5384</v>
      </c>
      <c r="ED451" s="930">
        <v>1901</v>
      </c>
      <c r="EE451" s="930"/>
      <c r="EF451" s="930"/>
      <c r="EG451" s="930"/>
      <c r="EH451" s="926"/>
      <c r="EI451" s="926"/>
      <c r="EJ451" s="930"/>
      <c r="EK451" s="926"/>
      <c r="EL451" s="926"/>
      <c r="EM451" s="930"/>
      <c r="EN451" s="926"/>
      <c r="EO451" s="926"/>
      <c r="EP451" s="930"/>
      <c r="EQ451" s="930" t="s">
        <v>479</v>
      </c>
      <c r="ER451" s="1199" t="s">
        <v>5258</v>
      </c>
      <c r="ES451" s="930">
        <v>6</v>
      </c>
      <c r="ET451" s="926"/>
      <c r="EU451" s="926"/>
      <c r="EV451" s="930"/>
      <c r="EW451" s="930"/>
      <c r="EX451" s="930"/>
      <c r="EY451" s="930"/>
      <c r="EZ451" s="926" t="s">
        <v>470</v>
      </c>
      <c r="FA451" s="926"/>
      <c r="FB451" s="1181" t="s">
        <v>5034</v>
      </c>
      <c r="FC451" s="926"/>
      <c r="FD451" s="926"/>
      <c r="FE451" s="926" t="s">
        <v>4735</v>
      </c>
      <c r="FF451" s="1181" t="s">
        <v>4678</v>
      </c>
      <c r="FG451" s="1181" t="s">
        <v>4578</v>
      </c>
      <c r="FH451" s="926" t="s">
        <v>4575</v>
      </c>
      <c r="FI451" s="926" t="s">
        <v>4569</v>
      </c>
      <c r="FJ451" s="926">
        <v>22</v>
      </c>
      <c r="FK451" s="926">
        <v>1190</v>
      </c>
      <c r="FL451" s="926" t="s">
        <v>3931</v>
      </c>
      <c r="FM451" s="926" t="s">
        <v>3845</v>
      </c>
      <c r="FN451" s="1181" t="s">
        <v>3776</v>
      </c>
      <c r="FO451" s="1181" t="s">
        <v>3698</v>
      </c>
    </row>
    <row r="452" spans="5:171" ht="28" customHeight="1" x14ac:dyDescent="0.2">
      <c r="E452" s="94" t="s">
        <v>9313</v>
      </c>
      <c r="F452" s="94" t="s">
        <v>9121</v>
      </c>
      <c r="G452" s="97" t="s">
        <v>374</v>
      </c>
      <c r="H452" s="97" t="s">
        <v>459</v>
      </c>
      <c r="I452" s="1183" t="s">
        <v>8618</v>
      </c>
      <c r="J452" s="1183" t="s">
        <v>8343</v>
      </c>
      <c r="K452" s="1183" t="s">
        <v>8344</v>
      </c>
      <c r="L452" s="1184">
        <v>2019</v>
      </c>
      <c r="M452" s="1185">
        <v>43586</v>
      </c>
      <c r="N452" s="1185">
        <v>44915</v>
      </c>
      <c r="O452" s="1185"/>
      <c r="P452" s="1185"/>
      <c r="Q452" s="1185"/>
      <c r="R452" s="1185"/>
      <c r="S452" s="1185"/>
      <c r="T452" s="1185"/>
      <c r="U452" s="1185"/>
      <c r="V452" s="1185"/>
      <c r="W452" s="1185"/>
      <c r="X452" s="1185"/>
      <c r="Y452" s="1185"/>
      <c r="Z452" s="1183" t="s">
        <v>8016</v>
      </c>
      <c r="AA452" s="1194" t="s">
        <v>7894</v>
      </c>
      <c r="AB452" s="1183" t="s">
        <v>7699</v>
      </c>
      <c r="AC452" s="1194" t="s">
        <v>5769</v>
      </c>
      <c r="AD452" s="1183"/>
      <c r="AE452" s="1183"/>
      <c r="AF452" s="1183"/>
      <c r="AG452" s="1183"/>
      <c r="AH452" s="1183" t="s">
        <v>6915</v>
      </c>
      <c r="AI452" s="1183" t="s">
        <v>6759</v>
      </c>
      <c r="AJ452" s="1183" t="s">
        <v>6619</v>
      </c>
      <c r="AK452" s="1183" t="s">
        <v>6362</v>
      </c>
      <c r="AL452" s="580">
        <f t="shared" si="47"/>
        <v>13.773</v>
      </c>
      <c r="AM452" s="504">
        <v>13.773</v>
      </c>
      <c r="AN452" s="516"/>
      <c r="AO452" s="97"/>
      <c r="AP452" s="97"/>
      <c r="AQ452" s="504">
        <v>13.773</v>
      </c>
      <c r="AR452" s="507">
        <v>1</v>
      </c>
      <c r="AS452" s="507">
        <v>2.0999999999999999E-3</v>
      </c>
      <c r="AT452" s="516"/>
      <c r="AU452" s="507"/>
      <c r="AV452" s="516"/>
      <c r="AW452" s="507"/>
      <c r="AX452" s="516"/>
      <c r="AY452" s="507"/>
      <c r="AZ452" s="516"/>
      <c r="BA452" s="1188"/>
      <c r="BB452" s="1188"/>
      <c r="BC452" s="1188"/>
      <c r="BD452" s="1188"/>
      <c r="BE452" s="1188" t="s">
        <v>479</v>
      </c>
      <c r="BF452" s="1188" t="s">
        <v>6246</v>
      </c>
      <c r="BG452" s="1183" t="s">
        <v>5769</v>
      </c>
      <c r="BH452" s="1189">
        <v>2.4E-2</v>
      </c>
      <c r="BI452" s="1190">
        <v>14</v>
      </c>
      <c r="BJ452" s="1188">
        <v>2.3999999999999998E-3</v>
      </c>
      <c r="BK452" s="1191">
        <v>50</v>
      </c>
      <c r="BL452" s="1191">
        <v>34</v>
      </c>
      <c r="BM452" s="1191">
        <v>12</v>
      </c>
      <c r="BN452" s="1191"/>
      <c r="BO452" s="1191">
        <v>4</v>
      </c>
      <c r="BP452" s="1191"/>
      <c r="BQ452" s="1191"/>
      <c r="BR452" s="1191"/>
      <c r="BS452" s="1191"/>
      <c r="BT452" s="1191"/>
      <c r="BU452" s="1191"/>
      <c r="BV452" s="1191"/>
      <c r="BW452" s="1191">
        <v>1</v>
      </c>
      <c r="BX452" s="1191"/>
      <c r="BY452" s="1191"/>
      <c r="BZ452" s="1191"/>
      <c r="CA452" s="1191"/>
      <c r="CB452" s="1191"/>
      <c r="CC452" s="1191"/>
      <c r="CD452" s="1191"/>
      <c r="CE452" s="1191"/>
      <c r="CF452" s="1191"/>
      <c r="CG452" s="1191">
        <v>7</v>
      </c>
      <c r="CH452" s="1191"/>
      <c r="CI452" s="1191"/>
      <c r="CJ452" s="1191"/>
      <c r="CK452" s="1191"/>
      <c r="CL452" s="1192">
        <f t="shared" si="51"/>
        <v>12</v>
      </c>
      <c r="CM452" s="824">
        <f t="shared" si="46"/>
        <v>0</v>
      </c>
      <c r="CN452" s="1190">
        <v>17.724</v>
      </c>
      <c r="CO452" s="1183" t="s">
        <v>6006</v>
      </c>
      <c r="CP452" s="1183"/>
      <c r="CQ452" s="1183">
        <v>100</v>
      </c>
      <c r="CR452" s="1190">
        <v>17.724</v>
      </c>
      <c r="CS452" s="1198" t="s">
        <v>5806</v>
      </c>
      <c r="CT452" s="1183" t="s">
        <v>479</v>
      </c>
      <c r="CU452" s="1183" t="s">
        <v>5469</v>
      </c>
      <c r="CV452" s="1194" t="s">
        <v>5769</v>
      </c>
      <c r="CW452" s="1183" t="s">
        <v>5752</v>
      </c>
      <c r="CX452" s="1191">
        <v>19</v>
      </c>
      <c r="CY452" s="1191">
        <v>24</v>
      </c>
      <c r="CZ452" s="1191"/>
      <c r="DA452" s="1183"/>
      <c r="DB452" s="1183"/>
      <c r="DC452" s="1191"/>
      <c r="DD452" s="1183" t="s">
        <v>479</v>
      </c>
      <c r="DE452" s="1183" t="s">
        <v>5583</v>
      </c>
      <c r="DF452" s="1191">
        <v>25</v>
      </c>
      <c r="DG452" s="1191"/>
      <c r="DH452" s="1191"/>
      <c r="DI452" s="1191"/>
      <c r="DJ452" s="1191"/>
      <c r="DK452" s="1191"/>
      <c r="DL452" s="1191"/>
      <c r="DM452" s="1183"/>
      <c r="DN452" s="1183"/>
      <c r="DO452" s="1191"/>
      <c r="DP452" s="1183" t="s">
        <v>479</v>
      </c>
      <c r="DQ452" s="1183" t="s">
        <v>5438</v>
      </c>
      <c r="DR452" s="1191">
        <v>25</v>
      </c>
      <c r="DS452" s="1183"/>
      <c r="DT452" s="1183"/>
      <c r="DU452" s="1191"/>
      <c r="DV452" s="1183" t="s">
        <v>5491</v>
      </c>
      <c r="DW452" s="1183"/>
      <c r="DX452" s="1191">
        <v>1754</v>
      </c>
      <c r="DY452" s="1183" t="s">
        <v>479</v>
      </c>
      <c r="DZ452" s="1183" t="s">
        <v>5438</v>
      </c>
      <c r="EA452" s="1191">
        <v>829</v>
      </c>
      <c r="EB452" s="1183"/>
      <c r="EC452" s="1183"/>
      <c r="ED452" s="1191"/>
      <c r="EE452" s="1191"/>
      <c r="EF452" s="1191"/>
      <c r="EG452" s="1191"/>
      <c r="EH452" s="1183"/>
      <c r="EI452" s="1183"/>
      <c r="EJ452" s="1191"/>
      <c r="EK452" s="1183"/>
      <c r="EL452" s="1183"/>
      <c r="EM452" s="1191"/>
      <c r="EN452" s="1191"/>
      <c r="EO452" s="1191"/>
      <c r="EP452" s="1191"/>
      <c r="EQ452" s="1191" t="s">
        <v>479</v>
      </c>
      <c r="ER452" s="1191" t="s">
        <v>5257</v>
      </c>
      <c r="ES452" s="1191">
        <v>10</v>
      </c>
      <c r="ET452" s="1183" t="s">
        <v>5236</v>
      </c>
      <c r="EU452" s="1183" t="s">
        <v>5225</v>
      </c>
      <c r="EV452" s="1191">
        <v>1754</v>
      </c>
      <c r="EW452" s="1191"/>
      <c r="EX452" s="1191"/>
      <c r="EY452" s="1191"/>
      <c r="EZ452" s="1183" t="s">
        <v>479</v>
      </c>
      <c r="FA452" s="1183" t="s">
        <v>5190</v>
      </c>
      <c r="FB452" s="1183" t="s">
        <v>4878</v>
      </c>
      <c r="FC452" s="1183" t="s">
        <v>4928</v>
      </c>
      <c r="FD452" s="1183" t="s">
        <v>4878</v>
      </c>
      <c r="FE452" s="1183" t="s">
        <v>4734</v>
      </c>
      <c r="FF452" s="1183" t="s">
        <v>4677</v>
      </c>
      <c r="FG452" s="1183"/>
      <c r="FH452" s="1183"/>
      <c r="FI452" s="1183"/>
      <c r="FJ452" s="1183" t="s">
        <v>4332</v>
      </c>
      <c r="FK452" s="1183" t="s">
        <v>4152</v>
      </c>
      <c r="FL452" s="1183" t="s">
        <v>3930</v>
      </c>
      <c r="FM452" s="1183" t="s">
        <v>3844</v>
      </c>
      <c r="FN452" s="1183" t="s">
        <v>3775</v>
      </c>
      <c r="FO452" s="1183" t="s">
        <v>3697</v>
      </c>
    </row>
    <row r="453" spans="5:171" ht="43" customHeight="1" x14ac:dyDescent="0.2">
      <c r="E453" s="94" t="s">
        <v>9313</v>
      </c>
      <c r="F453" s="94" t="s">
        <v>9121</v>
      </c>
      <c r="G453" s="97" t="s">
        <v>374</v>
      </c>
      <c r="H453" s="97" t="s">
        <v>459</v>
      </c>
      <c r="I453" s="926" t="s">
        <v>8617</v>
      </c>
      <c r="J453" s="1173" t="s">
        <v>8343</v>
      </c>
      <c r="K453" s="1173" t="s">
        <v>8344</v>
      </c>
      <c r="L453" s="1173">
        <v>2018</v>
      </c>
      <c r="M453" s="1174">
        <v>44317</v>
      </c>
      <c r="N453" s="1174">
        <v>44926</v>
      </c>
      <c r="O453" s="1174"/>
      <c r="P453" s="1174"/>
      <c r="Q453" s="1174"/>
      <c r="R453" s="1174"/>
      <c r="S453" s="1174"/>
      <c r="T453" s="1174"/>
      <c r="U453" s="1174"/>
      <c r="V453" s="1174"/>
      <c r="W453" s="1174"/>
      <c r="X453" s="1174"/>
      <c r="Y453" s="1174"/>
      <c r="Z453" s="926" t="s">
        <v>8015</v>
      </c>
      <c r="AA453" s="926" t="s">
        <v>7893</v>
      </c>
      <c r="AB453" s="926" t="s">
        <v>7698</v>
      </c>
      <c r="AC453" s="1181" t="s">
        <v>5768</v>
      </c>
      <c r="AD453" s="926"/>
      <c r="AE453" s="926"/>
      <c r="AF453" s="926"/>
      <c r="AG453" s="926"/>
      <c r="AH453" s="926" t="s">
        <v>6914</v>
      </c>
      <c r="AI453" s="926" t="s">
        <v>6758</v>
      </c>
      <c r="AJ453" s="926" t="s">
        <v>6618</v>
      </c>
      <c r="AK453" s="926" t="s">
        <v>6361</v>
      </c>
      <c r="AL453" s="580">
        <f t="shared" si="47"/>
        <v>49.669000000000004</v>
      </c>
      <c r="AM453" s="504">
        <v>49.669000000000004</v>
      </c>
      <c r="AN453" s="516"/>
      <c r="AO453" s="97"/>
      <c r="AP453" s="97"/>
      <c r="AQ453" s="504">
        <v>49.664000000000001</v>
      </c>
      <c r="AR453" s="507">
        <f>AQ453/AL453*100%</f>
        <v>0.99989933358835481</v>
      </c>
      <c r="AS453" s="507">
        <f>AQ453/15418</f>
        <v>3.2211700609677003E-3</v>
      </c>
      <c r="AT453" s="516">
        <f>5000/1000000</f>
        <v>5.0000000000000001E-3</v>
      </c>
      <c r="AU453" s="507">
        <f>AT453/AL453*100%</f>
        <v>1.0066641164509049E-4</v>
      </c>
      <c r="AV453" s="516">
        <v>0</v>
      </c>
      <c r="AW453" s="507">
        <f>AV453/AL453*100%</f>
        <v>0</v>
      </c>
      <c r="AX453" s="516">
        <v>0</v>
      </c>
      <c r="AY453" s="507">
        <f>AX453/AL453*100%</f>
        <v>0</v>
      </c>
      <c r="AZ453" s="516"/>
      <c r="BA453" s="927"/>
      <c r="BB453" s="927"/>
      <c r="BC453" s="927"/>
      <c r="BD453" s="927"/>
      <c r="BE453" s="927" t="s">
        <v>479</v>
      </c>
      <c r="BF453" s="927" t="s">
        <v>6245</v>
      </c>
      <c r="BG453" s="927" t="s">
        <v>6210</v>
      </c>
      <c r="BH453" s="928">
        <v>0</v>
      </c>
      <c r="BI453" s="929">
        <f>138.132+4.9</f>
        <v>143.03200000000001</v>
      </c>
      <c r="BJ453" s="927">
        <f>BI453/18083*100%</f>
        <v>7.9097494884698347E-3</v>
      </c>
      <c r="BK453" s="930">
        <v>42</v>
      </c>
      <c r="BL453" s="930">
        <v>35</v>
      </c>
      <c r="BM453" s="930">
        <v>30</v>
      </c>
      <c r="BN453" s="930"/>
      <c r="BO453" s="930">
        <v>1</v>
      </c>
      <c r="BP453" s="930"/>
      <c r="BQ453" s="930"/>
      <c r="BR453" s="930"/>
      <c r="BS453" s="930"/>
      <c r="BT453" s="930"/>
      <c r="BU453" s="930">
        <v>1</v>
      </c>
      <c r="BV453" s="930">
        <v>2</v>
      </c>
      <c r="BW453" s="930"/>
      <c r="BX453" s="930">
        <v>1</v>
      </c>
      <c r="BY453" s="930">
        <v>9</v>
      </c>
      <c r="BZ453" s="930"/>
      <c r="CA453" s="930"/>
      <c r="CB453" s="930"/>
      <c r="CC453" s="930"/>
      <c r="CD453" s="930"/>
      <c r="CE453" s="930"/>
      <c r="CF453" s="930"/>
      <c r="CG453" s="930">
        <v>14</v>
      </c>
      <c r="CH453" s="930"/>
      <c r="CI453" s="930"/>
      <c r="CJ453" s="930"/>
      <c r="CK453" s="930">
        <v>1</v>
      </c>
      <c r="CL453" s="931">
        <f t="shared" si="51"/>
        <v>29</v>
      </c>
      <c r="CM453" s="824">
        <f t="shared" si="46"/>
        <v>0</v>
      </c>
      <c r="CN453" s="929">
        <f>42.693-0.774+0.054</f>
        <v>41.972999999999999</v>
      </c>
      <c r="CO453" s="926" t="s">
        <v>6005</v>
      </c>
      <c r="CP453" s="1181"/>
      <c r="CQ453" s="1178">
        <f>CN453/CR453*100</f>
        <v>98.313540861499547</v>
      </c>
      <c r="CR453" s="929">
        <v>42.692999999999998</v>
      </c>
      <c r="CS453" s="1177" t="s">
        <v>5805</v>
      </c>
      <c r="CT453" s="926" t="s">
        <v>479</v>
      </c>
      <c r="CU453" s="926" t="s">
        <v>5790</v>
      </c>
      <c r="CV453" s="1181" t="s">
        <v>5768</v>
      </c>
      <c r="CW453" s="926"/>
      <c r="CX453" s="930"/>
      <c r="CY453" s="930"/>
      <c r="CZ453" s="930">
        <v>3</v>
      </c>
      <c r="DA453" s="926" t="s">
        <v>479</v>
      </c>
      <c r="DB453" s="926" t="s">
        <v>640</v>
      </c>
      <c r="DC453" s="930">
        <v>315</v>
      </c>
      <c r="DD453" s="926" t="s">
        <v>479</v>
      </c>
      <c r="DE453" s="926" t="s">
        <v>1007</v>
      </c>
      <c r="DF453" s="930">
        <f>16+23+50+50+26+10</f>
        <v>175</v>
      </c>
      <c r="DG453" s="930" t="s">
        <v>470</v>
      </c>
      <c r="DH453" s="930"/>
      <c r="DI453" s="930"/>
      <c r="DJ453" s="930" t="s">
        <v>470</v>
      </c>
      <c r="DK453" s="930"/>
      <c r="DL453" s="930"/>
      <c r="DM453" s="926" t="s">
        <v>470</v>
      </c>
      <c r="DN453" s="926"/>
      <c r="DO453" s="930"/>
      <c r="DP453" s="926" t="s">
        <v>479</v>
      </c>
      <c r="DQ453" s="926" t="s">
        <v>1095</v>
      </c>
      <c r="DR453" s="930">
        <v>5</v>
      </c>
      <c r="DS453" s="926" t="s">
        <v>470</v>
      </c>
      <c r="DT453" s="926"/>
      <c r="DU453" s="930"/>
      <c r="DV453" s="926" t="s">
        <v>5490</v>
      </c>
      <c r="DW453" s="926" t="s">
        <v>5467</v>
      </c>
      <c r="DX453" s="930">
        <v>21</v>
      </c>
      <c r="DY453" s="926" t="s">
        <v>470</v>
      </c>
      <c r="DZ453" s="926"/>
      <c r="EA453" s="930"/>
      <c r="EB453" s="926" t="s">
        <v>470</v>
      </c>
      <c r="EC453" s="926"/>
      <c r="ED453" s="930"/>
      <c r="EE453" s="930" t="s">
        <v>470</v>
      </c>
      <c r="EF453" s="930"/>
      <c r="EG453" s="930"/>
      <c r="EH453" s="926" t="s">
        <v>470</v>
      </c>
      <c r="EI453" s="926"/>
      <c r="EJ453" s="930"/>
      <c r="EK453" s="926" t="s">
        <v>470</v>
      </c>
      <c r="EL453" s="926"/>
      <c r="EM453" s="930"/>
      <c r="EN453" s="926" t="s">
        <v>470</v>
      </c>
      <c r="EO453" s="926"/>
      <c r="EP453" s="930"/>
      <c r="EQ453" s="930" t="s">
        <v>479</v>
      </c>
      <c r="ER453" s="930" t="s">
        <v>5256</v>
      </c>
      <c r="ES453" s="930">
        <v>14</v>
      </c>
      <c r="ET453" s="926"/>
      <c r="EU453" s="926"/>
      <c r="EV453" s="930"/>
      <c r="EW453" s="930"/>
      <c r="EX453" s="930"/>
      <c r="EY453" s="930"/>
      <c r="EZ453" s="926" t="s">
        <v>470</v>
      </c>
      <c r="FA453" s="926"/>
      <c r="FB453" s="926" t="s">
        <v>5033</v>
      </c>
      <c r="FC453" s="1181" t="s">
        <v>4927</v>
      </c>
      <c r="FD453" s="1181"/>
      <c r="FE453" s="926" t="s">
        <v>4733</v>
      </c>
      <c r="FF453" s="926"/>
      <c r="FG453" s="926"/>
      <c r="FH453" s="926"/>
      <c r="FI453" s="926"/>
      <c r="FJ453" s="926" t="s">
        <v>4331</v>
      </c>
      <c r="FK453" s="926" t="s">
        <v>4151</v>
      </c>
      <c r="FL453" s="1181" t="s">
        <v>3929</v>
      </c>
      <c r="FM453" s="926" t="s">
        <v>3844</v>
      </c>
      <c r="FN453" s="926" t="s">
        <v>3775</v>
      </c>
      <c r="FO453" s="1181" t="s">
        <v>3697</v>
      </c>
    </row>
    <row r="454" spans="5:171" ht="38" customHeight="1" x14ac:dyDescent="0.2">
      <c r="E454" s="94" t="s">
        <v>9313</v>
      </c>
      <c r="F454" s="94" t="s">
        <v>9121</v>
      </c>
      <c r="G454" s="97" t="s">
        <v>374</v>
      </c>
      <c r="H454" s="97" t="s">
        <v>459</v>
      </c>
      <c r="I454" s="926" t="s">
        <v>8616</v>
      </c>
      <c r="J454" s="926" t="s">
        <v>1414</v>
      </c>
      <c r="K454" s="926" t="s">
        <v>8343</v>
      </c>
      <c r="L454" s="1173">
        <v>2019</v>
      </c>
      <c r="M454" s="1174">
        <v>44317</v>
      </c>
      <c r="N454" s="1174">
        <v>44470</v>
      </c>
      <c r="O454" s="1174"/>
      <c r="P454" s="1174"/>
      <c r="Q454" s="1174"/>
      <c r="R454" s="1174"/>
      <c r="S454" s="1174"/>
      <c r="T454" s="1174"/>
      <c r="U454" s="1174"/>
      <c r="V454" s="1174"/>
      <c r="W454" s="1174"/>
      <c r="X454" s="1174"/>
      <c r="Y454" s="1174"/>
      <c r="Z454" s="1200" t="s">
        <v>8014</v>
      </c>
      <c r="AA454" s="1201" t="s">
        <v>6338</v>
      </c>
      <c r="AB454" s="1200" t="s">
        <v>7697</v>
      </c>
      <c r="AC454" s="1201" t="s">
        <v>5767</v>
      </c>
      <c r="AD454" s="926" t="s">
        <v>7359</v>
      </c>
      <c r="AE454" s="926"/>
      <c r="AF454" s="926"/>
      <c r="AG454" s="926"/>
      <c r="AH454" s="926" t="s">
        <v>6913</v>
      </c>
      <c r="AI454" s="926" t="s">
        <v>6757</v>
      </c>
      <c r="AJ454" s="926" t="s">
        <v>6617</v>
      </c>
      <c r="AK454" s="926" t="s">
        <v>6360</v>
      </c>
      <c r="AL454" s="580">
        <f t="shared" si="47"/>
        <v>1.986</v>
      </c>
      <c r="AM454" s="504">
        <v>1.986</v>
      </c>
      <c r="AN454" s="516"/>
      <c r="AO454" s="97"/>
      <c r="AP454" s="97"/>
      <c r="AQ454" s="504">
        <v>1.9830000000000001</v>
      </c>
      <c r="AR454" s="507">
        <f>AQ454/AL454</f>
        <v>0.99848942598187318</v>
      </c>
      <c r="AS454" s="507">
        <v>5.0000000000000001E-4</v>
      </c>
      <c r="AT454" s="516"/>
      <c r="AU454" s="507"/>
      <c r="AV454" s="516">
        <v>3.0000000000000001E-3</v>
      </c>
      <c r="AW454" s="507">
        <f>AV454/AL454</f>
        <v>1.5105740181268882E-3</v>
      </c>
      <c r="AX454" s="516">
        <v>0</v>
      </c>
      <c r="AY454" s="507">
        <v>0</v>
      </c>
      <c r="AZ454" s="516"/>
      <c r="BA454" s="927"/>
      <c r="BB454" s="927"/>
      <c r="BC454" s="927"/>
      <c r="BD454" s="927"/>
      <c r="BE454" s="927" t="s">
        <v>6338</v>
      </c>
      <c r="BF454" s="927" t="s">
        <v>6244</v>
      </c>
      <c r="BG454" s="927"/>
      <c r="BH454" s="928"/>
      <c r="BI454" s="929">
        <f>5.419+1.027</f>
        <v>6.4459999999999997</v>
      </c>
      <c r="BJ454" s="927">
        <v>1.4E-3</v>
      </c>
      <c r="BK454" s="930">
        <v>15</v>
      </c>
      <c r="BL454" s="930">
        <v>13</v>
      </c>
      <c r="BM454" s="930">
        <v>9</v>
      </c>
      <c r="BN454" s="930"/>
      <c r="BO454" s="930"/>
      <c r="BP454" s="930"/>
      <c r="BQ454" s="930"/>
      <c r="BR454" s="930"/>
      <c r="BS454" s="930"/>
      <c r="BT454" s="930"/>
      <c r="BU454" s="930"/>
      <c r="BV454" s="930"/>
      <c r="BW454" s="930"/>
      <c r="BX454" s="930"/>
      <c r="BY454" s="930">
        <v>2</v>
      </c>
      <c r="BZ454" s="930"/>
      <c r="CA454" s="930"/>
      <c r="CB454" s="930"/>
      <c r="CC454" s="930"/>
      <c r="CD454" s="930"/>
      <c r="CE454" s="930"/>
      <c r="CF454" s="930"/>
      <c r="CG454" s="930">
        <v>5</v>
      </c>
      <c r="CH454" s="930"/>
      <c r="CI454" s="930"/>
      <c r="CJ454" s="930"/>
      <c r="CK454" s="930"/>
      <c r="CL454" s="931">
        <f t="shared" si="51"/>
        <v>7</v>
      </c>
      <c r="CM454" s="824">
        <f t="shared" si="46"/>
        <v>0</v>
      </c>
      <c r="CN454" s="929">
        <v>5.6269999999999998</v>
      </c>
      <c r="CO454" s="926"/>
      <c r="CP454" s="926" t="s">
        <v>470</v>
      </c>
      <c r="CQ454" s="926">
        <v>100</v>
      </c>
      <c r="CR454" s="929">
        <v>5.6269999999999998</v>
      </c>
      <c r="CS454" s="1202" t="s">
        <v>1902</v>
      </c>
      <c r="CT454" s="926" t="s">
        <v>479</v>
      </c>
      <c r="CU454" s="926" t="s">
        <v>5790</v>
      </c>
      <c r="CV454" s="926" t="s">
        <v>5767</v>
      </c>
      <c r="CW454" s="926"/>
      <c r="CX454" s="930"/>
      <c r="CY454" s="930"/>
      <c r="CZ454" s="930">
        <f>2+5</f>
        <v>7</v>
      </c>
      <c r="DA454" s="926" t="s">
        <v>479</v>
      </c>
      <c r="DB454" s="926" t="s">
        <v>5663</v>
      </c>
      <c r="DC454" s="930">
        <v>2</v>
      </c>
      <c r="DD454" s="926" t="s">
        <v>479</v>
      </c>
      <c r="DE454" s="926" t="s">
        <v>9661</v>
      </c>
      <c r="DF454" s="930">
        <v>51</v>
      </c>
      <c r="DG454" s="930" t="s">
        <v>470</v>
      </c>
      <c r="DH454" s="930"/>
      <c r="DI454" s="930"/>
      <c r="DJ454" s="930" t="s">
        <v>470</v>
      </c>
      <c r="DK454" s="930"/>
      <c r="DL454" s="930"/>
      <c r="DM454" s="926" t="s">
        <v>470</v>
      </c>
      <c r="DN454" s="926"/>
      <c r="DO454" s="930"/>
      <c r="DP454" s="926"/>
      <c r="DQ454" s="926"/>
      <c r="DR454" s="930"/>
      <c r="DS454" s="926" t="s">
        <v>470</v>
      </c>
      <c r="DT454" s="926"/>
      <c r="DU454" s="930"/>
      <c r="DV454" s="926"/>
      <c r="DW454" s="926"/>
      <c r="DX454" s="930"/>
      <c r="DY454" s="926" t="s">
        <v>479</v>
      </c>
      <c r="DZ454" s="926" t="s">
        <v>5437</v>
      </c>
      <c r="EA454" s="930">
        <f>37+23</f>
        <v>60</v>
      </c>
      <c r="EB454" s="926" t="s">
        <v>479</v>
      </c>
      <c r="EC454" s="926" t="s">
        <v>5383</v>
      </c>
      <c r="ED454" s="930">
        <f>473+1312+49</f>
        <v>1834</v>
      </c>
      <c r="EE454" s="930" t="s">
        <v>470</v>
      </c>
      <c r="EF454" s="930"/>
      <c r="EG454" s="930"/>
      <c r="EH454" s="926" t="s">
        <v>470</v>
      </c>
      <c r="EI454" s="926"/>
      <c r="EJ454" s="930"/>
      <c r="EK454" s="926" t="s">
        <v>470</v>
      </c>
      <c r="EL454" s="926"/>
      <c r="EM454" s="930"/>
      <c r="EN454" s="926" t="s">
        <v>470</v>
      </c>
      <c r="EO454" s="926"/>
      <c r="EP454" s="930"/>
      <c r="EQ454" s="930" t="s">
        <v>479</v>
      </c>
      <c r="ER454" s="930" t="s">
        <v>5255</v>
      </c>
      <c r="ES454" s="930">
        <f>7+7</f>
        <v>14</v>
      </c>
      <c r="ET454" s="926"/>
      <c r="EU454" s="926"/>
      <c r="EV454" s="930"/>
      <c r="EW454" s="930"/>
      <c r="EX454" s="930"/>
      <c r="EY454" s="930"/>
      <c r="EZ454" s="926" t="s">
        <v>479</v>
      </c>
      <c r="FA454" s="926" t="s">
        <v>5189</v>
      </c>
      <c r="FB454" s="1201" t="s">
        <v>5032</v>
      </c>
      <c r="FC454" s="926"/>
      <c r="FD454" s="1201" t="s">
        <v>4877</v>
      </c>
      <c r="FE454" s="926" t="s">
        <v>4732</v>
      </c>
      <c r="FF454" s="926" t="s">
        <v>4676</v>
      </c>
      <c r="FG454" s="926"/>
      <c r="FH454" s="926"/>
      <c r="FI454" s="926"/>
      <c r="FJ454" s="926" t="s">
        <v>4330</v>
      </c>
      <c r="FK454" s="926" t="s">
        <v>4150</v>
      </c>
      <c r="FL454" s="1201" t="s">
        <v>3928</v>
      </c>
      <c r="FM454" s="926" t="s">
        <v>3844</v>
      </c>
      <c r="FN454" s="926" t="s">
        <v>3775</v>
      </c>
      <c r="FO454" s="1181" t="s">
        <v>3697</v>
      </c>
    </row>
    <row r="455" spans="5:171" ht="104" customHeight="1" x14ac:dyDescent="0.2">
      <c r="E455" s="94" t="s">
        <v>9313</v>
      </c>
      <c r="F455" s="94" t="s">
        <v>9120</v>
      </c>
      <c r="G455" s="198" t="s">
        <v>375</v>
      </c>
      <c r="H455" s="198" t="s">
        <v>460</v>
      </c>
      <c r="I455" s="198"/>
      <c r="J455" s="198" t="s">
        <v>1611</v>
      </c>
      <c r="K455" s="198" t="s">
        <v>1612</v>
      </c>
      <c r="L455" s="578">
        <v>2017</v>
      </c>
      <c r="M455" s="822">
        <v>44312</v>
      </c>
      <c r="N455" s="822">
        <v>44910</v>
      </c>
      <c r="O455" s="550" t="s">
        <v>1613</v>
      </c>
      <c r="P455" s="198" t="s">
        <v>1614</v>
      </c>
      <c r="Q455" s="846" t="s">
        <v>1615</v>
      </c>
      <c r="R455" s="198" t="s">
        <v>656</v>
      </c>
      <c r="S455" s="198" t="s">
        <v>656</v>
      </c>
      <c r="T455" s="198" t="s">
        <v>656</v>
      </c>
      <c r="U455" s="198" t="s">
        <v>656</v>
      </c>
      <c r="V455" s="198" t="s">
        <v>656</v>
      </c>
      <c r="W455" s="198" t="s">
        <v>656</v>
      </c>
      <c r="X455" s="198" t="s">
        <v>656</v>
      </c>
      <c r="Y455" s="503" t="s">
        <v>656</v>
      </c>
      <c r="Z455" s="503"/>
      <c r="AA455" s="503"/>
      <c r="AB455" s="503"/>
      <c r="AC455" s="503"/>
      <c r="AD455" s="503"/>
      <c r="AE455" s="503"/>
      <c r="AF455" s="503"/>
      <c r="AG455" s="503"/>
      <c r="AH455" s="198" t="s">
        <v>1616</v>
      </c>
      <c r="AI455" s="198" t="s">
        <v>1617</v>
      </c>
      <c r="AJ455" s="198" t="s">
        <v>1618</v>
      </c>
      <c r="AK455" s="198" t="s">
        <v>1619</v>
      </c>
      <c r="AL455" s="580">
        <f t="shared" si="47"/>
        <v>778.57300000000009</v>
      </c>
      <c r="AM455" s="504">
        <v>778.57300000000009</v>
      </c>
      <c r="AN455" s="516">
        <v>251.93600000000001</v>
      </c>
      <c r="AO455" s="137">
        <f>AN455/AL455</f>
        <v>0.32358686982466639</v>
      </c>
      <c r="AP455" s="137">
        <v>2.3999999999999998E-3</v>
      </c>
      <c r="AQ455" s="504">
        <v>73.364999999999995</v>
      </c>
      <c r="AR455" s="137">
        <f>AQ455/AL455</f>
        <v>9.4230085040195311E-2</v>
      </c>
      <c r="AS455" s="137"/>
      <c r="AT455" s="520">
        <v>7.7779999999999996</v>
      </c>
      <c r="AU455" s="137">
        <f>AT455/AL455</f>
        <v>9.9900715796720392E-3</v>
      </c>
      <c r="AV455" s="520">
        <v>0</v>
      </c>
      <c r="AW455" s="137">
        <f>AV455/AL455</f>
        <v>0</v>
      </c>
      <c r="AX455" s="520">
        <v>0</v>
      </c>
      <c r="AY455" s="137">
        <f>AX455/AL455</f>
        <v>0</v>
      </c>
      <c r="AZ455" s="520">
        <v>445.49400000000003</v>
      </c>
      <c r="BA455" s="137">
        <f>AZ455/AL455</f>
        <v>0.57219297355546617</v>
      </c>
      <c r="BB455" s="198" t="s">
        <v>1620</v>
      </c>
      <c r="BC455" s="198" t="s">
        <v>1110</v>
      </c>
      <c r="BD455" s="198" t="s">
        <v>1621</v>
      </c>
      <c r="BE455" s="198" t="s">
        <v>479</v>
      </c>
      <c r="BF455" s="198" t="s">
        <v>1622</v>
      </c>
      <c r="BG455" s="198" t="s">
        <v>656</v>
      </c>
      <c r="BH455" s="198" t="s">
        <v>656</v>
      </c>
      <c r="BI455" s="823">
        <v>710.14400000000001</v>
      </c>
      <c r="BJ455" s="137">
        <v>6.1999999999999998E-3</v>
      </c>
      <c r="BK455" s="83">
        <v>475</v>
      </c>
      <c r="BL455" s="83">
        <v>467</v>
      </c>
      <c r="BM455" s="83">
        <v>462</v>
      </c>
      <c r="BN455" s="83">
        <v>13</v>
      </c>
      <c r="BO455" s="83">
        <v>0</v>
      </c>
      <c r="BP455" s="83">
        <v>5</v>
      </c>
      <c r="BQ455" s="83">
        <v>5</v>
      </c>
      <c r="BR455" s="83">
        <v>0</v>
      </c>
      <c r="BS455" s="83">
        <v>5</v>
      </c>
      <c r="BT455" s="83">
        <v>193</v>
      </c>
      <c r="BU455" s="83">
        <v>32</v>
      </c>
      <c r="BV455" s="83">
        <v>17</v>
      </c>
      <c r="BW455" s="83">
        <v>94</v>
      </c>
      <c r="BX455" s="83">
        <v>14</v>
      </c>
      <c r="BY455" s="83">
        <v>48</v>
      </c>
      <c r="BZ455" s="83">
        <v>0</v>
      </c>
      <c r="CA455" s="83">
        <v>0</v>
      </c>
      <c r="CB455" s="83">
        <v>0</v>
      </c>
      <c r="CC455" s="83">
        <v>0</v>
      </c>
      <c r="CD455" s="83">
        <v>0</v>
      </c>
      <c r="CE455" s="83">
        <v>16</v>
      </c>
      <c r="CF455" s="83">
        <v>1</v>
      </c>
      <c r="CG455" s="83">
        <v>23</v>
      </c>
      <c r="CH455" s="83">
        <v>0</v>
      </c>
      <c r="CI455" s="83">
        <v>0</v>
      </c>
      <c r="CJ455" s="83">
        <v>0</v>
      </c>
      <c r="CK455" s="83"/>
      <c r="CL455" s="824">
        <f t="shared" si="51"/>
        <v>466</v>
      </c>
      <c r="CM455" s="824">
        <f t="shared" si="46"/>
        <v>0</v>
      </c>
      <c r="CN455" s="580">
        <v>807.04</v>
      </c>
      <c r="CO455" s="198" t="s">
        <v>1623</v>
      </c>
      <c r="CP455" s="198" t="s">
        <v>656</v>
      </c>
      <c r="CQ455" s="137"/>
      <c r="CR455" s="580">
        <v>1227.383</v>
      </c>
      <c r="CS455" s="834" t="s">
        <v>1624</v>
      </c>
      <c r="CT455" s="198" t="s">
        <v>479</v>
      </c>
      <c r="CU455" s="198" t="s">
        <v>1625</v>
      </c>
      <c r="CV455" s="549" t="s">
        <v>1614</v>
      </c>
      <c r="CW455" s="198" t="s">
        <v>1626</v>
      </c>
      <c r="CX455" s="83">
        <v>4</v>
      </c>
      <c r="CY455" s="83" t="s">
        <v>1627</v>
      </c>
      <c r="CZ455" s="83" t="s">
        <v>656</v>
      </c>
      <c r="DA455" s="198" t="s">
        <v>479</v>
      </c>
      <c r="DB455" s="198" t="s">
        <v>1628</v>
      </c>
      <c r="DC455" s="83"/>
      <c r="DD455" s="198" t="s">
        <v>479</v>
      </c>
      <c r="DE455" s="198" t="s">
        <v>1629</v>
      </c>
      <c r="DF455" s="83">
        <v>13445</v>
      </c>
      <c r="DG455" s="83" t="s">
        <v>656</v>
      </c>
      <c r="DH455" s="83" t="s">
        <v>656</v>
      </c>
      <c r="DI455" s="83" t="s">
        <v>656</v>
      </c>
      <c r="DJ455" s="83" t="s">
        <v>656</v>
      </c>
      <c r="DK455" s="83" t="s">
        <v>656</v>
      </c>
      <c r="DL455" s="83" t="s">
        <v>656</v>
      </c>
      <c r="DM455" s="198" t="s">
        <v>656</v>
      </c>
      <c r="DN455" s="198" t="s">
        <v>656</v>
      </c>
      <c r="DO455" s="83" t="s">
        <v>656</v>
      </c>
      <c r="DP455" s="198" t="s">
        <v>656</v>
      </c>
      <c r="DQ455" s="198" t="s">
        <v>656</v>
      </c>
      <c r="DR455" s="83" t="s">
        <v>656</v>
      </c>
      <c r="DS455" s="198" t="s">
        <v>479</v>
      </c>
      <c r="DT455" s="198" t="s">
        <v>1629</v>
      </c>
      <c r="DU455" s="83">
        <v>10702</v>
      </c>
      <c r="DV455" s="198"/>
      <c r="DW455" s="198"/>
      <c r="DX455" s="83"/>
      <c r="DY455" s="198" t="s">
        <v>479</v>
      </c>
      <c r="DZ455" s="198" t="s">
        <v>1630</v>
      </c>
      <c r="EA455" s="83">
        <v>27489</v>
      </c>
      <c r="EB455" s="198" t="s">
        <v>479</v>
      </c>
      <c r="EC455" s="198" t="s">
        <v>1629</v>
      </c>
      <c r="ED455" s="83">
        <v>16133</v>
      </c>
      <c r="EE455" s="83" t="s">
        <v>656</v>
      </c>
      <c r="EF455" s="83" t="s">
        <v>656</v>
      </c>
      <c r="EG455" s="83" t="s">
        <v>656</v>
      </c>
      <c r="EH455" s="198" t="s">
        <v>656</v>
      </c>
      <c r="EI455" s="198" t="s">
        <v>656</v>
      </c>
      <c r="EJ455" s="83" t="s">
        <v>656</v>
      </c>
      <c r="EK455" s="198" t="s">
        <v>656</v>
      </c>
      <c r="EL455" s="198" t="s">
        <v>656</v>
      </c>
      <c r="EM455" s="83" t="s">
        <v>656</v>
      </c>
      <c r="EN455" s="198" t="s">
        <v>479</v>
      </c>
      <c r="EO455" s="198" t="s">
        <v>1631</v>
      </c>
      <c r="EP455" s="83">
        <v>16</v>
      </c>
      <c r="EQ455" s="83" t="s">
        <v>470</v>
      </c>
      <c r="ER455" s="83" t="s">
        <v>656</v>
      </c>
      <c r="ES455" s="83" t="s">
        <v>656</v>
      </c>
      <c r="ET455" s="198" t="s">
        <v>1632</v>
      </c>
      <c r="EU455" s="198" t="s">
        <v>1633</v>
      </c>
      <c r="EV455" s="83">
        <v>2767</v>
      </c>
      <c r="EW455" s="837">
        <v>1</v>
      </c>
      <c r="EX455" s="198" t="s">
        <v>656</v>
      </c>
      <c r="EY455" s="505">
        <v>71</v>
      </c>
      <c r="EZ455" s="198" t="s">
        <v>470</v>
      </c>
      <c r="FA455" s="198" t="s">
        <v>656</v>
      </c>
      <c r="FB455" s="198" t="s">
        <v>1634</v>
      </c>
      <c r="FC455" s="549" t="s">
        <v>1635</v>
      </c>
      <c r="FD455" s="549" t="s">
        <v>1636</v>
      </c>
      <c r="FE455" s="198" t="s">
        <v>1637</v>
      </c>
      <c r="FF455" s="198" t="s">
        <v>656</v>
      </c>
      <c r="FG455" s="198" t="s">
        <v>1638</v>
      </c>
      <c r="FH455" s="198">
        <v>5</v>
      </c>
      <c r="FI455" s="198">
        <v>200</v>
      </c>
      <c r="FJ455" s="198" t="s">
        <v>1639</v>
      </c>
      <c r="FK455" s="198" t="s">
        <v>1640</v>
      </c>
      <c r="FL455" s="549" t="s">
        <v>1641</v>
      </c>
      <c r="FM455" s="198" t="s">
        <v>656</v>
      </c>
      <c r="FN455" s="198" t="s">
        <v>656</v>
      </c>
      <c r="FO455" s="198" t="s">
        <v>656</v>
      </c>
    </row>
  </sheetData>
  <autoFilter ref="D1:FO455" xr:uid="{9E99FD86-C392-5C4F-9422-2F2CC5980629}"/>
  <mergeCells count="87">
    <mergeCell ref="DS339:DU339"/>
    <mergeCell ref="EY412:EZ412"/>
    <mergeCell ref="FF439:FG439"/>
    <mergeCell ref="BF174:BG174"/>
    <mergeCell ref="EH4:EJ4"/>
    <mergeCell ref="EK4:EM4"/>
    <mergeCell ref="EN4:EP4"/>
    <mergeCell ref="EQ4:ES4"/>
    <mergeCell ref="ET4:EV4"/>
    <mergeCell ref="DV4:DX4"/>
    <mergeCell ref="DY4:EA4"/>
    <mergeCell ref="EB4:ED4"/>
    <mergeCell ref="EE4:EG4"/>
    <mergeCell ref="R274:S274"/>
    <mergeCell ref="T274:U274"/>
    <mergeCell ref="V274:W274"/>
    <mergeCell ref="DP4:DR4"/>
    <mergeCell ref="DS4:DU4"/>
    <mergeCell ref="CR4:CS4"/>
    <mergeCell ref="DA4:DC4"/>
    <mergeCell ref="DD4:DF4"/>
    <mergeCell ref="DG4:DI4"/>
    <mergeCell ref="DJ4:DL4"/>
    <mergeCell ref="DM4:DO4"/>
    <mergeCell ref="X4:Y4"/>
    <mergeCell ref="BF4:BG4"/>
    <mergeCell ref="CO4:CP4"/>
    <mergeCell ref="DY3:EA3"/>
    <mergeCell ref="EB3:ED3"/>
    <mergeCell ref="M4:N4"/>
    <mergeCell ref="P4:Q4"/>
    <mergeCell ref="R4:S4"/>
    <mergeCell ref="T4:U4"/>
    <mergeCell ref="V4:W4"/>
    <mergeCell ref="DM3:DO3"/>
    <mergeCell ref="DP3:DR3"/>
    <mergeCell ref="DS3:DU3"/>
    <mergeCell ref="CU3:CV3"/>
    <mergeCell ref="DA3:DC3"/>
    <mergeCell ref="DD3:DF3"/>
    <mergeCell ref="DG3:DI3"/>
    <mergeCell ref="DJ3:DL3"/>
    <mergeCell ref="M3:N3"/>
    <mergeCell ref="EQ3:ES3"/>
    <mergeCell ref="ET3:EV3"/>
    <mergeCell ref="EE3:EG3"/>
    <mergeCell ref="EH3:EJ3"/>
    <mergeCell ref="EK3:EM3"/>
    <mergeCell ref="EN3:EP3"/>
    <mergeCell ref="P3:Q3"/>
    <mergeCell ref="R3:S3"/>
    <mergeCell ref="T3:U3"/>
    <mergeCell ref="V3:W3"/>
    <mergeCell ref="X3:Y3"/>
    <mergeCell ref="AQ2:AR2"/>
    <mergeCell ref="DV3:DX3"/>
    <mergeCell ref="BF3:BG3"/>
    <mergeCell ref="CO3:CP3"/>
    <mergeCell ref="CR3:CS3"/>
    <mergeCell ref="AT2:AU2"/>
    <mergeCell ref="AV2:AW2"/>
    <mergeCell ref="AX2:AY2"/>
    <mergeCell ref="AZ2:BD2"/>
    <mergeCell ref="BE2:BH2"/>
    <mergeCell ref="BI2:BJ2"/>
    <mergeCell ref="FJ2:FL2"/>
    <mergeCell ref="FM2:FO2"/>
    <mergeCell ref="BK2:BM2"/>
    <mergeCell ref="BN2:CL2"/>
    <mergeCell ref="CN2:CS2"/>
    <mergeCell ref="CT2:CZ2"/>
    <mergeCell ref="DA2:DX2"/>
    <mergeCell ref="DY2:EV2"/>
    <mergeCell ref="EW2:EX2"/>
    <mergeCell ref="EZ2:FA2"/>
    <mergeCell ref="FB2:FF2"/>
    <mergeCell ref="FG2:FI2"/>
    <mergeCell ref="J2:K2"/>
    <mergeCell ref="M2:N2"/>
    <mergeCell ref="O2:Y2"/>
    <mergeCell ref="AI2:AK2"/>
    <mergeCell ref="AN2:AP2"/>
    <mergeCell ref="E2:E5"/>
    <mergeCell ref="F2:F5"/>
    <mergeCell ref="G2:G5"/>
    <mergeCell ref="H2:H5"/>
    <mergeCell ref="I2:I5"/>
  </mergeCells>
  <phoneticPr fontId="17" type="noConversion"/>
  <dataValidations count="1">
    <dataValidation type="textLength" allowBlank="1" showInputMessage="1" showErrorMessage="1" error="Ввод текста ограничен до 250 символов" sqref="AN287:AN324 AN326:AN327 BH325" xr:uid="{D0E57BA1-240B-594E-9FAF-F8C10C607A40}">
      <formula1>0</formula1>
      <formula2>250</formula2>
    </dataValidation>
  </dataValidations>
  <hyperlinks>
    <hyperlink ref="FL348" r:id="rId1" xr:uid="{EF6E6542-E8EE-5745-AE40-5BA9479C839B}"/>
    <hyperlink ref="FO348" r:id="rId2" xr:uid="{066CD3CD-873F-2848-B7E1-4A097260FA43}"/>
    <hyperlink ref="Y384" r:id="rId3" xr:uid="{36EA5451-0CE3-8C48-A462-C1CFD056C825}"/>
    <hyperlink ref="CP384" r:id="rId4" xr:uid="{471BC168-B1E2-F241-88CE-D7F7A43FCA1E}"/>
    <hyperlink ref="FL384" r:id="rId5" xr:uid="{9FDBA14C-BBD3-4E4A-8B19-4D96D89D11E2}"/>
    <hyperlink ref="FD384" r:id="rId6" xr:uid="{831E668B-1759-BB42-B273-2AC19CFC2CB7}"/>
    <hyperlink ref="FB384" r:id="rId7" xr:uid="{8C036FCE-6FB1-2546-9444-220D71EDF950}"/>
    <hyperlink ref="S334" r:id="rId8" xr:uid="{E5ED1E45-3123-B64E-A942-27239FC7AAE4}"/>
    <hyperlink ref="CS334" r:id="rId9" xr:uid="{3E0E7475-39B7-3043-9D23-5C6E80C09999}"/>
    <hyperlink ref="FB334" r:id="rId10" xr:uid="{7BE17342-94CA-7E4F-84C1-913259D0365D}"/>
    <hyperlink ref="FD334" r:id="rId11" xr:uid="{D369B817-F032-264B-AE8B-91AE1E8CBF06}"/>
    <hyperlink ref="FF334" r:id="rId12" xr:uid="{4A57F526-04AC-5C41-B154-3B5DDCA919B0}"/>
    <hyperlink ref="CS62" r:id="rId13" xr:uid="{38173F43-7E79-984B-9423-78D0DC927FE9}"/>
    <hyperlink ref="FO62" r:id="rId14" xr:uid="{25C7D7EC-0E51-1743-AFD0-142CDB43EFE5}"/>
    <hyperlink ref="Q48" r:id="rId15" xr:uid="{347323B0-2FA1-B343-90BB-90F4B5DDF431}"/>
    <hyperlink ref="CP48" r:id="rId16" xr:uid="{CB93F6F7-BD1F-8D42-B813-E483ED45C1BA}"/>
    <hyperlink ref="CS48" r:id="rId17" xr:uid="{CFBA2146-44C6-484E-A601-1A7B18677341}"/>
    <hyperlink ref="FC48" r:id="rId18" xr:uid="{00866828-5FEE-D943-95FE-72FC2AF3537A}"/>
    <hyperlink ref="FB48" r:id="rId19" xr:uid="{9538A985-1312-ED4C-8A57-BB68A1FD04A2}"/>
    <hyperlink ref="FE48" r:id="rId20" display="https://вести35.рф/video/2022/03/24/itogi_realizacii_proekta_narodnyy_byudzhet_za_2021_god_podveli_v_vologde_x000a__x000a_" xr:uid="{946596B0-B293-6846-AEEC-5F5F1D035DB9}"/>
    <hyperlink ref="FL48" r:id="rId21" xr:uid="{D4AEB0F2-3454-2042-B3BE-B1C72A759F98}"/>
    <hyperlink ref="CS12" r:id="rId22" xr:uid="{39BFC3BA-0AE8-F64A-B7A5-3AEAD60D2E93}"/>
    <hyperlink ref="FC12" r:id="rId23" xr:uid="{891009D3-1A7E-1640-85A8-39C9C559559F}"/>
    <hyperlink ref="FB12" r:id="rId24" xr:uid="{8E8F6E0C-FD37-C04C-B21D-BE617456ADC7}"/>
    <hyperlink ref="FL12" r:id="rId25" xr:uid="{B08DB0E6-B97E-744B-9EC9-AD777EC8EF78}"/>
    <hyperlink ref="FO12" r:id="rId26" xr:uid="{74C1EF11-7744-754C-8601-486D133D3050}"/>
    <hyperlink ref="FB346" r:id="rId27" xr:uid="{2E8FCA68-2EDB-2544-96EA-3783EA88B4CA}"/>
    <hyperlink ref="FL346" r:id="rId28" xr:uid="{4136A67F-C89B-6240-B839-3A6436E9002F}"/>
    <hyperlink ref="Q69" r:id="rId29" xr:uid="{43ACA4B2-9878-6646-9100-8D288DD9C1CF}"/>
    <hyperlink ref="Y69" r:id="rId30" xr:uid="{2B29CFAC-E206-284C-82C9-F34B0A8D2F3B}"/>
    <hyperlink ref="FL69" r:id="rId31" xr:uid="{9B924951-0CFD-0444-AB7B-8B67775C85E9}"/>
    <hyperlink ref="CP69" r:id="rId32" xr:uid="{F246D1FB-BBA1-FD43-B302-F64C46279D99}"/>
    <hyperlink ref="CS69" r:id="rId33" xr:uid="{03BA259A-0A97-764D-9A5D-078FD55CE1C7}"/>
    <hyperlink ref="U438" r:id="rId34" xr:uid="{EB2A3ADE-9A75-E24B-978A-9F092A5F3B39}"/>
    <hyperlink ref="Q438" r:id="rId35" xr:uid="{EFF481D9-DEFA-D444-BB3F-D6875C2B3651}"/>
    <hyperlink ref="W438" r:id="rId36" xr:uid="{75529247-6B34-3E43-B4DF-F9F08E19EA69}"/>
    <hyperlink ref="Y438" r:id="rId37" xr:uid="{98A18854-824F-FF4F-9F4F-3C2845352E7E}"/>
    <hyperlink ref="FL438" r:id="rId38" xr:uid="{28B021D4-9139-4241-BC41-FE44FA8A0A9A}"/>
    <hyperlink ref="EZ438" r:id="rId39" xr:uid="{20C1F576-DADB-8F40-9CFF-780FFC322DED}"/>
    <hyperlink ref="FB438" r:id="rId40" xr:uid="{63BFF90F-8001-2749-970E-CD0A746B40BF}"/>
    <hyperlink ref="FC438" r:id="rId41" display="http://www.a-martan.ru/index.php?option=com_content&amp;view=article&amp;id=2543:izveshchenie-o-provedenii-konkursnogo-otbora-initsiativnykh-proektov&amp;catid=143&amp;Itemid=713       " xr:uid="{95EDB001-B0F3-EF46-AE79-3B97EE4125E1}"/>
    <hyperlink ref="CS438" r:id="rId42" xr:uid="{EFD27252-BFD5-DC42-92D2-5357231A3A7D}"/>
    <hyperlink ref="Q50" r:id="rId43" xr:uid="{72744AA2-C70C-3D4D-B3F8-3F9271B49C66}"/>
    <hyperlink ref="Y50" r:id="rId44" xr:uid="{05F5FB86-A1BE-E64B-9DD8-C52315466CD5}"/>
    <hyperlink ref="FB50" r:id="rId45" xr:uid="{9E887BBF-80A2-DE4F-BE62-E9D5FA308A2A}"/>
    <hyperlink ref="FL50" r:id="rId46" xr:uid="{78E337D8-380D-4748-B8E1-DDFC01A290AC}"/>
    <hyperlink ref="Q51" r:id="rId47" xr:uid="{277B641C-538B-F24E-AD54-A51145037D63}"/>
    <hyperlink ref="Y51" r:id="rId48" xr:uid="{46598617-A9B2-EE49-9FDF-F317D03E3A11}"/>
    <hyperlink ref="FC51" r:id="rId49" display="https://smovrn.ru/; " xr:uid="{118201F3-6AA7-1444-A2A1-5B37ABF608AF}"/>
    <hyperlink ref="FD51" r:id="rId50" xr:uid="{6EF291B6-9560-FC48-B214-96A3C99F6D3A}"/>
    <hyperlink ref="W51" r:id="rId51" display="https://pravo.govvrn.ru/?q=node/21716" xr:uid="{2B182F35-2749-1244-8510-7663B2CA8086}"/>
    <hyperlink ref="FB51" r:id="rId52" xr:uid="{22710274-638F-9140-AE52-1F614E28BFC0}"/>
    <hyperlink ref="FL51" r:id="rId53" xr:uid="{34C4E551-6945-FC40-ADD3-FE1321826FD1}"/>
    <hyperlink ref="Q52" r:id="rId54" xr:uid="{353AF486-22E8-6745-BCEA-C05AF155616B}"/>
    <hyperlink ref="Y52" r:id="rId55" xr:uid="{D8AEE5D7-88AC-8242-9723-0F21EE88F73D}"/>
    <hyperlink ref="FL52" r:id="rId56" xr:uid="{63536A8F-4259-4C4E-95C3-7B6147ADDEA8}"/>
    <hyperlink ref="FO53" r:id="rId57" xr:uid="{160566D3-F91A-4E4D-8F11-0B77C23EB610}"/>
    <hyperlink ref="CS53" r:id="rId58" xr:uid="{CDCA9282-F285-8F45-B71A-DD81C07473AE}"/>
    <hyperlink ref="FB53" r:id="rId59" xr:uid="{33E91F6E-0939-184E-86FA-433C9A796306}"/>
    <hyperlink ref="FL53" r:id="rId60" xr:uid="{89C3D358-6E23-CA49-8E7F-F78EFB883048}"/>
    <hyperlink ref="FO54" r:id="rId61" xr:uid="{BC6E2C33-58DA-8549-A078-5954E567B264}"/>
    <hyperlink ref="FB54" r:id="rId62" xr:uid="{2F3763E0-1054-7648-8BD0-C7848049819C}"/>
    <hyperlink ref="FF54" r:id="rId63" xr:uid="{668CE6DF-723B-654C-88C7-F8A50DC21973}"/>
    <hyperlink ref="Q55" r:id="rId64" xr:uid="{D5C20DEA-AE3C-3746-9516-8A78111F732F}"/>
    <hyperlink ref="CS55" r:id="rId65" xr:uid="{6A0814FB-49BB-BC4B-AD49-BB637575833E}"/>
    <hyperlink ref="FL55" r:id="rId66" xr:uid="{0D5221D4-32B9-F14E-B201-2F07309CE5A0}"/>
    <hyperlink ref="Y55" r:id="rId67" xr:uid="{1EBEF079-8A80-4045-9EA6-83D3053AD5CB}"/>
    <hyperlink ref="Q80" r:id="rId68" xr:uid="{57AD5B2B-4B99-6544-B19A-391283D522B2}"/>
    <hyperlink ref="U80" r:id="rId69" xr:uid="{52D8BD6B-D3DA-A14F-8437-5AE3C43B1E2C}"/>
    <hyperlink ref="W80" r:id="rId70" xr:uid="{DEB0C663-8268-D842-9545-49AFDBF533F8}"/>
    <hyperlink ref="FD80" r:id="rId71" xr:uid="{7C3F235F-19C3-8944-9612-542EE5230CCC}"/>
    <hyperlink ref="CS80" r:id="rId72" xr:uid="{ABD8921B-4667-8444-9DE0-54A33EFC2663}"/>
    <hyperlink ref="FB80" r:id="rId73" xr:uid="{E57826E8-B892-C44C-BC0A-CEB36D8845A0}"/>
    <hyperlink ref="FB6" r:id="rId74" xr:uid="{8451435F-C5B3-264D-9C23-FAD60578EBE7}"/>
    <hyperlink ref="FC6" r:id="rId75" xr:uid="{7A8AA4AF-EDD5-FD43-8196-AC63D442FF8A}"/>
    <hyperlink ref="S6" r:id="rId76" xr:uid="{E4EA6837-B31E-214C-AFF7-CE4FCAF87878}"/>
    <hyperlink ref="Y6" r:id="rId77" location="/document/43633176/paragraph/1/doclist/9491/1/0/0/Постановление%20Кабинета%20Министров%20Республики%20Адыгея%20от%2010.10.2018%20№%20212%20%22О%20некоторых%20вопросах%20реализации%20проектов%20развития%20общественной%20инфраструктуры,%20основанных%20на%20местных%20инициативах%22:2" display="https://internet.garant.ru/#/document/43633176/paragraph/1/doclist/9491/1/0/0/Постановление%20Кабинета%20Министров%20Республики%20Адыгея%20от%2010.10.2018%20№%20212%20%22О%20некоторых%20вопросах%20реализации%20проектов%20развития%20общественной%20инфраструктуры,%20основанных%20на%20местных%20инициативах%22:2" xr:uid="{F25576F3-D33B-814A-9261-EDBDC26B4043}"/>
    <hyperlink ref="DQ6" r:id="rId78" xr:uid="{FD382560-CD1A-7441-9C17-38446E2FA9E9}"/>
    <hyperlink ref="Q107" r:id="rId79" xr:uid="{2782867D-2827-E54C-98A8-B50AF157741E}"/>
    <hyperlink ref="FL107" r:id="rId80" xr:uid="{0F4AACC8-ED47-0846-B4B2-55F608B84CF7}"/>
    <hyperlink ref="FB107" r:id="rId81" xr:uid="{07990C2D-94E6-064E-82EF-48223971A54C}"/>
    <hyperlink ref="FL108" r:id="rId82" xr:uid="{F94A1742-57D7-9446-8934-FAD54F1B2D30}"/>
    <hyperlink ref="FO108" r:id="rId83" xr:uid="{EE1D916E-DBDA-694D-B779-C7D14F5C4E4C}"/>
    <hyperlink ref="Q108" r:id="rId84" xr:uid="{D5518CD4-3601-7D43-916D-4FBAA41B5CCC}"/>
    <hyperlink ref="FB108" r:id="rId85" xr:uid="{EDDCBAF0-BC49-D348-BC36-DC1BC20A80C9}"/>
    <hyperlink ref="Y108" r:id="rId86" xr:uid="{99F20FF2-468F-BE44-83BB-3E16A9460654}"/>
    <hyperlink ref="CS108" r:id="rId87" xr:uid="{6EAECE5D-4EAD-8744-A8EF-4DA8E6BEEB24}"/>
    <hyperlink ref="Q109" r:id="rId88" tooltip="Ссылка на КонсультантПлюс" display="consultantplus://offline/ref=55AB044EF2AE989F64BAC01863E5C4A9ADFF11BADF275679A20855BC8E46D11C9C7059606921C791BA63221FB7AD46C4F510AAEFFC56605E2760CEN9c9M" xr:uid="{184E0600-91B0-9B4B-B520-CA45C461B2B4}"/>
    <hyperlink ref="Y109" r:id="rId89" tooltip="Ссылка на КонсультантПлюс" display="https://login.consultant.ru/link/?req=doc&amp;base=RLAW265&amp;n=102109&amp;dst=100002" xr:uid="{53B8F92F-9D30-E441-B874-24EC34C4C254}"/>
    <hyperlink ref="FB109" r:id="rId90" xr:uid="{A8F87971-0C52-874D-8618-BB3406C6BC3C}"/>
    <hyperlink ref="FL109" r:id="rId91" xr:uid="{F60852F0-F2EC-E143-BD6E-B985A7CF02AE}"/>
    <hyperlink ref="FL110" r:id="rId92" xr:uid="{E4D68CB0-F2F8-3C46-A093-2690B2F5D08B}"/>
    <hyperlink ref="Q110" r:id="rId93" display="Постановление Администрации Костромской области от 28.08.2017 N 316-а (ред. от 22.03.2021) &quot;Об утверждении государственной программы Костромской области &quot;Формирование современной городской среды&quot; {КонсультантПлюс}" xr:uid="{C1862592-6F2B-EB4B-966F-BA83425C3223}"/>
    <hyperlink ref="FB110" r:id="rId94" xr:uid="{F46E3B79-9F8D-B147-960C-017A68345901}"/>
    <hyperlink ref="CS110" r:id="rId95" xr:uid="{D1B674AA-990F-2D4C-BD16-20721F629132}"/>
    <hyperlink ref="Q60" r:id="rId96" xr:uid="{529CBCFC-742B-6343-9C3C-01E403B8DAE1}"/>
    <hyperlink ref="Y60" r:id="rId97" xr:uid="{B0FB6655-2A1D-B04A-891E-307CFC2949EA}"/>
    <hyperlink ref="BG60" r:id="rId98" xr:uid="{916F71A4-36A2-5C4B-A02A-14C1D1B23D73}"/>
    <hyperlink ref="CP60" r:id="rId99" xr:uid="{7AC54A07-ABA0-9D42-A4FC-0099FED8B690}"/>
    <hyperlink ref="CS60" r:id="rId100" display="https://37.rosstat.gov.ru/storage/mediabank/NAS22.pdf" xr:uid="{F6C7187B-FED0-8640-91DC-6D08483F1BB8}"/>
    <hyperlink ref="FL60" r:id="rId101" xr:uid="{4568D659-4C30-A247-9EA8-33E4B96CE24A}"/>
    <hyperlink ref="FO60" r:id="rId102" display="mailto:budget_mbo@gfu.ivanovo.ru" xr:uid="{3A80A1B5-3E34-9249-BA1E-3FD9DB19351B}"/>
    <hyperlink ref="Q439" r:id="rId103" display="http://agro.cap.ru/action/activity/" xr:uid="{8DA6C0F3-E9D0-D24B-AB9E-2AE6D2AC06B5}"/>
    <hyperlink ref="U439" r:id="rId104" xr:uid="{E7786C39-F3B8-9B43-88A2-DE18A8E2122A}"/>
    <hyperlink ref="CS439" r:id="rId105" xr:uid="{8F9B3C88-4699-E24B-A044-2B165CE547F0}"/>
    <hyperlink ref="FL439" r:id="rId106" display="https://chuvash.gks.ru/demog" xr:uid="{F18EF02C-8786-D547-843D-4C1DE796E4D4}"/>
    <hyperlink ref="S439" r:id="rId107" display="https://www.cap.ru/doc/laws/2022/08/24/ruling-406" xr:uid="{6D235CB6-38AE-B343-922F-67E86D056A5D}"/>
    <hyperlink ref="FC439" r:id="rId108" xr:uid="{AEF312A1-F477-514B-BF26-6331DEF1AB32}"/>
    <hyperlink ref="Q279" r:id="rId109" xr:uid="{5D376708-CA55-0F4E-8A53-53B6A869E33E}"/>
    <hyperlink ref="Y279" r:id="rId110" xr:uid="{B3D6F6E9-8A50-CA4A-8911-57A094CDE2D2}"/>
    <hyperlink ref="CS279" r:id="rId111" xr:uid="{0542FA7B-EDDC-2B4B-BFB3-32544F47C0F2}"/>
    <hyperlink ref="FC279" r:id="rId112" xr:uid="{C45F59D8-E902-AC41-94E3-8F4D96E4B991}"/>
    <hyperlink ref="FL279" r:id="rId113" xr:uid="{CCB3F104-CA29-2940-99D5-5CD2EF700251}"/>
    <hyperlink ref="FO279" r:id="rId114" xr:uid="{094248B0-8E93-3047-A4ED-6F8A18CA3396}"/>
    <hyperlink ref="Q280" r:id="rId115" xr:uid="{0459A4EE-9E10-9342-AD8E-203C49225708}"/>
    <hyperlink ref="Y280" r:id="rId116" xr:uid="{4F1B8737-4EE5-1244-A519-1FF190F758F3}"/>
    <hyperlink ref="CS280" r:id="rId117" xr:uid="{E5FD4FFE-4594-4944-A09C-D3EE2D7D73DE}"/>
    <hyperlink ref="FC280" r:id="rId118" xr:uid="{91A34D7A-3BF7-BE40-BB92-65CAB9AC432B}"/>
    <hyperlink ref="FL280" r:id="rId119" xr:uid="{589DC8F8-5809-C54A-83C4-E076D69FE095}"/>
    <hyperlink ref="FO280" r:id="rId120" xr:uid="{F4EA9D2B-EE44-F94E-9E8B-1B2F0AD94090}"/>
    <hyperlink ref="W17" r:id="rId121" xr:uid="{1ABBD25D-6C69-B94F-9F78-2E7D9DC8C83A}"/>
    <hyperlink ref="Y17" r:id="rId122" xr:uid="{2B516D8A-B0A8-A34B-B00D-839E369F6215}"/>
    <hyperlink ref="CS17" r:id="rId123" xr:uid="{8129707D-2F2A-184D-890B-D68FCAE36DDE}"/>
    <hyperlink ref="FB17" r:id="rId124" xr:uid="{D8CAD5C2-2E5B-594A-8CE1-D276F194B2DE}"/>
    <hyperlink ref="FL17" r:id="rId125" xr:uid="{A1336634-EA29-2648-8AFB-55ACEF709EFD}"/>
    <hyperlink ref="FD17" r:id="rId126" xr:uid="{3FD03FBB-6855-3942-BB69-9069A4C05E22}"/>
    <hyperlink ref="FO17" r:id="rId127" display="armenshin.i@bashkortostan.ru" xr:uid="{97889794-6571-6042-92B1-105C83852FE2}"/>
    <hyperlink ref="FC17" r:id="rId128" display="https://vk.com/erbashkortostan?w=wall-1663109_25345" xr:uid="{E6F8C33F-5787-AC47-8D24-524855564DC3}"/>
    <hyperlink ref="W19" r:id="rId129" xr:uid="{57E50963-F7C0-8042-AA01-23C08D126CE3}"/>
    <hyperlink ref="CS19" r:id="rId130" xr:uid="{C9453546-8099-0241-B59E-2759F96DE3E0}"/>
    <hyperlink ref="FL19" r:id="rId131" xr:uid="{0740E71D-B588-9F4C-92FE-2097564AF46E}"/>
    <hyperlink ref="FO19" r:id="rId132" xr:uid="{DEC92442-12D7-8242-A271-3F638933F30A}"/>
    <hyperlink ref="CS21" r:id="rId133" xr:uid="{4801AAB0-CD3F-EC4D-B0A6-CBF667F97676}"/>
    <hyperlink ref="ER21" r:id="rId134" location="gallery-12" display="https://ppmi.bashkortostan.ru/document#gallery-12" xr:uid="{5CFD3D30-4C7F-444D-A351-C9EF7B1A0FE8}"/>
    <hyperlink ref="FB21" r:id="rId135" xr:uid="{A1FCBD6B-C032-C040-8248-F9AC6DE5CEEC}"/>
    <hyperlink ref="FC21" r:id="rId136" xr:uid="{A8BC3A3D-898F-EF4C-9C23-1D5F67B9A20D}"/>
    <hyperlink ref="FD21" r:id="rId137" location="gallery-11%20" xr:uid="{46DBB7F1-B267-654C-897C-C313C25B859C}"/>
    <hyperlink ref="FL21" r:id="rId138" xr:uid="{A7596A6E-0A5F-984E-A8EF-C6636204B73D}"/>
    <hyperlink ref="Q21" r:id="rId139" display="https://npa.bashkortostan.ru/16583/" xr:uid="{32729BFF-F0DC-9A4D-B04A-5B0932A1431D}"/>
    <hyperlink ref="W21" r:id="rId140" xr:uid="{A3751C10-4325-9F4F-AD2B-696FA08C4DD5}"/>
    <hyperlink ref="FO21" r:id="rId141" xr:uid="{05758E39-496B-654C-BDAC-118B33AE707A}"/>
    <hyperlink ref="Q410" r:id="rId142" xr:uid="{899B73B2-7E1D-0442-9F8B-DBBBEBFA4469}"/>
    <hyperlink ref="CS410" r:id="rId143" xr:uid="{94A7DEEC-0D56-764D-A94D-AC3533575B04}"/>
    <hyperlink ref="FB410" r:id="rId144" xr:uid="{FE8B1B69-7311-154E-A384-2E30A70080A0}"/>
    <hyperlink ref="S437" r:id="rId145" xr:uid="{72D42D11-EAB6-EF40-8ABC-73C3F3E00758}"/>
    <hyperlink ref="U437" r:id="rId146" xr:uid="{50157EC4-BADF-1C49-916D-9C5D4225A877}"/>
    <hyperlink ref="Y437" r:id="rId147" xr:uid="{228A020C-4070-4F47-AAB3-5867822B7D84}"/>
    <hyperlink ref="CS437" r:id="rId148" xr:uid="{7884ABD6-7140-0A4B-81E4-C21B28D71BA2}"/>
    <hyperlink ref="DZ437" r:id="rId149" xr:uid="{2B9CEAF8-6846-214F-B573-AEEB32FB51D4}"/>
    <hyperlink ref="FO437" r:id="rId150" xr:uid="{4E7EF4DD-ED05-1842-80AF-6DBAE3964914}"/>
    <hyperlink ref="Q455" r:id="rId151" xr:uid="{4F26EDBA-11B3-8043-9D18-D1344D6F5694}"/>
    <hyperlink ref="CV455" r:id="rId152" xr:uid="{64203C95-0E7E-9040-BE68-92B6EE5642B1}"/>
    <hyperlink ref="FC455" r:id="rId153" xr:uid="{E34D7B26-A599-CC41-A0C8-1A3078A2E0D5}"/>
    <hyperlink ref="FD455" r:id="rId154" xr:uid="{70399D26-BDF4-964A-9B4F-888E9A44F88B}"/>
    <hyperlink ref="FL455" r:id="rId155" xr:uid="{7A13CF8C-DA65-9144-8BDD-FCCAF4AFAFCA}"/>
    <hyperlink ref="CS455" r:id="rId156" xr:uid="{6B126946-F77B-1549-B19C-82CBF6C5EA76}"/>
    <hyperlink ref="Y455" r:id="rId157" display="https://docs.cntd.ru/document/446168877" xr:uid="{36900991-6BFC-6A44-AB87-79DAB7751F41}"/>
    <hyperlink ref="FL411" r:id="rId158" xr:uid="{D795127D-1099-634A-9067-25A942B948E9}"/>
    <hyperlink ref="CS86" r:id="rId159" xr:uid="{E6F12A55-EC7F-4C4B-B73C-B27D24146F05}"/>
    <hyperlink ref="FB86" r:id="rId160" xr:uid="{1DBB5543-5391-884E-919A-3B1533083E00}"/>
    <hyperlink ref="FD86" r:id="rId161" xr:uid="{7FEE927A-4C1C-7047-BEB4-12E083E726C6}"/>
    <hyperlink ref="FF86" r:id="rId162" xr:uid="{2CE914C6-DF6B-D84E-AF37-A51DD832E468}"/>
    <hyperlink ref="FB77" r:id="rId163" display="http://old.gov.karelia.ru/Projects/Initiatives/" xr:uid="{E8020CAE-4434-864E-92C0-ABB456C1DE5D}"/>
    <hyperlink ref="U77" r:id="rId164" xr:uid="{0A0D9C9A-9380-A44C-9FB6-D07C15BC16D1}"/>
    <hyperlink ref="W77" r:id="rId165" xr:uid="{79344FB1-0108-D74C-ABE8-5451938BE39D}"/>
    <hyperlink ref="FO77" r:id="rId166" xr:uid="{646DFA6A-EA5F-654D-9FB3-AF1C5D38C5BB}"/>
    <hyperlink ref="FL77" r:id="rId167" xr:uid="{17215D38-BF65-4843-BCA6-7C86AAB499DC}"/>
    <hyperlink ref="U78" r:id="rId168" xr:uid="{73B3E3F6-CA2E-7343-9723-8253011C4210}"/>
    <hyperlink ref="W78" r:id="rId169" xr:uid="{F5E74EC1-12B4-E448-9395-C81C610CC1D2}"/>
    <hyperlink ref="Y78" r:id="rId170" xr:uid="{C6FE4B5F-EA59-C64E-998B-4FC6A84D3218}"/>
    <hyperlink ref="FB78" r:id="rId171" display="http://old.gov.karelia.ru/Projects/Initiatives/" xr:uid="{7CAF89D6-0EFA-AA4C-9901-D823510E05C2}"/>
    <hyperlink ref="FD78" r:id="rId172" xr:uid="{4D57D798-C094-C74E-BB0C-6CD8C814E741}"/>
    <hyperlink ref="FO78" r:id="rId173" xr:uid="{BDCDED3F-88C2-5E45-BFD8-86448B46654F}"/>
    <hyperlink ref="U79" r:id="rId174" xr:uid="{2A46AABD-BE7D-604D-970C-F4A7BBA83A50}"/>
    <hyperlink ref="W79" r:id="rId175" xr:uid="{52EB05E0-ABF4-3649-AF6F-8E15BFB40934}"/>
    <hyperlink ref="Y79" r:id="rId176" xr:uid="{2C59D795-9E57-334A-A093-2AB3E88C41A7}"/>
    <hyperlink ref="FD79" r:id="rId177" display="https://nac.gov.karelia.ru/about/3841/150390/" xr:uid="{4F7FF688-F022-F846-B584-66506A0084BD}"/>
    <hyperlink ref="FB79" r:id="rId178" xr:uid="{6429CD4E-AD6E-F449-80FF-23529176DF80}"/>
    <hyperlink ref="FO79" r:id="rId179" xr:uid="{3A07B10E-7376-A541-94D4-1B2B79C26BF0}"/>
    <hyperlink ref="Y81" r:id="rId180" display="http://www.kirovreg.ru/publ/AkOUP.nsf/de017b98ac867075c32571440061b25c/a477b32730cd333b43258256004958f1?OpenDocument" xr:uid="{73B8EDC3-A64C-7E47-AF97-AAC08861C1DC}"/>
    <hyperlink ref="FL81" r:id="rId181" xr:uid="{BD08E41A-3BA4-2248-9E29-234167B53573}"/>
    <hyperlink ref="FD81" r:id="rId182" xr:uid="{78DF11AF-F050-C748-9299-6E0BE1A0D23A}"/>
    <hyperlink ref="FC82" r:id="rId183" xr:uid="{CE2DFE47-F5B8-A347-B556-2E6F81D17F1C}"/>
    <hyperlink ref="FB82" r:id="rId184" xr:uid="{CBD2F35B-DE19-4D41-8D39-DE71C6BC4D18}"/>
    <hyperlink ref="FL82" r:id="rId185" xr:uid="{CA3A86C6-2612-BA42-996A-8F5C89854407}"/>
    <hyperlink ref="FO82" r:id="rId186" xr:uid="{8161F457-EC6B-D842-84A4-2C6D5E9226C9}"/>
    <hyperlink ref="FL47" r:id="rId187" xr:uid="{65DEA6FA-603C-9F45-B0D0-79DA59627E6D}"/>
    <hyperlink ref="FO47" r:id="rId188" xr:uid="{1531FFD4-2594-AA4E-8C3F-C61DC8E45689}"/>
    <hyperlink ref="Y47" r:id="rId189" xr:uid="{F1F7540F-1BB9-1048-BB6C-C1D14B3E2811}"/>
    <hyperlink ref="FB47" r:id="rId190" xr:uid="{24394111-C2E8-9647-861A-EF17B23D8068}"/>
    <hyperlink ref="FE47" r:id="rId191" display="https://vlgr-ranepa.ru/konkurs/vlg-local-init/" xr:uid="{8AC2740E-7861-DE40-BC12-D647FAF233FD}"/>
    <hyperlink ref="FF47" r:id="rId192" xr:uid="{BB93B353-5FB9-834D-8DDE-C56AC901AEA7}"/>
    <hyperlink ref="FL16" r:id="rId193" xr:uid="{17F31B2B-9F64-6545-AE87-D24270BDA0C8}"/>
    <hyperlink ref="FB16" r:id="rId194" xr:uid="{0832B190-42D4-4448-90B6-14E77ECD875A}"/>
    <hyperlink ref="CS16" r:id="rId195" xr:uid="{227B8FD0-3CD3-D04A-B6B7-8A25823E684B}"/>
    <hyperlink ref="Y16" r:id="rId196" xr:uid="{8693FE77-4E89-8449-9475-2C149233318D}"/>
    <hyperlink ref="BG16" r:id="rId197" xr:uid="{5A7BC7F1-5FE1-6F45-BB75-072FEAD61C29}"/>
    <hyperlink ref="FC16" r:id="rId198" display="https://ahtuba-adm.ru/index.php?mode=view_spisok&amp;own_menu_id=297226" xr:uid="{5C8BA7FA-4771-474E-8182-6488E1CAA399}"/>
    <hyperlink ref="S26" r:id="rId199" xr:uid="{81F02540-C6A1-3F4D-ABA6-C18C6850246B}"/>
    <hyperlink ref="FD26" r:id="rId200" xr:uid="{528633FA-BBAE-5E40-884E-7627E5277CCB}"/>
    <hyperlink ref="CS26" r:id="rId201" xr:uid="{D3B3CB6A-1348-C141-AA7B-1EF374DD45FB}"/>
    <hyperlink ref="FO26" r:id="rId202" xr:uid="{472E23C9-6357-2C48-91C5-0FFFF4CCFD3B}"/>
    <hyperlink ref="CP26" r:id="rId203" xr:uid="{884A3298-C558-0248-B756-B95CF6FA9D21}"/>
    <hyperlink ref="FL26" r:id="rId204" xr:uid="{BBEA4E89-C7A7-444C-9417-2FA9AD758BCF}"/>
    <hyperlink ref="Q27" r:id="rId205" xr:uid="{A2B69DD5-4A63-9544-AE00-FD7266E47071}"/>
    <hyperlink ref="W27" r:id="rId206" xr:uid="{34FB93B5-10AA-8046-B2B3-708187755A6B}"/>
    <hyperlink ref="CS27" r:id="rId207" xr:uid="{79C4B9D9-8782-054F-9FA1-67C98B158051}"/>
    <hyperlink ref="FO27" r:id="rId208" xr:uid="{A125B068-9E04-F449-818E-5F1B441D76C3}"/>
    <hyperlink ref="CS28" r:id="rId209" xr:uid="{7797305D-AD0C-824F-A318-874DE93CFFEC}"/>
    <hyperlink ref="FB28" r:id="rId210" xr:uid="{B3FD822C-9F26-E343-9BA3-0119E1D2EC1D}"/>
    <hyperlink ref="FC28" r:id="rId211" xr:uid="{EF0E1EC7-CD1E-4F47-9900-8A0ED1AD2C6F}"/>
    <hyperlink ref="FL28" r:id="rId212" xr:uid="{D48356E8-E80A-6944-BB69-2BBEB59E81D8}"/>
    <hyperlink ref="FO28" r:id="rId213" xr:uid="{93010C88-F641-1E42-ADF8-9FD7533A669B}"/>
    <hyperlink ref="Q64" r:id="rId214" xr:uid="{6B8C726C-A0D4-5845-A98E-1AFB388BBF6D}"/>
    <hyperlink ref="U64" r:id="rId215" xr:uid="{58C0C003-2F93-5E4E-BBED-4C883A71639A}"/>
    <hyperlink ref="FL64" r:id="rId216" xr:uid="{F2E9C4D9-6B7E-ED4C-AD27-04BCAF256CC3}"/>
    <hyperlink ref="CS64" r:id="rId217" xr:uid="{A835E84F-5EE9-2148-B6A6-72AC7AE8DFEE}"/>
    <hyperlink ref="FO64" r:id="rId218" xr:uid="{219B98F1-F124-AA4A-84E1-E2DFB7ECDDE7}"/>
    <hyperlink ref="U65" r:id="rId219" xr:uid="{00054BC5-587A-4B47-B9AB-6A138BFBEBA1}"/>
    <hyperlink ref="CS65" r:id="rId220" xr:uid="{101DE9F3-667E-1A49-9CF0-E4598FFFDC59}"/>
    <hyperlink ref="FL65" r:id="rId221" xr:uid="{E901C7B2-0889-6645-9689-D58BE917AD80}"/>
    <hyperlink ref="FO65" r:id="rId222" xr:uid="{84582F08-F346-2847-902E-DD568CB63F85}"/>
    <hyperlink ref="Q65" r:id="rId223" xr:uid="{0A6FBEE1-58D1-1E4B-B7E5-B9629C910C86}"/>
    <hyperlink ref="Q66" r:id="rId224" xr:uid="{61B39097-BC08-D843-8ABB-0E1384727713}"/>
    <hyperlink ref="U66" r:id="rId225" xr:uid="{17ED13BD-A662-6449-83C3-86823869ED3C}"/>
    <hyperlink ref="FL66" r:id="rId226" xr:uid="{50772FBD-D45A-D948-B3C6-1613A9CAEFA3}"/>
    <hyperlink ref="FO66" r:id="rId227" xr:uid="{1FF82EE7-7738-1C4C-BCD3-10F7A4D328A1}"/>
    <hyperlink ref="Q10" r:id="rId228" xr:uid="{FE292B17-2BAD-8B45-81D7-73C547F913FF}"/>
    <hyperlink ref="FL10" r:id="rId229" xr:uid="{723BC8A9-E086-0245-A56D-37503A9178BB}"/>
    <hyperlink ref="FF10" r:id="rId230" xr:uid="{A078A5D2-3646-534B-BEE2-8D61B3398665}"/>
    <hyperlink ref="CV10" r:id="rId231" xr:uid="{72FB1249-E9E3-684C-BF18-45B2E0289CCE}"/>
    <hyperlink ref="FO10" r:id="rId232" xr:uid="{D5C4BEC5-BA87-F644-96AF-BA7B10806622}"/>
    <hyperlink ref="FB440" r:id="rId233" xr:uid="{13DB5D1F-1089-4D46-89E3-95BDD4BCC304}"/>
    <hyperlink ref="FC440" r:id="rId234" xr:uid="{B4536A56-F9D9-4A44-B13E-8FF2F01FD604}"/>
    <hyperlink ref="FL440" r:id="rId235" xr:uid="{4C3CACB6-C483-4648-A826-A0DFFE514D0A}"/>
    <hyperlink ref="CS70" r:id="rId236" xr:uid="{1E6FCA6F-F055-5C40-80B5-E33C107F58D9}"/>
    <hyperlink ref="FD70" r:id="rId237" xr:uid="{EF176DA8-592B-FD4D-BEED-6FE3BAC5CF43}"/>
    <hyperlink ref="FB70" r:id="rId238" xr:uid="{316C2D6A-919D-F741-8AF0-DA7E676303D8}"/>
    <hyperlink ref="Y70" r:id="rId239" tooltip="Ссылка на КонсультантПлюс" display="consultantplus://offline/ref=CE41F64B95E700B67DE5A00A9B62613B01AE69E1DB036705D8D0A60453D7CC789CC4567030BDEFDBBBe77EI" xr:uid="{D1CD83ED-8171-0543-94C8-6EB303A1F464}"/>
    <hyperlink ref="Q70" r:id="rId240" display="Постановление Правительства Калужской области от 21.01.2020 N 30 (ред. от 30.12.2022) &quot;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quot; {Ко" xr:uid="{44F30EDE-088B-374E-8058-EDA756C6F929}"/>
    <hyperlink ref="U70" r:id="rId241" xr:uid="{624A8A08-099C-C742-B117-1A1AF079155B}"/>
    <hyperlink ref="CV394" r:id="rId242" xr:uid="{46A992AD-7E41-9046-AEFC-FB751F4245E4}"/>
    <hyperlink ref="Q395" r:id="rId243" location="qLLembTsHcIRJe3m" xr:uid="{07615DD9-00D8-8B4E-9201-C1A26FE0FF76}"/>
    <hyperlink ref="CS395" display="https://docs.yandex.ru/docs/view?url=ya-browser%3A%2F%2F4DT1uXEPRrJRXlUFoewruIn9QUAwX4xINrNKvUDGNWv5_q21vz1IJFVzAtcjQ-hOdKcxXrCdT0JRnS46xP6g8f1hQUSswyr5iblUSnSz7dFXjz9lSaUnkCq2CKzfot_pP0vbvH4MZn6TYhWQ0bLqNA%3D%3D%3Fsign%3DT_OMcnDuCtCAfG7n5b45I5JQ_QUY9PgWz" xr:uid="{4AD3CC0F-CDF3-E244-9645-4DDCFE67BE35}"/>
    <hyperlink ref="DQ395" r:id="rId244" xr:uid="{8D18B323-1607-824C-95E9-04A2B8A62BEA}"/>
    <hyperlink ref="DZ395" r:id="rId245" xr:uid="{B325DD53-1E8B-544F-BA3D-D9C9AB3247DC}"/>
    <hyperlink ref="FL395" r:id="rId246" xr:uid="{1A43464D-A681-A64D-855D-F2043C0E1F19}"/>
    <hyperlink ref="FC395" r:id="rId247" display="https://ulgov.ru/news/regional/2020.12.04/58446/" xr:uid="{42FA0B67-8CA1-4B4D-BF9C-D12702085EA9}"/>
    <hyperlink ref="FD395" r:id="rId248" xr:uid="{7F9E50EB-9738-8448-87A1-FC104D8FF35F}"/>
    <hyperlink ref="FF395" r:id="rId249" xr:uid="{81341612-28A4-4C4A-83B6-9EAB460C0244}"/>
    <hyperlink ref="FB395" r:id="rId250" xr:uid="{2CBBCE01-9F0D-3447-BA91-63D651EFD60B}"/>
    <hyperlink ref="Q396" r:id="rId251" xr:uid="{57F1E5AA-BDDD-4F45-8956-45B7F78803B6}"/>
    <hyperlink ref="W396" r:id="rId252" location="Q2Wj3cT61oBIzWtl" xr:uid="{E5EAE8FA-DE36-934F-9E0E-F9FE418E873D}"/>
    <hyperlink ref="S396" r:id="rId253" display="http://10.40.40.2/ppmi/npa " xr:uid="{AB675CE8-A5A2-7448-A4FA-5C8280ADB42E}"/>
    <hyperlink ref="BG396" r:id="rId254" location="Q2Wj3cT61oBIzWtl" xr:uid="{3B7C0173-5236-E24D-8AB8-960EABCF8EA1}"/>
    <hyperlink ref="CP396" r:id="rId255" display="https://disk.yandex.ru/d/OsdmtFYj0zQBTQ" xr:uid="{9472A620-338B-614C-B45D-842857AD9B59}"/>
    <hyperlink ref="CS396" r:id="rId256" xr:uid="{A12D742B-12E9-3D46-8487-4A80F89C3742}"/>
    <hyperlink ref="CV396" r:id="rId257" xr:uid="{03C3148E-3C2D-8943-B212-CBF206AF46C3}"/>
    <hyperlink ref="FO396" r:id="rId258" location="compose?to=%22%D0%A0%D0%B5%D0%BD%D0%B0%D1%82%D0%B0%20%D0%90%D0%BB%D0%B5%D0%BA%D1%81%D0%B5%D0%B5%D0%B2%D0%B0%22%20%3Calekseeva.rr%40ulminfin.ru%3E" display="https://mail.yandex.ru/?uid=1130000046507752 - compose?to=%22%D0%A0%D0%B5%D0%BD%D0%B0%D1%82%D0%B0%20%D0%90%D0%BB%D0%B5%D0%BA%D1%81%D0%B5%D0%B5%D0%B2%D0%B0%22%20%3Calekseeva.rr%40ulminfin.ru%3E" xr:uid="{B2FD47E6-DDAB-634C-AB2C-C3BFDA344453}"/>
    <hyperlink ref="FL396" r:id="rId259" xr:uid="{FEB91905-213C-7C47-8D73-8BCC59B11907}"/>
    <hyperlink ref="FC396" r:id="rId260" display="https://цфг73.рф/ ; " xr:uid="{5FCBDCB3-C03C-3C4F-BF65-40483E85F209}"/>
    <hyperlink ref="FD396" r:id="rId261" display="http://10.40.40.2/ppmi/npa  (раздел &quot;НПА&quot;, подраздел &quot;Шаблоны&quot;, ППМИ Логотип)" xr:uid="{42D58227-839C-B44E-A6A0-DF5D2590FCA5}"/>
    <hyperlink ref="FF396" display="http://10.40.40.2/ppmi/npa ; (раздел &quot;НПА&quot;, подраздел &quot;Методические рекоменадции&quot;, документы: &quot;Новации в рамках ППМИ с 2022года (семинар для МР)&quot;, &quot;Новации в рамках ППМИ с 2022года (семинар для ГО)&quot;, &quot;Практическое применение основ федерального законодател" xr:uid="{216EA249-2F80-5A4F-A502-25FFD72A6148}"/>
    <hyperlink ref="Q391" r:id="rId262" xr:uid="{1F082CA6-4B87-B648-82A2-75ACDB31261B}"/>
    <hyperlink ref="FL391" r:id="rId263" xr:uid="{C5DDA26C-7D97-A442-9BEC-47E40014CB9B}"/>
    <hyperlink ref="CS391" r:id="rId264" xr:uid="{7AB50A47-E09D-A54A-B193-70C746C853C4}"/>
    <hyperlink ref="BG391" r:id="rId265" xr:uid="{70F54BC6-1B7D-034E-8AD3-D0FA7346D4A5}"/>
    <hyperlink ref="FB391" r:id="rId266" xr:uid="{947884D1-507A-D740-A899-095B9190A62C}"/>
    <hyperlink ref="FC391" r:id="rId267" xr:uid="{B6D8D7E2-E7D7-4E4C-954D-9C896FA0B58D}"/>
    <hyperlink ref="FF391" r:id="rId268" display="https://disk.yandex.ru/i/aYxSNZdBi9urEQ" xr:uid="{2097A36E-70B7-8E4B-A2C6-26ED5900BE43}"/>
    <hyperlink ref="FD391" r:id="rId269" xr:uid="{F27E8780-707D-FA46-8C2F-0524BA0692FA}"/>
    <hyperlink ref="CV391" r:id="rId270" xr:uid="{D62DD4BC-ED5A-564F-9AA9-4FAAB40F4FAA}"/>
    <hyperlink ref="Q392" r:id="rId271" display="http://www.udmurt.ru/regulatory/index.php?typeid=All&amp;regnum=79&amp;sdate=06.03.2019&amp;edate=&amp;sdatepub=&amp;edatepub=&amp;q=&amp;doccnt=&amp;page=2&amp;doccnt=" xr:uid="{81D2AD0B-BA0B-CC40-AEF7-643C8A2DBB29}"/>
    <hyperlink ref="Y392" r:id="rId272" display="http://www.udmurt.ru/regulatory/index.php?typeid=31183294&amp;regnum=196&amp;sdate=21.05.2019&amp;edate=&amp;sdatepub=&amp;edatepub=&amp;q=&amp;doccnt=" xr:uid="{5C61EBF6-7E2D-414B-A0F5-688C2231B328}"/>
    <hyperlink ref="CS392" r:id="rId273" xr:uid="{C4518B61-A645-3E41-8D83-91B732E53931}"/>
    <hyperlink ref="FB392" r:id="rId274" xr:uid="{1ACBA2AB-B601-DE45-9C49-84EEFF6DE6AA}"/>
    <hyperlink ref="FC392" r:id="rId275" xr:uid="{E5C228C2-4065-CD4E-B81F-6FB673ED50E8}"/>
    <hyperlink ref="FD392" r:id="rId276" xr:uid="{7228E5F3-DA07-4B4E-A780-8B4B60EFD76B}"/>
    <hyperlink ref="CV392" r:id="rId277" xr:uid="{8DEE9F0D-6614-194B-BB63-536A64F25565}"/>
    <hyperlink ref="Q387" r:id="rId278" xr:uid="{82D8115D-2798-DF46-8B5E-F876996439A7}"/>
    <hyperlink ref="CS387" r:id="rId279" display="https://72.rosstat.gov.ru/ofs_demp_ug" xr:uid="{D1CA2A64-C141-EF46-8E26-DEC3DF9ACE1C}"/>
    <hyperlink ref="FB387" r:id="rId280" xr:uid="{BCFDBE94-1ADC-EA4F-BD7B-791EAB43936A}"/>
    <hyperlink ref="Q389" r:id="rId281" xr:uid="{2C387E68-AED1-FF40-9D85-57E8A0B86541}"/>
    <hyperlink ref="FB389" r:id="rId282" xr:uid="{B2C8260B-51E0-2D4D-B89A-153E93DB358E}"/>
    <hyperlink ref="FC389" r:id="rId283" xr:uid="{ADFCD43C-E181-6546-A3C0-BCEFA547ECE5}"/>
    <hyperlink ref="FD389" r:id="rId284" xr:uid="{201355BE-5E18-9944-B47B-FFFAF5B661FC}"/>
    <hyperlink ref="FE389" r:id="rId285" xr:uid="{C3B387FB-B606-094B-9E92-DB8762D37B03}"/>
    <hyperlink ref="FL389" r:id="rId286" xr:uid="{F9C51B5C-B37C-5546-9DDD-0C65CECDED29}"/>
    <hyperlink ref="CS389" r:id="rId287" display="https://72.rosstat.gov.ru/storage/mediabank/Численность%20населения%20за%202017-2022%20годы_ЮГ_2.xlsx" xr:uid="{F7991C7E-5A64-E347-9C50-2BD2BE6E8C86}"/>
    <hyperlink ref="CS388" r:id="rId288" display="https://72.rosstat.gov.ru/storage/mediabank/Численность%20населения%20за%202017-2022%20годы_ЮГ_2.xlsx" xr:uid="{4F722F39-5381-764A-8042-0961EB3EB3AC}"/>
    <hyperlink ref="Y388" r:id="rId289" xr:uid="{818E4062-51AA-894A-B0BC-7F982ACD3322}"/>
    <hyperlink ref="S388" r:id="rId290" xr:uid="{EB292878-C003-B042-8438-32030A346911}"/>
    <hyperlink ref="Q375" r:id="rId291" xr:uid="{78F24DF0-C4E5-D54E-8E72-930E7B7245DF}"/>
    <hyperlink ref="FB375" r:id="rId292" xr:uid="{3F5324AE-42B7-0946-A71C-9111B2373846}"/>
    <hyperlink ref="FD375" r:id="rId293" xr:uid="{616D2CA6-26CB-FC44-BD24-13C7F36F0F23}"/>
    <hyperlink ref="CS375" r:id="rId294" xr:uid="{4647E663-94D1-1749-AC45-EBC55F90F350}"/>
    <hyperlink ref="U375" r:id="rId295" xr:uid="{0B4E931D-B9F4-F544-8C04-F24E73BEB0F5}"/>
    <hyperlink ref="Y375" r:id="rId296" xr:uid="{52F10832-19FD-2C48-B5C8-8163168792F7}"/>
    <hyperlink ref="FL379" r:id="rId297" xr:uid="{B49D30F1-BFD9-0A45-A3B3-3189C4EBB564}"/>
    <hyperlink ref="Y379" r:id="rId298" xr:uid="{449F5F96-08A8-3747-943C-B4B5951CC883}"/>
    <hyperlink ref="Q379" r:id="rId299" xr:uid="{58937B38-BFA6-9742-A2CA-4F0529AF1A1A}"/>
    <hyperlink ref="CS379" r:id="rId300" xr:uid="{9E4E81C4-1CAA-0341-886A-C6C1579E4F2F}"/>
    <hyperlink ref="CP379" r:id="rId301" xr:uid="{F8DF9BC8-B27A-0949-82E2-E25057B3903A}"/>
    <hyperlink ref="CS376" r:id="rId302" xr:uid="{EACB93C8-8F5D-7742-9A96-3F74009B5F08}"/>
    <hyperlink ref="FB376" r:id="rId303" xr:uid="{CC7ADD6A-8A94-2341-A646-28C39BBDDDF8}"/>
    <hyperlink ref="FL376" r:id="rId304" xr:uid="{E2034F93-B3F7-B641-A2F1-B5164B3B3270}"/>
    <hyperlink ref="Q376" r:id="rId305" xr:uid="{EB64A316-6CD7-9C45-8BCA-56D4714F11E0}"/>
    <hyperlink ref="CS378" r:id="rId306" xr:uid="{262975EE-E18B-E44A-A1ED-C1D31948D2DC}"/>
    <hyperlink ref="FB378" r:id="rId307" xr:uid="{9501AF97-31D0-0347-B193-00A648C32DF4}"/>
    <hyperlink ref="FL378" r:id="rId308" xr:uid="{A2A9D0EF-099C-9548-83C2-0695DE005060}"/>
    <hyperlink ref="Q378" r:id="rId309" xr:uid="{F544D00D-2FC6-A043-A9D7-4D1A861F53B7}"/>
    <hyperlink ref="FL377" r:id="rId310" xr:uid="{0BA70FBB-CF61-4E4F-ABB5-2D24E80836EB}"/>
    <hyperlink ref="FB377" r:id="rId311" xr:uid="{139531B1-1DBC-3845-AC5E-C5ECA71C1174}"/>
    <hyperlink ref="FD377" r:id="rId312" xr:uid="{4357C5D5-C9ED-8046-95F6-682C9ED80B04}"/>
    <hyperlink ref="Q377" r:id="rId313" xr:uid="{DBE42BC8-F6D3-8E4D-BB89-528E1F9E0F22}"/>
    <hyperlink ref="CS377" r:id="rId314" xr:uid="{953B0622-9281-534F-892D-1A08AB9D7F4C}"/>
    <hyperlink ref="Q337" r:id="rId315" xr:uid="{093C4AD7-F05D-EC43-8822-3216FC6F561F}"/>
    <hyperlink ref="FL337" r:id="rId316" xr:uid="{7CA77E1C-4854-1D47-AA82-3D39D93EBF1F}"/>
    <hyperlink ref="FB337" r:id="rId317" display="http://economy.midural.ru/content/iniciativnoe-byudzhetirovanie" xr:uid="{CF01449C-F5E4-D849-B9A3-2361C4C0F4BE}"/>
    <hyperlink ref="FC337" r:id="rId318" display="https://vk.com/economy_so " xr:uid="{F1B24882-753C-FE4E-890F-26B6732405CB}"/>
    <hyperlink ref="Q339" r:id="rId319" xr:uid="{F247B910-4C07-D043-8A18-A79D82D3983B}"/>
    <hyperlink ref="Y339" r:id="rId320" xr:uid="{219DDE3F-0A33-6041-BED7-5947B48CF760}"/>
    <hyperlink ref="CS339" r:id="rId321" xr:uid="{BA1D9F64-DF18-4C44-8F40-02B1ED7560CC}"/>
    <hyperlink ref="FB339" r:id="rId322" xr:uid="{245FA535-6522-174A-8571-A5DB2FD28B90}"/>
    <hyperlink ref="FD339" r:id="rId323" xr:uid="{CA2FE951-8D2D-D545-B9FE-24D6825E9CBB}"/>
    <hyperlink ref="BG339" r:id="rId324" xr:uid="{E70C31BA-DF00-D742-A4A5-CD1CDB40AC93}"/>
    <hyperlink ref="CV339" r:id="rId325" xr:uid="{93059F35-9A69-8640-A347-4FA8CFFEEEF4}"/>
    <hyperlink ref="Q338" r:id="rId326" xr:uid="{43B82E43-5DA6-2046-AE9C-E6B75CD59CD6}"/>
    <hyperlink ref="FL338" r:id="rId327" xr:uid="{AA0DC52D-A437-2546-9F7C-D938680B1D23}"/>
    <hyperlink ref="FB338" r:id="rId328" xr:uid="{A2F70865-3AFD-FC40-95FF-C595FEC49DEC}"/>
    <hyperlink ref="Q286" r:id="rId329" xr:uid="{ACDA7CF9-AADF-554C-BDC6-2B49E401288C}"/>
    <hyperlink ref="S286" r:id="rId330" xr:uid="{7AE1BCAE-CDCA-204A-8F55-617369DEADBE}"/>
    <hyperlink ref="U286" r:id="rId331" xr:uid="{9639D923-B866-9F4F-90E7-8A9A45A47D31}"/>
    <hyperlink ref="W286" r:id="rId332" xr:uid="{069E3364-33B3-5840-B347-AB10CEB529B3}"/>
    <hyperlink ref="Y286" r:id="rId333" xr:uid="{854CCF6A-E5A0-164C-A065-0DCE8FDF1C1C}"/>
    <hyperlink ref="BG286" r:id="rId334" xr:uid="{1D538E7C-C828-284C-8C42-A6A41AF02EF3}"/>
    <hyperlink ref="FB286" r:id="rId335" xr:uid="{6B60C128-630B-8D41-BD21-88072CA9FDDA}"/>
    <hyperlink ref="FC286" r:id="rId336" xr:uid="{471F22B1-1A28-C340-8105-36645B6EE966}"/>
    <hyperlink ref="FD286" r:id="rId337" xr:uid="{BC8BC702-C44E-9F45-A4E7-F9076F33EA7F}"/>
    <hyperlink ref="FL286" r:id="rId338" display="gpso63@yandex.ru, " xr:uid="{109D3F6C-A7F1-2344-8BE0-5A9E4479D777}"/>
    <hyperlink ref="CP286" r:id="rId339" xr:uid="{44E4FEC5-2632-4A41-9AC3-4918712C5501}"/>
    <hyperlink ref="Q335" r:id="rId340" display="https://pib.sakhminfin.ru/show/mb" xr:uid="{4C2ACA92-8D13-274E-A2C9-77010149A304}"/>
    <hyperlink ref="W335" r:id="rId341" xr:uid="{09023A98-AACB-A946-9E36-185E8A04D0EF}"/>
    <hyperlink ref="CS335" r:id="rId342" xr:uid="{D3B47B04-976C-024F-BED7-D27A5433E503}"/>
    <hyperlink ref="FB335" r:id="rId343" display="https://pib.sakhminfin.ru/_x000a_" xr:uid="{37D5D85A-7DED-A143-A0E3-63C59549A28C}"/>
    <hyperlink ref="FA335" r:id="rId344" display="https://pib.sakhminfin.ru/projects?MembersCategoryId=1" xr:uid="{6971AD3F-4A80-D242-88C2-D116F77FC636}"/>
    <hyperlink ref="FE335" r:id="rId345" display="https://sakhminfin.ru/index.php/oministerstve/meropriyatiya/ofmerop/3931-v-sakhalinskoj-oblasti-startuet-novyj-tsikl-molodezhnogo-byudzheta " xr:uid="{F5FC7F0A-4D65-D348-AA29-CF5BC45F92E4}"/>
    <hyperlink ref="FC335" r:id="rId346" display="http://sakhminfin.ru/" xr:uid="{512AE16A-198C-F743-A0FF-26C5F3F7F615}"/>
    <hyperlink ref="FF335" r:id="rId347" display="https://disk.yandex.ru/d/HJSWEZqo5gRLhQ" xr:uid="{C5FE6950-FCD4-4941-B3D2-7D23B58C9DB9}"/>
    <hyperlink ref="Q336" r:id="rId348" display="https://pib.sakhminfin.ru/show/ppi" xr:uid="{3F2A01D6-995E-DE43-B317-E3758EBD87CD}"/>
    <hyperlink ref="U336" r:id="rId349" xr:uid="{04259297-6F0F-E549-831C-6EC7B2A01460}"/>
    <hyperlink ref="CS336" r:id="rId350" xr:uid="{1D6A2F94-09A6-0D47-A843-F1EB23915EEE}"/>
    <hyperlink ref="EO336" r:id="rId351" xr:uid="{BFA0739C-B16D-4044-BBCC-D4A9C9194370}"/>
    <hyperlink ref="FA336" r:id="rId352" xr:uid="{F544F1F8-9803-C449-A42D-3BE989F8BB1F}"/>
    <hyperlink ref="FB336" r:id="rId353" display="https://pib.sakhminfin.ru/show/ppi" xr:uid="{59B8760F-587B-C243-A0A1-73ABF11FC37E}"/>
    <hyperlink ref="FC336" r:id="rId354" display="http://sakhminfin.ru/" xr:uid="{F0CA0726-749A-9E4E-BDB6-95D7DF68B356}"/>
    <hyperlink ref="FF336" r:id="rId355" display="https://disk.yandex.ru/d/ctvkZFCzLGaQ_g" xr:uid="{0DE28925-B528-A94E-BD01-2431A4B06E0A}"/>
    <hyperlink ref="Q330" r:id="rId356" xr:uid="{E415D142-841C-8146-80AD-ABFDE186A3AB}"/>
    <hyperlink ref="Y330" r:id="rId357" xr:uid="{63ABAC32-B046-9F44-BCBF-E189AB8F9578}"/>
    <hyperlink ref="CP330" r:id="rId358" xr:uid="{0BBD8927-FD24-934B-B449-AA78895F84D8}"/>
    <hyperlink ref="CS330" r:id="rId359" xr:uid="{C8624C59-2AE9-454F-839F-9D0BBA052D02}"/>
    <hyperlink ref="CV330" r:id="rId360" xr:uid="{A7A1469B-2172-2E47-8EFD-0F3695CA446A}"/>
    <hyperlink ref="FA330" r:id="rId361" display="В 2021 году впервые была реализована возможность проведения общешкольных онлайн голосований на официальном сайте проекта &quot;Твой бюджет в школах&quot;  https://school.tvoybudget.spb.ru/ _x000a_В 2022 году процедура проведения онлайн голосования не изменялась. Для учас" xr:uid="{93B7C7FF-2551-A242-B329-A6FA05184DBC}"/>
    <hyperlink ref="FB330" r:id="rId362" xr:uid="{BBCF2419-587E-1D45-98D5-818489B480DF}"/>
    <hyperlink ref="FC330" r:id="rId363" xr:uid="{F473832E-E04A-174C-A195-640EAFC472C3}"/>
    <hyperlink ref="FD330" r:id="rId364" xr:uid="{E9CDE8D5-54E4-9440-901C-FBAC31B9A4FB}"/>
    <hyperlink ref="FL330" r:id="rId365" xr:uid="{55B7B717-D153-0F49-9DFB-285340835AB1}"/>
    <hyperlink ref="FO330" r:id="rId366" xr:uid="{7E668C47-9076-BC4F-89A6-69F4043D3743}"/>
    <hyperlink ref="Y329" r:id="rId367" display="https://spbddtl.ru/files/polozhenie-o-konkurse-tvoj-shkolnyj-byudzhet.pdf" xr:uid="{79DAB25F-5BC0-EF4E-ABC7-34DDCFA5BFB3}"/>
    <hyperlink ref="CS329" r:id="rId368" xr:uid="{FCAC838B-9D89-7C4C-84B9-56C0DFDB9FE1}"/>
    <hyperlink ref="DW329" r:id="rId369" xr:uid="{7303E993-2ECD-8844-8716-1C4288A96371}"/>
    <hyperlink ref="EC329" r:id="rId370" xr:uid="{C1E46523-D5CB-5244-BA58-FC9E955F9EF9}"/>
    <hyperlink ref="FD329" r:id="rId371" display="https://drive.google.com/drive/folders/1YvEmAsUXFub9rTIDNsoYmn_z6qsVxIMl" xr:uid="{73DC87AB-2F8A-5B4E-9764-D3413F2E1EB4}"/>
    <hyperlink ref="FB329" r:id="rId372" xr:uid="{B2926DFF-2B0C-7840-83D4-D6B53149358D}"/>
    <hyperlink ref="FC329" r:id="rId373" xr:uid="{23801C0E-DE49-954D-9819-BE1A075BBE20}"/>
    <hyperlink ref="FL329" r:id="rId374" xr:uid="{2777B17C-AF2A-2643-B3FC-618CD34E320F}"/>
    <hyperlink ref="Q331" r:id="rId375" xr:uid="{47762889-899C-CD4C-8B18-7C2D1AE944CB}"/>
    <hyperlink ref="Y331" r:id="rId376" xr:uid="{07606340-4297-1E43-AFBF-086A525F97E8}"/>
    <hyperlink ref="BG331" r:id="rId377" display="подпункт &quot;г&quot; пункта 7 и приложение 1 к положению о порядке предоставления и распределения субсидии из областного бюджета бюджетам городских округов, городских и сельских поселений области на реализацию инициативных проектов утвержденного постановление Пра" xr:uid="{A2F6C7D0-4ACC-FF42-8035-8C34AED3199E}"/>
    <hyperlink ref="CS331" r:id="rId378" xr:uid="{70BD87E7-243F-2D44-B3CD-3A6DBBF74FC1}"/>
    <hyperlink ref="FB331" r:id="rId379" xr:uid="{51A6DBDA-8DE3-3548-99C8-06784F05FB11}"/>
    <hyperlink ref="FD331" r:id="rId380" xr:uid="{39267599-60EA-6142-A713-DE16DB8AF5DF}"/>
    <hyperlink ref="FE331" location="'практика субъекта'!B158"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xr:uid="{55F4F455-07E8-6546-A5E0-ED42CDB9C8AE}"/>
    <hyperlink ref="FL331" r:id="rId381" xr:uid="{EE204BBD-DA5D-144A-8D26-C812E440E6A7}"/>
    <hyperlink ref="FO333" r:id="rId382" xr:uid="{E8654DC3-2CEA-8442-8FB3-CAF0A1210602}"/>
    <hyperlink ref="FL333" r:id="rId383" xr:uid="{B8F8C9AB-25CD-1741-B48F-F64D4F915A1C}"/>
    <hyperlink ref="FB333" r:id="rId384" xr:uid="{6C2C0EF9-6D28-8640-BA55-2AD41682C3F8}"/>
    <hyperlink ref="DZ333" r:id="rId385" xr:uid="{8CCABEF4-11FD-B841-AEF1-9B1C3BE1176A}"/>
    <hyperlink ref="CS333" r:id="rId386" xr:uid="{C61C4AA9-6C6D-B746-9FC2-E5746129574C}"/>
    <hyperlink ref="CP333" r:id="rId387" xr:uid="{B6B9D081-7578-624C-BF7D-B396D9DCC248}"/>
    <hyperlink ref="Q333" r:id="rId388" xr:uid="{DAD10292-E1CE-8749-88E3-74AC67D13592}"/>
    <hyperlink ref="Q332" r:id="rId389" xr:uid="{4C05842E-F3B2-484F-B7F4-C39CCC678BFD}"/>
    <hyperlink ref="FL332" r:id="rId390" xr:uid="{12FE0C6B-FD9E-F044-B051-D8AC75E9D37E}"/>
    <hyperlink ref="FO332" r:id="rId391" xr:uid="{924C02E1-8DB5-2B4F-8839-0B9A3FF4B019}"/>
    <hyperlink ref="CS332" r:id="rId392" xr:uid="{77A71775-EE59-C248-9402-CBC9177432C6}"/>
    <hyperlink ref="CS283" r:id="rId393" xr:uid="{88B593D9-0936-6247-B26E-CFAB0DB80E9E}"/>
    <hyperlink ref="FB283" r:id="rId394" xr:uid="{EB76AA10-8670-B144-969F-CC1004F77B56}"/>
    <hyperlink ref="FL283" r:id="rId395" xr:uid="{90C3FDE4-E9C0-B54D-AC13-A622C32BBEBA}"/>
    <hyperlink ref="FC283" r:id="rId396" xr:uid="{0FA5DD6C-5BCB-0B41-B8C4-370A6FF75443}"/>
    <hyperlink ref="FF283" r:id="rId397" display="https://disk.yandex.ru/i/HThgczPor6hX_g" xr:uid="{9DEE0AFA-2E62-4F49-8B2A-643F4E35275F}"/>
    <hyperlink ref="Y283" r:id="rId398" xr:uid="{C3945BA2-12D5-1B4A-880D-EA3B5567DD89}"/>
    <hyperlink ref="Y285" r:id="rId399" tooltip="Ссылка на КонсультантПлюс" display="consultantplus://offline/ref=24A1553E6DE4C29E30FEA25263B15CD09B0908C88962D2E914EE6706EA5FCB82F7A59D602150B3A907n8ECO" xr:uid="{99CEFAAE-6C12-A048-853E-AFD2023B46BD}"/>
    <hyperlink ref="FB285" r:id="rId400" xr:uid="{BD8ACF2A-5848-DE4D-867A-8DAE0B5DA2AB}"/>
    <hyperlink ref="FL285" r:id="rId401" xr:uid="{457D05B5-95EB-EA44-854D-907BC2D0E63F}"/>
    <hyperlink ref="S285" r:id="rId402" tooltip="Ссылка на КонсультантПлюс" display="consultantplus://offline/ref=7A8079BB22A90FC58189C1F3198D70BC59D58978709EA63070E4BAA502BD6E590BDA5032DD61F941DDO045J" xr:uid="{DCB3D58F-075F-4545-9375-9C67CC04BB87}"/>
    <hyperlink ref="Q285" r:id="rId403" tooltip="Ссылка на КонсультантПлюс" display="consultantplus://offline/ref=DE2DE3F8186B0DAD49025B8CDA042F0A3702C1F84D01F84FDB1859A0452F269CB69213BADF9B6F70CDB851237108FCECB1C794F803344305CCF079H" xr:uid="{5781D174-9837-934F-8649-AC733FBC0C33}"/>
    <hyperlink ref="U281" r:id="rId404" display="https://pravo.donland.ru/doc/view/id/%D0%9E%D0%B1%D0%BB%D0%B0%D1%81%D1%82%D0%BD%D0%BE%D0%B9+%D0%B7%D0%B0%D0%BA%D0%BE%D0%BD_178-%D0%97%D0%A1_01082019_12886/" xr:uid="{15469EF9-3C5E-A344-A471-577E54262CAB}"/>
    <hyperlink ref="CS281" r:id="rId405" xr:uid="{71F98DAD-3E7B-DC4E-9248-C116593C848D}"/>
    <hyperlink ref="ER281" r:id="rId406" xr:uid="{6381D4F9-4CD2-3D4C-A2E3-5F1DF5B66C18}"/>
    <hyperlink ref="FB281" r:id="rId407" xr:uid="{93639E3C-20BD-0642-A3EE-FB9791DE7B58}"/>
    <hyperlink ref="FC281" r:id="rId408" xr:uid="{1E7519AD-B507-0343-A071-31ECDFF10305}"/>
    <hyperlink ref="FL281" r:id="rId409" xr:uid="{D8B7879A-DB23-9A4F-9510-C423AD5A1AC3}"/>
    <hyperlink ref="FE281" r:id="rId410" display="https://www.donland.ru/news/14625/" xr:uid="{3F4CE807-012C-3B46-8ED7-9CD3017BBEFA}"/>
    <hyperlink ref="FO281" r:id="rId411" xr:uid="{D86482C1-63A2-B34B-A3F8-7CB124169A59}"/>
    <hyperlink ref="FB347" r:id="rId412" xr:uid="{0463E061-9A28-074E-B32F-147D39DB34EB}"/>
    <hyperlink ref="FL347" r:id="rId413" xr:uid="{321ADB6B-1CBA-7845-8ACF-4C41B8F1EA33}"/>
    <hyperlink ref="CS381" r:id="rId414" xr:uid="{2D8962D6-17A3-EF46-B00B-1995E1F0BD7A}"/>
    <hyperlink ref="Q381" r:id="rId415" xr:uid="{5ABE67FD-07FC-0848-B68A-613297217425}"/>
    <hyperlink ref="S381" r:id="rId416" xr:uid="{DDEC62E9-A3C1-AC42-8BB6-6D4A9EAA6AAF}"/>
    <hyperlink ref="FL381" r:id="rId417" xr:uid="{D1A3247E-A46F-C848-B443-4EDFDFC575AA}"/>
    <hyperlink ref="Q13" r:id="rId418" xr:uid="{AE25098A-DD68-784D-BB10-21206C2740C7}"/>
    <hyperlink ref="Y13" r:id="rId419" xr:uid="{4D18BE37-4204-9944-AFB4-E1619A2FD112}"/>
    <hyperlink ref="FL13" r:id="rId420" xr:uid="{C78BC286-4999-784D-8AB9-4044E873BFED}"/>
    <hyperlink ref="FC13" r:id="rId421" xr:uid="{F67A2E30-20FE-F446-A157-236FB73BA01B}"/>
    <hyperlink ref="FO13" r:id="rId422" xr:uid="{36B0C0C9-5FC6-164D-BDD6-313E7B62A26C}"/>
    <hyperlink ref="Q416" r:id="rId423" xr:uid="{A9221879-9BD8-4648-9F5A-7836DD615BC9}"/>
    <hyperlink ref="FB416" r:id="rId424" xr:uid="{EA41A555-26AE-8843-BE89-73860B01BE17}"/>
    <hyperlink ref="FD416" r:id="rId425" xr:uid="{FC362D39-F375-3D41-86E8-3FC87EDA7F2D}"/>
    <hyperlink ref="Y417" r:id="rId426" xr:uid="{EE521017-D279-5B48-8285-D142DE042387}"/>
    <hyperlink ref="ES417" r:id="rId427" display="https://isib.myopenugra.ru/" xr:uid="{9110D516-ECC4-D741-8FE7-3E76822AC2AD}"/>
    <hyperlink ref="P417" r:id="rId428" xr:uid="{00E26475-AB2A-C849-877D-B72D8001D14A}"/>
    <hyperlink ref="ER417" r:id="rId429" xr:uid="{DBEE63CB-6006-F440-825B-D50D20CAAE43}"/>
    <hyperlink ref="CV349" r:id="rId430" xr:uid="{264C44DA-9C6D-2943-A073-F61588876740}"/>
    <hyperlink ref="Q383" r:id="rId431" display="http://publication.pravo.gov.ru/Document/View/6900202103170004" xr:uid="{5AC22344-4368-C543-99CF-9B4DCDF49D01}"/>
    <hyperlink ref="W383" r:id="rId432" xr:uid="{19F0B365-70D0-E749-B1D7-1BB3CD874F3D}"/>
    <hyperlink ref="Y383" r:id="rId433" xr:uid="{473E0435-7098-A54F-A60E-6AD4DE7FFF0C}"/>
    <hyperlink ref="FL383" r:id="rId434" xr:uid="{CE76E1DA-9CCA-1545-9282-08179C82F993}"/>
    <hyperlink ref="FO383" r:id="rId435" xr:uid="{E4E94726-0A5B-A649-B5E9-84DE651BA0A5}"/>
    <hyperlink ref="CS328" r:id="rId436" xr:uid="{E728433E-8A49-474E-997F-16B8B2E03A26}"/>
    <hyperlink ref="FC328" r:id="rId437" xr:uid="{30D87466-6DD6-1C45-B86C-5285CA50D8B2}"/>
    <hyperlink ref="FD328" r:id="rId438" xr:uid="{EA1029AB-6E92-6146-8122-B4B573A68816}"/>
    <hyperlink ref="FL328" r:id="rId439" xr:uid="{FBFB3C39-A12C-DB48-B762-9560E74DB24D}"/>
    <hyperlink ref="FB328" r:id="rId440" xr:uid="{38CA8B9E-6636-E542-97DE-7DF22BBDE8DB}"/>
    <hyperlink ref="FB11" r:id="rId441" xr:uid="{DE31178F-207C-8F4F-98C7-CF55EA1AAE09}"/>
    <hyperlink ref="Q11" r:id="rId442" xr:uid="{B12D1BBD-A271-B240-8691-92F8BE0A3458}"/>
    <hyperlink ref="FD11" r:id="rId443" xr:uid="{4742283B-D429-B14E-8E3E-48CE01A57DBA}"/>
    <hyperlink ref="FE11" r:id="rId444" display="https://xn--80ap0afx9bb.xn--p1ai/news/?/2022/12/30/17_vebinar_po_teme_kak_oformit_zayavku_na_konkurs_ya_schitayu." xr:uid="{A7C9E92A-E367-8446-9168-C7050F21117E}"/>
    <hyperlink ref="S11" r:id="rId445" xr:uid="{771E9043-7066-2C45-8E82-C676E6D9319C}"/>
    <hyperlink ref="FO11" r:id="rId446" xr:uid="{39D0558A-1D19-FC40-950F-06CE49C49469}"/>
    <hyperlink ref="Q57" r:id="rId447" xr:uid="{A0E1085F-B1CE-8D42-9883-EC3803CF077E}"/>
    <hyperlink ref="CS57" r:id="rId448" xr:uid="{43BD7874-0D68-A14D-8F18-D7D6E2ED0FF1}"/>
    <hyperlink ref="DQ57" r:id="rId449" xr:uid="{4F697BF4-BF2A-8E42-B5D0-79B359420F5E}"/>
    <hyperlink ref="DH57" r:id="rId450" xr:uid="{D66C9D56-9C13-294F-B031-85024396631D}"/>
    <hyperlink ref="FB57" r:id="rId451" xr:uid="{36B6FE68-D076-C841-8384-518E367EEE2B}"/>
    <hyperlink ref="FC57" r:id="rId452" xr:uid="{0C888B6C-744A-9249-BCD7-CB8EF1AE9BE4}"/>
    <hyperlink ref="FL57" r:id="rId453" xr:uid="{6E7876FD-B651-0B4A-AFE5-B43BD24D2E40}"/>
    <hyperlink ref="Y57" r:id="rId454" xr:uid="{E0300295-6438-CB49-8FE3-262ED1627216}"/>
    <hyperlink ref="FO57" r:id="rId455" xr:uid="{39EFDEC2-3A79-A540-B033-5D80186773EF}"/>
    <hyperlink ref="Q58" r:id="rId456" xr:uid="{8CFF1693-ACC7-3E4C-BCF7-EFE7559C0861}"/>
    <hyperlink ref="Y58" r:id="rId457" display="http://publication.pravo.gov.ru/Document/View/7500202005280001" xr:uid="{AEDE7CEC-AB5D-8948-BA74-9D59C707BE2F}"/>
    <hyperlink ref="DZ58" r:id="rId458" xr:uid="{19CC3AC2-EBC9-A84D-9FF8-5802CBF840D3}"/>
    <hyperlink ref="FL58" r:id="rId459" xr:uid="{18F71ACC-EF89-144F-92C0-B7B3504370EC}"/>
    <hyperlink ref="FB58" r:id="rId460" xr:uid="{E2DF3EB4-5D5F-1545-BAEC-620A4A0131EB}"/>
    <hyperlink ref="FD58" r:id="rId461" xr:uid="{137E77AD-0AA3-3843-9845-D07C18DB0323}"/>
    <hyperlink ref="FO58" r:id="rId462" xr:uid="{B3CCFDE7-6CAD-EB44-BECE-F7EFDDC08CC3}"/>
    <hyperlink ref="FB59" r:id="rId463" xr:uid="{6943707E-A858-D648-89BB-30E53E052DE1}"/>
    <hyperlink ref="FO59" r:id="rId464" xr:uid="{32C182C5-6D3B-5843-925B-BEE25FA7ED56}"/>
    <hyperlink ref="W18" r:id="rId465" xr:uid="{79085DBD-53FF-F344-B23F-33AF85E0894C}"/>
    <hyperlink ref="CS18" r:id="rId466" xr:uid="{88D769C4-E264-814C-B289-0DC673495DA6}"/>
    <hyperlink ref="FL18" r:id="rId467" xr:uid="{E3DB6698-A4B7-8E41-9739-F4D1ED57B4A3}"/>
    <hyperlink ref="CV18" r:id="rId468" xr:uid="{0AA131DB-DC01-A64A-A667-C306AF766497}"/>
    <hyperlink ref="Q18" r:id="rId469" xr:uid="{D11B0C89-647B-FC48-94E8-3CC9A9025303}"/>
    <hyperlink ref="FO18" r:id="rId470" display="armenshin.i@bashkortostan.ru" xr:uid="{C9990DAF-E6D4-BF4D-BC49-7C9385931667}"/>
    <hyperlink ref="W20" r:id="rId471" xr:uid="{FC682C01-E083-DD4C-86B0-5E867965A6B5}"/>
    <hyperlink ref="CS20" r:id="rId472" xr:uid="{DD30FDC9-4922-0A48-BE66-AE4AA63FE7D9}"/>
    <hyperlink ref="FL20" r:id="rId473" xr:uid="{7547506E-C4F8-FD40-AD23-AD3E755D1829}"/>
    <hyperlink ref="FO20" r:id="rId474" xr:uid="{7559AC13-CFC0-134E-8986-F9620669C463}"/>
    <hyperlink ref="FL284" r:id="rId475" xr:uid="{7ACC1C06-96E5-8649-B4E2-7EFF34E3FDC6}"/>
    <hyperlink ref="U385" r:id="rId476" xr:uid="{26164CD9-FEDB-5C49-BBBB-C9E863638770}"/>
    <hyperlink ref="Y385" r:id="rId477" display="https://docs.cntd.ru/document/574631687" xr:uid="{476D3003-E1BC-504E-8F74-4EF9114B25F7}"/>
    <hyperlink ref="DQ385" r:id="rId478" xr:uid="{A91296B4-E1AE-F44F-83D4-8FE77536670B}"/>
    <hyperlink ref="FB385" r:id="rId479" xr:uid="{90607530-E65B-4444-9762-A56A84CDCC95}"/>
    <hyperlink ref="FC385" r:id="rId480" xr:uid="{A4364583-97A2-6045-B130-6697CC4747DF}"/>
    <hyperlink ref="FL385" r:id="rId481" xr:uid="{086172B4-1254-D04E-A1CE-25BEF3B7F394}"/>
    <hyperlink ref="FD385" r:id="rId482" xr:uid="{97D8EFD8-63FA-3E4C-A667-68B71C7AC0BF}"/>
    <hyperlink ref="FO385" r:id="rId483" xr:uid="{FD314B1F-06A9-0043-80E0-C24367F994DE}"/>
    <hyperlink ref="FG412" r:id="rId484" xr:uid="{59091349-F27A-3041-A1A3-51A859ADAE9E}"/>
    <hyperlink ref="Q412" r:id="rId485" xr:uid="{E42FAC81-0A4D-0E47-BBAB-317B0A74AD07}"/>
    <hyperlink ref="CS412" r:id="rId486" xr:uid="{393B68DF-96B7-F544-A13E-AC50543953A6}"/>
    <hyperlink ref="EX412" r:id="rId487" xr:uid="{94E8D37D-C541-2945-A897-DEB5FBB3D6E5}"/>
    <hyperlink ref="FB14" r:id="rId488" xr:uid="{E5134B05-7C49-2043-8FED-D52DE8906423}"/>
    <hyperlink ref="FD14" r:id="rId489" xr:uid="{0B4DEFE7-FD36-5047-B88B-C89F1B1CBCED}"/>
    <hyperlink ref="FC14" r:id="rId490" xr:uid="{A4FE6201-6475-7C4E-8017-6D53E7381E66}"/>
    <hyperlink ref="FL14" r:id="rId491" xr:uid="{0C3F1099-1450-7E4F-B252-B1A895477D03}"/>
    <hyperlink ref="AA14" r:id="rId492" xr:uid="{4626AFE7-60D8-1F45-AB78-635EE5EFABD8}"/>
    <hyperlink ref="CV14" r:id="rId493" xr:uid="{43871FBB-0634-CA4E-A799-999862055E89}"/>
    <hyperlink ref="FO14" r:id="rId494" xr:uid="{BEA767B5-A90F-E645-AFC5-6448FC973DEF}"/>
    <hyperlink ref="FC15" r:id="rId495" xr:uid="{446BD13E-F7EC-044D-AA61-BA1D0CCAB4E2}"/>
    <hyperlink ref="FL15" r:id="rId496" xr:uid="{3F42D95D-CF2F-A045-A7B2-C96D0E05EB7F}"/>
    <hyperlink ref="FO15" r:id="rId497" xr:uid="{91DE0FF7-10E7-0F43-9E6F-217D0B83C6D4}"/>
    <hyperlink ref="AC15" r:id="rId498" xr:uid="{D65382AC-CCFA-7F49-990D-8B8E22B167B2}"/>
    <hyperlink ref="AG15" r:id="rId499" xr:uid="{7149AF02-E0D4-A04D-BD8E-DF2F208B3D06}"/>
    <hyperlink ref="AF15" r:id="rId500" display="https://www.arhcity.ru/data/2946/agd reshenie 598_30112022.pdf" xr:uid="{02CF89F7-059F-CD46-BD0B-9C26086C4105}"/>
    <hyperlink ref="AE15" r:id="rId501" xr:uid="{1347D16F-C8C9-6046-BD86-935C2BF13A52}"/>
    <hyperlink ref="FD15" r:id="rId502" xr:uid="{BE44A323-2479-E146-AE28-CECDB7C84D1B}"/>
    <hyperlink ref="AA22" r:id="rId503" xr:uid="{F0D2C612-0DA9-504E-815A-AABDCCF4AB1B}"/>
    <hyperlink ref="FC22" r:id="rId504" xr:uid="{C5DCB6B5-F500-494D-B3AD-DE21A99EB20E}"/>
    <hyperlink ref="FO22" r:id="rId505" xr:uid="{1CCB2B7C-9ABF-C740-AF8B-275694A8297C}"/>
    <hyperlink ref="CS22" r:id="rId506" xr:uid="{65E0B373-B1FF-B445-922F-DFEF0F42555D}"/>
    <hyperlink ref="FD22" r:id="rId507" xr:uid="{EAF737C6-1FE2-1243-8433-57D001E65CE0}"/>
    <hyperlink ref="FL22" r:id="rId508" xr:uid="{C8A8583B-DE69-1743-93F9-8836FCF66FD6}"/>
    <hyperlink ref="AA24" r:id="rId509" display="https://miyaki.bashkortostan.ru/documents/active/174961/ , " xr:uid="{335D63A1-1168-E74D-BD0F-99E2B01D9B8E}"/>
    <hyperlink ref="CS24" r:id="rId510" xr:uid="{805A5ED9-B578-214A-A226-4DB1369A70E8}"/>
    <hyperlink ref="FC24" r:id="rId511" xr:uid="{0B817E02-C291-7244-AB0C-55433CFE3C3B}"/>
    <hyperlink ref="FO24" r:id="rId512" xr:uid="{33D01834-9660-CB43-9F19-FC7753A4038D}"/>
    <hyperlink ref="AA25" r:id="rId513" display="https://sterlibash.bashkortostan.ru/documents/active/427286/,  " xr:uid="{F1C39635-256F-EB4F-9BD6-0A910AF53E72}"/>
    <hyperlink ref="CS25" r:id="rId514" xr:uid="{1D9BE52B-9428-8343-98E4-5F4CD1309E63}"/>
    <hyperlink ref="FC25" r:id="rId515" xr:uid="{E197A47D-34D8-4042-9886-B9AABAD671F1}"/>
    <hyperlink ref="FO25" r:id="rId516" xr:uid="{226F5433-1ABC-224B-B3A1-D9418079D2D5}"/>
    <hyperlink ref="CS23" r:id="rId517" xr:uid="{9535BEC2-D1C3-1244-91D4-AD9CE9AB3713}"/>
    <hyperlink ref="AA23" r:id="rId518" xr:uid="{595F516E-1053-914D-BFD9-1C1CD71BE9A5}"/>
    <hyperlink ref="FB23" r:id="rId519" display="http://admmeleuz.ru/index.php?option=com_content&amp;view=category&amp;id=905&amp;Itemid=356" xr:uid="{AEDA4ED8-CD95-014B-9723-C51A9C74F233}"/>
    <hyperlink ref="FC23" r:id="rId520" xr:uid="{47841074-99E3-144A-A271-C71D18D9DDF3}"/>
    <hyperlink ref="FO23" r:id="rId521" xr:uid="{C299668E-DB59-3D40-A936-C6227D470044}"/>
    <hyperlink ref="FL23" r:id="rId522" xr:uid="{CE34D689-869A-7E4E-BAB0-09AE52962D18}"/>
    <hyperlink ref="FL39" r:id="rId523" xr:uid="{B3910054-6EC8-F346-8D2F-D3D4D158986A}"/>
    <hyperlink ref="FB46" r:id="rId524" display="https://volgafin.volgograd.ru/current-activity/cooperation/news/424780/" xr:uid="{DDF76C0B-0E13-5A4C-85B9-2736F80E12A1}"/>
    <hyperlink ref="Y46" r:id="rId525" xr:uid="{0EB1E3F0-6707-EC43-909C-AE5D3CB66D17}"/>
    <hyperlink ref="FO46" r:id="rId526" xr:uid="{E02A3067-D679-C344-8A1D-224D4FB0C2D6}"/>
    <hyperlink ref="FL46" r:id="rId527" xr:uid="{5B6A87E9-DA4F-0640-A747-051F580CC036}"/>
    <hyperlink ref="CS42" r:id="rId528" xr:uid="{A7557FE8-03AF-E44E-A544-DE82FCD2BEE0}"/>
    <hyperlink ref="FL42" r:id="rId529" xr:uid="{694264E0-86C2-0841-A372-F22BC5F3629F}"/>
    <hyperlink ref="FB42" r:id="rId530" xr:uid="{8D14F993-3B57-D34C-AF74-C58FAFB73179}"/>
    <hyperlink ref="Q42" r:id="rId531" xr:uid="{37D5ACEE-27ED-F346-B19F-5050A04F199E}"/>
    <hyperlink ref="Y41" r:id="rId532" xr:uid="{2901C5D3-B167-BD47-8100-1E9CE5321D8C}"/>
    <hyperlink ref="FL41" r:id="rId533" xr:uid="{2DCB925D-D373-514A-962F-53EB85960D2C}"/>
    <hyperlink ref="FB41" r:id="rId534" xr:uid="{EF8FDAAD-0CBB-7C48-86DE-B61FBEA003CE}"/>
    <hyperlink ref="CS41" r:id="rId535" xr:uid="{F4747BFE-708A-004F-B7BA-15252EF52C2D}"/>
    <hyperlink ref="CS40" r:id="rId536" xr:uid="{8F376E38-B0E7-C743-B974-8AB7AB39979D}"/>
    <hyperlink ref="FO40" r:id="rId537" xr:uid="{EE7705EF-6043-0645-B6D7-4FC398C9AF2A}"/>
    <hyperlink ref="FL40" r:id="rId538" xr:uid="{451C88E2-B793-C844-BBD6-691DE6D9B267}"/>
    <hyperlink ref="FB40" r:id="rId539" xr:uid="{AB9E7D5A-0CEB-2342-9E44-70E6F8BE1673}"/>
    <hyperlink ref="Q40" r:id="rId540" xr:uid="{76480C8C-9765-E14B-B152-8938259E09AE}"/>
    <hyperlink ref="FO37" r:id="rId541" xr:uid="{5318E454-6FF4-3648-839C-A308299933C2}"/>
    <hyperlink ref="FL37" r:id="rId542" xr:uid="{B45F2045-00E3-8C44-BD5D-D9F3D6C82793}"/>
    <hyperlink ref="CS37" r:id="rId543" xr:uid="{F86565F7-3831-D443-ADBD-73D438595C46}"/>
    <hyperlink ref="AE29" r:id="rId544" xr:uid="{DB31A4F1-7E18-D94E-8BCB-751755616811}"/>
    <hyperlink ref="AG29" r:id="rId545" xr:uid="{52E329C1-9894-C74F-92A0-A8A614699A7B}"/>
    <hyperlink ref="FB29" r:id="rId546" xr:uid="{C74CEEFE-D045-924D-A7AE-AC845AEC1DD3}"/>
    <hyperlink ref="FC29" r:id="rId547" xr:uid="{F5CC40C3-C42C-3843-8952-B66B70B43E3E}"/>
    <hyperlink ref="FL29" r:id="rId548" xr:uid="{383E721B-E355-FF4C-96FF-DAADF2FE8721}"/>
    <hyperlink ref="FO29" r:id="rId549" xr:uid="{71D00732-83D6-1B4E-A7BA-1F56A39489AC}"/>
    <hyperlink ref="CS31" r:id="rId550" xr:uid="{2B26DA22-200F-4943-8932-349A75DA7EA3}"/>
    <hyperlink ref="FB31" r:id="rId551" xr:uid="{A6DB0FCB-2440-C241-9395-5E9A4C6B64EA}"/>
    <hyperlink ref="FL31" r:id="rId552" xr:uid="{E5C07965-ECD3-7F4D-9B22-6BECF9D00448}"/>
    <hyperlink ref="FO31" r:id="rId553" xr:uid="{36E0B83D-B5B7-614C-8A85-6913FA164925}"/>
    <hyperlink ref="CS32" r:id="rId554" xr:uid="{61AE512D-28BA-4E4F-8623-CAD28F2DA8DD}"/>
    <hyperlink ref="FB32" r:id="rId555" xr:uid="{243FABFD-224A-8340-B483-4ED17ED30897}"/>
    <hyperlink ref="AE32" r:id="rId556" xr:uid="{A76A59B8-8112-6845-974A-33ACC0CB9C4C}"/>
    <hyperlink ref="AA32" r:id="rId557" xr:uid="{CC795014-1767-864E-8C9F-AEC9661A8D0A}"/>
    <hyperlink ref="FL32" r:id="rId558" xr:uid="{0138CB69-FF12-D747-8A99-E02F3ADA2DF4}"/>
    <hyperlink ref="FO32" r:id="rId559" xr:uid="{FCB68C7F-5102-8246-933A-339C8000C08D}"/>
    <hyperlink ref="CS33" r:id="rId560" xr:uid="{A3A2207E-0EF9-744A-AF1D-0BD4B9FDB98D}"/>
    <hyperlink ref="FB33" r:id="rId561" xr:uid="{CDBDD438-ABBB-0645-AE83-AB3787AFC12F}"/>
    <hyperlink ref="AE33" r:id="rId562" xr:uid="{E7BD63EC-07C6-E241-BC6C-013E1FD7ED50}"/>
    <hyperlink ref="AA33" r:id="rId563" xr:uid="{F75EE554-74AE-CC40-BA20-0B4C3BC853A1}"/>
    <hyperlink ref="FC33" r:id="rId564" display="https://vk.com/volokonovskiyrayon?w=wall-159960654_7532" xr:uid="{4A8AD792-318C-9B45-AF20-E4DC99298949}"/>
    <hyperlink ref="FO33" r:id="rId565" xr:uid="{51B291A0-14B3-424D-AF7C-993F61561DBA}"/>
    <hyperlink ref="AA34" r:id="rId566" xr:uid="{099B56DC-609B-B94A-9C5B-0F9A947AB85E}"/>
    <hyperlink ref="AG34" r:id="rId567" xr:uid="{F8271776-9B8A-3446-9F9D-925AC97B787E}"/>
    <hyperlink ref="CS34" r:id="rId568" xr:uid="{A35C4B2A-ED3C-5343-B21B-02AA6D419112}"/>
    <hyperlink ref="FC34" r:id="rId569" xr:uid="{4B1474C9-5DF2-894C-9B26-184708CD6F69}"/>
    <hyperlink ref="FL34" r:id="rId570" xr:uid="{B9F09B2C-AC2B-574B-98E7-874D90C4B4A5}"/>
    <hyperlink ref="FO34" r:id="rId571" xr:uid="{C8B95A7F-A114-5F49-9050-E1ED28D848DD}"/>
    <hyperlink ref="FL35" r:id="rId572" xr:uid="{640E6AF3-8AFE-3948-8BA0-7F60E995AE60}"/>
    <hyperlink ref="FO35" r:id="rId573" xr:uid="{2703F019-8BE6-9040-BBD7-F378736128D4}"/>
    <hyperlink ref="AE35" r:id="rId574" xr:uid="{2A6B8684-511C-9644-BA44-799B96E6E296}"/>
    <hyperlink ref="AA35" r:id="rId575" xr:uid="{567FC6F3-3A34-604A-92AA-6E37AA04B115}"/>
    <hyperlink ref="AG36" r:id="rId576" xr:uid="{FFB2DBE1-CBAB-0141-B5B5-909A0F4FFA3A}"/>
    <hyperlink ref="AE36" r:id="rId577" xr:uid="{D01F16EC-690B-0243-B9FF-A6FE79DA6F3A}"/>
    <hyperlink ref="AA36" r:id="rId578" xr:uid="{33C73F85-2BA4-F14A-ADF5-65E4FB2B6ACD}"/>
    <hyperlink ref="AC36" r:id="rId579" xr:uid="{69004698-5F33-4344-861C-83428D38FE68}"/>
    <hyperlink ref="FL36" r:id="rId580" xr:uid="{D0BC2270-3FB8-8148-8D3D-CFF21E88D709}"/>
    <hyperlink ref="FC36" r:id="rId581" xr:uid="{4649B29B-8A71-864E-9E1B-A67507DA48CD}"/>
    <hyperlink ref="FE36" r:id="rId582" xr:uid="{CA6EC86F-8EFA-1E49-A8B8-7076E59C883B}"/>
    <hyperlink ref="FB36" r:id="rId583" xr:uid="{5A7D8250-0924-2D48-AC48-54E6E2364A61}"/>
    <hyperlink ref="CV36" r:id="rId584" xr:uid="{6AEF3FBA-184B-1C4B-B5E6-0D5C29C2150B}"/>
    <hyperlink ref="FO36" r:id="rId585" xr:uid="{9B1B451C-88ED-964E-9C8A-DC924AFEB214}"/>
    <hyperlink ref="AA43" r:id="rId586" display="https://www.gusr.ru/userfiles_npa/P_399_15_04_2020.pdf" xr:uid="{0DFC3BD5-D193-AA4E-A5A6-78FD2020B527}"/>
    <hyperlink ref="FL43" r:id="rId587" xr:uid="{08C3B1C6-3F89-6947-AD30-935D8DEEA4C7}"/>
    <hyperlink ref="FO43" r:id="rId588" xr:uid="{43B66CEA-B28A-E84B-B7FE-F9B47F09B112}"/>
    <hyperlink ref="AC44" r:id="rId589" location="here_x000a_" xr:uid="{CBBDE958-F7A5-0743-B660-FE15D85D73BA}"/>
    <hyperlink ref="FO44" r:id="rId590" xr:uid="{F3BA3451-91AD-4149-8327-5B0A69ABB812}"/>
    <hyperlink ref="AA44" r:id="rId591" location="here_x000a_" xr:uid="{F6A64A7D-583F-CC49-A1BA-C016A0583014}"/>
    <hyperlink ref="AE44" r:id="rId592" location="here_x000a_" xr:uid="{4F1398E0-A5B2-BD47-BD7B-8BD1A915E6C7}"/>
    <hyperlink ref="CS44" r:id="rId593" xr:uid="{D884E39B-87D6-5C41-BD90-99DF373073B6}"/>
    <hyperlink ref="AA45" r:id="rId594" xr:uid="{805E0F8F-44E5-BD48-A335-6DF80E5D48C5}"/>
    <hyperlink ref="AE45" r:id="rId595" xr:uid="{EEDEA63B-84F4-F24D-B968-B6A8E2E5DA86}"/>
    <hyperlink ref="AC45" r:id="rId596" xr:uid="{5019ABCF-9C98-F748-9ADC-4A329ED0E87E}"/>
    <hyperlink ref="CS45" r:id="rId597" xr:uid="{8F263716-0E3B-1648-8733-BFF878752D72}"/>
    <hyperlink ref="DB45" r:id="rId598" xr:uid="{3882EB17-9AFE-3D49-BB31-FB6602B4E0CE}"/>
    <hyperlink ref="FE45" r:id="rId599" display="https://33mayak.ru/2022/04/21/58568" xr:uid="{5E96B88F-3E05-6542-8D96-5D374934F9BD}"/>
    <hyperlink ref="FL45" r:id="rId600" xr:uid="{91D7099D-A6B9-0E4E-9269-B2296154AD16}"/>
    <hyperlink ref="FO45" r:id="rId601" xr:uid="{15AF32EB-6043-814B-BD5E-C26023EC5E16}"/>
    <hyperlink ref="AA49" r:id="rId602" display="https://cherinfo-doc.ru/documents/postanovlenie-merii-goroda-cherepovca-ot-18.06.2019-2883-o-proekte-narodnyj-byudzhet-tos, " xr:uid="{8C31A3E6-4937-8142-8E8E-4CAAC45E4E64}"/>
    <hyperlink ref="AG49" r:id="rId603" display="https://cherinfo-doc.ru/resolution/85077-resenie-cerepoveckoj-gorodskoj-dumy-ot-06122016-no-242-ob-utverzdenii-strategii-socialno-ekonomiceskogo-razvitia-goroda-cerepovc" xr:uid="{660C5188-BCA8-B542-923B-293D1C8491F8}"/>
    <hyperlink ref="AE49" r:id="rId604" display="https://cherinfo-doc.ru/documents/postanovlenie-merii-goroda-cherepovca-ot-26.10.2021-4132-ob-utverzhdenii-municipalnoj-programmy-osucshestvlenie-byudzhetnyh-investicij-v-socialnuyu-kommunalnuyu-transportnuyu-infrastruktury-i-kapitalnyj-remont-obektov-municipalnoj-sobstvennosti-" xr:uid="{869841D4-285F-6346-91AE-14381C311C6B}"/>
    <hyperlink ref="CS49" r:id="rId605" xr:uid="{F9F1933D-4F5D-404A-A2D6-B79B4C8083AA}"/>
    <hyperlink ref="FC49" r:id="rId606" xr:uid="{A0D69713-DEBD-C54B-BC76-5D97FA262016}"/>
    <hyperlink ref="FB49" r:id="rId607" xr:uid="{D2A11AAE-C806-004B-9222-2A4AE149441E}"/>
    <hyperlink ref="AC49" r:id="rId608" xr:uid="{80923EA9-4726-8D48-88F2-6839376C422E}"/>
    <hyperlink ref="CV49" r:id="rId609" display="https://cherinfo-doc.ru/documents/postanovlenie-merii-goroda-cherepovca-ot-18.06.2019-2883-o-proekte-narodnyj-byudzhet-tos, " xr:uid="{A20DE9C3-F8AE-7441-83E6-2096B1D5EBCD}"/>
    <hyperlink ref="CP49" r:id="rId610" xr:uid="{4AE065DB-81BC-A14A-B060-D799DA399A9D}"/>
    <hyperlink ref="BG49" r:id="rId611" display="https://cherinfo.ru/nb, " xr:uid="{45871FED-24AF-CD45-A03F-EF809D64733F}"/>
    <hyperlink ref="AE67" r:id="rId612" xr:uid="{8D6848DF-250D-C449-A895-1998C1CCE8F4}"/>
    <hyperlink ref="FO67" r:id="rId613" xr:uid="{D67732B6-C3DE-3B4F-8ACA-6E7D328ABCCF}"/>
    <hyperlink ref="CV68" r:id="rId614" xr:uid="{E17EE0B4-7598-4642-BD84-A35CC259EF00}"/>
    <hyperlink ref="FL68" r:id="rId615" xr:uid="{2C561E01-6706-794A-8938-F2363D552B72}"/>
    <hyperlink ref="FO68" r:id="rId616" xr:uid="{F34D9FB7-FECC-0E48-A5AD-D96A6EC6E3A0}"/>
    <hyperlink ref="FO71" r:id="rId617" xr:uid="{D8251A95-160B-344C-BE3D-CDD36D777053}"/>
    <hyperlink ref="AE71" r:id="rId618" xr:uid="{43E319BC-9F41-EB46-81B2-E7C790F4975D}"/>
    <hyperlink ref="AA71" r:id="rId619" xr:uid="{0D0730AE-DDA9-C94C-8C95-3A5047D4BD5B}"/>
    <hyperlink ref="CS71" r:id="rId620" xr:uid="{419F499A-5A14-6149-AF92-1F51C81381BA}"/>
    <hyperlink ref="DZ71" r:id="rId621" xr:uid="{ECDC88C8-A3DF-D444-97BF-5544D97CA3F9}"/>
    <hyperlink ref="AC71" r:id="rId622" xr:uid="{6C5E6DFA-3963-CD48-BAA2-2B573C73459E}"/>
    <hyperlink ref="FL71" r:id="rId623" xr:uid="{E700C06F-1257-AB4D-9680-CEB5866B98E3}"/>
    <hyperlink ref="FC72" r:id="rId624" xr:uid="{35A57E87-453A-B24C-82BD-9F1CCF74AD03}"/>
    <hyperlink ref="FL72" r:id="rId625" xr:uid="{F66CBEAE-CAFE-6C44-BEF1-E522A3A613F8}"/>
    <hyperlink ref="AC72" r:id="rId626" display="http://adm-borovskiy.ru/files/1/reshen_34(1).PDF" xr:uid="{9FBC7E62-9DFE-4F43-B671-D7BDBF9873EF}"/>
    <hyperlink ref="CS72" r:id="rId627" xr:uid="{B0F2EA07-23B8-D941-9538-C14387178DBF}"/>
    <hyperlink ref="FO72" r:id="rId628" xr:uid="{617792B3-A9DD-1E4B-9095-EF4122238413}"/>
    <hyperlink ref="CS74" r:id="rId629" xr:uid="{C459B4EC-78D9-7B4E-9E7E-4484924EB0BA}"/>
    <hyperlink ref="AE74" r:id="rId630" xr:uid="{DE1D7FCE-41B1-EA4A-A873-8ACC38B4CEC2}"/>
    <hyperlink ref="AG74" r:id="rId631" xr:uid="{4FBCC656-680A-4941-B5AF-22BA7F3D44D2}"/>
    <hyperlink ref="FL74" r:id="rId632" xr:uid="{743FCD1F-7083-BE4A-8CB1-07949DB817CE}"/>
    <hyperlink ref="FO74" r:id="rId633" xr:uid="{21250020-E9B2-874F-9AA8-7E96EA4E956E}"/>
    <hyperlink ref="AC74" r:id="rId634" xr:uid="{21FAC428-7CE0-B242-BAF2-377070A72C67}"/>
    <hyperlink ref="AA73" r:id="rId635" xr:uid="{F7557217-9B22-CD45-8B06-4BAAB05356D1}"/>
    <hyperlink ref="AC73" r:id="rId636" display="https://www.kaluga-gov.ru/obshchestvo/initsiativnye-proekty/pravovaya-baza/2740/" xr:uid="{D71CFBA1-F623-8F43-BF57-482841439BF1}"/>
    <hyperlink ref="AE73" r:id="rId637" xr:uid="{0DF80098-8129-354F-8012-DC271D06C0FF}"/>
    <hyperlink ref="BG73" r:id="rId638" xr:uid="{568B9967-5F3A-8F4F-9ACF-FC0CE1A0EF0D}"/>
    <hyperlink ref="CP73" r:id="rId639" xr:uid="{8CF2A4CC-4990-6F4D-B51E-E24C64775BE6}"/>
    <hyperlink ref="FB73" r:id="rId640" xr:uid="{4653E905-DF66-D540-9584-061D7AC2B34E}"/>
    <hyperlink ref="FL73" r:id="rId641" xr:uid="{A62DC6E0-3451-F44E-874F-2B779060B967}"/>
    <hyperlink ref="FO73" r:id="rId642" xr:uid="{8EC3A116-A1AD-6149-B4CA-80E8EE87D9A0}"/>
    <hyperlink ref="CS73" r:id="rId643" xr:uid="{F1A29014-303B-8949-8412-D7EA4B1D18C7}"/>
    <hyperlink ref="FL83" r:id="rId644" xr:uid="{7A8D99E8-4B7D-9341-A850-27FDC47585A4}"/>
    <hyperlink ref="ER83" r:id="rId645" xr:uid="{2A577A6E-4553-6046-8B2F-4CC945F34F9B}"/>
    <hyperlink ref="FB83" r:id="rId646" xr:uid="{6BD027E2-A85F-944E-9E85-96C8E430150A}"/>
    <hyperlink ref="CS83" r:id="rId647" xr:uid="{30F4836C-ECF5-904F-BBE5-1AFF18CEB3A9}"/>
    <hyperlink ref="EZ83" r:id="rId648" display="https://www.afanasyevo.ru/ekonomika/initsiativnye-proekty" xr:uid="{EB6B106B-064B-1142-87AC-D8C31BDEBE9C}"/>
    <hyperlink ref="AC83" r:id="rId649" xr:uid="{CF4C721D-AB65-C641-A199-4BB0BCCAA878}"/>
    <hyperlink ref="AA83" r:id="rId650" xr:uid="{7BAB7D39-480E-1F49-801A-3B8F7BAD76D6}"/>
    <hyperlink ref="FO83" r:id="rId651" xr:uid="{6F1805D5-AF96-3142-A973-E53B484F0439}"/>
    <hyperlink ref="AA84" r:id="rId652" xr:uid="{6C1471B7-3D0B-9042-9527-73F3165F84E8}"/>
    <hyperlink ref="AC84" r:id="rId653" xr:uid="{2C9E260E-DCAF-AE41-9CEE-C6C8AE17CE17}"/>
    <hyperlink ref="FL84" r:id="rId654" xr:uid="{03FE1201-C0C5-274A-8354-F0AF02C22DCD}"/>
    <hyperlink ref="AE84" r:id="rId655" xr:uid="{23272D77-C83B-9840-871D-B1685DFB6666}"/>
    <hyperlink ref="FB84" r:id="rId656" xr:uid="{D15A1388-959D-9048-ACBA-7ADAA7E546D0}"/>
    <hyperlink ref="FO84" r:id="rId657" xr:uid="{A0FC2B1E-A7E6-D64D-8608-49FC3029FC7D}"/>
    <hyperlink ref="AA85" r:id="rId658" xr:uid="{C96EE78D-472E-174A-AC12-0A5B4FF20F47}"/>
    <hyperlink ref="AC85" r:id="rId659" xr:uid="{219B5818-FF28-D548-9633-6C54A2ADFDA0}"/>
    <hyperlink ref="FL85" r:id="rId660" xr:uid="{EE62EFDA-1D29-FF44-A6BC-09AA48BD7756}"/>
    <hyperlink ref="AE85" r:id="rId661" xr:uid="{66B90BD5-60AB-0B45-862A-9DA5FC6B5BB7}"/>
    <hyperlink ref="FB85" r:id="rId662" xr:uid="{508D13AC-5D9C-1241-8593-4959AB6F60FB}"/>
    <hyperlink ref="FO85" r:id="rId663" xr:uid="{4EBEBDEB-1DDB-DA48-93A1-ABB3DFDAD88B}"/>
    <hyperlink ref="CS87" r:id="rId664" xr:uid="{88401D96-1A29-8144-9521-8DCB104509D7}"/>
    <hyperlink ref="FL87" r:id="rId665" xr:uid="{9D210824-F523-0B41-A595-15CA1B198AAE}"/>
    <hyperlink ref="AA88" r:id="rId666" xr:uid="{3E821068-FE86-C640-BBB5-99BBB629F99A}"/>
    <hyperlink ref="AG88" r:id="rId667" xr:uid="{04F6855A-867F-FD44-A54F-10177815A3D0}"/>
    <hyperlink ref="AE88" r:id="rId668" xr:uid="{985A6B05-20D0-0949-B721-4CF758A4B3F9}"/>
    <hyperlink ref="FC88" r:id="rId669" display="http://adminta.ru/about/info/news/12760/" xr:uid="{4308CB64-D072-394E-B97E-1B7F4E4DAA18}"/>
    <hyperlink ref="CS88" r:id="rId670" xr:uid="{2D75E31B-A1AA-F64A-B7D5-8802D68C4678}"/>
    <hyperlink ref="FL88" r:id="rId671" xr:uid="{6619FD42-3BA1-9B43-ADBF-D59FD6FDBA27}"/>
    <hyperlink ref="FL90" r:id="rId672" xr:uid="{B85E9B37-46D2-C14C-8E62-A3FA8618492E}"/>
    <hyperlink ref="AD90" r:id="rId673" display="https://kortkeros-r11.gosweb.gosuslugi.ru/netcat_files/userfiles/Razvitie_rayona/1756.zip" xr:uid="{772F26B6-6A75-A743-81EE-36126E269C24}"/>
    <hyperlink ref="AC91" r:id="rId674" xr:uid="{855AB97B-DA6E-D345-8FA8-D909A2551367}"/>
    <hyperlink ref="FL91" r:id="rId675" xr:uid="{A70B8941-EE45-AC42-B1D2-A7046855D5DE}"/>
    <hyperlink ref="AA92" r:id="rId676" xr:uid="{E1695F7E-F6B0-1F4F-BE3A-E2CF7F800305}"/>
    <hyperlink ref="FB92" r:id="rId677" xr:uid="{59164033-C1FD-2445-B368-D8C7EC65104D}"/>
    <hyperlink ref="FC92" r:id="rId678" xr:uid="{3C48D7A9-DC78-FB41-BCC5-436FEF494397}"/>
    <hyperlink ref="FL92" r:id="rId679" display="org.otdel.vuktyl@mail" xr:uid="{0B7D691D-F420-9C40-966C-7139D4792013}"/>
    <hyperlink ref="FO92" r:id="rId680" xr:uid="{0ED10D71-6EB0-EC44-B121-9A129E05C266}"/>
    <hyperlink ref="AA93" r:id="rId681" xr:uid="{FD0CBE7B-ACE6-9848-9E8D-7FAFDC2168AA}"/>
    <hyperlink ref="AE93" r:id="rId682" xr:uid="{3834273A-14CF-5C49-9AB3-F448FF0C599D}"/>
    <hyperlink ref="AG93" r:id="rId683" xr:uid="{E9AA0E84-6783-2042-A8C4-7F6EBBDA2AD3}"/>
    <hyperlink ref="AC93" r:id="rId684" xr:uid="{1B5AD8A9-6123-CB40-AEDE-CAFB218FC11B}"/>
    <hyperlink ref="CS93" r:id="rId685" xr:uid="{53D1AFAA-871A-F144-8630-19E8A4D371CC}"/>
    <hyperlink ref="FB93" r:id="rId686" xr:uid="{66E13E00-455F-0A47-B212-3FC1F740C72D}"/>
    <hyperlink ref="FC93" r:id="rId687" xr:uid="{FC480081-1A3D-0746-BD43-C50500261EA4}"/>
    <hyperlink ref="FO93" r:id="rId688" xr:uid="{F2BD411A-6750-6046-8527-6F7125F3F923}"/>
    <hyperlink ref="FL94" r:id="rId689" xr:uid="{264D8530-B1A7-4B44-85F7-531B6A40EEBA}"/>
    <hyperlink ref="FO94" r:id="rId690" xr:uid="{B4409516-63E2-614A-A555-D66E31B6AEAF}"/>
    <hyperlink ref="FL95" r:id="rId691" xr:uid="{54F4192D-840C-EF44-AAAE-9C85BA918324}"/>
    <hyperlink ref="FO95" r:id="rId692" xr:uid="{EBC8DAAC-DF3D-E043-94E6-0D644F7883D5}"/>
    <hyperlink ref="AE97" r:id="rId693" display="www.сысола-адм.рф/area/12-1674_19.pdf, ww.сысола-адм.рф/area/12_1697_r.pdf, " xr:uid="{3A56EC98-90CA-7E4D-B35A-FECA5C2F1CAD}"/>
    <hyperlink ref="FL97" r:id="rId694" xr:uid="{1AF21C65-3D01-9F42-90ED-080ACF2B8480}"/>
    <hyperlink ref="AA97" r:id="rId695" xr:uid="{EEF6A71E-B283-2241-8104-49D7C80588F9}"/>
    <hyperlink ref="FB97" r:id="rId696" xr:uid="{CDA15CC6-1CDE-E44B-A140-C93F2728C51D}"/>
    <hyperlink ref="FL98" r:id="rId697" xr:uid="{DAD362F6-04E0-924B-9A0E-CA242F9CFBB8}"/>
    <hyperlink ref="EZ98" r:id="rId698" xr:uid="{85E14241-36F7-E242-907F-7CD184A7B7DF}"/>
    <hyperlink ref="FB98" r:id="rId699" xr:uid="{0565A963-53DA-C645-A1B1-1412C6711750}"/>
    <hyperlink ref="FL99" r:id="rId700" xr:uid="{29FDBD73-6F58-F745-81DD-E94A0CB27176}"/>
    <hyperlink ref="FB99" r:id="rId701" xr:uid="{5254CABE-501D-5948-A804-876955E0AE42}"/>
    <hyperlink ref="CS100" r:id="rId702" xr:uid="{BC2244EB-46CF-BD42-9E31-6A011B01123F}"/>
    <hyperlink ref="FC100" r:id="rId703" xr:uid="{43525754-74FF-2146-BED2-AB0B84CCDD83}"/>
    <hyperlink ref="FL100" r:id="rId704" xr:uid="{87EF0ECC-689B-9F4F-AA5B-EFB2B1551602}"/>
    <hyperlink ref="AG101" r:id="rId705" xr:uid="{EC589CC8-BDEA-C442-8068-B20DE264F33A}"/>
    <hyperlink ref="AE101" r:id="rId706" xr:uid="{37772ED1-D27F-564E-B29E-84D9405ED39E}"/>
    <hyperlink ref="AC101" display="https://docs.yandex.ru/docs/view?url=ya-browser%3A%2F%2F4DT1uXEPRrJRXlUFoewruDntAfLKrbxo9IElOrQQGpjDvezGVQ3AqamsvDBuz5TUGG_-tt76D8E7_DJrVF5XIfiGxvsDa_plXMKHXjFwZRM7FFOZ-kBiXrHAwJw_ukGlx_3MvYWEbbvGh3BtUcaycA%3D%3D%3Fsign%3DIP6XVyO2_AorVHkMVOOIf7XsuiJsm-F34" xr:uid="{E19721D2-2155-F845-ACA5-90BF72B44B53}"/>
    <hyperlink ref="CS101" r:id="rId707" xr:uid="{9F4B1899-A3A7-1B45-B4E7-8EF826D8455C}"/>
    <hyperlink ref="FL102" r:id="rId708" xr:uid="{C2E423E2-294E-D742-A04E-532D2D76DD65}"/>
    <hyperlink ref="CS102" r:id="rId709" xr:uid="{7646D584-7EE2-904B-A394-EFBC2C4EA6C2}"/>
    <hyperlink ref="FL103" r:id="rId710" xr:uid="{1421CDF6-5752-8D4D-896A-7763C25F4990}"/>
    <hyperlink ref="AA103" r:id="rId711" xr:uid="{71FEDB03-20B4-1542-8256-9634B2B4E461}"/>
    <hyperlink ref="FL104" r:id="rId712" xr:uid="{16FCA693-BB4C-B142-97B5-434F702A7289}"/>
    <hyperlink ref="FO104" r:id="rId713" xr:uid="{65BDCABD-6300-374C-8784-87E318AE6591}"/>
    <hyperlink ref="CS106" r:id="rId714" xr:uid="{22A80D8E-2A74-444A-9A4B-4A52FBDE715C}"/>
    <hyperlink ref="FL106" r:id="rId715" xr:uid="{3B3BC5ED-E171-714E-9D41-9EE8CC8392FA}"/>
    <hyperlink ref="FL113" r:id="rId716" xr:uid="{576C4B84-E1A0-C54C-AEC4-FED93E512B61}"/>
    <hyperlink ref="CV115" r:id="rId717" xr:uid="{2A876BCE-CEDA-534B-8A0C-6AB5A40FC8F3}"/>
    <hyperlink ref="DE115" r:id="rId718" xr:uid="{55E14FC4-955B-FE48-A997-3A88C56C9CF4}"/>
    <hyperlink ref="DH115" r:id="rId719" xr:uid="{0652B5B0-4775-DB48-8642-A588E67D88BD}"/>
    <hyperlink ref="EC115" r:id="rId720" xr:uid="{78C54A16-25B3-DD49-9E14-92C087D0ED99}"/>
    <hyperlink ref="FB115" r:id="rId721" xr:uid="{A1728D2B-107E-0D41-9508-424D2CCC1113}"/>
    <hyperlink ref="FE115" r:id="rId722" xr:uid="{ACD85EE3-1851-8944-BB85-5792D6ECB4BB}"/>
    <hyperlink ref="FL119" r:id="rId723" xr:uid="{910A7914-0793-584C-8DB5-600DA09A114F}"/>
    <hyperlink ref="FL120" r:id="rId724" xr:uid="{040AF3D7-1630-9042-8F50-A9DEAF245363}"/>
    <hyperlink ref="FO120" r:id="rId725" xr:uid="{21088B98-E355-F64C-B6B4-66E8D8959704}"/>
    <hyperlink ref="FL121" r:id="rId726" xr:uid="{E6D4B0D8-596D-3A4B-B2A6-E64A60876FE7}"/>
    <hyperlink ref="AE121" r:id="rId727" xr:uid="{108F6B7D-841A-CE4A-BBFF-463D6AFEE850}"/>
    <hyperlink ref="FD121" r:id="rId728" xr:uid="{0766C475-5745-D749-A5B3-3A1F0E123FC3}"/>
    <hyperlink ref="FL122" r:id="rId729" xr:uid="{6AA1BFFE-B71C-794D-A0D2-E0A7A54B1984}"/>
    <hyperlink ref="AC125" r:id="rId730" xr:uid="{C5A28067-3341-064C-A617-34DF909763F0}"/>
    <hyperlink ref="FB125" r:id="rId731" xr:uid="{5470913C-C513-404A-AAF5-35A1EC8A76CE}"/>
    <hyperlink ref="FD125" r:id="rId732" xr:uid="{540EED6A-7473-F941-B852-B15634B391AF}"/>
    <hyperlink ref="FL125" r:id="rId733" xr:uid="{72FABCAA-376E-BF45-AE27-9E2C6DA716A1}"/>
    <hyperlink ref="FL126" r:id="rId734" xr:uid="{5500594E-2AEC-F64C-AD9A-492AB468C797}"/>
    <hyperlink ref="AE126" r:id="rId735" xr:uid="{5CBF1E83-593B-B848-A112-60CAF48E8AA5}"/>
    <hyperlink ref="AA127" r:id="rId736" xr:uid="{768D7BBE-B906-4245-9740-B7B0DCE0973D}"/>
    <hyperlink ref="AC127" r:id="rId737" xr:uid="{35C0FF65-2BDA-814E-8631-0F267D9AA904}"/>
    <hyperlink ref="AE127" r:id="rId738" xr:uid="{2A2B6AFB-5A24-E54B-A0A9-D9BC520F09D0}"/>
    <hyperlink ref="CS127" r:id="rId739" location="cite_note-2022AA-1" xr:uid="{5FBFCD4A-CAAE-454E-B239-598221C25718}"/>
    <hyperlink ref="FL127" r:id="rId740" xr:uid="{49A64566-AB4F-6743-AE7E-264CA525F80B}"/>
    <hyperlink ref="CS129" r:id="rId741" xr:uid="{03EC3E5B-5E59-3F45-8C25-29B6C42891F3}"/>
    <hyperlink ref="AA131" r:id="rId742" xr:uid="{20EFDD96-38C4-204D-B16E-3817DBFB69DA}"/>
    <hyperlink ref="AC131" r:id="rId743" xr:uid="{A1E5A87B-0B8E-2649-AEBD-66330ED803D3}"/>
    <hyperlink ref="AE131" r:id="rId744" xr:uid="{3FACDBD0-EB79-4942-B910-199428B9F252}"/>
    <hyperlink ref="CS131" r:id="rId745" xr:uid="{B90B17DB-5289-A840-8179-411435A8886B}"/>
    <hyperlink ref="AC132" r:id="rId746" xr:uid="{63DC492F-937E-444E-8747-7D71C33A6427}"/>
    <hyperlink ref="AC133" r:id="rId747" display="http://www.platnirovskaja.ru/f_docs/qm1w2j12tvzw/reshenie-soveta-platnirovskogo-selskogo-poseleniya-korenovskogo-rayona-ot-24122020-101-ob-utverjdenii-polojeniya-o-poryadke-realizatsii-initsiativnyih-proektov-v-platnirovskom-selskom-poselenii-korenovskogo-rayona.html" xr:uid="{40A23C97-8762-D540-9C4E-64242D386497}"/>
    <hyperlink ref="AE133" r:id="rId748" display="http://www.platnirovskaja.ru/f_docs/rokvl21i4hdc/postanovlenie-administratsii-platnirovskogo-selskogo-poseleniya-korenovskogo-rayona-ot-24112022-g--258-ob-utverjdenii-vedomstvennoy-tselevoy-programmyi-realizatsiya-initsiativnyih-proektov-v-platnirovskom-selskom-poselenii-korenovskogo-rayona-na-2022.html" xr:uid="{1390C452-F6E9-FC45-8F92-337AB9136AEC}"/>
    <hyperlink ref="FB133" r:id="rId749" xr:uid="{5593695F-7FAC-1243-AB79-D8542A09DFAC}"/>
    <hyperlink ref="FL133" r:id="rId750" xr:uid="{8CDE8E98-365A-D546-BF3F-81DD7565026D}"/>
    <hyperlink ref="AA134" r:id="rId751" xr:uid="{DBC2A48A-BD06-C84B-9407-A6C96DB3AC63}"/>
    <hyperlink ref="AC134" r:id="rId752" xr:uid="{EEA9060E-3209-C44A-B231-C114F4F039CE}"/>
    <hyperlink ref="AE134" r:id="rId753" xr:uid="{456F52EA-6988-D440-933F-4E6A992EC3D4}"/>
    <hyperlink ref="CS134" r:id="rId754" xr:uid="{2CA7863F-5BAE-1342-887F-D7CEE0E01593}"/>
    <hyperlink ref="FL135" r:id="rId755" xr:uid="{E4777A01-DC9E-2343-8E0A-56E2B8FA8056}"/>
    <hyperlink ref="FL129" r:id="rId756" xr:uid="{4AE2AA57-9C9A-BA41-A3E7-9715EEF0CE55}"/>
    <hyperlink ref="FL131" r:id="rId757" xr:uid="{EDFBD498-DDCC-4D4C-B693-51BD4DC6942B}"/>
    <hyperlink ref="FL134" r:id="rId758" xr:uid="{A0961BDE-9848-BF48-9149-2632A41119A0}"/>
    <hyperlink ref="AC123" r:id="rId759" display="https://www.adm-kavkaz.ru/sobranie-deputatov/reshenie-sobranij/resheniya-2020/3741-reshenie-4-ot-08-02-2019-goda-o-peredache-kavkazskomu-selskomu-poseleniyu-kavkazskogo-rajona-proektnoj-dokumentatsii-ob-ekta-gazifikatsii            " xr:uid="{58B34E9A-4FB5-F942-B376-13F45BA29A6A}"/>
    <hyperlink ref="FC123" r:id="rId760" display="https://www.adm-kavkaz.ru/sobranie-deputatov/reshenie-sobranij/resheniya-2020/3741-reshenie-4-ot-08-02-2019-goda-o-peredache-kavkazskomu-selskomu-poseleniyu-kavkazskogo-rajona-proektnoj-dokumentatsii-ob-ekta-gazifikatsii; " xr:uid="{17768B51-BE36-CC4F-B7BB-C88F827EAAE8}"/>
    <hyperlink ref="FC120" r:id="rId761" xr:uid="{7C79D803-63B9-1A48-85B2-FC6F59B0F2E7}"/>
    <hyperlink ref="FB120" r:id="rId762" xr:uid="{AF875886-22FD-AD41-BA00-F897F837137A}"/>
    <hyperlink ref="AC130" display="https://dyadkovskaya.ru/initsiativnoe-byudzhetirovanie/10834-reshenie-soveta-dyadkovskogo-selskogo-poseleniya-korenovskogo-rajona-ot-16-12-2020-82-ob-utverzhdenii-polozheniya-o-poryadke-realizatsii-initsiativnykh-proektov-v-dyadkovskom-selskom-poselenii-k" xr:uid="{9BCC33B5-072A-374A-A9BB-2766B001A2AD}"/>
    <hyperlink ref="AG130" r:id="rId763" xr:uid="{4E6BBDD4-34A8-CD4A-B560-8360CFF446D0}"/>
    <hyperlink ref="CP130" display="https://dyadkovskaya.ru/initsiativnoe-byudzhetirovanie/10834-reshenie-soveta-dyadkovskogo-selskogo-poseleniya-korenovskogo-rajona-ot-16-12-2020-82-ob-utverzhdenii-polozheniya-o-poryadke-realizatsii-initsiativnykh-proektov-v-dyadkovskom-selskom-poselenii-k" xr:uid="{BA9750A4-2EDB-BD4B-8C2A-F9FFB188D4CF}"/>
    <hyperlink ref="FC130" r:id="rId764" xr:uid="{5E9E677D-BC6E-2441-82E5-E41976CD5D80}"/>
    <hyperlink ref="FE130" display="https://dyadkovskaya.ru/initsiativnoe-byudzhetirovanie/10834-reshenie-soveta-dyadkovskogo-selskogo-poseleniya-korenovskogo-rajona-ot-16-12-2020-82-ob-utverzhdenii-polozheniya-o-poryadke-realizatsii-initsiativnykh-proektov-v-dyadkovskom-selskom-poselenii-k" xr:uid="{2F897E9B-28A3-D34F-98E4-C590FAEA54C5}"/>
    <hyperlink ref="FL130" r:id="rId765" xr:uid="{323EEC3B-7464-9E4C-A92E-071142FFEA9E}"/>
    <hyperlink ref="FO130" r:id="rId766" xr:uid="{28CD00D9-123D-8144-B455-C1047329AD60}"/>
    <hyperlink ref="AA275" r:id="rId767" xr:uid="{9D6CA1C8-8F71-EA48-8B73-1F7A53C6AF10}"/>
    <hyperlink ref="AE275" r:id="rId768" xr:uid="{C5F360B0-F873-5B4F-BC83-F4921757996F}"/>
    <hyperlink ref="AG275" r:id="rId769" xr:uid="{D1E6B127-1939-9547-AB59-34C0EEEE40E6}"/>
    <hyperlink ref="CS275" r:id="rId770" xr:uid="{3E262723-EC0D-7140-9B41-62B0872636B4}"/>
    <hyperlink ref="FB275" r:id="rId771" xr:uid="{19E375B9-BE3A-5E4B-B559-2A9ABD01E257}"/>
    <hyperlink ref="FL275" r:id="rId772" xr:uid="{A70769A1-7654-CA42-814C-8AB2223D722C}"/>
    <hyperlink ref="FO275" r:id="rId773" xr:uid="{D083BDD8-80F6-0A46-8CD4-C9D8D5B2F321}"/>
    <hyperlink ref="AA276" r:id="rId774" xr:uid="{D3FF9905-5E52-D24F-A960-3E93342AC44B}"/>
    <hyperlink ref="AC276" r:id="rId775" xr:uid="{65838DBC-2EDA-554B-8C98-AA468B26DA49}"/>
    <hyperlink ref="AE276" r:id="rId776" xr:uid="{961E9A71-4A36-EA41-AC85-A2CE3CF56050}"/>
    <hyperlink ref="CS276" r:id="rId777" xr:uid="{439710F3-EFD0-2047-A4AE-6248AF9C3F79}"/>
    <hyperlink ref="CV276" r:id="rId778" xr:uid="{3AD635BF-87B9-2047-841A-15BF2C3A98BF}"/>
    <hyperlink ref="FB276" r:id="rId779" xr:uid="{39551CDD-6D35-E942-AB70-4E06AF4F39CF}"/>
    <hyperlink ref="FC276" r:id="rId780" display="https://vk.com/wall-203950610_1948  " xr:uid="{48DDF6DE-88FD-8A47-9E47-065C7A73A73F}"/>
    <hyperlink ref="FD276" r:id="rId781" xr:uid="{452065E2-489B-474A-92B9-FAAC9BC15B1F}"/>
    <hyperlink ref="FL276" r:id="rId782" xr:uid="{A98536A9-FECA-2B44-9DC6-54C4CE939BE0}"/>
    <hyperlink ref="FO276" r:id="rId783" xr:uid="{905CA914-5CD3-0747-A8CB-CA3ACCF4EB5D}"/>
    <hyperlink ref="AA277" r:id="rId784" xr:uid="{8C6C4013-EA73-6D4F-BC01-30378F6D6172}"/>
    <hyperlink ref="AC277" r:id="rId785" xr:uid="{0216E963-E479-374B-B701-F70E4A1B716C}"/>
    <hyperlink ref="AE277" r:id="rId786" xr:uid="{D25A5D6D-422F-7E4B-BC40-85E83BF9FFFF}"/>
    <hyperlink ref="BG277" r:id="rId787" xr:uid="{73D91235-B4DE-6549-9770-39EB2B65C38B}"/>
    <hyperlink ref="FB277" r:id="rId788" xr:uid="{1F230462-3F1A-3146-B2E0-815A5DCA1222}"/>
    <hyperlink ref="FL277" r:id="rId789" xr:uid="{660504C0-F6F9-F342-AC1F-A5D5CF48FF75}"/>
    <hyperlink ref="FO277" r:id="rId790" xr:uid="{19B0754C-F521-9F40-B16C-77CC398509BB}"/>
    <hyperlink ref="AC278" display="https://xn----7sbbnwghl2bjadrdc.xn--p1ai/deyatelnost/resheniya-dumy/7727/" xr:uid="{E44F861F-1B49-9F44-A825-7477DDE0A28B}"/>
    <hyperlink ref="AE278" r:id="rId791" display="https://adm-ussuriisk.ru/ob_okruge/kompleksnoe_razvitie_selskikh_territoriy_ussuriyskogo_gorodskogo_okruga_na_2020_2024_gody/" xr:uid="{EB222061-9320-CD46-AAA1-E62A88CBB4A9}"/>
    <hyperlink ref="AG278" display="https://xn----7sbbnwghl2bjadrdc.xn--p1ai/deyatelnost/resheniya-dumy/10208/" xr:uid="{77F5249C-88FC-FB49-BE33-AC22DBDEAF7A}"/>
    <hyperlink ref="BG278" display="https://xn----7sbbnwghl2bjadrdc.xn--p1ai/deyatelnost/resheniya-dumy/7727/" xr:uid="{2EFDED45-30E4-074B-A140-D33F19ABB4D0}"/>
    <hyperlink ref="CP278" r:id="rId792" xr:uid="{C21D7451-4A5E-7F46-82A0-635DCD764BDF}"/>
    <hyperlink ref="CS278" r:id="rId793" display="http://www.gks.ru/scripts/db_inet2/passport/table.aspx?opt=57230002022" xr:uid="{2041D0BF-ECF4-3E4A-B6AF-8EC3417D938D}"/>
    <hyperlink ref="FB278" r:id="rId794" xr:uid="{58B568DC-C731-6E4C-ABD1-15BD3FAA86DE}"/>
    <hyperlink ref="FC278" r:id="rId795" display="https://vk.com/fuauss" xr:uid="{301344BA-1AF7-9344-8989-D4F7D0DBC1D7}"/>
    <hyperlink ref="FF278" r:id="rId796" xr:uid="{839C07DC-A651-9E48-8E4B-DA34DA20598E}"/>
    <hyperlink ref="FL278" r:id="rId797" xr:uid="{3C6A7482-C941-1043-BC03-872CCC893DF4}"/>
    <hyperlink ref="FO278" r:id="rId798" xr:uid="{A2A62668-984D-834D-BF35-4BE546895B95}"/>
    <hyperlink ref="FL282" r:id="rId799" xr:uid="{17DE4BD9-A646-5B43-AE2A-302AD110AE81}"/>
    <hyperlink ref="AA288" r:id="rId800" xr:uid="{C14F2645-190A-B346-B753-458217B83F61}"/>
    <hyperlink ref="AE288" r:id="rId801" xr:uid="{61F71E3A-D1D4-4F47-B817-901ACF022C7C}"/>
    <hyperlink ref="FL288" r:id="rId802" xr:uid="{478609D4-55B2-204E-AEB4-C28CF9E11D13}"/>
    <hyperlink ref="CS288" r:id="rId803" xr:uid="{A3E34BF1-1DE8-6043-B95F-4F8C10146657}"/>
    <hyperlink ref="FO288" r:id="rId804" xr:uid="{56189583-09D1-A944-8775-A06A6593CFAC}"/>
    <hyperlink ref="EO288" r:id="rId805" display="https://otradny.org/upload/iblock/1f3/1f3df8aa53ea75199261fa1fcc0289b8.docx" xr:uid="{C776180B-9AA9-424E-BA07-66F33889D0B3}"/>
    <hyperlink ref="AC288" r:id="rId806" xr:uid="{04167365-CD00-1F49-A41D-7AA176EFFAC7}"/>
    <hyperlink ref="AG288" r:id="rId807" xr:uid="{68A1354A-24D1-104B-97DC-DD8C79301B04}"/>
    <hyperlink ref="AC289" r:id="rId808" xr:uid="{DD450FE8-41B1-F842-B797-117CB295A59C}"/>
    <hyperlink ref="AE289" r:id="rId809" xr:uid="{AA6F529D-0760-C444-84E3-974E9CBC221A}"/>
    <hyperlink ref="AG289" r:id="rId810" xr:uid="{3DF862EC-BA85-7141-878C-8848DB30F49B}"/>
    <hyperlink ref="AA289" r:id="rId811" display="https://pohgor.ru/documents/postanovlenie/npa_1884.html" xr:uid="{FE5FDD3E-A09D-FF49-8663-6A7FF522EF0E}"/>
    <hyperlink ref="BG289" r:id="rId812" xr:uid="{2FC1D6A7-2569-4640-9029-B51B0BA1855D}"/>
    <hyperlink ref="CS289" r:id="rId813" xr:uid="{C6781730-119F-D346-B3CE-F0CC43AA903B}"/>
    <hyperlink ref="FB289" r:id="rId814" xr:uid="{4D961C55-A999-3F40-99B3-A82F69D4AA7E}"/>
    <hyperlink ref="FD289" r:id="rId815" xr:uid="{0F383F6E-EAF8-2349-95B5-801F3F2C810D}"/>
    <hyperlink ref="FC289" r:id="rId816" display="https://pohgor.ru/sociosfera/prestige-pricing/image-projects_56.html" xr:uid="{68365E67-E55C-114A-9B04-70A59043C62C}"/>
    <hyperlink ref="FL290" r:id="rId817" xr:uid="{3DF55509-A7C5-B243-A894-B09DF2E68058}"/>
    <hyperlink ref="FO290" r:id="rId818" xr:uid="{85E074EA-F9D8-2F4A-B376-12E7F6BA4B4E}"/>
    <hyperlink ref="AA290" r:id="rId819" xr:uid="{40DF5A21-1EFD-6642-BDFA-4B5D0CD671D8}"/>
    <hyperlink ref="AE290" r:id="rId820" xr:uid="{B5CDB39F-351B-3646-A26F-A8E7F2D7B00C}"/>
    <hyperlink ref="AG290" r:id="rId821" xr:uid="{75A7EEE2-B523-9C4E-B5BF-D55639F5090C}"/>
    <hyperlink ref="CS290" r:id="rId822" xr:uid="{3AC09FB3-3C9C-224A-8090-7B36F0136D91}"/>
    <hyperlink ref="FL291" r:id="rId823" xr:uid="{B9865D22-8043-8247-9DB4-3E2CF3FA89CE}"/>
    <hyperlink ref="FO291" r:id="rId824" xr:uid="{6EC92841-772C-AE47-B28E-66892ED18DB0}"/>
    <hyperlink ref="AA291" r:id="rId825" xr:uid="{7DBDAAF1-B109-8645-9F7B-4516158E564B}"/>
    <hyperlink ref="AC291" r:id="rId826" xr:uid="{FDC4C8F4-EE5B-EA4E-9FC9-F4F853C766B9}"/>
    <hyperlink ref="AE291" r:id="rId827" xr:uid="{0F824660-F27D-1A46-B813-599D08509662}"/>
    <hyperlink ref="AG291" r:id="rId828" xr:uid="{80B388C1-67E4-0F49-AA8F-F800980C826D}"/>
    <hyperlink ref="FL292" r:id="rId829" xr:uid="{A19072AE-502B-4142-A38E-CFC20736A16C}"/>
    <hyperlink ref="FO292" r:id="rId830" xr:uid="{31364250-417A-C049-9B25-255E375A274A}"/>
    <hyperlink ref="AA293" r:id="rId831" xr:uid="{6BF28D32-5BA6-D64C-B4AA-8D39B0E0A34B}"/>
    <hyperlink ref="FD293" r:id="rId832" xr:uid="{D30EA851-AFC7-9B49-BE24-4E8190367987}"/>
    <hyperlink ref="FL293" r:id="rId833" xr:uid="{B1B154CC-5F92-804D-8D04-CEB8AD383E0E}"/>
    <hyperlink ref="FO293" r:id="rId834" xr:uid="{6993DF93-BC1A-6B49-8898-DF86DFC932A2}"/>
    <hyperlink ref="AC294" r:id="rId835" xr:uid="{900DA8CB-AE99-5E48-8D9D-4B0D2CBF3809}"/>
    <hyperlink ref="BG294" r:id="rId836" xr:uid="{DF2AF340-B3FA-E740-AD90-DA4A9EEF8093}"/>
    <hyperlink ref="FL294" r:id="rId837" xr:uid="{9BDD841B-DCB0-8F47-A514-FBAD4BEBB564}"/>
    <hyperlink ref="FB294" r:id="rId838" xr:uid="{EF8E9C30-207F-5D4C-9E5C-0248C87B6A04}"/>
    <hyperlink ref="AC295" r:id="rId839" xr:uid="{C8E24449-1C7C-644A-A561-59D937FDD41F}"/>
    <hyperlink ref="AA295" r:id="rId840" xr:uid="{DB1DEA70-B976-F843-BCE4-C30FA3B9E915}"/>
    <hyperlink ref="FC295" r:id="rId841" display="https://www.samadm.ru/authority/industrial-inner-city/" xr:uid="{60060005-0608-A54E-B023-64F76EE6936A}"/>
    <hyperlink ref="FL295" r:id="rId842" xr:uid="{3A6D26F1-97B1-6342-B9F3-D539B73B1EDE}"/>
    <hyperlink ref="AC297" r:id="rId843" xr:uid="{F7F02A50-BB2A-C840-BAA0-4ACBBCBF3922}"/>
    <hyperlink ref="AA297" r:id="rId844" xr:uid="{B4B3A916-9B68-9440-AA40-BCF60DB71CE2}"/>
    <hyperlink ref="CS297" r:id="rId845" xr:uid="{CC62E079-AE91-A842-94B4-8A86FBAC8126}"/>
    <hyperlink ref="FB297" r:id="rId846" xr:uid="{5F5258D5-AAF4-D24E-8D11-9D1BFD954E7F}"/>
    <hyperlink ref="AA298" r:id="rId847" xr:uid="{11A72CC9-A717-8C47-953C-B1A67A97C115}"/>
    <hyperlink ref="AG298" r:id="rId848" xr:uid="{8CC9ABCB-D8E8-8A4B-B5B0-7E0D95D088FB}"/>
    <hyperlink ref="CS298" r:id="rId849" xr:uid="{B25D123E-9F71-C543-B732-0B2F4EC52B77}"/>
    <hyperlink ref="FL298" r:id="rId850" xr:uid="{4242E96B-AF53-9A45-B801-D15EDD104710}"/>
    <hyperlink ref="FL299" r:id="rId851" xr:uid="{002FF60E-0E5F-054A-88AA-DE5B98623D77}"/>
    <hyperlink ref="AC299" r:id="rId852" xr:uid="{D53B9F51-B8BB-BE40-99C9-FDF0898DE71C}"/>
    <hyperlink ref="FL300" r:id="rId853" xr:uid="{9E590905-20D7-B841-BF97-BF9663738C08}"/>
    <hyperlink ref="FO300" r:id="rId854" xr:uid="{C2774273-DB06-754C-B7AF-99AB98E0AABB}"/>
    <hyperlink ref="CS300" r:id="rId855" xr:uid="{BD1CD2A6-DD06-F749-84A9-9067E2EDA45C}"/>
    <hyperlink ref="AE300" r:id="rId856" xr:uid="{98650FFB-9B3D-0646-B26B-C2E5854CDF7B}"/>
    <hyperlink ref="FB300" r:id="rId857" xr:uid="{953B5F94-A940-174E-9600-7E300D788FC8}"/>
    <hyperlink ref="AC300" r:id="rId858" xr:uid="{160505B5-1939-8D49-9BDB-5C46314EDF2E}"/>
    <hyperlink ref="FL301" r:id="rId859" xr:uid="{0B64E419-1DFD-FD43-B21B-478F3C683DD8}"/>
    <hyperlink ref="FO301" r:id="rId860" xr:uid="{72549551-7A19-0949-8CBD-0B95FAB0BB68}"/>
    <hyperlink ref="AE301" r:id="rId861" xr:uid="{18AC160A-258A-2241-B376-0585B08160C6}"/>
    <hyperlink ref="CS301" r:id="rId862" xr:uid="{98FD2E6D-40DE-6648-BFA2-2B003C2E2283}"/>
    <hyperlink ref="CS302" r:id="rId863" xr:uid="{AAE0B4DC-0375-DE42-956F-6BCFE4556635}"/>
    <hyperlink ref="FL302" r:id="rId864" xr:uid="{A1B4958D-FBD1-1049-B3E7-0850694B6EC2}"/>
    <hyperlink ref="AC302" r:id="rId865" xr:uid="{06C5586B-F7CA-1147-8F7E-6D772B14E49A}"/>
    <hyperlink ref="FL303" r:id="rId866" xr:uid="{8DDAB0AF-1A0F-A047-B6BF-9575527E2707}"/>
    <hyperlink ref="AE303" r:id="rId867" xr:uid="{432CE36A-0FC4-0945-90B3-2A3F760FC4C2}"/>
    <hyperlink ref="CS303" r:id="rId868" xr:uid="{1FF4DDAD-EA95-F847-9C2A-0F6683046CAD}"/>
    <hyperlink ref="AE304" r:id="rId869" xr:uid="{9E77D768-15D5-6441-A318-6AE5840910DB}"/>
    <hyperlink ref="FL304" r:id="rId870" xr:uid="{85BCA6E1-70C5-C740-AA46-57C0B4EF7D61}"/>
    <hyperlink ref="CS304" r:id="rId871" xr:uid="{9A9925C9-0DA6-8B4D-A3A7-B1C7A95B930C}"/>
    <hyperlink ref="AC305" r:id="rId872" xr:uid="{3B25017A-9A26-8D4C-B47F-18F241EC337F}"/>
    <hyperlink ref="AE305" r:id="rId873" xr:uid="{F5A86E0A-7D57-C748-B825-A3AD97B9693E}"/>
    <hyperlink ref="CP305" r:id="rId874" xr:uid="{2809DB12-2C07-954E-A2F3-0F85713DE381}"/>
    <hyperlink ref="CS305" r:id="rId875" xr:uid="{761D960A-5C18-DE4D-9D21-37B82F5386D2}"/>
    <hyperlink ref="FL306" r:id="rId876" location="compose?to=%3Cadmbereznyaki%40yandex.ru%3E" display="https://mail.yandex.ru/?uid=1553361628 - compose?to=%3Cadmbereznyaki%40yandex.ru%3E" xr:uid="{BBF422A5-6FDD-4647-AEA6-C08FE56A8B10}"/>
    <hyperlink ref="AC306" r:id="rId877" xr:uid="{AE783E8B-A068-6D44-8136-499D3B6E0AE0}"/>
    <hyperlink ref="AE306" r:id="rId878" xr:uid="{C67734E6-0B90-6B4D-A829-C972930CF511}"/>
    <hyperlink ref="CP306" r:id="rId879" xr:uid="{CDC12160-FDE3-3347-B107-7271A23A8D98}"/>
    <hyperlink ref="FB306" r:id="rId880" xr:uid="{ED767671-7BCC-D142-ABDB-2173C7AD8B46}"/>
    <hyperlink ref="FL307" r:id="rId881" xr:uid="{E0E4470B-20B6-4740-9FE6-DFD95DB68E7F}"/>
    <hyperlink ref="AE307" r:id="rId882" xr:uid="{50046FBC-5CFA-3343-86D4-0E1FAAEED705}"/>
    <hyperlink ref="AC307" r:id="rId883" xr:uid="{2F73C7FC-49F1-224F-BBFE-E26212C97024}"/>
    <hyperlink ref="CS307" r:id="rId884" xr:uid="{5F95CAF2-D137-4243-BEE0-0AF5458FEFC6}"/>
    <hyperlink ref="FB307" r:id="rId885" xr:uid="{6B273A22-06B5-A14F-9B19-0D8DE568079C}"/>
    <hyperlink ref="CP307" r:id="rId886" xr:uid="{48802C5A-B5EB-474B-A289-89BDC6CE7B29}"/>
    <hyperlink ref="FL308" r:id="rId887" xr:uid="{C9E4D6E1-C47C-3048-B2A0-61568B0DC8EE}"/>
    <hyperlink ref="AE308" r:id="rId888" xr:uid="{204265CE-E571-674A-92FE-2FDD09A9CE26}"/>
    <hyperlink ref="CS308" r:id="rId889" xr:uid="{332A3131-6E67-0340-96C2-BC3CABE9E047}"/>
    <hyperlink ref="AC308" r:id="rId890" xr:uid="{2534BE86-22BE-DD4E-9800-DE3B84677A7F}"/>
    <hyperlink ref="CP308" r:id="rId891" xr:uid="{9FB949AE-1DD4-274F-A566-64490EE77BD2}"/>
    <hyperlink ref="FL309" r:id="rId892" xr:uid="{EA40BB3B-478E-8547-990D-0A7796001735}"/>
    <hyperlink ref="AE309" r:id="rId893" xr:uid="{14CE57AB-5BA4-C34C-A678-BC9283639376}"/>
    <hyperlink ref="CS309" r:id="rId894" xr:uid="{99031336-1625-5641-ADF0-C4A01A5E020D}"/>
    <hyperlink ref="AC309" r:id="rId895" xr:uid="{C3263315-FACB-8F4F-BD0F-99E079E644E5}"/>
    <hyperlink ref="CP309" r:id="rId896" xr:uid="{C1ED3FFA-DA1C-BB44-9FCB-5FB549E4C6EA}"/>
    <hyperlink ref="FL310" r:id="rId897" xr:uid="{C25CAB66-F2DB-2241-B8F7-23DA3EC8EF8D}"/>
    <hyperlink ref="AC310" r:id="rId898" xr:uid="{30D83899-49AE-A049-8D3F-3F7FEF70A426}"/>
    <hyperlink ref="AE310" r:id="rId899" xr:uid="{A647725F-3289-DE4A-A1D7-343CDE420608}"/>
    <hyperlink ref="CS310" r:id="rId900" xr:uid="{688AC5DA-42FC-C543-9929-F7B6ADA3CBD4}"/>
    <hyperlink ref="FB310" r:id="rId901" xr:uid="{9DE66325-D878-294A-A432-DC62F85118AB}"/>
    <hyperlink ref="FL311" r:id="rId902" xr:uid="{569C3A51-90B0-6349-B396-FE56404DDBF8}"/>
    <hyperlink ref="FO311" r:id="rId903" display="poselenie63@mail.ru" xr:uid="{4392C73A-ABCB-474F-960F-EFF21B91242D}"/>
    <hyperlink ref="AC311" r:id="rId904" xr:uid="{AA5C96E6-AFEE-004F-BE3B-F1739658476E}"/>
    <hyperlink ref="AE311" r:id="rId905" xr:uid="{A61C6073-F9A0-B540-AE65-0B84C51C7ECE}"/>
    <hyperlink ref="FB311" r:id="rId906" xr:uid="{94A35FDD-7D98-3B40-AC09-C39B6C0E5FF3}"/>
    <hyperlink ref="CS311" r:id="rId907" xr:uid="{1790CABA-1F6B-4545-80BF-51773FF8C9B1}"/>
    <hyperlink ref="AC312" r:id="rId908" xr:uid="{A19AE13B-E3FB-F746-9FBF-4AB190463D4A}"/>
    <hyperlink ref="CS312" r:id="rId909" xr:uid="{6CB9F2BC-C8CD-5A41-BFA2-CC59491F289C}"/>
    <hyperlink ref="CP312" r:id="rId910" xr:uid="{EDC862D7-C893-5642-B671-1078C0E13604}"/>
    <hyperlink ref="AE312" r:id="rId911" xr:uid="{B0C45346-256F-EE40-B6A7-9402CD9C531D}"/>
    <hyperlink ref="FB312" r:id="rId912" xr:uid="{EC52968B-8B46-0048-B3AC-327C51077280}"/>
    <hyperlink ref="FL312" r:id="rId913" xr:uid="{73765ACD-95F0-F342-ABCD-AFB03546542D}"/>
    <hyperlink ref="FL313" r:id="rId914" xr:uid="{88B8B85B-6919-6542-A47C-A51D38B02105}"/>
    <hyperlink ref="AC313" r:id="rId915" xr:uid="{7781C69B-1B36-6747-A33D-FF1D9EDD7EB1}"/>
    <hyperlink ref="CS313" r:id="rId916" xr:uid="{96E208B2-67EF-EE49-BA97-EAD29715EA2D}"/>
    <hyperlink ref="CP313" r:id="rId917" xr:uid="{1306434D-B5DF-DC40-B5E8-8933B151C708}"/>
    <hyperlink ref="AE313" r:id="rId918" xr:uid="{79430140-CBA3-D841-8E41-3DAC335B6568}"/>
    <hyperlink ref="FB313" r:id="rId919" xr:uid="{A924FBD1-39AE-454C-AB31-2027E73769F4}"/>
    <hyperlink ref="AC314" r:id="rId920" xr:uid="{B760BC51-1F40-6646-AE64-676198169D14}"/>
    <hyperlink ref="FL314" r:id="rId921" xr:uid="{C50AC79E-DEB5-FC4F-B9F2-F7E1C25CE260}"/>
    <hyperlink ref="CS314" r:id="rId922" xr:uid="{444F952E-8266-9E44-A2EA-3122317BEC02}"/>
    <hyperlink ref="CP314" r:id="rId923" xr:uid="{1CC1CD6A-2D98-8A43-81C8-5E46300C328C}"/>
    <hyperlink ref="AE314" r:id="rId924" xr:uid="{A6EA8B40-D2C5-8740-BD8C-0C76FB6CCE74}"/>
    <hyperlink ref="FB314" r:id="rId925" xr:uid="{0D03DC55-81E6-084B-800F-A2107EAD0D55}"/>
    <hyperlink ref="AC315" r:id="rId926" xr:uid="{DC8CE8EA-6297-CE4A-B500-3F05B2B33A9E}"/>
    <hyperlink ref="FL315" r:id="rId927" xr:uid="{4A48F470-7F48-4B4A-9079-4DA8F965F7A2}"/>
    <hyperlink ref="FB315" r:id="rId928" xr:uid="{F7810B7C-50C3-4E40-972E-075D833F1626}"/>
    <hyperlink ref="CS315" r:id="rId929" xr:uid="{52160D77-9423-3A46-B823-F0B0EF1B7E61}"/>
    <hyperlink ref="AE315" r:id="rId930" xr:uid="{CFED03A9-8A8F-5448-A520-A66D50DED902}"/>
    <hyperlink ref="CP315" r:id="rId931" xr:uid="{97D890E6-0CB1-854A-B870-30C8CD6A0757}"/>
    <hyperlink ref="AC316" r:id="rId932" xr:uid="{39443882-E1D0-E64C-A057-9C1135321538}"/>
    <hyperlink ref="AE316" r:id="rId933" xr:uid="{CE9711BA-72EC-1B44-A06F-A30942FE4FC4}"/>
    <hyperlink ref="CP316" r:id="rId934" xr:uid="{C245F1FE-A80C-4A48-8AC9-4702A33B3B91}"/>
    <hyperlink ref="CS316" r:id="rId935" xr:uid="{8248EF18-A347-C647-AF3E-BC595FADF81A}"/>
    <hyperlink ref="FL316" r:id="rId936" xr:uid="{7AC93333-37EC-3E48-8665-2BCD29BA0D94}"/>
    <hyperlink ref="CS317" r:id="rId937" xr:uid="{F9BDA643-BDD2-654F-AA88-3339E32162D3}"/>
    <hyperlink ref="AC317" r:id="rId938" xr:uid="{F64CF165-F914-1441-A44E-8B0CA50D108D}"/>
    <hyperlink ref="AE317" r:id="rId939" xr:uid="{048D1BC5-5D5A-244B-A570-30AC5C4FE3D4}"/>
    <hyperlink ref="FB317" r:id="rId940" xr:uid="{50659046-952D-BC4B-B556-8D53C17B3718}"/>
    <hyperlink ref="CP317" r:id="rId941" xr:uid="{A69E9ADC-402F-F145-99EC-B4087E700158}"/>
    <hyperlink ref="FL317" r:id="rId942" xr:uid="{82F91872-4259-844C-9296-A5219BA31326}"/>
    <hyperlink ref="AE318" r:id="rId943" xr:uid="{58508170-B9DE-D84C-B75C-C7631290E51B}"/>
    <hyperlink ref="AC318" r:id="rId944" xr:uid="{8D799384-7853-F44D-A6B9-A77B18A76AD4}"/>
    <hyperlink ref="CP318" r:id="rId945" xr:uid="{AB95D12B-DBB9-184A-A022-E762ED52FE11}"/>
    <hyperlink ref="CS318" r:id="rId946" xr:uid="{DC32B265-86CF-C248-82A3-77085426F595}"/>
    <hyperlink ref="FL318" r:id="rId947" xr:uid="{0AF3363F-3804-5041-A376-0CE4389BA20E}"/>
    <hyperlink ref="FB318" r:id="rId948" xr:uid="{3CD6D047-EFFD-F74A-8996-226C261C314D}"/>
    <hyperlink ref="FL319" r:id="rId949" xr:uid="{103A0D3D-E9E6-C24A-87D2-C7AEB1CA2031}"/>
    <hyperlink ref="AE319" r:id="rId950" xr:uid="{DD8D09AF-9EAB-6A4D-9791-9AC924D19294}"/>
    <hyperlink ref="AC319" r:id="rId951" xr:uid="{B7236649-DE35-AF4A-937E-8B56D50E1CBD}"/>
    <hyperlink ref="CS319" r:id="rId952" xr:uid="{DBAA01C4-3455-3741-9FF8-DAFFDAD1BE6F}"/>
    <hyperlink ref="FB319" r:id="rId953" xr:uid="{123B677C-3D65-414D-B462-72C20FDB0131}"/>
    <hyperlink ref="CP319" r:id="rId954" xr:uid="{C1696AE8-67B1-E848-85E7-A8700075DB21}"/>
    <hyperlink ref="FL320" r:id="rId955" xr:uid="{E765CC7C-A49E-BC47-97DD-79552FEB4D81}"/>
    <hyperlink ref="AC320" r:id="rId956" xr:uid="{1405C5AC-3BF2-9A43-80A5-26CFFA1D4179}"/>
    <hyperlink ref="CS320" r:id="rId957" xr:uid="{1E3415A9-791E-9F45-9C3D-97AA938D5C15}"/>
    <hyperlink ref="FB320" r:id="rId958" xr:uid="{105DD645-A0B0-3C4A-AA87-46E2EE00902A}"/>
    <hyperlink ref="AE320" r:id="rId959" xr:uid="{3CCA10FB-CDDF-1944-863E-96C606D8A7B9}"/>
    <hyperlink ref="AE321" r:id="rId960" xr:uid="{260814A7-8E03-2D44-8903-694B6449328F}"/>
    <hyperlink ref="AC321" r:id="rId961" xr:uid="{727C5CD4-0BC8-5047-A42C-43D965509D7B}"/>
    <hyperlink ref="CP321" r:id="rId962" xr:uid="{547F3E25-753E-B146-B8A1-221A31567D06}"/>
    <hyperlink ref="CS321" r:id="rId963" xr:uid="{88BF6E46-A9DE-4148-AFBA-1E09FE82CBEC}"/>
    <hyperlink ref="FL321" r:id="rId964" xr:uid="{63035E6E-ECB5-6043-BBE1-A0566D64EF97}"/>
    <hyperlink ref="FB321" r:id="rId965" xr:uid="{B3893054-CF0A-FD4E-96B7-985C29A8B476}"/>
    <hyperlink ref="AA322" r:id="rId966" xr:uid="{91579DAD-F6CF-5A45-B729-8821DD6FFDB1}"/>
    <hyperlink ref="AC322" r:id="rId967" xr:uid="{B4DE19CA-B885-CB4D-AA8C-965F0B73FFDB}"/>
    <hyperlink ref="AE322" r:id="rId968" xr:uid="{32980DE0-E0B5-7647-AD7B-70514E0B7616}"/>
    <hyperlink ref="CP322" r:id="rId969" xr:uid="{70EC32DD-FF21-7B46-881E-AA9F7BCC48D6}"/>
    <hyperlink ref="FL322" r:id="rId970" xr:uid="{CD73B3A7-01C8-314D-B706-217DF469DC9D}"/>
    <hyperlink ref="AC323" r:id="rId971" xr:uid="{39ED682C-3F7B-A243-BE50-D098BCCED6FB}"/>
    <hyperlink ref="AE323" r:id="rId972" xr:uid="{9D8F5B3E-127D-4143-86EC-29E0EE0211DA}"/>
    <hyperlink ref="BG323" r:id="rId973" xr:uid="{13676732-0D64-F94D-8AF8-B829D5C19B5B}"/>
    <hyperlink ref="CP323" r:id="rId974" xr:uid="{793AA70A-17DF-D942-B967-B3808AEC7D23}"/>
    <hyperlink ref="FL323" r:id="rId975" xr:uid="{ECE1C23E-F5DE-0140-B14F-6EBE560F3797}"/>
    <hyperlink ref="FO323" r:id="rId976" xr:uid="{5DBE13D6-9E6B-2042-8A42-F61AC37179B8}"/>
    <hyperlink ref="CS323" r:id="rId977" xr:uid="{B990D7DE-C82F-914C-8193-DAA5A18764A1}"/>
    <hyperlink ref="AE324" r:id="rId978" xr:uid="{EF1C6A7D-BA37-2E4B-88B1-67F0D0A171F9}"/>
    <hyperlink ref="CS327" r:id="rId979" xr:uid="{FCA6497C-B5E7-3F45-BEE8-30EBD0A72395}"/>
    <hyperlink ref="AC340" r:id="rId980" xr:uid="{A11F9ECD-B0BA-D044-8891-E5762E35CB6C}"/>
    <hyperlink ref="CS340" r:id="rId981" xr:uid="{54F6BCDF-60B0-E84B-8294-8F9339225BAB}"/>
    <hyperlink ref="FL340" r:id="rId982" xr:uid="{F539175D-7431-E348-BDC2-9C461BAE4465}"/>
    <hyperlink ref="AC341" r:id="rId983" xr:uid="{0426C0F2-B445-214D-9558-AAF2B8931DE3}"/>
    <hyperlink ref="AE341" r:id="rId984" display="https://asbestadm.ru/economy/munitsipalnyie-programmyi/obrazovanie/2022/  " xr:uid="{4C401A78-39D3-9046-A26A-8DA737FBFE02}"/>
    <hyperlink ref="CS341" r:id="rId985" xr:uid="{CAA00553-F5FD-B549-A95F-CFF7AAFC7CF2}"/>
    <hyperlink ref="FL341" r:id="rId986" xr:uid="{C7CFAB08-C1C8-E74B-AEDC-D5D2F6C4A265}"/>
    <hyperlink ref="FB341" r:id="rId987" xr:uid="{9D84BFFE-5B8D-4A4B-B2CE-30DE3E848567}"/>
    <hyperlink ref="AA342" r:id="rId988" xr:uid="{6CE8C68E-A755-E149-867B-1FC00DC32290}"/>
    <hyperlink ref="CS342" r:id="rId989" xr:uid="{36E4E0A9-BA34-754C-84A0-33BA863CDEB2}"/>
    <hyperlink ref="FB342" r:id="rId990" xr:uid="{03666EE5-4012-844E-84A5-D9AEE45E69BA}"/>
    <hyperlink ref="FL342" r:id="rId991" xr:uid="{39ACD970-0C4A-C240-ABE5-32832D107261}"/>
    <hyperlink ref="CS343" r:id="rId992" xr:uid="{DB572766-D402-BA48-9887-A68B656CABB4}"/>
    <hyperlink ref="EZ343" r:id="rId993" xr:uid="{DF3FA5AD-BD9C-4C4C-B6EC-BD4D83C47095}"/>
    <hyperlink ref="FB343" r:id="rId994" xr:uid="{52962C3C-5B8F-3841-B48D-054D7CCED680}"/>
    <hyperlink ref="FL343" r:id="rId995" xr:uid="{DEDDA5B1-F588-8A40-BE0B-1164C1E90107}"/>
    <hyperlink ref="AA344" r:id="rId996" xr:uid="{8828670F-3E35-724F-AE55-FC7B01453AF4}"/>
    <hyperlink ref="AG344" r:id="rId997" xr:uid="{5254B50F-7A9F-B247-8C03-B66AC2544B4F}"/>
    <hyperlink ref="CS344" display="https://docs.yandex.ru/docs/view?url=ya-browser%3A%2F%2F4DT1uXEPRrJRXlUFoewruMK9qdWWSI4tb5pvE1AAAl1mrAg0BGqEi2eRznCIZz6YrPktRWoBZ1X7SQI9u1dMWNjdqz44eaBXVjavKqTc9c8lQm5KKTrNVuJSR3wvTkilqlk-9bE3e9MCVN5OIma7qQ%3D%3D%3Fsign%3Dv90LNKcW6Zy3DOGqXViu5FSDt9TGlyHCO" xr:uid="{7919E5FB-D8A9-6544-9500-3423FDD8126D}"/>
    <hyperlink ref="FL344" r:id="rId998" xr:uid="{6636A10A-A87B-4945-8D98-FE26AF15296C}"/>
    <hyperlink ref="AC344" r:id="rId999" xr:uid="{A416933F-E3DA-9645-A371-8127F1E7CE45}"/>
    <hyperlink ref="FB344" r:id="rId1000" xr:uid="{D5A5664D-22A6-8D4B-A6BE-FF8D90F17EDC}"/>
    <hyperlink ref="AA345" r:id="rId1001" xr:uid="{D533978E-265B-8A4F-8196-5F8D3AA22FB7}"/>
    <hyperlink ref="FB345" r:id="rId1002" xr:uid="{21A58EA8-C0B9-F34E-B62E-F7031A75C2AF}"/>
    <hyperlink ref="AA350" r:id="rId1003" xr:uid="{0E247093-F354-CF4B-8902-A07638740CB9}"/>
    <hyperlink ref="FB350" r:id="rId1004" xr:uid="{275B7B0D-C350-E64A-9EF5-A904F2C19FB3}"/>
    <hyperlink ref="CS350" r:id="rId1005" xr:uid="{456BB522-9FB6-9F4A-B464-27E0A2483EAE}"/>
    <hyperlink ref="BG351" r:id="rId1006" xr:uid="{3CE59FF7-2227-7444-8C92-ECDA0C955E1E}"/>
    <hyperlink ref="CS351" r:id="rId1007" xr:uid="{6B2FE865-3287-734F-9070-798B3E9FC91E}"/>
    <hyperlink ref="AA352" r:id="rId1008" xr:uid="{A7DE942D-B0B1-F94A-96C2-59077FD0E489}"/>
    <hyperlink ref="AC352" r:id="rId1009" xr:uid="{2ABF5C6E-811D-DE4E-B977-5A36CCF975C3}"/>
    <hyperlink ref="FB352" r:id="rId1010" xr:uid="{31BD7E1D-DA52-2C4A-A949-6F9E179B6A54}"/>
    <hyperlink ref="CS352" r:id="rId1011" xr:uid="{39CB7739-D7F3-0249-8714-F39E53201F41}"/>
    <hyperlink ref="AC353" r:id="rId1012" xr:uid="{D2EBA7D2-4FB3-104E-9120-760B06603DC7}"/>
    <hyperlink ref="AA353" r:id="rId1013" xr:uid="{0ABE41F1-9C3D-B342-80E5-D9B3A4E795BA}"/>
    <hyperlink ref="BG353" r:id="rId1014" xr:uid="{379A7967-7A29-344D-837A-8AB4CF8D6B73}"/>
    <hyperlink ref="CP353" r:id="rId1015" xr:uid="{99719A2F-15DA-8349-8B71-CB63A8D8621E}"/>
    <hyperlink ref="FL353" r:id="rId1016" xr:uid="{689CFF54-779D-5344-9AC9-BE4FADBFA57C}"/>
    <hyperlink ref="FB353" r:id="rId1017" display="http://abgosk.ru/finansy/initsiativnoe-byudzhetirovanie/initsiativnoe-byudzhetirovanie.php" xr:uid="{876B327B-9765-7044-B5B0-DA5A57A23B9B}"/>
    <hyperlink ref="AG353" r:id="rId1018" display="http://www.abgosk.ru/about/dependents/otdel_econom_razvitiya_i_mun_zakupok/15_10112022.docx" xr:uid="{A581A6ED-51C1-7A48-82A6-34D901E85AE9}"/>
    <hyperlink ref="AE353" r:id="rId1019" display="http://www.abgosk.ru/city/economica/municipal-programs/razvitie-zhkkh-i-dorozhnoy-infrastruktury.php" xr:uid="{64D25C50-B7F2-5942-99AE-E60D5BE0DD3A}"/>
    <hyperlink ref="CS353" r:id="rId1020" xr:uid="{368D8558-8B24-0143-910A-DC3AD41BD136}"/>
    <hyperlink ref="AC354" r:id="rId1021" display="http://www.georgievsk.ru/duma/reshen/469-24.doc" xr:uid="{6B2817DC-9C98-4346-B4A6-9A85A406E7E7}"/>
    <hyperlink ref="FL354" r:id="rId1022" xr:uid="{D6C33540-714E-EF46-81D1-9E1B462DE883}"/>
    <hyperlink ref="CS354" r:id="rId1023" xr:uid="{15A2BB66-FC6C-7F44-969D-60EE95256162}"/>
    <hyperlink ref="AA355" r:id="rId1024" display="https://www.georgievsk.ru/mestnye-initsiativy/budjetirovanie/1386_26-04-2022.doc" xr:uid="{D17B1F96-D10A-6A47-AF81-C6B512CFAB2A}"/>
    <hyperlink ref="AE355" r:id="rId1025" xr:uid="{5AC8527F-09AA-314E-ABB0-F19E51BDB2BB}"/>
    <hyperlink ref="BG355" r:id="rId1026" xr:uid="{DD1A26F8-59D5-4B42-9A95-F8E4F6503D95}"/>
    <hyperlink ref="FB355" r:id="rId1027" xr:uid="{8D4D1E7C-DD74-AC47-8701-EAF63A0D4FB8}"/>
    <hyperlink ref="CS355" r:id="rId1028" xr:uid="{DFDA65C0-E626-9745-A0D4-689E26D5C3C8}"/>
    <hyperlink ref="CP355" r:id="rId1029" xr:uid="{CE7927C0-72CA-3C41-99EA-1155FCE405CB}"/>
    <hyperlink ref="FL355" r:id="rId1030" xr:uid="{0E1782E1-D50E-6D41-B2B2-B0966E2EAD5A}"/>
    <hyperlink ref="FD355" r:id="rId1031" xr:uid="{11ABC147-7D39-9D40-864F-E86E1BEA7F0F}"/>
    <hyperlink ref="AC356" r:id="rId1032" xr:uid="{922D5BDC-F2CC-314D-A74C-99428D95DC39}"/>
    <hyperlink ref="BG356" r:id="rId1033" xr:uid="{FE6015F1-3FCA-024F-9E67-A5E1D091C19C}"/>
    <hyperlink ref="FB356" r:id="rId1034" xr:uid="{D6D60108-A9A7-3345-B321-802FD4BBC443}"/>
    <hyperlink ref="FL356" r:id="rId1035" xr:uid="{00F0413A-DC35-C246-A0F4-E199CBB67D3F}"/>
    <hyperlink ref="AE357" r:id="rId1036" xr:uid="{1921A82C-F283-5A40-9D98-960454CC8DB0}"/>
    <hyperlink ref="AA357" r:id="rId1037" xr:uid="{3AD12925-12A4-D443-83E9-87067FD0DBE4}"/>
    <hyperlink ref="FB358" r:id="rId1038" location="top" xr:uid="{C6B491EF-ACF7-0441-B921-446BDA0D7B55}"/>
    <hyperlink ref="FD358" r:id="rId1039" xr:uid="{D5CCF027-A541-9B45-B3D0-4A284CC3DBA5}"/>
    <hyperlink ref="AC358" r:id="rId1040" display="http://ipatovo.org/userfiles/file/2021/fevral/resheniya/reshenie_16_poryadka_vyd_rassm__inic_proektov.doc" xr:uid="{001A2CE5-C8C5-5647-8320-9CE46AF2F8CA}"/>
    <hyperlink ref="CS358" r:id="rId1041" xr:uid="{B4184373-5D20-7041-87AE-B4934CEC123B}"/>
    <hyperlink ref="AE358" r:id="rId1042" display="http://ipatovo.org/userfiles/file/2019/aprel/636_ob_utverzhdenii_pravil_malyh_sel.zip" xr:uid="{70D872F1-4D08-4248-A469-5E60DC1695E6}"/>
    <hyperlink ref="AA358" r:id="rId1043" display="http://ipatovo.org/userfiles/file/2021/fevral/resheniya/reshenie_16_poryadka_vyd_rassm__inic_proektov.doc" xr:uid="{4995E1B3-F4D1-F04E-BBD4-16940774CB9D}"/>
    <hyperlink ref="AC359" r:id="rId1044" xr:uid="{A91CD68A-78E7-1047-BB33-05A3CC08898F}"/>
    <hyperlink ref="FL360" r:id="rId1045" xr:uid="{0066D1A0-C244-4044-A25C-0B9FD366A832}"/>
    <hyperlink ref="CS360" r:id="rId1046" xr:uid="{5BFEB855-75DF-1D4C-8700-E2E1A4E2C439}"/>
    <hyperlink ref="AG361" r:id="rId1047" xr:uid="{C3328D94-F911-7644-8DE6-F09F3D687916}"/>
    <hyperlink ref="AC361" r:id="rId1048" xr:uid="{0BBB1085-7311-0C43-BC56-3DAF3297E038}"/>
    <hyperlink ref="AE361" r:id="rId1049" xr:uid="{0197DC9B-8726-7348-AF5E-6C7424EF4922}"/>
    <hyperlink ref="FB361" r:id="rId1050" xr:uid="{5C1E931D-6F08-0E41-8912-F8738AD3BAD0}"/>
    <hyperlink ref="FD361" r:id="rId1051" xr:uid="{199F9F64-BAD3-4640-B2F0-9B725A1F6A7D}"/>
    <hyperlink ref="FL361" r:id="rId1052" xr:uid="{F1B16F02-310B-804F-9E5F-D6E08D3BA802}"/>
    <hyperlink ref="FB362" r:id="rId1053" xr:uid="{E5B14991-1BFD-6846-841A-248F04F28190}"/>
    <hyperlink ref="AC362" r:id="rId1054" display="http://krasnogvardeiskoe.info/sites/krasnogvardeiskoe.info/files/of/userfiles/file/sovet%20kmr/obnarodovanie/2021/%D0%A0%D0%B5%D1%88%D0%B5%D0%BD%D0%B8%D0%B5%20%   E2%84%96%20114%20%D0%BE%D1%82%2024.02.2021%20%D0%B3..doc  " xr:uid="{2FF7A26D-9ACB-6646-9908-B43CE2D399A2}"/>
    <hyperlink ref="FL364" r:id="rId1055" xr:uid="{2D8FD5E3-05FA-5141-B163-04BE1D3AAB57}"/>
    <hyperlink ref="AC365" r:id="rId1056" xr:uid="{C82A1792-4367-A74D-92ED-85C219FBA270}"/>
    <hyperlink ref="AE365" r:id="rId1057" xr:uid="{972532F5-AF11-0847-9A54-1A9F74947FEA}"/>
    <hyperlink ref="CS365" r:id="rId1058" xr:uid="{FB561946-AE89-9F41-BB45-94651D8A4567}"/>
    <hyperlink ref="FL365" r:id="rId1059" display="finnev@nevsk.stavregion.ru_x000a_" xr:uid="{AF25F3B3-E579-8D4C-8B24-A27E008CF896}"/>
    <hyperlink ref="BG366" r:id="rId1060" xr:uid="{7B723B9B-C072-0749-863D-C4539CD711C4}"/>
    <hyperlink ref="AE366" r:id="rId1061" xr:uid="{2C5EE854-094E-2E46-8258-781BC1AA5653}"/>
    <hyperlink ref="AA366" r:id="rId1062" xr:uid="{3823DD0D-611E-224D-A2B8-1883C07E3023}"/>
    <hyperlink ref="AC366" r:id="rId1063" xr:uid="{1919A5D0-51C4-0C48-88C9-A51E5C292EC7}"/>
    <hyperlink ref="AG366" r:id="rId1064" xr:uid="{3E494746-71B6-004E-84EB-3E803926BC49}"/>
    <hyperlink ref="FL366" r:id="rId1065" xr:uid="{ABEAF48E-1EB8-B04B-8469-136080B86693}"/>
    <hyperlink ref="AA367" r:id="rId1066" xr:uid="{4C13DD1D-E0BD-0649-918F-412EECA698E8}"/>
    <hyperlink ref="AC367" r:id="rId1067" xr:uid="{2A54A9E3-3C59-924C-AA61-FB6DC34AD23A}"/>
    <hyperlink ref="AE367" r:id="rId1068" xr:uid="{E06CCCA6-3AB7-584A-B4A8-21FD969244A1}"/>
    <hyperlink ref="BG367" r:id="rId1069" xr:uid="{132F6D2E-80BC-9F40-854A-C853017CE20D}"/>
    <hyperlink ref="FB367" r:id="rId1070" xr:uid="{9A4327CC-27A5-C64B-A13F-CE6242B5A420}"/>
    <hyperlink ref="FL367" r:id="rId1071" xr:uid="{6F5D3ACA-25D1-0140-B737-ABB2E8A41117}"/>
    <hyperlink ref="CS367" r:id="rId1072" xr:uid="{4D0841B6-6528-DD49-9FEE-FDBAE3CD7D53}"/>
    <hyperlink ref="CP367" r:id="rId1073" xr:uid="{C2FD9E05-6425-FB4A-B70A-215D1325E4A0}"/>
    <hyperlink ref="FL368" r:id="rId1074" xr:uid="{7C6BB45D-6FD1-2E4D-AFEA-7DA5DF36DB10}"/>
    <hyperlink ref="AA368" display="https://www.novoselickoe.ru/;https://www.novoselickoe.ru/dokumenty/postanovleniya/postanovleniya-2021/postanovlenie-563-ot-16-iyulya-2021-g-o-naznachenii-i-provedenii-na-territorii-poselka-shchelkan-novoselitskogo-rajona-stavropolskogo-kraya-sobraniya-kon" xr:uid="{58FE26E3-D964-AE43-B10C-A0F8DE302C78}"/>
    <hyperlink ref="AG368" r:id="rId1075" xr:uid="{889BE834-422F-134F-AE3D-29648F7EBC8F}"/>
    <hyperlink ref="AE369" r:id="rId1076" xr:uid="{719BDC0A-C1CC-3446-9EED-9C04F14F43A3}"/>
    <hyperlink ref="CS369" r:id="rId1077" xr:uid="{621A77D3-58CE-2D47-9005-BB7CE8522076}"/>
    <hyperlink ref="FB369" r:id="rId1078" xr:uid="{396536C3-A2A8-E741-B79C-2AE842CBE3CB}"/>
    <hyperlink ref="FF369" r:id="rId1079" xr:uid="{AB13E4A2-CDC0-8646-B91E-3D0BCCE9F5CF}"/>
    <hyperlink ref="FL369" r:id="rId1080" xr:uid="{7253AE50-3E9B-1741-A22C-CD0CE78E22E4}"/>
    <hyperlink ref="FL370" r:id="rId1081" xr:uid="{0CE8AEEB-5CA7-6F48-ACF8-5EE1580597D5}"/>
    <hyperlink ref="AC371" r:id="rId1082" xr:uid="{7A464E2E-3756-ED4B-A7C1-1C5ABC171855}"/>
    <hyperlink ref="AE371" r:id="rId1083" xr:uid="{5C40F03E-28B1-924B-9FA3-5F4602F70B0E}"/>
    <hyperlink ref="AA371" r:id="rId1084" xr:uid="{73E8C14C-AB31-414E-932E-38298DCB93FD}"/>
    <hyperlink ref="CS371" r:id="rId1085" xr:uid="{5C2BECE9-5157-5144-8B0F-3B4D5A2BEB81}"/>
    <hyperlink ref="FB371" r:id="rId1086" xr:uid="{C1E993A0-B8EA-2744-BE92-7711C3E8B3ED}"/>
    <hyperlink ref="FC371" r:id="rId1087" xr:uid="{8B009E3D-D0DA-5C4F-BB4D-12262A00DD27}"/>
    <hyperlink ref="FL371" r:id="rId1088" xr:uid="{2AEEE5D2-792E-5040-B3CF-4069ABD6CE0C}"/>
    <hyperlink ref="AA372" r:id="rId1089" xr:uid="{6E20C672-F916-8540-ABDB-C0F2D386574E}"/>
    <hyperlink ref="AC372" r:id="rId1090" xr:uid="{A6541E4D-F252-0F4F-941A-73ACE449D44E}"/>
    <hyperlink ref="AE372" r:id="rId1091" xr:uid="{375D08CE-6468-FE4E-B101-65CCD1C153F3}"/>
    <hyperlink ref="FB372" r:id="rId1092" xr:uid="{E555DF4A-5725-234D-876C-1750D2C1EA4E}"/>
    <hyperlink ref="FL374" r:id="rId1093" xr:uid="{5E654BE2-A919-484B-B51C-40B5359494F6}"/>
    <hyperlink ref="CS374" r:id="rId1094" xr:uid="{CEA28169-1557-6744-A1B2-4830BDC6F3DF}"/>
    <hyperlink ref="FO380" r:id="rId1095" xr:uid="{9EBFF854-B3C8-374B-A6D6-1D7CA4FB862B}"/>
    <hyperlink ref="AG380" r:id="rId1096" xr:uid="{E08DCB6A-9E0E-B54C-BA2D-C7862B9654F2}"/>
    <hyperlink ref="FL380" r:id="rId1097" xr:uid="{C2DC8A44-A72F-1A41-88B4-5D788B87389D}"/>
    <hyperlink ref="FC380" r:id="rId1098" xr:uid="{36DFDE45-BCEA-5D47-8EDE-44D92906C7BF}"/>
    <hyperlink ref="AA390" r:id="rId1099" xr:uid="{C37975EF-EAFD-454E-B713-39CC265DDEDF}"/>
    <hyperlink ref="AC390" r:id="rId1100" xr:uid="{8480DF8C-F276-084D-A46B-2ECE5FC12E92}"/>
    <hyperlink ref="CS390" r:id="rId1101" xr:uid="{9B6A6FD0-721E-BB48-8FEA-D4BA638932F4}"/>
    <hyperlink ref="FC390" r:id="rId1102" xr:uid="{F31890AD-5DCE-8440-B1F9-CED5675624FC}"/>
    <hyperlink ref="FL390" r:id="rId1103" xr:uid="{D6C66D3E-6991-3D4A-9E81-2DF0AE68D6D4}"/>
    <hyperlink ref="AE390" r:id="rId1104" xr:uid="{72D3D46F-7D04-F247-8B45-A37FB45D8A35}"/>
    <hyperlink ref="FD390" r:id="rId1105" display="http://www.tyumen-city.ru/ekonomika/finansi/iniciativnoe-budjetirovanie/" xr:uid="{44697A90-9BBE-BD44-9385-29C200E607DF}"/>
    <hyperlink ref="CS413" r:id="rId1106" xr:uid="{ABB03539-87A3-D743-817F-43F215C4F7F2}"/>
    <hyperlink ref="FL413" r:id="rId1107" display="org@gorod.amursk.ru" xr:uid="{84C0E38E-C67F-404B-ADB6-59FB70B297BE}"/>
    <hyperlink ref="FL414" r:id="rId1108" xr:uid="{F826C993-C2EE-A54F-9508-67043EB09E20}"/>
    <hyperlink ref="FB414" r:id="rId1109" xr:uid="{F2425467-C35F-1245-9B3A-864E33B1F1F5}"/>
    <hyperlink ref="AA414" r:id="rId1110" xr:uid="{69402C75-3069-A447-B121-FF7ACCC6295B}"/>
    <hyperlink ref="AE414" r:id="rId1111" xr:uid="{F6511D2F-6C8A-5B44-A276-07C93F3CA2EC}"/>
    <hyperlink ref="CS414" r:id="rId1112" xr:uid="{EFB980AE-38F8-E54A-8F10-6B6D2DC8A670}"/>
    <hyperlink ref="AC418" r:id="rId1113" xr:uid="{C92B8BD5-D8AE-904C-AE38-718EB8BA5EC2}"/>
    <hyperlink ref="AA418" r:id="rId1114" xr:uid="{D515CE0E-5B94-1746-B2F0-1EB59FD12277}"/>
    <hyperlink ref="AE418" r:id="rId1115" xr:uid="{3006F3D8-C346-5147-AEA4-ACB2BA930B91}"/>
    <hyperlink ref="AG418" r:id="rId1116" xr:uid="{04DB1871-3961-224D-A973-AE234A61964F}"/>
    <hyperlink ref="BG418" r:id="rId1117" display="https://budget.uray.ru/iniciativnoe-bjudzhetirovanie-v-rf/opisanie-proektov-2022/;   " xr:uid="{2C49DBE8-4000-F045-B0CD-129D16E3D573}"/>
    <hyperlink ref="DB418" r:id="rId1118" xr:uid="{D619C99A-6A70-1247-8D72-5CA4FDB8427F}"/>
    <hyperlink ref="DE418" r:id="rId1119" xr:uid="{EEA781CF-2989-504F-8966-D3A9014E7F33}"/>
    <hyperlink ref="FB418" r:id="rId1120" xr:uid="{760C0F4F-4E3D-CF48-90C7-ABB30D6DDACF}"/>
    <hyperlink ref="FL418" r:id="rId1121" xr:uid="{636CEF4A-6084-1649-BCBD-C3ED7C0B64C1}"/>
    <hyperlink ref="DB419" r:id="rId1122" display="https://www.dumamegion.ru/laws/resheniya/detail.php?ID=9646" xr:uid="{EA3CA3EA-F609-D147-8BE6-DE7ACAC284A7}"/>
    <hyperlink ref="FL419" r:id="rId1123" xr:uid="{7CCC2EA4-0B6A-AE42-9AE0-562A74E9F0BC}"/>
    <hyperlink ref="AC419" r:id="rId1124" xr:uid="{FFCBAD88-3C8E-674A-BEDA-97A546DEFF65}"/>
    <hyperlink ref="AG419" r:id="rId1125" xr:uid="{D551E85E-BD9A-3F4C-8FBA-B7663FE9D89C}"/>
    <hyperlink ref="AE419" r:id="rId1126" xr:uid="{A6D452F6-83F1-1C4E-854A-797CE614DA69}"/>
    <hyperlink ref="FB419" r:id="rId1127" xr:uid="{E974CC2D-0B8B-9840-8826-C1E9833D5090}"/>
    <hyperlink ref="CS419" r:id="rId1128" xr:uid="{D916320D-B27B-424B-8E43-AF4517945487}"/>
    <hyperlink ref="AG423" r:id="rId1129" xr:uid="{E1AF7632-8AED-8349-889D-A4DB06F6A25A}"/>
    <hyperlink ref="AE423" r:id="rId1130" xr:uid="{E0B6FE17-54B2-4646-98DD-2F09DAB5B1A3}"/>
    <hyperlink ref="CS423" r:id="rId1131" xr:uid="{84368F04-60E7-E941-A066-7ACB5A47C84E}"/>
    <hyperlink ref="DZ423" r:id="rId1132" xr:uid="{ABA8BF9E-2563-9947-8CCC-CA87996E16FC}"/>
    <hyperlink ref="FB423" r:id="rId1133" xr:uid="{D4AA0F28-8835-A74D-885B-236F6E72A6A4}"/>
    <hyperlink ref="FC423" r:id="rId1134" xr:uid="{06832282-4C07-FB43-BD1A-EE4A06EC51CA}"/>
    <hyperlink ref="FD423" r:id="rId1135" xr:uid="{5348C371-BD1A-AF40-8982-EA04870A2FCB}"/>
    <hyperlink ref="FL423" r:id="rId1136" xr:uid="{08629AE8-935C-7747-95A4-F3C43D889588}"/>
    <hyperlink ref="AC424" r:id="rId1137" location="DOCTYPE=dumaReshenie&amp;Y=2021&amp;M=2" xr:uid="{635B8884-C06E-934F-B32B-518721203B05}"/>
    <hyperlink ref="AG424" r:id="rId1138" location="DOCTYPE=dumaReshenie&amp;DNUM=&amp;DT1=&amp;DT2=&amp;DNAME=&amp;Y=2018&amp;M=5" xr:uid="{2F092FF1-F387-A646-8280-7DC53B815DC6}"/>
    <hyperlink ref="BG424" r:id="rId1139" location="DOCTYPE=dumaReshenie&amp;Y=2021&amp;M=2" xr:uid="{B41ED932-8592-EB47-BAE3-C259E5EE9CAF}"/>
    <hyperlink ref="ER424" r:id="rId1140" xr:uid="{B62B2751-195E-A74F-B605-A7A32AB20984}"/>
    <hyperlink ref="FC424" r:id="rId1141" xr:uid="{90F563BF-E2FB-9B4E-AF75-12683D6B6487}"/>
    <hyperlink ref="FD424" r:id="rId1142" xr:uid="{26D774EC-8EFE-C34B-BC1F-A75FD917B1C7}"/>
    <hyperlink ref="FL424" r:id="rId1143" xr:uid="{AF5B8643-0C4C-ED42-8512-E1BD7D78BA92}"/>
    <hyperlink ref="FL425" r:id="rId1144" xr:uid="{7F421EBF-99FB-1D43-878F-3F2469E24464}"/>
    <hyperlink ref="AC427" r:id="rId1145" xr:uid="{20D53C6F-41D4-9C4D-8F6E-A7C7B1603B6F}"/>
    <hyperlink ref="AE427" r:id="rId1146" xr:uid="{E763BF00-9197-4943-9786-61E530A1D6F3}"/>
    <hyperlink ref="CS427" r:id="rId1147" xr:uid="{3A74BE66-FC25-F745-8272-84EFAA0C2538}"/>
    <hyperlink ref="FB427" r:id="rId1148" xr:uid="{CE67416A-6FF1-7E41-8F61-F49D3354E849}"/>
    <hyperlink ref="FL427" r:id="rId1149" xr:uid="{101EC798-FFB0-C140-BD36-C8BC574C130C}"/>
    <hyperlink ref="AC428" r:id="rId1150" xr:uid="{74C4DA88-8DA4-EE4B-87E1-0D1E8D24FF82}"/>
    <hyperlink ref="AE428" r:id="rId1151" xr:uid="{6378F553-5B44-7445-82C0-4A7751354D60}"/>
    <hyperlink ref="FL428" r:id="rId1152" xr:uid="{ACEE9ED6-4C97-DE40-9AAC-ECCA84E1B0A8}"/>
    <hyperlink ref="DB428" r:id="rId1153" xr:uid="{666249CB-459B-D944-B9F3-74B678DB9769}"/>
    <hyperlink ref="CS428" r:id="rId1154" xr:uid="{14D9209E-190A-C046-9775-A4587C830E89}"/>
    <hyperlink ref="FB428" r:id="rId1155" xr:uid="{ACA0B5AD-521F-624E-A377-BFCE50D621F0}"/>
    <hyperlink ref="EO428" r:id="rId1156" xr:uid="{AB714858-A184-C94B-9D83-B4D613D78AA6}"/>
    <hyperlink ref="EC428" r:id="rId1157" display="http://lugovoikonda.ru/tinybrowser/files/2021/rasporygeniy/protokol.docx" xr:uid="{DD5D5B5C-C4B2-6D4F-9E84-BAA10D111407}"/>
    <hyperlink ref="FO428" r:id="rId1158" xr:uid="{7956F4AB-258F-2547-AD90-3E413E8B78EC}"/>
    <hyperlink ref="FL429" r:id="rId1159" xr:uid="{F776BB8C-4468-024D-B595-338736E4E2A4}"/>
    <hyperlink ref="FB429" r:id="rId1160" xr:uid="{53B44F55-9FF6-8143-999F-75DCEB72EB12}"/>
    <hyperlink ref="FC429" r:id="rId1161" display="https://vk.com/public188912037" xr:uid="{60596A44-2AF5-4A46-87C9-7D075222A01D}"/>
    <hyperlink ref="DE429" r:id="rId1162" xr:uid="{083189A5-2268-FB4F-9685-3DB2099F5624}"/>
    <hyperlink ref="CS429" r:id="rId1163" xr:uid="{C11B0028-B1F5-614B-885C-840D3AE745ED}"/>
    <hyperlink ref="FO429" r:id="rId1164" xr:uid="{13195A86-0250-9D4B-BF9E-0ABE79B4004C}"/>
    <hyperlink ref="BG429" r:id="rId1165" xr:uid="{A35DAAD3-FD72-2044-87FA-BC5D20BE05FC}"/>
    <hyperlink ref="AC430" r:id="rId1166" xr:uid="{CE1F035C-BC81-D84B-82CD-30BBDF0E93CE}"/>
    <hyperlink ref="CP430" r:id="rId1167" xr:uid="{2C819988-4486-9647-94D8-30440C4268CF}"/>
    <hyperlink ref="DQ430" r:id="rId1168" xr:uid="{48BC3868-2D77-0E4D-B81C-EF4FF83AA74E}"/>
    <hyperlink ref="FL430" r:id="rId1169" xr:uid="{8D07461D-1B6B-CD49-8F13-9EF898362D84}"/>
    <hyperlink ref="FO430" r:id="rId1170" xr:uid="{E9E070DC-77D6-2F4D-8875-396AC38DFA94}"/>
    <hyperlink ref="AE430" r:id="rId1171" xr:uid="{5698A638-9516-0C4D-AFE9-88E7010C5C33}"/>
    <hyperlink ref="CS430" r:id="rId1172" xr:uid="{E709ED5A-FB22-D24A-A2DA-5DDFB5FA4AC9}"/>
    <hyperlink ref="AA431" r:id="rId1173" xr:uid="{0FA7D889-8139-C043-9432-D8EA6F66BC2B}"/>
    <hyperlink ref="BG431" r:id="rId1174" xr:uid="{9AFACF88-FBB6-0942-A30C-622E6FE41794}"/>
    <hyperlink ref="AE431" r:id="rId1175" xr:uid="{30EEFE81-A9DF-7644-AC28-043C56E4D753}"/>
    <hyperlink ref="AC431" r:id="rId1176" xr:uid="{67C201CD-2885-264E-AF28-D89541C4D977}"/>
    <hyperlink ref="FC431" r:id="rId1177" xr:uid="{3DC70AA5-79B7-6F4D-9C6F-D23A657CDA97}"/>
    <hyperlink ref="FL431" r:id="rId1178" xr:uid="{F988FBE9-2031-5F45-91BE-32A479B9F0E4}"/>
    <hyperlink ref="FO431" r:id="rId1179" xr:uid="{A6D7D262-E737-5249-A41C-5048FECE2741}"/>
    <hyperlink ref="CS431" r:id="rId1180" xr:uid="{39F0CC1B-5192-6C43-AD62-D459E00590C8}"/>
    <hyperlink ref="FO432" r:id="rId1181" xr:uid="{367791B1-4A6A-CE48-BF26-82A6AE9BDEAA}"/>
    <hyperlink ref="FL432" r:id="rId1182" xr:uid="{2B2E2866-29AB-4243-8669-CCFC5C9D9783}"/>
    <hyperlink ref="CS432" r:id="rId1183" xr:uid="{E3CABD0F-BA3E-DD45-8B55-0683239144C8}"/>
    <hyperlink ref="DZ433" r:id="rId1184" display="http://www.admugansk.ru/read/52979" xr:uid="{6FE83F41-480D-114F-9C4E-26C5DA9E605C}"/>
    <hyperlink ref="FL433" r:id="rId1185" xr:uid="{FC5E6F3E-69D1-5643-9BC8-D4B7432A8351}"/>
    <hyperlink ref="AE435" r:id="rId1186" xr:uid="{79C8EE83-5C80-2141-8E16-77FECD9C3FE5}"/>
    <hyperlink ref="CS435" r:id="rId1187" xr:uid="{F5D80A5F-7135-DE47-8B7E-E09EA6D88DC9}"/>
    <hyperlink ref="FB435" r:id="rId1188" xr:uid="{E79342F3-59C2-C346-BED8-82A222075DA5}"/>
    <hyperlink ref="FD435" r:id="rId1189" xr:uid="{95052F8C-AE70-4343-ADA4-AC1BADF34C01}"/>
    <hyperlink ref="FN435" r:id="rId1190" display="NesterenkoYA@NVraion.ru" xr:uid="{0D30E80C-C7F6-7E41-B4D7-E657AA2F81C4}"/>
    <hyperlink ref="FL435" r:id="rId1191" xr:uid="{7368FB5D-9824-C549-B2A4-F796FE033025}"/>
    <hyperlink ref="AC435" r:id="rId1192" display="http://nvraion.ru/ekonomika-i-finansy/initsiativnoe-byudzhetirovanie/" xr:uid="{8207295D-BEBF-C54E-8E98-636721639957}"/>
    <hyperlink ref="AA444" r:id="rId1193" xr:uid="{1B804E96-F10B-A241-ABF2-E37157A06E47}"/>
    <hyperlink ref="AC444" r:id="rId1194" xr:uid="{49C3A047-1A55-D64F-ACEC-CA9B7D3CAA0C}"/>
    <hyperlink ref="AE444" r:id="rId1195" xr:uid="{F9BE87F3-A1AB-7D4A-87F5-C3AF5B606B1E}"/>
    <hyperlink ref="CS444" r:id="rId1196" xr:uid="{D17BFCCE-296E-0844-9B92-A52C3D51862D}"/>
    <hyperlink ref="CV444" r:id="rId1197" xr:uid="{53123E58-2D92-D248-B582-22FD046E0E9C}"/>
    <hyperlink ref="DT444" r:id="rId1198" xr:uid="{2E71CFC8-B4AF-B64F-A1A3-31343C057F07}"/>
    <hyperlink ref="EO444" r:id="rId1199" xr:uid="{96032A09-156B-2648-9FB8-110E9EF6ED4F}"/>
    <hyperlink ref="FC444" r:id="rId1200" xr:uid="{50F61673-A475-D440-BCFB-AD5DA684879D}"/>
    <hyperlink ref="FD444" r:id="rId1201" xr:uid="{10B8BB6F-FCF5-3C4C-A1F4-145A6161D301}"/>
    <hyperlink ref="FE444" r:id="rId1202" display="https://sever-press.ru/news/ekonomika/ujutnyj-jamal-salehardcy-uvideli-prezentaciju-luchshih-idej-po-blagoustrojstvu-goroda/" xr:uid="{D69397EF-2155-FE4E-885C-E0E250DB61E7}"/>
    <hyperlink ref="AE442" r:id="rId1203" xr:uid="{AA7C346B-E16F-0440-8ECD-2E83AA53622E}"/>
    <hyperlink ref="BG442" r:id="rId1204" xr:uid="{61766690-8539-D548-BF2A-ADB730A8DB47}"/>
    <hyperlink ref="CS442" r:id="rId1205" xr:uid="{B165F8FE-BB7C-394B-804F-76CDEA4BE549}"/>
    <hyperlink ref="CV442" r:id="rId1206" xr:uid="{FE1DE1C5-B60E-6D43-9382-00E24499A31C}"/>
    <hyperlink ref="CY442" r:id="rId1207" xr:uid="{FADAE38C-7ECD-D443-A1C6-8B4A017D7F42}"/>
    <hyperlink ref="ER442" r:id="rId1208" xr:uid="{55EB849B-7275-AE4D-8C62-2A91F6EA818B}"/>
    <hyperlink ref="FB442" r:id="rId1209" xr:uid="{80C4E27E-2E5D-B84F-9EF3-9B80C9FB8F0C}"/>
    <hyperlink ref="FC442" r:id="rId1210" xr:uid="{8230C719-70B7-744A-89F4-ED13F5CAEA53}"/>
    <hyperlink ref="FD442" r:id="rId1211" xr:uid="{91AF2E36-ADA4-AC4D-9ACC-8EB6747B619B}"/>
    <hyperlink ref="FF442" r:id="rId1212" xr:uid="{C9EABF12-026B-EB49-BACC-5610AE44B599}"/>
    <hyperlink ref="FL442" r:id="rId1213" xr:uid="{55AFF8BA-0FD4-9048-9802-C7FB71B38D25}"/>
    <hyperlink ref="AA443" r:id="rId1214" xr:uid="{D9AA3422-EDF7-1144-9050-9407C667B1CB}"/>
    <hyperlink ref="AC443" r:id="rId1215" xr:uid="{ED6F38D3-B86E-BB4A-B5DB-ABC330341671}"/>
    <hyperlink ref="AE443" r:id="rId1216" display="https://www.newurengoy.ru/doc/12900-ob-utverzhdenii-municipalnoy-programmy-municipalnogo-obrazovaniya-gorod-novyy-urengoy-blagoustroystvo-i-razvitie-transportnogo-kompleksa-na-territorii-municipalnogo-obrazovaniya-gorod-novyy-urengoy.html, https://www.newurengoy.ru/doc/8727-ob-utverzhdenii-municipalnoy-programmy-municipalnogo-obrazovaniya-gorod-novyy-urengoy-razvitie-gorodskogo-hozyaystva-na-2014-2016-gody.html, https://www.newurengoy.ru/doc/8705-ob-utverzhdenii-municipalnoy-programmy-razvitie-sistemy-obrazovaniya-na-2014-2016-gody.html" xr:uid="{F69CC20A-6D61-DA44-94AE-D96998153449}"/>
    <hyperlink ref="AG443" r:id="rId1217" xr:uid="{8F6B570B-1E37-B94D-90C8-21487E0C120B}"/>
    <hyperlink ref="CS443" r:id="rId1218" xr:uid="{A1EF2DEE-469C-DA41-AB1B-4C38351B56C0}"/>
    <hyperlink ref="CV443" r:id="rId1219" xr:uid="{5CA528E9-B305-7A4C-9A89-12E32382F39A}"/>
    <hyperlink ref="FD443" r:id="rId1220" xr:uid="{4FB53406-FD82-A044-BD2E-C7E2CFDC45E0}"/>
    <hyperlink ref="FL443" r:id="rId1221" xr:uid="{34BB0616-DFFD-7742-B84E-75DBC6851AAF}"/>
    <hyperlink ref="AE445" r:id="rId1222" xr:uid="{76D2A74A-5C87-9847-9D1C-AF197B1335AF}"/>
    <hyperlink ref="CP445" r:id="rId1223" xr:uid="{39E4E679-AF64-D245-BB09-7D0537610B03}"/>
    <hyperlink ref="CS445" r:id="rId1224" xr:uid="{04D3E218-8B89-A244-9E8A-8A0D72B33ED1}"/>
    <hyperlink ref="DZ445" r:id="rId1225" xr:uid="{DF50D9A8-DAEA-1443-BD1E-0FA93D68D61A}"/>
    <hyperlink ref="FB445" r:id="rId1226" xr:uid="{50960C8A-36EE-7446-AD4B-2A53DCDC158F}"/>
    <hyperlink ref="FD445" r:id="rId1227" xr:uid="{182DB8E6-8EEA-F64E-816C-564B4FFBFD90}"/>
    <hyperlink ref="FL445" r:id="rId1228" xr:uid="{598A9340-4B50-0D48-AB53-846BE8441E41}"/>
    <hyperlink ref="AA446" r:id="rId1229" xr:uid="{E6FA01EB-AC2B-944D-B7A2-72A360038DC7}"/>
    <hyperlink ref="AC446" r:id="rId1230" xr:uid="{104A1AD6-8FD2-2848-9A3A-92B4B5B5202B}"/>
    <hyperlink ref="CS446" r:id="rId1231" xr:uid="{CAA972B3-D891-0846-BE79-276E18458499}"/>
    <hyperlink ref="CV446" r:id="rId1232" xr:uid="{D64AB0FE-7C89-9C4B-9CCA-463DCFAA0D6A}"/>
    <hyperlink ref="DE446" r:id="rId1233" xr:uid="{1307EF93-984C-674E-984B-A86F69AD06C2}"/>
    <hyperlink ref="DW446" r:id="rId1234" xr:uid="{AE18C955-F83F-6442-B5F2-29B996B18151}"/>
    <hyperlink ref="EC446" r:id="rId1235" xr:uid="{D3594BDC-8D33-AE46-A268-91262C61E232}"/>
    <hyperlink ref="FC446" r:id="rId1236" xr:uid="{4DC0C104-7EA2-8444-B41F-9191ACE4610C}"/>
    <hyperlink ref="FL446" r:id="rId1237" xr:uid="{981B9EF1-DBCA-544F-8E13-DECDA009A1C7}"/>
    <hyperlink ref="AA447" r:id="rId1238" xr:uid="{EB322A15-03C1-B343-A614-303CE2E53091}"/>
    <hyperlink ref="AC447" r:id="rId1239" xr:uid="{702A0D84-0756-DC47-B218-5BF73AC3E46F}"/>
    <hyperlink ref="AE447" r:id="rId1240" xr:uid="{C4159C9E-9F80-9043-8143-DC96678168D7}"/>
    <hyperlink ref="BG447" r:id="rId1241" xr:uid="{F6C9DA9B-DF00-AD47-9CE9-DF6B2F820E89}"/>
    <hyperlink ref="CP447" r:id="rId1242" xr:uid="{977571C2-974B-B94F-8015-C6ED7E7798E2}"/>
    <hyperlink ref="CS447" r:id="rId1243" xr:uid="{F7872E66-221C-944C-BB1B-A9F178C788E2}"/>
    <hyperlink ref="CV447" r:id="rId1244" xr:uid="{D154EC7F-AA9D-4745-952C-63BDA4BF9D67}"/>
    <hyperlink ref="FC447" r:id="rId1245" xr:uid="{8B49E72B-2069-244A-964D-0F009AE6915B}"/>
    <hyperlink ref="FD447" r:id="rId1246" xr:uid="{DD8C14E9-16F9-4142-B5AF-96362CB8095F}"/>
    <hyperlink ref="FL447" r:id="rId1247" xr:uid="{AB877914-6D24-0D4E-997A-0262C80E82A7}"/>
    <hyperlink ref="AC448" r:id="rId1248" xr:uid="{5E26C194-24DC-464F-A43D-7B90ADCE1057}"/>
    <hyperlink ref="AE448" r:id="rId1249" xr:uid="{B15D3FDF-8538-9344-AEFA-9A140C9C06A6}"/>
    <hyperlink ref="BG448" r:id="rId1250" xr:uid="{82A3DDB1-9847-D749-A85C-1C363CE93ECB}"/>
    <hyperlink ref="CS448" r:id="rId1251" xr:uid="{568FA944-D863-2D48-9575-EBB5ECEDABBA}"/>
    <hyperlink ref="CV448" r:id="rId1252" xr:uid="{15BA07D3-BC66-CF47-BFF9-C750A7F0CBFD}"/>
    <hyperlink ref="FB448" r:id="rId1253" xr:uid="{7251EDF4-3D40-1B4C-9F41-2B91662C89C8}"/>
    <hyperlink ref="AC449" r:id="rId1254" xr:uid="{64FBF5C6-E396-7C41-A071-9262088BC5CA}"/>
    <hyperlink ref="AE449" r:id="rId1255" xr:uid="{8BFC61B6-071B-0A4A-AC45-F4A132A2B857}"/>
    <hyperlink ref="AG449" r:id="rId1256" xr:uid="{DC6A472C-73E7-CB48-8756-6482CCF6BA1F}"/>
    <hyperlink ref="CS449" r:id="rId1257" xr:uid="{FA6ABF57-A6CA-4341-816B-CA0A8EEDE0E3}"/>
    <hyperlink ref="CV449" r:id="rId1258" xr:uid="{72283E7B-09D4-2743-9074-CF7DE25CB90F}"/>
    <hyperlink ref="DQ449" r:id="rId1259" xr:uid="{640C22D5-EC6B-E046-A93D-860DD828057A}"/>
    <hyperlink ref="DZ449" r:id="rId1260" xr:uid="{F1E19802-6C48-FF43-9107-E36FEC94787A}"/>
    <hyperlink ref="FD449" r:id="rId1261" xr:uid="{2B0F1548-9534-EB4D-B592-4A5E69975814}"/>
    <hyperlink ref="FE449" r:id="rId1262" display="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а в группах социальных сетей:   https://vk.com/wall-170438171_7452     https://vk.com/wall-170438171_7193     https://vk.com/wall-170438171_7189    https://vk.com/wall-170438171_6739     https://www.youtube.com/watch?v=QrYePcipRo8  http://spmuzhi.ru/?p=40137   http://spmuzhi.ru/?p=35724 " xr:uid="{CAFCA0AF-A5C0-C641-A3C0-EC6CA4E46EA0}"/>
    <hyperlink ref="FF449" r:id="rId1263" xr:uid="{B3BCE58A-7952-344B-82A0-5B7955BFD338}"/>
    <hyperlink ref="FL449" r:id="rId1264" xr:uid="{327F02C8-E571-A34D-8AB7-3DC25D5DC0A6}"/>
    <hyperlink ref="AE450" display="http://приуральскийрайон.рф/upload/iblock/d0c/27f19eicy5oa8emd80dehb8zw3e04qwa/2022.01.24_n38.doc_x000a_http://приуральскийрайон.рф/upload/iblock/a16/55w6he5h3r94ak3rj1vxcct3g87j1sp2/2022.01.12_n12.docx   _x000a_http://приуральскийрайон.рф/upload/iblock/42b/1sch9xg990fogdmtg8v8lk6xmutuvipo/2022.01.21_n36.doc" xr:uid="{C56D6A24-42AF-ED49-9DBB-E1BB916B9BC0}"/>
    <hyperlink ref="CS450" r:id="rId1265" xr:uid="{FE4804BF-F5D1-1C47-8CB3-0083C89F5AEE}"/>
    <hyperlink ref="DE450" r:id="rId1266" xr:uid="{8F102E35-7678-4E4B-B6DA-C1D0BD9F1996}"/>
    <hyperlink ref="ER450" r:id="rId1267" xr:uid="{40286180-C3B0-CB49-A9EF-5F1197C2CE10}"/>
    <hyperlink ref="FB450" r:id="rId1268" xr:uid="{579F45DB-8649-DF4D-AB04-2BCA3715B6CE}"/>
    <hyperlink ref="FD450" r:id="rId1269" xr:uid="{C06CDA12-11F9-3246-8B7E-83751BD05F8E}"/>
    <hyperlink ref="AA451" r:id="rId1270" xr:uid="{F74F4971-4A58-434C-BB71-17D66A86709C}"/>
    <hyperlink ref="AC451" r:id="rId1271" xr:uid="{05AAD2FB-3C26-B549-BAB5-25338DEEA67D}"/>
    <hyperlink ref="AG451" r:id="rId1272" xr:uid="{18341A73-00EA-B540-94D3-647A54CC3324}"/>
    <hyperlink ref="BG451" r:id="rId1273" xr:uid="{67BD53C6-4406-3C48-B15F-7002FFC67F24}"/>
    <hyperlink ref="CS451" r:id="rId1274" xr:uid="{E3E4DF54-C71E-2241-A8BF-98DCEBDD51D8}"/>
    <hyperlink ref="ER451" r:id="rId1275" xr:uid="{1B281B9C-3A30-4949-9A72-4C58DFB55111}"/>
    <hyperlink ref="FF451" r:id="rId1276" xr:uid="{53C85276-DAEF-5D4D-BA0D-6DA79CC592CF}"/>
    <hyperlink ref="FG451" r:id="rId1277" xr:uid="{63E881CC-D938-F64F-AD91-D4D3CD9D31D9}"/>
    <hyperlink ref="AA452" r:id="rId1278" xr:uid="{CD613B46-B27A-7B4F-8EC5-49CE8706E1A9}"/>
    <hyperlink ref="AC452" r:id="rId1279" xr:uid="{5EA21C9D-EAA9-BF48-9FC5-4D9D2EC62CA3}"/>
    <hyperlink ref="CS452" r:id="rId1280" xr:uid="{AD146E56-49AD-DA44-B805-096326E6BDAF}"/>
    <hyperlink ref="CV452" r:id="rId1281" xr:uid="{89A3CC98-2CCD-7643-9806-276622EA5970}"/>
    <hyperlink ref="AC453" r:id="rId1282" xr:uid="{DF3DAEC0-ABEF-8145-808E-234A7F21E5BD}"/>
    <hyperlink ref="CS453" r:id="rId1283" xr:uid="{8FC7A4EE-1DB6-6D4A-B8C4-80CE3EAA6E40}"/>
    <hyperlink ref="CV453" r:id="rId1284" xr:uid="{3D76E0B2-0A60-1940-AD14-683ABAD2F344}"/>
    <hyperlink ref="FC453" r:id="rId1285" display="https://trk-luch.ru/search/index.php?q=Уютный+Ямал&amp;s=_x000a_https://газетасеверныйлуч.рф/search/index.php?tags=&amp;q=Уютный+Ямал&amp;where=&amp;how=r_x000a_https://www.puradm.ru/search/index.php?tags=&amp;q=«Уютный+Ямал»&amp;how=r_x000a_https://dfik.ru/#iniciativa_x000a_https://vk.com/depfinpurovskiy_x000a_https://t.me/puradm/599_x000a_https://t.me/puradm/476_x000a_https://t.me/puradm/655_x000a_https://t.me/puradm/1289_x000a_https://t.me/puradm/1299_x000a_https://t.me/puradm/1550_x000a_https://t.me/puradm/1576_x000a_https://t.me/puradm/1601_x000a_https://vk.com/public_pur_adm_89_x000a_https://газетасеверныйлуч.рф/search/index.php?tags=&amp;q=школа+идей&amp;where=&amp;how=r_x000a_https://trk-luch.ru/news/v-khanymeyskoy-shkole-2-proveli-den-otkrytykh-dverey/?sphrase_id=88284" xr:uid="{DDEBDCD1-8A89-754D-B726-F3B26A52DE98}"/>
    <hyperlink ref="AC454" r:id="rId1286" display="1.  https://selkup.yanao.ru/documents/active/106983/;_x000a_2.  https://za-nas-zakon.ru/doc/ob-utverzhdenii-polozheniya-o-poryadke-vydvizheniya-vneseniya-obsuzhdeniya-rassmotreniya-initsiativnyh-proektov-i-provedeniya-ih-konkursnogo-otbora/;_x000a_3.  не размещено;_x000a_4.  https://selkup.yanao.ru/documents/active/186972/" xr:uid="{4E859BFA-1EB3-544A-BA15-E68D2F10E69C}"/>
    <hyperlink ref="CS454" r:id="rId1287" xr:uid="{561191AC-4A90-9140-ABEA-5C0DB518858C}"/>
    <hyperlink ref="DZ454" r:id="rId1288" xr:uid="{B187DDCC-3E03-9E46-B283-AACF375AD746}"/>
    <hyperlink ref="FD454" r:id="rId1289" xr:uid="{FA481621-5E25-1644-B819-9EF94381130A}"/>
    <hyperlink ref="FL454" r:id="rId1290" xr:uid="{CE4A522F-B897-1541-AC92-558CB49C7388}"/>
    <hyperlink ref="AG409" r:id="rId1291" xr:uid="{CAA18C08-4C46-4B46-A0D4-B4CA33A9DFC2}"/>
    <hyperlink ref="AE409" r:id="rId1292" xr:uid="{FBAB1596-C4DB-8044-93B4-7218042BE281}"/>
    <hyperlink ref="FL409" r:id="rId1293" xr:uid="{4EB59611-4E53-0B4D-949D-880338C23BC4}"/>
    <hyperlink ref="AA409" r:id="rId1294" xr:uid="{D9828ED1-9C53-934D-95B9-29CF2B14C229}"/>
    <hyperlink ref="AC409" r:id="rId1295" xr:uid="{BD61FBF6-79D9-0F4C-84A4-C8EFE99CDE4A}"/>
    <hyperlink ref="CS409" r:id="rId1296" xr:uid="{B4B8C203-89B9-F34D-A063-58F792342D7D}"/>
    <hyperlink ref="FB409" r:id="rId1297" xr:uid="{9D31C6C1-3E0F-C84B-B9B4-931D60DD6517}"/>
    <hyperlink ref="AC408" r:id="rId1298" xr:uid="{4374D94D-974C-7C4A-8F96-86E2C93DAEEE}"/>
    <hyperlink ref="AE408" r:id="rId1299" xr:uid="{668D9E89-2110-3442-B506-3B58F6DA8309}"/>
    <hyperlink ref="FO408" r:id="rId1300" xr:uid="{98AD4BBB-672B-1449-8B8A-ED2307614E16}"/>
    <hyperlink ref="CS408" r:id="rId1301" xr:uid="{A598D086-8E26-7346-AD27-83AEBCCD979F}"/>
    <hyperlink ref="FB408" r:id="rId1302" display="https://checklink.mail.ru/proxy?es=GMbaw9imyAQOqASLBUmANft%2Fyn5bMbD3h4pVHwZNZKM%3D&amp;egid=3AbA0OMwQIRGT16%2FrmW0B2UcMddvORcZIIku83EmBzo%3D&amp;url=https%3A%2F%2Fclick.mail.ru%2Fredir%3Fu%3Dhttps%253A%252F%252Fbarysh.gosuslugi.ru%252Fdeyatelnost%252Fmunitsipalnye-finansy%252Fnarodnyy-byudzhet%252F%26c%3Dswm%26r%3Dhttp%26o%3Dmail%26v%3D3%26s%3D8146e0fc97296664&amp;uidl=16807832161039341018&amp;from=&amp;to=&amp;email=budget-baryshsk%40mail.ru" xr:uid="{D6178986-8940-2943-A977-2E7C854AA219}"/>
    <hyperlink ref="AA408" r:id="rId1303" xr:uid="{3D50CA07-A7A5-1C45-A140-33E1F85088C3}"/>
    <hyperlink ref="FB407" r:id="rId1304" xr:uid="{FD7C3060-6B9F-CF45-92CA-99686305F041}"/>
    <hyperlink ref="AA407" r:id="rId1305" xr:uid="{60206B0C-71D0-854F-92FA-EA81B732B29F}"/>
    <hyperlink ref="CS407" r:id="rId1306" xr:uid="{98E2C6C5-FF16-2441-AA6E-708183B1B9C8}"/>
    <hyperlink ref="FO407" r:id="rId1307" xr:uid="{70AAA13D-06D7-A445-B108-39B700EA2C68}"/>
    <hyperlink ref="FL407" r:id="rId1308" xr:uid="{ACEC4D15-D86F-384C-BD6C-CA961FC38363}"/>
    <hyperlink ref="AA406" r:id="rId1309" xr:uid="{84B57E5F-158F-D04C-88BE-BD80830A6E81}"/>
    <hyperlink ref="CS406" r:id="rId1310" xr:uid="{8F7CB74A-947B-7F4A-9739-6337DE35B7E0}"/>
    <hyperlink ref="FB406" r:id="rId1311" xr:uid="{651286A0-4D3C-114F-92FE-C36804010771}"/>
    <hyperlink ref="AC406" r:id="rId1312" xr:uid="{CA2CEF44-723B-A14F-B947-AE6235825902}"/>
    <hyperlink ref="FO406" r:id="rId1313" xr:uid="{2A528C6A-B6EA-E94D-B4CA-2530EDF04F27}"/>
    <hyperlink ref="FL406" r:id="rId1314" xr:uid="{AAE2F995-7BD5-754E-A952-B5AB260656E5}"/>
    <hyperlink ref="FB405" r:id="rId1315" xr:uid="{A1F815D2-4A1B-224A-BDF2-CEF1013848BD}"/>
    <hyperlink ref="CS405" r:id="rId1316" xr:uid="{FAE1F303-722E-624C-AAE0-52EC2ED3FAC5}"/>
    <hyperlink ref="FO405" r:id="rId1317" xr:uid="{F4195767-E338-C843-9807-D2DE009556AE}"/>
    <hyperlink ref="AA404" r:id="rId1318" xr:uid="{FEA6374C-DC39-6649-B4F2-F46A9BD7BFBF}"/>
    <hyperlink ref="FL404" r:id="rId1319" xr:uid="{0DD901D5-0EDC-6643-BD19-7F24AA8B41E2}"/>
    <hyperlink ref="CS404" r:id="rId1320" xr:uid="{B23F085F-AB10-6A40-B56A-246F6F692E0D}"/>
    <hyperlink ref="AC404" r:id="rId1321" xr:uid="{F340D83A-9CAA-6A4A-911A-0F71F2FA9343}"/>
    <hyperlink ref="FO404" r:id="rId1322" xr:uid="{7F26D56F-AE4B-1C41-A34C-27BB0E5588A1}"/>
    <hyperlink ref="FB404" r:id="rId1323" xr:uid="{8412FEE5-4C59-2D47-A1EF-AF4DD4AA050D}"/>
    <hyperlink ref="FB403" r:id="rId1324" xr:uid="{2C9833C5-9F9D-3642-90FC-3BEFBC1F77C5}"/>
    <hyperlink ref="AA403" r:id="rId1325" xr:uid="{B6D25C3E-F97B-3242-96A1-9BDDCF896722}"/>
    <hyperlink ref="CS403" r:id="rId1326" xr:uid="{4988732B-ACE1-4C4A-8976-C1B4D58630F2}"/>
    <hyperlink ref="FL403" r:id="rId1327" xr:uid="{A065F71D-575D-0842-88F6-094B269A85F8}"/>
    <hyperlink ref="FO403" r:id="rId1328" xr:uid="{5A2368CB-6091-D941-A131-60835BD4446C}"/>
    <hyperlink ref="FC402" r:id="rId1329" xr:uid="{E40CFC46-D413-574F-A794-01C41B8135EA}"/>
    <hyperlink ref="CS402" r:id="rId1330" xr:uid="{BC9A13C4-E160-EF4D-A951-C4D690297658}"/>
    <hyperlink ref="FB402" r:id="rId1331" xr:uid="{7DC2B524-E301-1544-8C29-B0F8EC9338C6}"/>
    <hyperlink ref="AA402" r:id="rId1332" xr:uid="{E254163E-5BF7-FA4B-987F-B8CA8FB546E6}"/>
    <hyperlink ref="AC402" r:id="rId1333" xr:uid="{38B2E0E2-DC14-D745-9CAF-EB9452DCDE14}"/>
    <hyperlink ref="AE402" r:id="rId1334" xr:uid="{1597C9F2-A4D8-BF49-82F3-B6508C9843FD}"/>
    <hyperlink ref="FL402" r:id="rId1335" xr:uid="{088C9ECB-C023-BA49-8EB6-92DE847CCA1C}"/>
    <hyperlink ref="AC401" r:id="rId1336" xr:uid="{410D0FCB-E33C-8D4A-8A2B-9F84D3007B1A}"/>
    <hyperlink ref="CS401" r:id="rId1337" xr:uid="{DF97A156-9C02-AA48-B285-01F04BF92FEB}"/>
    <hyperlink ref="FL401" r:id="rId1338" xr:uid="{99910A54-4DC1-434E-9BBC-F14748778814}"/>
    <hyperlink ref="FO401" r:id="rId1339" xr:uid="{5F7BEC98-ACD5-B94E-BE3E-E3E1BB343622}"/>
    <hyperlink ref="AA401" r:id="rId1340" xr:uid="{9C41A8C2-6A3E-7A45-AD3D-263BC39A2FB9}"/>
    <hyperlink ref="AA400" r:id="rId1341" xr:uid="{DFB40E97-B6BC-B844-B589-B0F6C9BD3477}"/>
    <hyperlink ref="AE400" r:id="rId1342" xr:uid="{19447F88-E80E-2C43-A8CC-BA4CCAA2F466}"/>
    <hyperlink ref="FL400" r:id="rId1343" xr:uid="{0460418D-84D5-4048-8809-E2A99FDDD54F}"/>
    <hyperlink ref="FB400" r:id="rId1344" xr:uid="{A915E801-F60E-8940-95CA-70720207DC01}"/>
    <hyperlink ref="CS400" r:id="rId1345" xr:uid="{356B9D52-C4C4-6449-9F48-5295B82CAEBA}"/>
    <hyperlink ref="AC400" r:id="rId1346" xr:uid="{1711D088-1F8E-0544-A4F0-E50EBA3D4C6C}"/>
    <hyperlink ref="FO400" r:id="rId1347" xr:uid="{9541D185-9BB6-DE4A-A1B6-9501EB94DA96}"/>
    <hyperlink ref="FB399" r:id="rId1348" xr:uid="{3881578B-BE63-3946-84F9-A9B03C0CC339}"/>
    <hyperlink ref="AA399" r:id="rId1349" xr:uid="{0FD75B8F-9EC6-F840-930B-73B5BA865587}"/>
    <hyperlink ref="CS399" r:id="rId1350" xr:uid="{0F25860F-C0F0-D04C-B40B-1B1998140FC1}"/>
    <hyperlink ref="FL399" r:id="rId1351" xr:uid="{74C978D9-05C8-E641-83BA-456154EC6137}"/>
    <hyperlink ref="FO399" r:id="rId1352" xr:uid="{A98C981B-FEF1-5948-B1D8-090605708086}"/>
    <hyperlink ref="AA398" r:id="rId1353" xr:uid="{EB589859-D18E-A949-8670-FEEAE9939091}"/>
    <hyperlink ref="CS398" r:id="rId1354" xr:uid="{96A4DC36-E246-144C-921B-F1DB89690378}"/>
    <hyperlink ref="DB398" r:id="rId1355" xr:uid="{862F4B9A-3CFF-0A47-9C0D-D771DC058A02}"/>
    <hyperlink ref="EL398" r:id="rId1356" xr:uid="{D9A98455-09AE-294E-94B7-718EC38F6503}"/>
    <hyperlink ref="FB398" r:id="rId1357" xr:uid="{8D040BF2-A746-F346-9616-7A35BD65653F}"/>
    <hyperlink ref="AC398" r:id="rId1358" xr:uid="{70704016-5BD8-B14B-862B-EC20ECD9232D}"/>
    <hyperlink ref="FO398" r:id="rId1359" xr:uid="{770645AD-0349-3741-85A8-C350E02658AA}"/>
    <hyperlink ref="AA397" r:id="rId1360" xr:uid="{E1325766-8185-5A42-86C2-D9199DCB46CB}"/>
    <hyperlink ref="AC397" r:id="rId1361" xr:uid="{DD9F58EF-02E1-714C-82CE-450DE92058CC}"/>
    <hyperlink ref="CS397" r:id="rId1362" xr:uid="{4AC110A1-D81B-BC4C-9AA0-A516F91401FE}"/>
    <hyperlink ref="FB397" r:id="rId1363" xr:uid="{A9F51B64-E950-E949-8B18-9E9D66F0E399}"/>
    <hyperlink ref="FL397" r:id="rId1364" display="mailto:finupr.adm.vesh@mail.ru" xr:uid="{4863EC40-F955-524C-939D-79231F6870DE}"/>
    <hyperlink ref="FO397" r:id="rId1365" display="mailto:kuzmina.mv@ulminfin.ru" xr:uid="{4447545E-6394-7F43-96F7-C9F872B49CD7}"/>
    <hyperlink ref="FL426" r:id="rId1366" xr:uid="{4E499D54-F96D-B742-BE6B-7D1D5526B1BC}"/>
    <hyperlink ref="FB117" r:id="rId1367" xr:uid="{080FCA29-B0D8-1748-BB9A-E6ECBEC3418C}"/>
    <hyperlink ref="FL117" r:id="rId1368" xr:uid="{48EBBD7B-C3D6-6E4B-BA7F-5FDDC7ED0848}"/>
    <hyperlink ref="FO117" r:id="rId1369" xr:uid="{913C0C23-4385-9A4F-A6D5-2C1A129A0A30}"/>
    <hyperlink ref="AC117" r:id="rId1370" xr:uid="{1AF76B8F-DA84-0344-817E-B93B7BACE3A2}"/>
    <hyperlink ref="CS114" r:id="rId1371" display="https://unarokovo.ru/" xr:uid="{5C6D1B49-EE0D-8846-B6F6-81515225EF5A}"/>
    <hyperlink ref="AE114" r:id="rId1372" display="https://unarokovo.ru/" xr:uid="{762F86B4-B9FE-BA40-840F-44F31AD7A39B}"/>
    <hyperlink ref="BG114" r:id="rId1373" display="https://unarokovo.ru/" xr:uid="{A7D11F51-DEC4-BB4F-9A91-BE04B309A522}"/>
    <hyperlink ref="AC114" r:id="rId1374" display="https://unarokovo.ru/" xr:uid="{B4C77713-1899-7442-A8C7-2BCC105A8D8B}"/>
    <hyperlink ref="AA114" r:id="rId1375" display="https://unarokovo.ru/" xr:uid="{C6FAEA69-3B35-7F42-B66B-4A90E70D5887}"/>
    <hyperlink ref="AE436" r:id="rId1376" xr:uid="{1F7FCF3C-0E71-FD41-BA38-986457E74C29}"/>
    <hyperlink ref="CS436" r:id="rId1377" xr:uid="{B9067FAE-CE8F-104B-BDC3-88C222BBF175}"/>
    <hyperlink ref="AE325" r:id="rId1378" xr:uid="{AB7CEEC3-DCDE-9849-A8DC-7947044135C9}"/>
    <hyperlink ref="AC393" r:id="rId1379" xr:uid="{A4AB1816-A0F5-B049-9814-F843F05C12F6}"/>
    <hyperlink ref="FI393" r:id="rId1380" xr:uid="{CCF40B3A-699F-6645-9F88-3045E5100C6D}"/>
    <hyperlink ref="FL393" r:id="rId1381" xr:uid="{D5EBB503-6628-B64B-9796-51970396F190}"/>
    <hyperlink ref="CS118" r:id="rId1382" xr:uid="{223AD750-15D7-AD4E-8B3D-929B16A61F96}"/>
    <hyperlink ref="FL118" r:id="rId1383" display="mailto:adm-chsp@mail.ru" xr:uid="{48FBE931-55BD-F749-972E-35763466EC91}"/>
    <hyperlink ref="FO118" r:id="rId1384" display="mailto:adm-chsp@mail.ru" xr:uid="{E05758CA-CAF1-124C-A27C-E39A29C4379E}"/>
    <hyperlink ref="AC124" r:id="rId1385" xr:uid="{3807B37B-6CF0-814C-A83E-DEF343F4C8E2}"/>
    <hyperlink ref="FB124" r:id="rId1386" xr:uid="{4DF934B8-3458-D049-9B5B-8472A41BDB50}"/>
    <hyperlink ref="FD124" r:id="rId1387" xr:uid="{6E232ACB-94F6-7143-81EE-7506F3B60D93}"/>
    <hyperlink ref="FL124" r:id="rId1388" xr:uid="{7780461B-D00C-D542-B441-A82FF97C14C9}"/>
    <hyperlink ref="FO128" r:id="rId1389" xr:uid="{E2B55FF3-19C2-8E4F-9181-9075899149B0}"/>
    <hyperlink ref="CS128" r:id="rId1390" xr:uid="{1928DFD4-985F-3C46-AB99-54489457DAC7}"/>
    <hyperlink ref="FB112" r:id="rId1391" xr:uid="{F60A1952-294F-9449-A615-6D7D6987F932}"/>
    <hyperlink ref="FL112" r:id="rId1392" xr:uid="{F745113B-BAB6-0B45-AE71-B91182293609}"/>
    <hyperlink ref="CS156" r:id="rId1393" xr:uid="{C48F238D-48BC-2E47-A01F-093AAA1E5F14}"/>
    <hyperlink ref="FO156" r:id="rId1394" xr:uid="{2E5B71A3-70DB-A141-B0B1-832B657F43C6}"/>
    <hyperlink ref="AC156" r:id="rId1395" xr:uid="{3D94881F-69C7-2D47-8812-DF07FF952545}"/>
    <hyperlink ref="AA156" r:id="rId1396" xr:uid="{F01E2935-01CA-0741-B841-1EFFE7B2E846}"/>
    <hyperlink ref="FB156" r:id="rId1397" xr:uid="{8F2195E0-0B90-4243-BEC4-EFDD7F2BBFFA}"/>
    <hyperlink ref="FL171" r:id="rId1398" xr:uid="{2ADD47BA-5795-9648-AF82-069CFBC5DD0C}"/>
    <hyperlink ref="FO262" r:id="rId1399" xr:uid="{8FA3C669-9683-0748-ABAB-9CD929AC4D6D}"/>
    <hyperlink ref="FL162" r:id="rId1400" xr:uid="{E8F6CF03-25D8-214F-BC5C-A2A396190036}"/>
    <hyperlink ref="AA162" r:id="rId1401" xr:uid="{5CB0FE1C-91B7-FF40-84DA-2C500DAD6107}"/>
    <hyperlink ref="FO162" r:id="rId1402" display="mailto:fumotim@mail.ru" xr:uid="{9323CE5C-EA6A-4E4E-A8C7-CA9F1FBCF7CC}"/>
    <hyperlink ref="AA163" r:id="rId1403" xr:uid="{CEC11DCA-E5B7-DE4A-971A-BBAF0FF07998}"/>
    <hyperlink ref="AC163" r:id="rId1404" xr:uid="{8DE3E735-555E-5546-A762-6FBB21634661}"/>
    <hyperlink ref="BG163" r:id="rId1405" xr:uid="{9D38E92B-3864-F84D-8BDA-F84E1F772C49}"/>
    <hyperlink ref="CP163" r:id="rId1406" xr:uid="{0F5B1EAA-5DEE-2646-ABCB-3C95FA8D3668}"/>
    <hyperlink ref="AE163" r:id="rId1407" xr:uid="{4C1CB557-39C1-0F41-8F9B-08D9BFDC47D4}"/>
    <hyperlink ref="CS163" r:id="rId1408" xr:uid="{61F046CC-46F0-2D4D-9581-109A7240FCBF}"/>
    <hyperlink ref="FL163" r:id="rId1409" xr:uid="{4D30D1D6-4815-964A-B78F-E9D6CD18165A}"/>
    <hyperlink ref="FO163" r:id="rId1410" display="mailto:fumotim@mail.ru" xr:uid="{EA227BF5-BF02-894A-BEAF-6BEF86D434B2}"/>
    <hyperlink ref="AE166" display="https://docs.yandex.ru/docs/view?url=ya-browser%3A%2F%2F4DT1uXEPRrJRXlUFoewruDnM-POcH77EIURgPU5OVJY5wVw3J5uNd408Rf4tVHvRAVEewQDrCER-duWFBa5IqJO7nnt71fdHaxNchCQKurO-MxpHoMw1YeGefPAI_47cEhxzj8YaINLiZp9V2e5KWA%3D%3D%3Fsign%3DqI3bchw6waLbeKGq3NCilVIjMreq6Hgd2" xr:uid="{A825C247-B05D-3A48-A68E-A95C8CDE033A}"/>
    <hyperlink ref="FL166" r:id="rId1411" xr:uid="{D24136A2-E173-9546-85B1-63E70550803F}"/>
    <hyperlink ref="AC270" r:id="rId1412" xr:uid="{D3142D04-A08B-487E-91D7-AF8F687F594E}"/>
    <hyperlink ref="Q190" r:id="rId1413" xr:uid="{452C88C1-4C1E-45D6-873B-3EA646304C6E}"/>
    <hyperlink ref="FO192" r:id="rId1414" xr:uid="{CB80BFD6-7163-8B4B-A3FD-E8A41B1F6B29}"/>
    <hyperlink ref="FL192" r:id="rId1415" xr:uid="{513665E0-DBB8-2B4C-9745-C58E139469E7}"/>
    <hyperlink ref="FO188" r:id="rId1416" xr:uid="{E87AE927-28ED-C743-9EB3-E4D05FBEB294}"/>
    <hyperlink ref="FL188" r:id="rId1417" xr:uid="{92DBDF70-8535-BA49-B172-7D830FBF34BA}"/>
    <hyperlink ref="FD188" r:id="rId1418" xr:uid="{C76C2508-92DD-5248-BC5B-DD3D9C1BE33F}"/>
    <hyperlink ref="FB188" r:id="rId1419" xr:uid="{D56E6129-BC72-0141-939D-BA099139E2B3}"/>
    <hyperlink ref="EL188" r:id="rId1420" xr:uid="{B77E06A0-A6BE-F842-9D89-3DF3EADFE6EE}"/>
    <hyperlink ref="CS188" r:id="rId1421" xr:uid="{D3609809-7D11-2C45-AF07-9522C2409A6B}"/>
    <hyperlink ref="DE188" r:id="rId1422" xr:uid="{CFF330CE-4735-D944-B6B9-5D22A828D4D7}"/>
    <hyperlink ref="DZ188" r:id="rId1423" xr:uid="{E06E7E0D-DC08-7E40-B357-ADF8156ED0B2}"/>
    <hyperlink ref="AA188" r:id="rId1424" xr:uid="{ED314B7A-BC4D-E140-B59D-4A405E21B8AA}"/>
    <hyperlink ref="CS189" r:id="rId1425" xr:uid="{702EA7DE-EB1A-4D46-8C02-DCE4F8C0BA2D}"/>
    <hyperlink ref="FL272" r:id="rId1426" xr:uid="{364F9317-5C26-DF47-A4B9-19B2F652D2CE}"/>
    <hyperlink ref="FB272" r:id="rId1427" xr:uid="{71E71D2E-0E67-C444-A990-634AECF1F18B}"/>
    <hyperlink ref="AE272" r:id="rId1428" xr:uid="{D68137CF-4632-2D4B-B5A5-CD95DEFE8B11}"/>
    <hyperlink ref="AC272" r:id="rId1429" xr:uid="{55320880-363D-DB43-B12E-DFE8FBD26BDC}"/>
    <hyperlink ref="FC271" r:id="rId1430" display="https://vk.com/brz_official" xr:uid="{9254A69D-7A8A-CB4B-909E-2E94CBB7BA24}"/>
    <hyperlink ref="FB271" r:id="rId1431" xr:uid="{DA635280-3908-464F-AE70-44581D3FE06F}"/>
    <hyperlink ref="CS270" r:id="rId1432" xr:uid="{CD40E6AB-556D-A748-AE97-F5EE1DB6FF46}"/>
    <hyperlink ref="FO270" r:id="rId1433" xr:uid="{9E7A9927-EFD8-5C47-B3DE-A835D4EA0A26}"/>
    <hyperlink ref="FL270" r:id="rId1434" xr:uid="{01C5AB93-38C4-824F-9267-77889D60AF90}"/>
    <hyperlink ref="FC270" r:id="rId1435" xr:uid="{08C24209-324C-BB4E-962D-633F45293F9F}"/>
    <hyperlink ref="FC268" r:id="rId1436" xr:uid="{3B663BE4-A478-E041-A576-D3F3D1B52D50}"/>
    <hyperlink ref="FB268" r:id="rId1437" xr:uid="{575DCDFF-85CD-2148-A284-17DE00FF93A2}"/>
    <hyperlink ref="CS268" r:id="rId1438" xr:uid="{0B4C90FE-1AE4-F045-B7DE-BCC2F3EFB4A3}"/>
    <hyperlink ref="AG268" r:id="rId1439" xr:uid="{2AF3A9EB-8618-9948-822C-8BD9B7FD4106}"/>
    <hyperlink ref="AA268" r:id="rId1440" xr:uid="{47620771-8446-D644-B389-22EC008C414C}"/>
    <hyperlink ref="FO258" r:id="rId1441" xr:uid="{10673D0F-3C49-4B48-B37F-FD8F42E479ED}"/>
    <hyperlink ref="FL258" r:id="rId1442" xr:uid="{97FF0950-A2B5-E343-9204-3DB5650E25DD}"/>
    <hyperlink ref="FD258" r:id="rId1443" xr:uid="{F782928E-0068-024F-9FE2-9A1F350748C9}"/>
    <hyperlink ref="FB258" r:id="rId1444" xr:uid="{15C9534C-D326-9141-B3AD-30FFB34C6B95}"/>
    <hyperlink ref="DZ258" r:id="rId1445" xr:uid="{0D89CC24-BCD9-7741-9A67-C1EDFD9B2FB6}"/>
    <hyperlink ref="CS258" r:id="rId1446" xr:uid="{7E7F3565-4CF1-514D-94D8-58DC706B80A8}"/>
    <hyperlink ref="FO257" r:id="rId1447" xr:uid="{58B2E63D-1EAA-9A44-AA3F-576839250928}"/>
    <hyperlink ref="FL257" r:id="rId1448" xr:uid="{9E81A486-1CD7-F14A-8F36-AE06B1CF8789}"/>
    <hyperlink ref="AC257" r:id="rId1449" xr:uid="{ECF153FD-D36F-F745-A571-4B529C956AA0}"/>
    <hyperlink ref="FO245" r:id="rId1450" xr:uid="{F1B0F3DD-6F3E-6D42-B15B-3455951562C2}"/>
    <hyperlink ref="FC245" r:id="rId1451" xr:uid="{E7DB9A87-99C6-3043-AEC6-4EBE0E0CDDE9}"/>
    <hyperlink ref="FB245" r:id="rId1452" xr:uid="{CA00D22A-83FD-C74C-8F6F-770905B754EE}"/>
    <hyperlink ref="FO243" r:id="rId1453" xr:uid="{A7AACD16-5333-864E-9AD8-BB968575D71A}"/>
    <hyperlink ref="FB243" r:id="rId1454" xr:uid="{17259EDC-11CB-C545-8671-08D21E979F56}"/>
    <hyperlink ref="AE243" r:id="rId1455" xr:uid="{38370F3A-AD2B-A448-95D2-AC5666751431}"/>
    <hyperlink ref="FO240" r:id="rId1456" xr:uid="{D2DEC5B1-7D80-6245-A69A-3024CD62C8FE}"/>
    <hyperlink ref="FL240" r:id="rId1457" xr:uid="{C1D4812F-913E-444B-B785-A6D176F35240}"/>
    <hyperlink ref="FC240" r:id="rId1458" xr:uid="{9C557558-70CF-A94B-80BE-E6416297BD73}"/>
    <hyperlink ref="FB240" r:id="rId1459" xr:uid="{D7BB9965-C569-8E42-B7CD-D4011A5250B1}"/>
    <hyperlink ref="AA240" r:id="rId1460" xr:uid="{DD7F9529-A6C3-794F-B37C-3E85D0BD579F}"/>
    <hyperlink ref="FA235" r:id="rId1461" xr:uid="{8B1FA325-620B-F341-BB54-44C22266CB0E}"/>
    <hyperlink ref="FC235" r:id="rId1462" xr:uid="{FC7D096A-7FE7-EC49-A138-551B68F0EB55}"/>
    <hyperlink ref="FD235" r:id="rId1463" display="https://gy.orb.ru/documents/active/66763/" xr:uid="{1F890F6B-1380-0A4D-9FD4-CC82C5957B84}"/>
    <hyperlink ref="FE235" r:id="rId1464" display="https://gy.orb.ru/presscenter/news/50364/" xr:uid="{D3E4C953-9D86-344A-9A68-7B2B4E74841B}"/>
    <hyperlink ref="FL235" r:id="rId1465" xr:uid="{8B6C7DA0-4A5C-3A43-96E6-CE27B0A98875}"/>
    <hyperlink ref="DZ235" r:id="rId1466" xr:uid="{45FC3810-23C9-8942-AD7C-5A0297212C32}"/>
    <hyperlink ref="AG235" r:id="rId1467" xr:uid="{74E5B633-035A-8148-9EB6-03C899586C52}"/>
    <hyperlink ref="AE235" r:id="rId1468" display="https://gy.orb.ru/upload/uf/c88/Postanovlenie-1000_pA_2019.doc; " xr:uid="{597CA2F2-DC39-B744-B88A-7C07414F99D3}"/>
    <hyperlink ref="CS235" r:id="rId1469" xr:uid="{CB9F2694-9D0E-AC4F-BAD4-B49C5982DB18}"/>
    <hyperlink ref="AA235" r:id="rId1470" xr:uid="{35A41A1D-BC9C-4C43-AFCA-B01EE6D4F4DE}"/>
    <hyperlink ref="FO261" r:id="rId1471" xr:uid="{4FDEF045-37FB-5542-BA55-5330A2459D0F}"/>
    <hyperlink ref="FF241" r:id="rId1472" xr:uid="{5D45B33C-FD3C-A044-9483-8A94099AA207}"/>
    <hyperlink ref="FD241" r:id="rId1473" xr:uid="{D0B4DA9B-FA41-5A46-AECE-BE98B5236446}"/>
    <hyperlink ref="FC241" r:id="rId1474" display="https://vk.com/@-211208773-praktiki-iniciativnogo-budzhetirovaniya-opyt-adamovskogo-rai_x000a_" xr:uid="{228238AD-B8A1-794F-B226-6DA6C356C492}"/>
    <hyperlink ref="FB241" r:id="rId1475" xr:uid="{D1056411-E68C-1C4E-BD1B-1DB9A1366471}"/>
    <hyperlink ref="FB242" r:id="rId1476" display="https://adamfin.ru/shb-2022_x000a_" xr:uid="{ED728E32-4BDE-0044-A858-0205003776BA}"/>
    <hyperlink ref="FC242" r:id="rId1477" xr:uid="{11C95F89-2A9F-F846-B82F-EBA82A3C484B}"/>
    <hyperlink ref="CS242" r:id="rId1478" xr:uid="{101BB3B6-C21E-EE41-B651-EA6A2A5EDCAB}"/>
    <hyperlink ref="FB263" r:id="rId1479" xr:uid="{5101374D-9BFC-AE48-870F-3F27059D735F}"/>
    <hyperlink ref="FL263" r:id="rId1480" xr:uid="{959400EE-ED9B-D142-AAF8-50B52BE6BAA8}"/>
    <hyperlink ref="FC261" r:id="rId1481" xr:uid="{7EF3A4D1-4A91-E141-9EF0-0ACB8DA1CFF0}"/>
    <hyperlink ref="FB261" r:id="rId1482" xr:uid="{403558BE-7A2F-FE44-9516-20619985DF3F}"/>
    <hyperlink ref="FL261" r:id="rId1483" xr:uid="{CCDE2811-134D-0843-8683-2F5C4C12AD02}"/>
    <hyperlink ref="FO263" r:id="rId1484" xr:uid="{B64B54CD-BD37-AA40-8D09-18F9E69631B2}"/>
    <hyperlink ref="FO260" r:id="rId1485" xr:uid="{24832E75-DE1F-9C4C-B498-CAABA218A0CC}"/>
    <hyperlink ref="FL260" r:id="rId1486" xr:uid="{B20A7F87-2A1A-CD46-A27E-4AE6266A90A9}"/>
    <hyperlink ref="FC260" r:id="rId1487" xr:uid="{3975625A-156D-8E43-BE11-CA571E8310E7}"/>
    <hyperlink ref="FB260" r:id="rId1488" xr:uid="{C1115C33-D0B0-2549-8097-79A6288234C7}"/>
    <hyperlink ref="EC260" r:id="rId1489" xr:uid="{2293EC87-C32B-8647-8E00-8D22F88C5889}"/>
    <hyperlink ref="CS260" r:id="rId1490" xr:uid="{7E65AC55-A8AA-1C46-A95A-2FC373A0AB06}"/>
    <hyperlink ref="AE260" r:id="rId1491" xr:uid="{B10B91BB-8E20-8A44-AD69-98A5B42E5971}"/>
    <hyperlink ref="AA260" r:id="rId1492" xr:uid="{E01E1F12-09CE-F74E-B035-08557B88ADDF}"/>
    <hyperlink ref="FO259" r:id="rId1493" xr:uid="{FE1E8FD2-9F7D-5542-9B46-3F8FA02BF58C}"/>
    <hyperlink ref="FL259" r:id="rId1494" xr:uid="{A3097326-D08D-EE48-9D70-6BBB215C5617}"/>
    <hyperlink ref="FD259" r:id="rId1495" xr:uid="{79D5CBB3-B8AC-0F48-AF43-C80EC3F72A19}"/>
    <hyperlink ref="FC259" r:id="rId1496" xr:uid="{188C1150-F5C9-464A-9E81-727E25119860}"/>
    <hyperlink ref="FB259" r:id="rId1497" xr:uid="{5A8AB1D4-1C23-7E43-855D-714CD6B25446}"/>
    <hyperlink ref="CS259" r:id="rId1498" xr:uid="{304E86E5-4B9B-4D49-B45B-BCF6B5F77FBC}"/>
    <hyperlink ref="AE259" r:id="rId1499" xr:uid="{27D70616-2FE1-FA43-8DAE-8254F4B5C52F}"/>
    <hyperlink ref="AC259" r:id="rId1500" xr:uid="{CD58F502-31FB-084B-BF4D-AE042D0F885E}"/>
    <hyperlink ref="AA259" r:id="rId1501" xr:uid="{6102D5E2-49E2-8043-89E0-6A56F2489847}"/>
    <hyperlink ref="AA256" r:id="rId1502" xr:uid="{7B43C641-A140-384D-A1CB-C39F4A337E7F}"/>
    <hyperlink ref="FC256" r:id="rId1503" xr:uid="{05C41341-8D48-2A43-9A28-185806873333}"/>
    <hyperlink ref="FL256" r:id="rId1504" xr:uid="{0C5D4743-10D5-F34A-A85F-B167A5D96970}"/>
    <hyperlink ref="FO256" r:id="rId1505" xr:uid="{795CAE8E-7801-AC4E-B03A-839EEED252FE}"/>
    <hyperlink ref="FO255" r:id="rId1506" xr:uid="{535E0EA1-EC39-3D43-985F-0C035528E9DA}"/>
    <hyperlink ref="FL255" r:id="rId1507" xr:uid="{EA3283F0-16A1-D94D-9C00-C554996939C1}"/>
    <hyperlink ref="FE255" r:id="rId1508" xr:uid="{C4B70A77-35F7-ED4F-AC58-E396A85D3BA6}"/>
    <hyperlink ref="FB255" r:id="rId1509" xr:uid="{2FE4B1E5-825C-0B4A-B759-A6A935106781}"/>
    <hyperlink ref="CS255" r:id="rId1510" xr:uid="{1659C84F-4406-3541-B7F9-FB1608DFF899}"/>
    <hyperlink ref="AE255" r:id="rId1511" xr:uid="{30C74AC4-B9ED-6D4C-8314-9F5BB736A985}"/>
    <hyperlink ref="AA255" r:id="rId1512" xr:uid="{6911765A-1E1A-1A4D-B1D5-384C8974C3C5}"/>
    <hyperlink ref="FO254" r:id="rId1513" xr:uid="{9CF21B51-9357-184D-B43D-B1A65E3C4357}"/>
    <hyperlink ref="FL254" r:id="rId1514" xr:uid="{9A0F7D8C-2793-B347-B308-31ED1D4F6BD5}"/>
    <hyperlink ref="FE254" r:id="rId1515" xr:uid="{641830C4-5EFC-8C41-AF93-AA2033BB6A1E}"/>
    <hyperlink ref="FD254" r:id="rId1516" xr:uid="{A91E67F8-19D6-F740-A5D3-A38E3615AA03}"/>
    <hyperlink ref="FB254" r:id="rId1517" xr:uid="{4CC8826A-18E7-5549-A025-699F07B5CF59}"/>
    <hyperlink ref="CS254" r:id="rId1518" xr:uid="{64006C40-04C6-614A-B819-7C2224F4A401}"/>
    <hyperlink ref="BG254" r:id="rId1519" xr:uid="{10A74A08-D92A-D740-97A8-CA6E71B62FCD}"/>
    <hyperlink ref="AE254" r:id="rId1520" xr:uid="{B601C5F6-F704-3148-9C3B-98E10C53C77D}"/>
    <hyperlink ref="AC254" r:id="rId1521" xr:uid="{0AD20EFF-A346-9843-8990-462A4C928726}"/>
    <hyperlink ref="AA254" r:id="rId1522" xr:uid="{1056F1D2-EEA1-1E41-96EC-3DDF09E7AAE1}"/>
    <hyperlink ref="FO253" r:id="rId1523" xr:uid="{E2B3EED0-CA1B-9845-B37A-8898C7C1A230}"/>
    <hyperlink ref="FL253" r:id="rId1524" xr:uid="{1B1E4784-6C66-074F-AAFE-91DC78DF1857}"/>
    <hyperlink ref="FD253" r:id="rId1525" xr:uid="{5C9B7106-604F-234F-A393-DA6153362F3E}"/>
    <hyperlink ref="FC253" r:id="rId1526" xr:uid="{3288D485-7814-244F-A81B-B19151FA3464}"/>
    <hyperlink ref="FB253" r:id="rId1527" xr:uid="{19DE20CE-DEE6-0045-9232-B46A575C40D0}"/>
    <hyperlink ref="EO253" r:id="rId1528" xr:uid="{4252D3DB-CDEC-3B4F-A431-C3F770A897BC}"/>
    <hyperlink ref="CS253" r:id="rId1529" xr:uid="{3DF8BF1D-46C2-D045-AD70-495B35B599DE}"/>
    <hyperlink ref="BG253" r:id="rId1530" xr:uid="{504226B9-7D77-934C-BB20-12B3E036C58F}"/>
    <hyperlink ref="AA253" r:id="rId1531" xr:uid="{5D80215B-B401-5A46-9518-68C3BDF50697}"/>
    <hyperlink ref="FO252" r:id="rId1532" xr:uid="{A41763A5-3F3A-4549-B9E0-ECFF5CEBDB6B}"/>
    <hyperlink ref="FL252" r:id="rId1533" xr:uid="{23B5979C-89AE-F947-864E-937A7BBF98F7}"/>
    <hyperlink ref="FB252" r:id="rId1534" xr:uid="{9A5F159C-3D12-7F4A-914A-D81A5ECA08FF}"/>
    <hyperlink ref="CP252" r:id="rId1535" xr:uid="{0382661A-63F0-574F-8074-8D494B98B3AC}"/>
    <hyperlink ref="AG252" r:id="rId1536" xr:uid="{E8DDA75A-C71F-5940-90BA-CE4AE32CA78D}"/>
    <hyperlink ref="AE252" r:id="rId1537" xr:uid="{BF39186E-53C0-0545-A9EC-FDEA507B5329}"/>
    <hyperlink ref="AC252" r:id="rId1538" xr:uid="{C79726BC-9EE3-1048-BF84-6B812E85B21F}"/>
    <hyperlink ref="AA252" r:id="rId1539" xr:uid="{A5A74196-A41B-1145-ACE7-7CB4425E5371}"/>
    <hyperlink ref="FO251" r:id="rId1540" xr:uid="{52FE97FA-44E4-A642-9DE1-4CCBBE2C1B84}"/>
    <hyperlink ref="FL251" r:id="rId1541" xr:uid="{C7C9C90D-104A-724F-9C84-F44F2D0E8EEC}"/>
    <hyperlink ref="FF251" r:id="rId1542" xr:uid="{83FFC79A-A178-ED43-B308-64FDC56D9910}"/>
    <hyperlink ref="FB251" r:id="rId1543" xr:uid="{E81E2121-8FB0-2948-9C77-E967A281FE41}"/>
    <hyperlink ref="CS251" r:id="rId1544" xr:uid="{768603F7-C78C-CC44-B37D-E02B0CEEB3A4}"/>
    <hyperlink ref="BG251" r:id="rId1545" xr:uid="{BD7A994E-391F-D540-91DE-9E9610CA09D2}"/>
    <hyperlink ref="AG251" r:id="rId1546" xr:uid="{3EE05A2D-63BC-F443-BBDA-03FA453173EC}"/>
    <hyperlink ref="AE251" r:id="rId1547" xr:uid="{20B14DC0-6812-D845-ADF2-2A23B766F282}"/>
    <hyperlink ref="FO250" r:id="rId1548" xr:uid="{A307C329-FCD2-8343-B495-70599B81F862}"/>
    <hyperlink ref="FL250" r:id="rId1549" xr:uid="{83E0C99A-E77F-3942-A570-8EE000DDC330}"/>
    <hyperlink ref="FC250" r:id="rId1550" xr:uid="{8AFA1F28-D110-824B-B986-7699F04949DA}"/>
    <hyperlink ref="CS250" r:id="rId1551" xr:uid="{9B9A3937-05DA-9F4C-AB4A-7A801D996C8E}"/>
    <hyperlink ref="AE250" r:id="rId1552" xr:uid="{5FFEA2C1-1CF1-384E-9074-AE4AE4FFD815}"/>
    <hyperlink ref="FO249" r:id="rId1553" xr:uid="{76CD3249-F302-7B4F-8DBB-155CC6660DDC}"/>
    <hyperlink ref="FL249" r:id="rId1554" xr:uid="{BB58E53D-0777-BE40-A4DE-D72AF83134D4}"/>
    <hyperlink ref="BG249" r:id="rId1555" xr:uid="{094E1057-8BAC-584B-ABDD-24664A8A0F58}"/>
    <hyperlink ref="AE249" r:id="rId1556" xr:uid="{27CC42D1-0D23-7A49-9146-A74B7F3D07DC}"/>
    <hyperlink ref="AA249" r:id="rId1557" xr:uid="{6055087A-B6F4-FE4A-8F3D-B1087FF50625}"/>
    <hyperlink ref="FO248" r:id="rId1558" xr:uid="{2D0EF66B-0E1A-B646-9747-D6A2A0CF3DBF}"/>
    <hyperlink ref="FL248" r:id="rId1559" xr:uid="{589FC218-0AFD-4442-85CD-81CD47E796C6}"/>
    <hyperlink ref="FC248" r:id="rId1560" xr:uid="{00E8950B-054C-1F40-A91B-058D962CF0CA}"/>
    <hyperlink ref="FB248" r:id="rId1561" xr:uid="{25544D1B-97F2-C741-9354-AB0B02DBBFF7}"/>
    <hyperlink ref="EO248" r:id="rId1562" xr:uid="{9920479A-D416-CE41-800A-773204FE1ED1}"/>
    <hyperlink ref="CS248" r:id="rId1563" xr:uid="{A4F2EE00-FB68-1A44-8BBF-5B74B534A66E}"/>
    <hyperlink ref="AA248" r:id="rId1564" xr:uid="{0112B346-A13A-5F4E-94EA-024CED061D17}"/>
    <hyperlink ref="FO247" r:id="rId1565" xr:uid="{1EC32E0C-595F-8847-9764-1A00B554252C}"/>
    <hyperlink ref="FL247" r:id="rId1566" xr:uid="{6594851A-BA95-C04E-932B-E2E54056F2C8}"/>
    <hyperlink ref="FB247" r:id="rId1567" xr:uid="{D91FEB7B-4540-3242-9BC9-948569087C1B}"/>
    <hyperlink ref="EO247" r:id="rId1568" xr:uid="{DCC478C9-2CBF-AB4F-BAA6-D6408554E36C}"/>
    <hyperlink ref="CS247" r:id="rId1569" xr:uid="{DFB9AC76-44CD-3F48-8041-9098E3B41F7A}"/>
    <hyperlink ref="AC247" r:id="rId1570" xr:uid="{834AE8D4-7118-7649-AEFB-13319633B74A}"/>
    <hyperlink ref="FO246" r:id="rId1571" xr:uid="{73330C86-EDFA-5046-9FDE-B39709B796B8}"/>
    <hyperlink ref="FL246" r:id="rId1572" xr:uid="{030008ED-0C72-EF4D-9113-17137B501233}"/>
    <hyperlink ref="FF246" r:id="rId1573" xr:uid="{9C5197CD-1F1D-FE45-BF6F-0B0F67D7E153}"/>
    <hyperlink ref="FD246" r:id="rId1574" xr:uid="{2D1243CD-9F63-FC41-BA62-A3B96C6451A1}"/>
    <hyperlink ref="AG246" r:id="rId1575" xr:uid="{5E8615BD-9CDC-494C-B4E2-5145A67A49D7}"/>
    <hyperlink ref="AE246" r:id="rId1576" xr:uid="{02104C30-0BB8-184D-94DC-CC4D1D666055}"/>
    <hyperlink ref="AA246" r:id="rId1577" xr:uid="{0DD280B3-BE5E-9E41-B261-55445428F874}"/>
    <hyperlink ref="FO244" r:id="rId1578" xr:uid="{8EA856E8-EEA2-0148-AF3C-BB67580E7F15}"/>
    <hyperlink ref="FO242" r:id="rId1579" xr:uid="{52708FBC-5EDE-0645-AA23-C2A92A123069}"/>
    <hyperlink ref="FL242" r:id="rId1580" xr:uid="{4AAC12A1-C1F9-7A4B-88E9-E53F7EA030C2}"/>
    <hyperlink ref="EO242" r:id="rId1581" xr:uid="{10D16314-D69C-5142-8B67-4688A6E09F59}"/>
    <hyperlink ref="AA242" r:id="rId1582" xr:uid="{4BA25811-78C5-B143-B93D-9B6678743D0A}"/>
    <hyperlink ref="FO241" r:id="rId1583" xr:uid="{108C9276-E52E-3847-B33D-D2FB7F9D280B}"/>
    <hyperlink ref="FL241" r:id="rId1584" xr:uid="{43321A39-9B8F-6C4F-A19A-87929EDD104A}"/>
    <hyperlink ref="EO241" r:id="rId1585" xr:uid="{64F1145E-1A00-9C43-B38B-6B540BF83FC4}"/>
    <hyperlink ref="CS241" r:id="rId1586" xr:uid="{A03B339C-43F6-BF4A-9682-E8E0BB5057CB}"/>
    <hyperlink ref="CP241" r:id="rId1587" xr:uid="{21A562F8-BD70-184D-BE4C-A59475344834}"/>
    <hyperlink ref="BG241" r:id="rId1588" xr:uid="{DFC692C5-EF17-E646-84EF-3302F7D8901A}"/>
    <hyperlink ref="AA241" r:id="rId1589" xr:uid="{FD949B06-E63E-944F-86D3-280FDA2B901C}"/>
    <hyperlink ref="FO239" r:id="rId1590" xr:uid="{91BE6D9F-480C-D14F-8910-A83D8857A9C2}"/>
    <hyperlink ref="FL239" r:id="rId1591" xr:uid="{805F33AB-7E3A-DB4A-AB44-CED346028316}"/>
    <hyperlink ref="EU239" r:id="rId1592" xr:uid="{903B9491-D48D-1841-8576-84B3804FD3FF}"/>
    <hyperlink ref="AA239" r:id="rId1593" xr:uid="{B78E14A8-852A-D14F-B4D3-CCA995CDAD0B}"/>
    <hyperlink ref="FO238" r:id="rId1594" xr:uid="{C27D86F2-D0FE-A745-A5FD-F32074956ACE}"/>
    <hyperlink ref="FL238" r:id="rId1595" xr:uid="{41B1BAE4-63EC-B84E-9ABB-BBE44C53D79F}"/>
    <hyperlink ref="FD238" r:id="rId1596" xr:uid="{685D4F45-1F53-A24B-AEF4-6C21FB934075}"/>
    <hyperlink ref="FB238" r:id="rId1597" xr:uid="{C7CF5CC0-CD43-3F43-86EB-D7C05D124AAF}"/>
    <hyperlink ref="CV238" r:id="rId1598" xr:uid="{EF8C3502-E28C-DE45-BBA2-EDCF931EE25C}"/>
    <hyperlink ref="CP238" r:id="rId1599" xr:uid="{254C6783-2C61-5D41-9E8B-14741302B7FE}"/>
    <hyperlink ref="BG238" r:id="rId1600" xr:uid="{5FB2BFA2-1B93-0448-A430-B0184B32E96F}"/>
    <hyperlink ref="AG238" r:id="rId1601" xr:uid="{BA31349E-F4B8-E745-97B8-1C98F157CFF3}"/>
    <hyperlink ref="AE238" r:id="rId1602" xr:uid="{AEDEF2DC-EFC2-DA45-98D3-757015AA03DF}"/>
    <hyperlink ref="AA238" r:id="rId1603" xr:uid="{ABDBB9D3-3D10-ED42-B0FA-12BC6E004BC0}"/>
    <hyperlink ref="FO237" r:id="rId1604" xr:uid="{CC503B0F-BB8D-E547-90C2-88517AE997D4}"/>
    <hyperlink ref="CS237" r:id="rId1605" xr:uid="{6F5AC38A-74D8-8F47-8ED8-1745DE94C396}"/>
    <hyperlink ref="BG237" r:id="rId1606" xr:uid="{FC1D07DC-4071-3140-B6EC-8070ECC1D40D}"/>
    <hyperlink ref="AG237" r:id="rId1607" xr:uid="{F9A44A27-0139-B043-85CE-43E2A8BEEE2F}"/>
    <hyperlink ref="AE237" r:id="rId1608" xr:uid="{68F8F2C0-47A7-3441-A5B9-FB6212F5E3B6}"/>
    <hyperlink ref="AC237" r:id="rId1609" xr:uid="{E7D0DD51-3EE2-6D48-9DF4-E22D62442BCE}"/>
    <hyperlink ref="AA237" r:id="rId1610" xr:uid="{EAD5D701-CB33-5E45-A9BB-87AB68ECF480}"/>
    <hyperlink ref="FO236" r:id="rId1611" xr:uid="{F3D925D2-DEEC-2E41-8FCD-5B2395FA1895}"/>
    <hyperlink ref="FL236" r:id="rId1612" xr:uid="{441ABC0E-B911-4B40-A28F-8598FF5D1A1B}"/>
    <hyperlink ref="FC236" r:id="rId1613" xr:uid="{0BB88E68-2C0B-114A-A29E-9EEFA0D760B8}"/>
    <hyperlink ref="FB236" r:id="rId1614" xr:uid="{9FE0C79B-4FF4-A147-9D4E-F1AF6B9C8F8E}"/>
    <hyperlink ref="DE236" r:id="rId1615" xr:uid="{A808B1E1-E15E-A348-BB9F-0A7ECFA11BCD}"/>
    <hyperlink ref="CS236" r:id="rId1616" xr:uid="{50EE3C66-7D6A-124A-8906-6410713CDAB2}"/>
    <hyperlink ref="AE236" r:id="rId1617" xr:uid="{1491B72C-3839-E747-803A-BF5D4BEB919C}"/>
    <hyperlink ref="AC236" r:id="rId1618" xr:uid="{E98FA30C-2CE4-024F-A14B-A5B0BB34B585}"/>
    <hyperlink ref="AA236" r:id="rId1619" xr:uid="{5092B2F4-5C22-2B44-B46F-E502C3A342F4}"/>
    <hyperlink ref="FO235" r:id="rId1620" xr:uid="{9DC026C0-6A91-5943-A63C-A1EBF9BED35A}"/>
    <hyperlink ref="FO234" r:id="rId1621" xr:uid="{23D69012-244C-2447-90FE-41044B6EBDCE}"/>
    <hyperlink ref="FD234" r:id="rId1622" xr:uid="{1F2ED198-9825-3E4B-AE95-CDB968565626}"/>
    <hyperlink ref="FB234" r:id="rId1623" xr:uid="{946B6A1A-60C6-1145-920E-27D483B038A1}"/>
    <hyperlink ref="CV234" r:id="rId1624" xr:uid="{C581B273-C39E-C448-8D1D-AB991CA5930D}"/>
    <hyperlink ref="CS234" r:id="rId1625" xr:uid="{C9922DDA-EAD4-5142-943B-F5AD506CBABE}"/>
    <hyperlink ref="AE234" r:id="rId1626" xr:uid="{BEEBE12D-AD3E-E645-ABF6-9BAE0F731AC6}"/>
    <hyperlink ref="AA234" r:id="rId1627" xr:uid="{48D69F51-546F-444A-8855-C952348A802E}"/>
    <hyperlink ref="FO233" r:id="rId1628" xr:uid="{D4E38543-7099-564D-A440-0C4A65A3A67C}"/>
    <hyperlink ref="CS233" r:id="rId1629" xr:uid="{4446DF3F-A736-CA43-B94D-658DF79B8C38}"/>
    <hyperlink ref="AE233" r:id="rId1630" xr:uid="{247547EB-88DD-084D-8D7F-F910684EF15B}"/>
    <hyperlink ref="AA233" r:id="rId1631" xr:uid="{5D3D9186-97E7-A140-83BD-C0F99A1F619B}"/>
    <hyperlink ref="FO232" r:id="rId1632" xr:uid="{ED3E81B9-D074-2843-8B4C-BCAC0E8853CD}"/>
    <hyperlink ref="FD232" r:id="rId1633" xr:uid="{87817537-3078-CE4E-A2DD-E39E0255518D}"/>
    <hyperlink ref="FC232" r:id="rId1634" xr:uid="{99F053C9-2A05-6649-AE4F-29DBD8B2ADFA}"/>
    <hyperlink ref="FB232" r:id="rId1635" xr:uid="{6299D771-1CC4-1443-8360-809044326BA1}"/>
    <hyperlink ref="DZ232" r:id="rId1636" xr:uid="{F1DC126E-4544-F941-8A15-DC9C2505F236}"/>
    <hyperlink ref="CV232" r:id="rId1637" xr:uid="{0E38D312-0449-414A-B9C3-901E204CDDC6}"/>
    <hyperlink ref="CS232" r:id="rId1638" xr:uid="{6EAB7BB7-9E8E-5D47-97E2-B26DEB805DD0}"/>
    <hyperlink ref="AE232" r:id="rId1639" xr:uid="{343746C0-75CC-F44C-AAA5-A13B47D981FF}"/>
    <hyperlink ref="AA232" r:id="rId1640" xr:uid="{1304BBAC-CF2E-4747-AE24-BBF323DEAAB0}"/>
    <hyperlink ref="AA228" r:id="rId1641" xr:uid="{D684E094-4B5B-C949-BA17-AA63F2B60C19}"/>
    <hyperlink ref="AC228" r:id="rId1642" xr:uid="{D4DE419B-681C-CE43-B4ED-D4BD58E25720}"/>
    <hyperlink ref="CS228" r:id="rId1643" xr:uid="{ED8DCE33-6C6C-E343-AC44-BE40B292B2A6}"/>
    <hyperlink ref="DQ228" r:id="rId1644" xr:uid="{A8F9C88D-4546-DB4C-B00F-49418058F689}"/>
    <hyperlink ref="FL228" r:id="rId1645" xr:uid="{F43509CA-F8C7-D246-A4FF-432052F0D7DC}"/>
    <hyperlink ref="FB228" r:id="rId1646" xr:uid="{55AEC011-A091-4549-93A1-F1AD7927D801}"/>
    <hyperlink ref="FO228" r:id="rId1647" xr:uid="{E7D229C6-43BC-F643-8AEF-9FBC1BF8BBF1}"/>
    <hyperlink ref="FC228" r:id="rId1648" xr:uid="{5F485025-E70D-234C-A833-B80911AE30FB}"/>
    <hyperlink ref="AC229" r:id="rId1649" xr:uid="{A2A4A414-5F2D-0D47-847E-59C9ED261A12}"/>
    <hyperlink ref="AE229" r:id="rId1650" xr:uid="{EED601B1-6C14-A246-950A-7FAC4B728A88}"/>
    <hyperlink ref="AG229" r:id="rId1651" display="https://kormil.omskportal.ru/magnoliaPublic/dam/jcr:f896145f-27af-412e-a323-75204d18e65b/Стратегия.rar" xr:uid="{F020187B-63D0-4A4A-88D2-C8B81C9AB6D1}"/>
    <hyperlink ref="FL229" r:id="rId1652" xr:uid="{ADF84AFA-DA33-794C-9192-12F125A8EE6B}"/>
    <hyperlink ref="CS229" r:id="rId1653" xr:uid="{ECEB89AD-840C-244F-B0BF-3E5BFE523F12}"/>
    <hyperlink ref="FO229" r:id="rId1654" xr:uid="{E4453878-582A-0443-8DDB-75E0BF7CB403}"/>
    <hyperlink ref="AA229" r:id="rId1655" xr:uid="{7A917541-990D-3C4D-84CB-94E7D3312649}"/>
    <hyperlink ref="DZ230" r:id="rId1656" xr:uid="{84B6C1B4-6890-D740-91D2-26D9FE6C46AC}"/>
    <hyperlink ref="FC230" r:id="rId1657" xr:uid="{CCA4679E-5B2C-3540-BB91-9342A60694F1}"/>
    <hyperlink ref="FD230" r:id="rId1658" xr:uid="{87C9A0C5-1760-F943-81BC-B5141D0ADB35}"/>
    <hyperlink ref="FO230" r:id="rId1659" xr:uid="{7FEF278F-767A-964F-B3AB-87AF2340D9C7}"/>
    <hyperlink ref="CS230" display="https://docs.yandex.ru/docs/view?url=ya-browser%3A%2F%2F4DT1uXEPRrJRXlUFoewruKowq88nTeEXyEZWn9KwfxkAy-LavOl08XPC9YZ3IUCxPWmmzeewtz6dETVye0oAIBnHCW7PSc8AL210vFj9edRWNRXi_OxHBHOkBKglSYTTn5L3cfAKjoUD6usZJBCcyg%3D%3D%3Fsign%3DwW6vuODUrD-CmmSyRhkKpYb_6Mse4wgmX" xr:uid="{C582A497-F355-1C46-9DD8-13CC176F02BB}"/>
    <hyperlink ref="FO223" r:id="rId1660" xr:uid="{A4D93A26-852D-124D-ADD6-DCFB1BAF4EE9}"/>
    <hyperlink ref="AG221" r:id="rId1661" xr:uid="{BA8A64D2-4882-134B-83A0-D14E5DAD43B8}"/>
    <hyperlink ref="CS221" r:id="rId1662" xr:uid="{3BB21392-D142-184C-AA27-9924FF5EB986}"/>
    <hyperlink ref="AC221" r:id="rId1663" xr:uid="{B7E7FF48-DAE2-324A-95C5-1815D1F7CB33}"/>
    <hyperlink ref="AE221" r:id="rId1664" xr:uid="{AE2D7811-67C0-2C43-ABFF-D592C17CBDC4}"/>
    <hyperlink ref="FC221" r:id="rId1665" xr:uid="{02AEABE4-579C-C64E-8DE9-D370E9E26344}"/>
    <hyperlink ref="FL221" r:id="rId1666" xr:uid="{36EEE96C-8F6A-E843-9D25-C68C976BB1D0}"/>
    <hyperlink ref="FD220" r:id="rId1667" xr:uid="{DC15C95B-550D-9B48-AAEA-133FE74A844F}"/>
    <hyperlink ref="FC220" r:id="rId1668" display="https://vk.com/wall-188987338_4254" xr:uid="{7D5B2A23-ED65-7248-BFF6-89001CEE29BB}"/>
    <hyperlink ref="CS220" r:id="rId1669" xr:uid="{1E36421F-3BEB-6847-952D-10DF79A63311}"/>
    <hyperlink ref="FL220" r:id="rId1670" xr:uid="{959CB46D-2EAF-B94C-8D65-DAC9278A8D27}"/>
    <hyperlink ref="EL220" r:id="rId1671" xr:uid="{6D0CF6FC-E784-DD42-909D-E27AC7CD9719}"/>
    <hyperlink ref="CP220" r:id="rId1672" xr:uid="{21CDD121-FADC-2443-8989-3A13905C6958}"/>
    <hyperlink ref="AE220" r:id="rId1673" xr:uid="{4B40281C-FCA6-144E-8DAB-4D2AD67D5C4D}"/>
    <hyperlink ref="AA220" r:id="rId1674" xr:uid="{169E3B43-6F7A-CA44-8C1B-3DD8342DD896}"/>
    <hyperlink ref="AG219" r:id="rId1675" xr:uid="{D1BE9DA3-D69C-C54F-AEB5-A8EFB6700E50}"/>
    <hyperlink ref="FO219" r:id="rId1676" xr:uid="{E192BEDE-B950-A34F-B231-FAEF9F8A11D5}"/>
    <hyperlink ref="CS219" r:id="rId1677" display="https://novgorodstat.gks.ru/storage/mediabank/%D0%A7%D0%B8%D1%81%D0%BB%D0%B5%D0%BD%D0%BD%D0%BE%D1%81%D1%82%D1%8C %D0%BD%D0%B0%D1%81%D0%B5%D0%BB%D0%B5%D0%BD%D0%B8%D1%8F %D0%BD%D0%B0 1.01.2022 %D0%B3%D0%BE%D0%B4%D0%B0.pdf" xr:uid="{886E3179-3727-BD4F-8D7B-480F5DCAD6EC}"/>
    <hyperlink ref="FL219" r:id="rId1678" xr:uid="{716DCC92-09E3-8F45-937E-18D593E1D1AD}"/>
    <hyperlink ref="AA219" r:id="rId1679" xr:uid="{255FF656-DA39-6D43-9B68-7FB7AC03711F}"/>
    <hyperlink ref="FF219" r:id="rId1680" xr:uid="{5F9E28B9-8247-464A-A6FE-A0506551BA42}"/>
    <hyperlink ref="AE219" r:id="rId1681" xr:uid="{89320CD3-AE5B-C846-BF60-73B92F198574}"/>
    <hyperlink ref="ER219" r:id="rId1682" xr:uid="{AB7C85E6-6DF1-DC48-8AB4-06DCA9578423}"/>
    <hyperlink ref="AG218" r:id="rId1683" xr:uid="{9B9C9110-B366-2843-BA8B-E59826CE8EAA}"/>
    <hyperlink ref="CS218" r:id="rId1684" display="https://novgorodstat.gks.ru/storage/mediabank/%D0%A7%D0%B8%D1%81%D0%BB%D0%B5%D0%BD%D0%BD%D0%BE%D1%81%D1%82%D1%8C %D0%BD%D0%B0%D1%81%D0%B5%D0%BB%D0%B5%D0%BD%D0%B8%D1%8F %D0%BD%D0%B0 1.01.2022 %D0%B3%D0%BE%D0%B4%D0%B0.pdf" xr:uid="{4B499FE3-CF0E-2A47-9956-C2F6C4C83A92}"/>
    <hyperlink ref="FO218" r:id="rId1685" xr:uid="{79BC599C-4F54-E745-A736-39169415B50F}"/>
    <hyperlink ref="FL218" r:id="rId1686" xr:uid="{2670AF86-1E5F-3343-8DCB-05232F576ECD}"/>
    <hyperlink ref="CS217" r:id="rId1687" xr:uid="{6AFC90F8-62E1-7845-86D0-08E25F5FBE33}"/>
    <hyperlink ref="FO217" r:id="rId1688" xr:uid="{C5A01826-FD5E-2242-AA86-A1A5E3D4FDB2}"/>
    <hyperlink ref="FL217" r:id="rId1689" xr:uid="{2C0E9067-1C31-884D-8414-7D7A98AF27B0}"/>
    <hyperlink ref="FC217" r:id="rId1690" xr:uid="{A8CC749C-8939-9947-9B58-241789B55E0C}"/>
    <hyperlink ref="AA217" r:id="rId1691" xr:uid="{0A3AC484-241E-BC40-BA69-5B92F14A861E}"/>
    <hyperlink ref="FO208" r:id="rId1692" xr:uid="{549BF655-3C14-E145-91EB-7E82C672A7F8}"/>
    <hyperlink ref="AE208" r:id="rId1693" xr:uid="{C165A45A-1BC4-0849-9CDC-0F4B776F5F8D}"/>
    <hyperlink ref="FC208" r:id="rId1694" xr:uid="{EC653D76-24AF-2749-BE26-4594FBEA3B43}"/>
    <hyperlink ref="FB208" r:id="rId1695" xr:uid="{FDA2AA9B-EB5A-5D49-8B4F-93451ED98518}"/>
    <hyperlink ref="CS208" r:id="rId1696" xr:uid="{7AD3BDD9-E9C7-0341-8899-B95D76A3F685}"/>
    <hyperlink ref="AA208" r:id="rId1697" xr:uid="{AB1270F0-1B33-0B49-BD3A-8DFDFB3BB087}"/>
    <hyperlink ref="FL208" r:id="rId1698" display="ati@semenov.nnov.ru" xr:uid="{B9631692-298D-8B49-AAE2-9B3CA31A74DB}"/>
    <hyperlink ref="AA207" r:id="rId1699" xr:uid="{67F356DB-7F30-4744-9748-0D85FB39C010}"/>
    <hyperlink ref="FO207" r:id="rId1700" xr:uid="{A8B6C0D1-CBA7-3F49-B672-B6BC8DBD0ED0}"/>
    <hyperlink ref="FL207" r:id="rId1701" xr:uid="{F82EC6FB-36A8-D441-9F48-7C63FA1A6A6A}"/>
    <hyperlink ref="AA206" r:id="rId1702" xr:uid="{6695DD53-B133-1045-8352-AE53C2651E0B}"/>
    <hyperlink ref="FO206" r:id="rId1703" xr:uid="{248376BF-C547-264C-A656-8A9651E7B9FA}"/>
    <hyperlink ref="CS206" r:id="rId1704" xr:uid="{1F262EC8-1FE6-3C47-9195-BDD4AC21011B}"/>
    <hyperlink ref="AE206" r:id="rId1705" xr:uid="{8BBB5C36-4399-4741-9ED1-169C953C0548}"/>
    <hyperlink ref="FO205" r:id="rId1706" xr:uid="{4AFBFCBA-313B-124C-AFBA-D228ABE2B121}"/>
    <hyperlink ref="CS205" r:id="rId1707" xr:uid="{5F9D3E2D-4CB7-6B47-BFC5-11FBDBFDBE7B}"/>
    <hyperlink ref="AE205" r:id="rId1708" xr:uid="{D403F71E-ECBC-8945-A9A8-1DC9CB4FFD56}"/>
    <hyperlink ref="AA205" r:id="rId1709" xr:uid="{1E716A77-0591-9248-8C27-179346CEBC52}"/>
    <hyperlink ref="FO204" r:id="rId1710" xr:uid="{3C6E75EB-1D9E-D74E-9DB9-D3B11B88D6C2}"/>
    <hyperlink ref="CS204" r:id="rId1711" xr:uid="{D9D41C4D-7E49-4242-A909-0A6DC7BA2442}"/>
    <hyperlink ref="AE204" r:id="rId1712" xr:uid="{DCEE2A66-9EE9-0346-85DD-8CC46F16E93D}"/>
    <hyperlink ref="AA204" r:id="rId1713" xr:uid="{34519E16-6AE0-5C42-B168-2083C791BB15}"/>
    <hyperlink ref="FO203" r:id="rId1714" xr:uid="{8509C520-7109-FF48-880E-258D3C8B135C}"/>
    <hyperlink ref="AC203" r:id="rId1715" xr:uid="{E9D1F23B-36FE-1B48-A3EB-C26D663B33C5}"/>
    <hyperlink ref="AA203" r:id="rId1716" xr:uid="{5AB7DC4B-41C4-5D40-862D-B160FC344702}"/>
    <hyperlink ref="FL203" r:id="rId1717" xr:uid="{18AAF011-4613-EE45-ABA8-5CCAC3380308}"/>
    <hyperlink ref="FB203" r:id="rId1718" xr:uid="{1A956D22-F00E-5A4B-83E4-5470C2AF5111}"/>
    <hyperlink ref="CS203" r:id="rId1719" display="https://nizhstat.gks.ru/folder/33271" xr:uid="{69C729FD-8825-634E-9426-6009A895AC4D}"/>
    <hyperlink ref="AE203" r:id="rId1720" xr:uid="{19D14DED-85F4-4047-B6BC-B0F921DA0B46}"/>
    <hyperlink ref="FO202" r:id="rId1721" xr:uid="{08190529-F471-7547-ADDB-BAC6A299D6C1}"/>
    <hyperlink ref="AE202" r:id="rId1722" xr:uid="{EA83BA76-4D49-A04A-A913-E00C666E8FC4}"/>
    <hyperlink ref="AC202" r:id="rId1723" display="http://www.dumadzr.ru/index.php?id_page=6&amp;id_catalog=6200" xr:uid="{64EF1026-F6D8-554A-A559-014B32488FBB}"/>
    <hyperlink ref="AG202" r:id="rId1724" xr:uid="{8A36BCEF-65AA-C94B-9193-84988FE2C5D7}"/>
    <hyperlink ref="FL202" r:id="rId1725" xr:uid="{DA382807-11D3-E24C-A0EC-E9F1C4B9E5D4}"/>
    <hyperlink ref="CS202" r:id="rId1726" xr:uid="{FC72BA49-26C7-5341-AB26-CA296A234C23}"/>
    <hyperlink ref="AA202" r:id="rId1727" display="https://адмдзержинск.рф/ekonomika-i-imushchestvo/ekonomika/normativno-pravovye-dokumenty/initsiativnoe-byudzhetirovanie/" xr:uid="{122FFD5A-C408-8B4D-BEB5-B03A7A41F026}"/>
    <hyperlink ref="CP191" r:id="rId1728" xr:uid="{07B40529-6026-B14C-807B-7DE7AE842F6B}"/>
    <hyperlink ref="FB191" r:id="rId1729" xr:uid="{44B70B9E-D7FB-AE4C-A6A7-94AD7CAA544D}"/>
    <hyperlink ref="CS191" r:id="rId1730" xr:uid="{530D3BA1-59D7-D648-9B7F-34E1D6200489}"/>
    <hyperlink ref="AA191" r:id="rId1731" xr:uid="{4DF77A95-9A43-0D44-96AC-86DE05C0A48C}"/>
    <hyperlink ref="AE191" r:id="rId1732" xr:uid="{87CAFA4C-59F4-E147-A462-61CAC319631A}"/>
    <hyperlink ref="AC191" r:id="rId1733" xr:uid="{EA78D203-FF6F-1C49-8593-0520FE58E6D4}"/>
    <hyperlink ref="CS185" r:id="rId1734" xr:uid="{537D8548-DC2B-C145-B0BA-678D742D509E}"/>
    <hyperlink ref="K185" r:id="rId1735" xr:uid="{031CF732-470F-4C42-B704-09E28E5866A4}"/>
    <hyperlink ref="DE185" r:id="rId1736" xr:uid="{99C94487-E299-3544-961F-DBE9F158A4C2}"/>
    <hyperlink ref="FL185" r:id="rId1737" xr:uid="{D98927FD-5A48-6646-B2C8-310ACD91E5EE}"/>
    <hyperlink ref="FD185" r:id="rId1738" xr:uid="{EC47A1C4-BF74-AA4B-9EEF-B56E621048E5}"/>
    <hyperlink ref="FB185" r:id="rId1739" xr:uid="{5742C9A2-C1DD-AC4D-9C12-8F95D67A7AF4}"/>
    <hyperlink ref="ER185" r:id="rId1740" xr:uid="{B28119C9-C03C-B748-B1EE-8B61B13A356E}"/>
    <hyperlink ref="AG185" r:id="rId1741" display="https://dzhankoy.rk.gov.ru/document/show/4055" xr:uid="{46485C1B-1F79-5D4B-90EF-30C98D64F925}"/>
    <hyperlink ref="AC185" r:id="rId1742" xr:uid="{CEA1AF8D-F882-3649-99D7-719A67A018C0}"/>
    <hyperlink ref="FO184" r:id="rId1743" xr:uid="{AC0D6DB6-008C-034E-B79A-4F1E4BE38460}"/>
    <hyperlink ref="CS184" r:id="rId1744" xr:uid="{1B15BD79-40AB-644E-8F3F-5C29EC2EBB64}"/>
    <hyperlink ref="FL184" r:id="rId1745" xr:uid="{A9546A31-B85C-DF4E-9002-84560E31A926}"/>
    <hyperlink ref="FB184" r:id="rId1746" xr:uid="{72718567-6CD4-DC4F-87CA-6A766812D0B1}"/>
    <hyperlink ref="AC184" r:id="rId1747" xr:uid="{C608DE35-9199-0643-B501-B695AD284ED7}"/>
    <hyperlink ref="BG184" r:id="rId1748" xr:uid="{5ACAF5DA-CA4E-2D47-AA2E-8289377C620A}"/>
    <hyperlink ref="CS183" r:id="rId1749" xr:uid="{1101089D-1E96-1747-AB03-4C288A3048A6}"/>
    <hyperlink ref="FL183" r:id="rId1750" xr:uid="{3B8681C2-4342-0C45-9464-44A38ABE398C}"/>
    <hyperlink ref="FF183" r:id="rId1751" xr:uid="{109C16B7-4D86-DC4B-83E0-D548012FD1A5}"/>
    <hyperlink ref="FD183" r:id="rId1752" xr:uid="{A8470C95-33AA-FF49-96BC-647290E2CBC9}"/>
    <hyperlink ref="FB183" r:id="rId1753" xr:uid="{279AD060-1424-B342-80AC-AA9DCDBB473E}"/>
    <hyperlink ref="ER183" r:id="rId1754" xr:uid="{719A3DE9-4819-D14A-A697-3A47734898C6}"/>
    <hyperlink ref="AG183" r:id="rId1755" display="https://dzhankoy.rk.gov.ru/document/show/4055" xr:uid="{8D08B0E2-15AF-1C4D-8204-ACB012012E66}"/>
    <hyperlink ref="AC183" r:id="rId1756" xr:uid="{A5E90C82-1ECC-F54E-9E07-BBC5F6CA5CC3}"/>
    <hyperlink ref="AA180" r:id="rId1757" xr:uid="{603623F6-1C06-9B45-A1B9-341B7B24D03B}"/>
    <hyperlink ref="FL180" r:id="rId1758" xr:uid="{9ABF8346-6A5D-944B-B324-2AE89DC33B65}"/>
    <hyperlink ref="CS180" r:id="rId1759" xr:uid="{2C01BC6A-C8F0-9D44-B910-D89FFDC7D581}"/>
    <hyperlink ref="AG180" r:id="rId1760" xr:uid="{5FEAE521-DA91-7A42-82F3-5123238C61F9}"/>
    <hyperlink ref="AE180" r:id="rId1761" xr:uid="{279079C9-63D1-2346-AB6B-0FC8136BD8BA}"/>
    <hyperlink ref="AC180" r:id="rId1762" xr:uid="{E4EC530D-4530-F14D-A66A-CCACAE51F9BE}"/>
    <hyperlink ref="FO174" r:id="rId1763" display="Lapo@fin.admkrsk.ru " xr:uid="{097278BA-D9DA-3C4C-8866-DCD025FFADCC}"/>
    <hyperlink ref="FC176" r:id="rId1764" display="http://suhobuzimo.ru/sites/default/files/docs/byudzhet_dlya_grazhdan_2023.pdf" xr:uid="{CEBBA909-7DF9-D244-A9B7-7F77B45D3396}"/>
    <hyperlink ref="FO176" r:id="rId1765" xr:uid="{56621E01-D195-A646-88B9-3DA630589B4B}"/>
    <hyperlink ref="CS176" r:id="rId1766" display="https://selo-life.ru/news/19606-zhitelej-prozhivaet-v-suhobuzimskom-rajone/" xr:uid="{1604D392-1228-6449-B2BD-EC13CDC212BF}"/>
    <hyperlink ref="AE176" r:id="rId1767" xr:uid="{6CE4084D-B919-4240-8E16-54F5488E6005}"/>
    <hyperlink ref="FL176" r:id="rId1768" display="suxom.rf35@yandex.ru" xr:uid="{CE1D68E3-F1D1-464A-99C9-F9293AC6557D}"/>
    <hyperlink ref="AA176" r:id="rId1769" xr:uid="{F0302CF6-30D1-634A-B683-F32CB16F47E5}"/>
    <hyperlink ref="FL175" r:id="rId1770" xr:uid="{A8774593-23F2-3040-8282-4D192DB2BBF8}"/>
    <hyperlink ref="FO175" r:id="rId1771" display="adm_gpse@admse.ru" xr:uid="{4701F342-49B4-BD46-957D-9CF3AA55CA28}"/>
    <hyperlink ref="FC175" r:id="rId1772" xr:uid="{278F18C5-0E5F-8B4E-BFA6-6E5CC68627EC}"/>
    <hyperlink ref="FB175" r:id="rId1773" xr:uid="{BBF803B1-CE52-C54A-9E96-4343781757AB}"/>
    <hyperlink ref="CS175" r:id="rId1774" xr:uid="{2FCB1B0F-B62C-F44E-B1BB-A15C08213181}"/>
    <hyperlink ref="AE175" r:id="rId1775" xr:uid="{AF532653-D32C-D140-952B-486A0DFA6310}"/>
    <hyperlink ref="AC175" r:id="rId1776" xr:uid="{9B63A57A-AD2B-3D42-9759-A0820FC5CEDD}"/>
    <hyperlink ref="FL174" r:id="rId1777" xr:uid="{E0701353-D6D3-DF4B-B91A-4D4946EC4E1C}"/>
    <hyperlink ref="CS174" r:id="rId1778" xr:uid="{16E32B90-41C8-224B-A76F-816E8B10E340}"/>
    <hyperlink ref="FB174" r:id="rId1779" xr:uid="{6F87B804-7726-EF47-99F5-A47B964FB5E0}"/>
    <hyperlink ref="FO173" r:id="rId1780" xr:uid="{2FDAFF96-2732-B64F-8F8F-9BD72D627BD1}"/>
    <hyperlink ref="FB173" r:id="rId1781" display="http://www.divnogorsk-adm.ru/finansy/iniciativnoe-byudzhetirovanie/_x000a_" xr:uid="{20C154D9-A550-3A4C-9E9D-15169F73D497}"/>
    <hyperlink ref="FL173" r:id="rId1782" xr:uid="{9A37082A-DA52-9744-A4C4-FAEB87284A8B}"/>
    <hyperlink ref="CS173" r:id="rId1783" xr:uid="{0EEB3013-2B72-6F49-8E50-C5E7C46A9AC6}"/>
    <hyperlink ref="BG173" r:id="rId1784" xr:uid="{B2320BEA-48A7-F641-8587-761439EE2E8D}"/>
    <hyperlink ref="AC173" r:id="rId1785" xr:uid="{6F8F5F31-6754-1546-9ED9-BF4EB5274A4C}"/>
    <hyperlink ref="FO154" r:id="rId1786" xr:uid="{EAC92E08-BD0A-584B-8ECD-9EA553312A9F}"/>
    <hyperlink ref="FL154" r:id="rId1787" xr:uid="{9F76F4E6-7AB9-0645-8817-579ADDFC4982}"/>
    <hyperlink ref="DH154" r:id="rId1788" xr:uid="{3B5FF484-15E3-4C49-908A-B4F7028B3AD5}"/>
    <hyperlink ref="AE154" r:id="rId1789" xr:uid="{E6F0E40D-D9F6-EC48-AF11-A191EB00B729}"/>
    <hyperlink ref="FL170" r:id="rId1790" xr:uid="{5396C2F3-7A7A-2743-9572-877521CB2301}"/>
    <hyperlink ref="FD170" r:id="rId1791" xr:uid="{5C375F91-0830-7D4A-8384-53EF3684DF03}"/>
    <hyperlink ref="FC170" r:id="rId1792" xr:uid="{E324C7A1-63E8-6649-9DDB-579B52D45522}"/>
    <hyperlink ref="CS170" r:id="rId1793" xr:uid="{E343B3DD-9DF5-ED4F-9BE4-F04B79337572}"/>
    <hyperlink ref="AE170" r:id="rId1794" xr:uid="{9BEC76DE-9450-BA45-92A9-F5A46DA0243F}"/>
    <hyperlink ref="AC170" r:id="rId1795" xr:uid="{FC70114B-D51F-3E48-89BE-4F047DE94EB4}"/>
    <hyperlink ref="AA170" r:id="rId1796" xr:uid="{7B839A2E-6CF9-4544-A146-9B6B656D4C7C}"/>
    <hyperlink ref="CS169" r:id="rId1797" xr:uid="{1BC322A9-E7FC-7E44-A259-65C7ADABF580}"/>
    <hyperlink ref="AE169" r:id="rId1798" xr:uid="{3868ED99-176C-C34F-AA9D-1CE413A18D14}"/>
    <hyperlink ref="FL169" r:id="rId1799" xr:uid="{26D013E4-3F3E-6B4F-BF4E-852D8D51D6CF}"/>
    <hyperlink ref="FB169" r:id="rId1800" xr:uid="{56722B5A-4AF3-1642-86C8-65974CBC710A}"/>
    <hyperlink ref="FL168" r:id="rId1801" xr:uid="{92A7A4C2-39E9-2643-8429-DAFAB6AA64A8}"/>
    <hyperlink ref="AA167" r:id="rId1802" xr:uid="{AD6A0F68-D97B-1B4A-B771-349E237E8E44}"/>
    <hyperlink ref="FL167" r:id="rId1803" xr:uid="{A8952CBB-E335-1D4E-BC64-DF9673A90388}"/>
    <hyperlink ref="AE167" r:id="rId1804" xr:uid="{55AB32F7-A2DF-9D46-99EC-2AA559AC5A09}"/>
    <hyperlink ref="AC167" r:id="rId1805" xr:uid="{D1E2E917-E076-C944-BBF9-47CA9C100FAD}"/>
    <hyperlink ref="AE165" r:id="rId1806" xr:uid="{0AB6D228-28B3-9C41-9B52-363925860375}"/>
    <hyperlink ref="FC165" r:id="rId1807" xr:uid="{06D69482-3EFD-8C48-81C2-1663E8408191}"/>
    <hyperlink ref="FL165" r:id="rId1808" xr:uid="{6BFF8EF5-73C8-0A4E-A9E9-1AC6C3078F41}"/>
    <hyperlink ref="AC161" r:id="rId1809" xr:uid="{EB372D03-8833-7A4E-A731-3C2366486C0D}"/>
    <hyperlink ref="AE161" r:id="rId1810" xr:uid="{E253E603-D1F3-E248-B4DF-19F32F412936}"/>
    <hyperlink ref="AA161" r:id="rId1811" xr:uid="{1280119D-F1AB-7344-9C2C-17CC4E39FBD7}"/>
    <hyperlink ref="DE161" r:id="rId1812" xr:uid="{80EB0105-042C-8049-AEDF-38409353D6DE}"/>
    <hyperlink ref="ER161" r:id="rId1813" xr:uid="{F33C0912-BFC1-8741-9476-69F00917466E}"/>
    <hyperlink ref="FB161" r:id="rId1814" xr:uid="{1749DEB8-9568-1547-A4F1-3CB1269BF2A4}"/>
    <hyperlink ref="FL161" r:id="rId1815" xr:uid="{56EC8F16-E335-6F46-AC01-3EB0BF8C5C3B}"/>
    <hyperlink ref="FO161" r:id="rId1816" xr:uid="{1E0B662B-9A69-864A-ADFD-A50BA752F346}"/>
    <hyperlink ref="AE160" r:id="rId1817" xr:uid="{807316F2-46C7-4142-8777-9953054AAE0D}"/>
    <hyperlink ref="FO160" r:id="rId1818" xr:uid="{7E913F3B-92F1-9846-92FA-955A3CDA687E}"/>
    <hyperlink ref="FL160" r:id="rId1819" xr:uid="{C4E2B9C4-ED0A-5740-BEC2-26587E352178}"/>
    <hyperlink ref="DE160" r:id="rId1820" xr:uid="{29B2F9E9-AC44-8E4B-9547-A2DFB91545C9}"/>
    <hyperlink ref="FO159" r:id="rId1821" xr:uid="{3F382BF9-A422-034B-8374-1A0FD699BC62}"/>
    <hyperlink ref="FL159" r:id="rId1822" xr:uid="{2135EBCC-8F48-A64C-BD54-D98328A223C1}"/>
    <hyperlink ref="AC159" r:id="rId1823" xr:uid="{9966D5AF-9AA6-9147-A27C-73952C81C8E2}"/>
    <hyperlink ref="AE159" r:id="rId1824" xr:uid="{767A1088-D126-AC48-9B64-BDDB634D2A72}"/>
    <hyperlink ref="FB159" r:id="rId1825" xr:uid="{16F256CC-3C9D-8141-AE91-CB4636C9BD8F}"/>
    <hyperlink ref="AE158" r:id="rId1826" xr:uid="{1077256D-34B0-AD4A-BA43-6332D5DE927B}"/>
    <hyperlink ref="FC158" r:id="rId1827" xr:uid="{716CD03A-A205-CF49-8B55-9AFFEC855C00}"/>
    <hyperlink ref="FB158" r:id="rId1828" xr:uid="{EDD12CD3-C58D-9042-AF10-F4A91E89E1FD}"/>
    <hyperlink ref="FO158" r:id="rId1829" xr:uid="{63411107-7EED-964D-A025-DE7B3DFB5D0E}"/>
    <hyperlink ref="FL158" r:id="rId1830" xr:uid="{FAA135FA-CD6B-5649-A967-45DF68C4BD4A}"/>
    <hyperlink ref="AC158" r:id="rId1831" xr:uid="{46F3F4CE-700C-BC43-85A0-101E2676280E}"/>
    <hyperlink ref="AA158" r:id="rId1832" xr:uid="{AA76B187-DB3E-9641-892D-48E2EE2400AF}"/>
    <hyperlink ref="AA157" r:id="rId1833" xr:uid="{B3320CE2-F044-0748-97F8-F48A093F011A}"/>
    <hyperlink ref="AE157" r:id="rId1834" xr:uid="{5F03110A-3A96-6944-A246-C71823BBEBA2}"/>
    <hyperlink ref="AC157" r:id="rId1835" xr:uid="{80C8DFD1-6A10-B940-96BE-DBB3A5D21A09}"/>
    <hyperlink ref="FO157" r:id="rId1836" xr:uid="{8A662F6C-5EFD-AB43-9218-D7087C58EF2C}"/>
    <hyperlink ref="FL157" r:id="rId1837" xr:uid="{01FB1B7B-3057-3C4E-BE91-7E1A8FDA6E67}"/>
    <hyperlink ref="AE155" r:id="rId1838" xr:uid="{A874307F-E61C-E84C-872C-DE4F5C3895D0}"/>
    <hyperlink ref="AC155" r:id="rId1839" xr:uid="{70626F9D-7BC3-8748-A223-0632FD34FB40}"/>
    <hyperlink ref="CS155" r:id="rId1840" xr:uid="{8630F5AB-52F6-1A4A-BC02-3F8B9515399F}"/>
    <hyperlink ref="FB155" r:id="rId1841" xr:uid="{AD145BF3-B25F-1F43-9B8E-0A1129013079}"/>
    <hyperlink ref="FO155" r:id="rId1842" xr:uid="{4642BA48-6441-7140-BBA1-310E2852C99B}"/>
    <hyperlink ref="AA155" r:id="rId1843" display="https://sochi.ru/gorodskaya-vlast/normativno-pravovyye-akty/?ELEMENT_ID=171037" xr:uid="{051BBC69-EB70-044A-9B92-C51FD17F782B}"/>
    <hyperlink ref="FL155" r:id="rId1844" xr:uid="{389BAFF1-8DC2-1F40-8223-8EA6CE457A48}"/>
    <hyperlink ref="FL153" r:id="rId1845" xr:uid="{205BF635-9F19-0A4D-8044-46371FD69DA6}"/>
    <hyperlink ref="FL152" r:id="rId1846" xr:uid="{250FEB4F-3A2B-094D-9067-E7A59B1CF978}"/>
    <hyperlink ref="FB151" r:id="rId1847" xr:uid="{5501F410-CCD9-ED40-9ACF-181ACB187DF2}"/>
    <hyperlink ref="AC151" r:id="rId1848" xr:uid="{C62F3F37-93CF-044A-A38E-C55F5262934D}"/>
    <hyperlink ref="AE151" r:id="rId1849" xr:uid="{924A80F3-EDE5-F446-B777-E95D495268C3}"/>
    <hyperlink ref="FC150" r:id="rId1850" xr:uid="{61AB5FC5-DE8C-5841-B23E-79D3DC5B0B61}"/>
    <hyperlink ref="FF150" r:id="rId1851" xr:uid="{A8BD725C-68C4-784A-913D-27CC2761C49C}"/>
    <hyperlink ref="FD150" r:id="rId1852" xr:uid="{A23456D0-63C8-BA44-A4D7-8A53837E29A2}"/>
    <hyperlink ref="FL150" r:id="rId1853" xr:uid="{1D6C17E5-5CD8-5046-8E34-4C680307D991}"/>
    <hyperlink ref="FB150" r:id="rId1854" xr:uid="{65E86B26-CA1B-174D-8A85-A5BAB64425C3}"/>
    <hyperlink ref="CV150" r:id="rId1855" xr:uid="{396077DE-C251-A440-B491-05EB153D677C}"/>
    <hyperlink ref="FO150" r:id="rId1856" xr:uid="{6FD20EE1-18D7-6347-8958-888FF5E3F13C}"/>
    <hyperlink ref="FB149" r:id="rId1857" xr:uid="{3A58C866-882D-3F4A-B1DC-2FBF143316CA}"/>
    <hyperlink ref="FL149" r:id="rId1858" xr:uid="{05ED69A0-8B28-1448-92ED-B2D43F6EFACD}"/>
    <hyperlink ref="AE149" r:id="rId1859" xr:uid="{6998C795-403B-A845-B1C8-D09B71998334}"/>
    <hyperlink ref="AA149" r:id="rId1860" xr:uid="{8B8DC35C-C694-A74D-92C9-4606C6BEFEDC}"/>
    <hyperlink ref="FL148" r:id="rId1861" xr:uid="{DA96DDB9-B77E-CE4B-A99D-7099D2A06749}"/>
    <hyperlink ref="FD148" r:id="rId1862" xr:uid="{B9B036D7-807B-F946-96E0-AECDCB1CD9F3}"/>
    <hyperlink ref="FC148" r:id="rId1863" xr:uid="{9A3C9BA7-B815-8C4C-BACF-152A53D77369}"/>
    <hyperlink ref="AE148" r:id="rId1864" xr:uid="{D4FED9EE-9F8B-A246-885E-1C2AFB787037}"/>
    <hyperlink ref="AC148" r:id="rId1865" xr:uid="{EBDC0C87-5A29-9C4D-9F39-53E2FBBB5AD3}"/>
    <hyperlink ref="FL147" r:id="rId1866" xr:uid="{359B6B4A-DCD7-7241-B4E0-DFB2079F7105}"/>
    <hyperlink ref="AE146" r:id="rId1867" xr:uid="{EEB62C4F-41B5-7E4E-A99D-41622111FEB4}"/>
    <hyperlink ref="FB146" r:id="rId1868" xr:uid="{7F3B6F06-AD15-5145-8E15-5F907459D7A9}"/>
    <hyperlink ref="AC146" r:id="rId1869" xr:uid="{AB8C272B-6981-3B40-8C0E-36509FE6D73E}"/>
    <hyperlink ref="FL146" r:id="rId1870" xr:uid="{A17EFB92-CA38-9849-AFAD-1A07764D1F6A}"/>
    <hyperlink ref="FL145" r:id="rId1871" xr:uid="{15F921D6-5E6C-CC4E-97FD-AEB773C948A5}"/>
    <hyperlink ref="FL144" r:id="rId1872" xr:uid="{6DFBB743-8FC9-3246-9EF1-9F8115EE4A8A}"/>
    <hyperlink ref="BG144" r:id="rId1873" xr:uid="{6D3CA18F-EEF0-2746-8D62-977E4DE8C572}"/>
    <hyperlink ref="AE144" r:id="rId1874" xr:uid="{25AB71CF-3B5E-944F-B19B-3284B9C2EB4D}"/>
    <hyperlink ref="AC144" r:id="rId1875" xr:uid="{5F1BEDCE-003D-7E4F-A4AF-66AC045D8534}"/>
    <hyperlink ref="FL143" r:id="rId1876" xr:uid="{A54FFEF7-C678-C948-8C19-1C090587CC08}"/>
    <hyperlink ref="AE143" r:id="rId1877" xr:uid="{2F6283FA-2BC6-7D4C-9A6C-A6D6D2E33D7B}"/>
    <hyperlink ref="AC143" r:id="rId1878" xr:uid="{43EC9BFA-3D6E-3447-9B8E-38A233831F02}"/>
    <hyperlink ref="FL142" r:id="rId1879" xr:uid="{6909617A-41D7-E146-8738-4D4060C5A386}"/>
    <hyperlink ref="FO141" r:id="rId1880" xr:uid="{54481EA2-0779-7F42-B3F7-89583C7934D6}"/>
    <hyperlink ref="FL141" r:id="rId1881" xr:uid="{A13C8E9C-8642-C44F-A58C-7CE089C5B04E}"/>
    <hyperlink ref="FB141" r:id="rId1882" xr:uid="{FB486AA2-50B9-A345-994E-54A97AAC9422}"/>
    <hyperlink ref="BG141" r:id="rId1883" location="/document/401407438/paragraph/1/doclist/5772/1/0/0/%D1%80%D0%B5%D1%88%D0%B5%D0%BD%D0%B8%D0%B5 %D0%B3%D0%BE%D1%80%D0%BE%D0%B4%D1%81%D0%BA%D0%BE%D0%B9 %D0%94%D1%83%D0%BC%D1%8B %D0%9A%D1%80%D0%B0%D1%81%D0%BD%D0%BE%D0%B4%D0%B0%D1%80%D0%B0 %D0%BE%D1%82 24.06.2021 %E2%84%96 15 %D0%BF.1:2" xr:uid="{12E0FCEF-41F1-2640-8672-B08CF5F324C5}"/>
    <hyperlink ref="AC141" r:id="rId1884" location="/document/401407438/paragraph/1/doclist/5772/1/0/0/%D1%80%D0%B5%D1%88%D0%B5%D0%BD%D0%B8%D0%B5 %D0%B3%D0%BE%D1%80%D0%BE%D0%B4%D1%81%D0%BA%D0%BE%D0%B9 %D0%94%D1%83%D0%BC%D1%8B %D0%9A%D1%80%D0%B0%D1%81%D0%BD%D0%BE%D0%B4%D0%B0%D1%80%D0%B0 %D0%BE%D1%82 24.06.2021 %E2%84%96 15 %D0%BF.1:2" xr:uid="{E2AC00DB-9DC8-1E43-9BA9-39A10E13CBE0}"/>
    <hyperlink ref="FO140" r:id="rId1885" xr:uid="{A542145F-9D18-484B-82E9-FCC161ED00A0}"/>
    <hyperlink ref="FL140" r:id="rId1886" xr:uid="{FD0D3DDB-7953-EE45-B797-350B830E8F32}"/>
    <hyperlink ref="FB140" r:id="rId1887" xr:uid="{823D0220-C96A-D54E-BE79-998E9EAD3C39}"/>
    <hyperlink ref="CP140" r:id="rId1888" xr:uid="{A352F291-81FF-4B4E-B5B6-2CD5E110D9C1}"/>
    <hyperlink ref="BG140" r:id="rId1889" xr:uid="{A6142CFD-994D-3C4C-8A02-66198998A9FC}"/>
    <hyperlink ref="AA140" r:id="rId1890" xr:uid="{373F4ECD-74FD-4344-9951-75CC923E2CBB}"/>
    <hyperlink ref="FO139" r:id="rId1891" xr:uid="{6A8DC9FD-0F1C-BB4C-96C7-91609E558A86}"/>
    <hyperlink ref="FL139" r:id="rId1892" xr:uid="{C158DDF1-B660-BB46-AC41-EAA861F67773}"/>
    <hyperlink ref="FB138" r:id="rId1893" xr:uid="{3E7C6F11-C5CE-3440-96FE-E0F70B8C9F3F}"/>
    <hyperlink ref="FD138" r:id="rId1894" xr:uid="{3726D740-CF61-C249-9DAD-9891A5D7A968}"/>
    <hyperlink ref="BG138" r:id="rId1895" xr:uid="{3C48F415-56F5-114D-8300-31AEEAB3ED9F}"/>
    <hyperlink ref="AC138" r:id="rId1896" xr:uid="{5E004F3D-B8E1-914A-85CD-20023B25ABE4}"/>
    <hyperlink ref="AE138" r:id="rId1897" xr:uid="{12D6C77A-3ACA-734A-A781-051B7A3E55BF}"/>
    <hyperlink ref="FO138" r:id="rId1898" xr:uid="{BD7A7B84-BF90-E343-BF14-3696A0B1935B}"/>
    <hyperlink ref="FL137" r:id="rId1899" xr:uid="{DAAD379C-05A0-2940-8EA1-782A93E24EB5}"/>
    <hyperlink ref="FO137" r:id="rId1900" xr:uid="{9095089F-C2C1-0447-87BA-7A1360E0DA7D}"/>
    <hyperlink ref="AG137" r:id="rId1901" xr:uid="{C524CBD7-3F80-E840-81D8-DC670135CB5C}"/>
    <hyperlink ref="AC136" r:id="rId1902" xr:uid="{5BA55A78-D8EC-F443-8B6E-D2D09180641A}"/>
    <hyperlink ref="FO136" r:id="rId1903" xr:uid="{5F54CF51-864D-EE4D-9936-79C16FA3272F}"/>
    <hyperlink ref="FL136" r:id="rId1904" xr:uid="{1422F0A3-C7B2-4849-8A8F-7B8A49528FB6}"/>
    <hyperlink ref="FO189" r:id="rId1905" xr:uid="{1C902BCB-13C3-6148-91F1-088567A264CD}"/>
    <hyperlink ref="Q189" r:id="rId1906" xr:uid="{501BBD6F-4EB7-5749-8F58-14D353AF0CC2}"/>
    <hyperlink ref="FO178" r:id="rId1907" display="mailto:vahtomin_vv@kurganobl.ru" xr:uid="{C852D2D2-841A-FE4F-863C-E7C74239A709}"/>
    <hyperlink ref="FL178" r:id="rId1908" xr:uid="{99A2BD03-F771-384F-B912-7A02551F300D}"/>
    <hyperlink ref="FL179" r:id="rId1909" xr:uid="{E34881B4-ACA8-D44B-B83F-E711BB32EBFF}"/>
    <hyperlink ref="Y177" r:id="rId1910" xr:uid="{93D61A9D-31C4-3048-A113-923A5CABF25D}"/>
    <hyperlink ref="FL177" r:id="rId1911" xr:uid="{DC0E6420-9227-3841-AFA5-9A26EE67AFB2}"/>
    <hyperlink ref="FL226" r:id="rId1912" xr:uid="{8559C819-1948-1044-B6E6-917C83DEA071}"/>
    <hyperlink ref="FO226" r:id="rId1913" xr:uid="{25D25C5B-6405-984A-8244-89408C1E96BB}"/>
    <hyperlink ref="CS226" r:id="rId1914" xr:uid="{FA2FCD05-CDDD-9B49-A009-215F50FA6263}"/>
    <hyperlink ref="Q226" r:id="rId1915" location="Rb4Y5bTMfyehqpMJ1" xr:uid="{A379BF7A-DFD1-C34A-BF66-89C58132BEDD}"/>
    <hyperlink ref="FL225" r:id="rId1916" xr:uid="{A101644D-D500-E94A-AA5E-4074F8DA5E32}"/>
    <hyperlink ref="FO225" r:id="rId1917" xr:uid="{4DFD4EC1-1AD8-3844-AD07-8C37D9BF744C}"/>
    <hyperlink ref="CS225" r:id="rId1918" xr:uid="{FDC99A41-8D55-E646-B5F8-2CABD2AC21EE}"/>
    <hyperlink ref="Q225" r:id="rId1919" location="Rb4Y5bTMfyehqpMJ1" xr:uid="{6E1D089B-6983-A149-B72A-01D09FF6A4EB}"/>
    <hyperlink ref="FO198" r:id="rId1920" xr:uid="{99DF3C7C-2262-094C-9E6D-A9DCDEBE0621}"/>
    <hyperlink ref="FL198" r:id="rId1921" xr:uid="{AD881845-9588-A548-A677-3DCA40CE2563}"/>
    <hyperlink ref="FB198" r:id="rId1922" xr:uid="{EBE65FA3-BB87-CB4D-8E6D-52640346AD63}"/>
    <hyperlink ref="DZ198" r:id="rId1923" xr:uid="{0C8FAD8B-101E-3346-8B30-650EF4164698}"/>
    <hyperlink ref="U198" r:id="rId1924" location="2i5rxv5zruk" xr:uid="{D6AD42E6-C47D-3144-86CE-6882F9EDF900}"/>
    <hyperlink ref="Q198" r:id="rId1925" location="25og239zvnb" xr:uid="{3BCCC72D-4DE0-5246-A174-9297F36CCCA3}"/>
    <hyperlink ref="FO274" r:id="rId1926" xr:uid="{7D60CEC7-80BF-4C44-B59C-B20F710B378B}"/>
    <hyperlink ref="FL274" r:id="rId1927" xr:uid="{DB1CC2E9-808A-364D-A534-4AC684F7B0FB}"/>
    <hyperlink ref="FF274" r:id="rId1928" display="https://pib.primorsky.ru/Menu/Presentation/14?ItemId=14" xr:uid="{F847529C-6EB0-5C4F-86A0-3AE01D764ED9}"/>
    <hyperlink ref="FD274" r:id="rId1929" xr:uid="{87171BDC-87D0-6242-9C40-E5A78E359D36}"/>
    <hyperlink ref="CP274" r:id="rId1930" xr:uid="{60B306E2-EA8D-9243-9D4D-1F6B628C06B8}"/>
    <hyperlink ref="Y274" r:id="rId1931" xr:uid="{4310F3DD-BB99-0140-B25C-3DB45CCD4041}"/>
    <hyperlink ref="Q274" r:id="rId1932" xr:uid="{E0CAB39F-73B3-BD46-9E12-7B2216D82292}"/>
    <hyperlink ref="Q227" r:id="rId1933" location="O6fHwbTBvJ6GFgPF" xr:uid="{6E9095FB-826D-6948-B304-A5DFC7A15955}"/>
    <hyperlink ref="FO227" r:id="rId1934" xr:uid="{1D9CE09D-F7D9-C246-BB82-0E2DCA1C8BD1}"/>
    <hyperlink ref="FL227" r:id="rId1935" xr:uid="{EFC3D152-ADC7-FB4D-8035-96DE1ADA418A}"/>
    <hyperlink ref="CS227" r:id="rId1936" xr:uid="{B4E25C35-97D5-144A-8C1E-AD2D422C8542}"/>
    <hyperlink ref="CS224" r:id="rId1937" xr:uid="{3F398B27-C3C6-DA4B-84B2-15E78A24E1FD}"/>
    <hyperlink ref="FC224" r:id="rId1938" display="https://t.me/minfin55_x000a__x000a__x000a_" xr:uid="{E669DA47-A114-5140-874C-BDD32B12326E}"/>
    <hyperlink ref="FB224" r:id="rId1939" display="https://budget.omsk.ifinmon.ru/initsiativnoe-byudzhetirovanie/obshchaya-informatsiya" xr:uid="{EE69DC14-BC67-E340-9987-96B3938BA509}"/>
    <hyperlink ref="FD224" r:id="rId1940" xr:uid="{E85F3475-0D0C-2745-9D49-95F2A46358A2}"/>
    <hyperlink ref="CV224" r:id="rId1941" location="RDH4fbTSondncJ3r" xr:uid="{874B3C2F-EF2E-2B43-B270-BFA1123A4701}"/>
    <hyperlink ref="FL224" r:id="rId1942" xr:uid="{9C0E7A86-6DF3-B54B-9E72-C6325FD94658}"/>
    <hyperlink ref="CS265" r:id="rId1943" xr:uid="{32DD0AE4-BA56-7949-B4ED-E30CF560C056}"/>
    <hyperlink ref="FH265" r:id="rId1944" xr:uid="{9B0F3607-D6E6-5644-8CEB-12E5B643DBC4}"/>
    <hyperlink ref="FK265" r:id="rId1945" xr:uid="{4AA5CB9E-59EC-3F4E-8E09-AEABD0DC9298}"/>
    <hyperlink ref="EZ265" r:id="rId1946" xr:uid="{3EEFC1B1-7DFA-1548-BEEA-601B09344878}"/>
    <hyperlink ref="EY265" r:id="rId1947" display="https://invest-orel.ru/" xr:uid="{370039C2-0A59-054A-9560-ADBDAF663298}"/>
    <hyperlink ref="EX265" r:id="rId1948" display="https://orel-region.ru/            _x000a_57.gorodsreda.ru" xr:uid="{9E421DBC-D12A-054F-9EC7-31DCA263E933}"/>
    <hyperlink ref="DV265" r:id="rId1949" xr:uid="{CBAEE94A-C6AE-7744-AEFC-BE7BD7A4507B}"/>
    <hyperlink ref="BG265" r:id="rId1950" xr:uid="{D5E1A1F4-3C73-6F4E-8010-F5AFBCE9E1EF}"/>
    <hyperlink ref="Q265" r:id="rId1951" xr:uid="{7C925641-196C-3B47-9637-4C875859B679}"/>
    <hyperlink ref="FO266" r:id="rId1952" xr:uid="{E6E73ADC-EDF3-9F47-BBC5-B886F29137FC}"/>
    <hyperlink ref="FD266" r:id="rId1953" xr:uid="{0E9D308A-8465-6142-8408-2AE4A20DCE73}"/>
    <hyperlink ref="FC266" r:id="rId1954" xr:uid="{6F464FB2-4B6B-1948-B2C0-FAB0EED8834E}"/>
    <hyperlink ref="FB266" r:id="rId1955" xr:uid="{0891B3CF-A58C-C146-83ED-BC4A573EF9F9}"/>
    <hyperlink ref="CS266" r:id="rId1956" xr:uid="{D666601C-ADE1-3A4A-99A4-D8C51258740A}"/>
    <hyperlink ref="Y266" r:id="rId1957" xr:uid="{757B28D4-B5C1-5847-8A80-EB0C59AEE398}"/>
    <hyperlink ref="FL264" r:id="rId1958" xr:uid="{6C2984BC-A460-4B40-87CE-2E8D1DF923CE}"/>
    <hyperlink ref="FO264" r:id="rId1959" xr:uid="{4131C824-F912-5140-A400-560B036C8EE7}"/>
    <hyperlink ref="CS264" r:id="rId1960" xr:uid="{4C3A615F-1D7E-7B4B-9031-3F19880D55A8}"/>
    <hyperlink ref="Q264" r:id="rId1961" xr:uid="{CA1B69AA-D38C-0441-8AD4-3F03AD6B5A1B}"/>
    <hyperlink ref="FB269" r:id="rId1962" xr:uid="{07B9CD12-5E48-A744-A1C1-94FB0B8D66BF}"/>
    <hyperlink ref="FD269" r:id="rId1963" xr:uid="{E5586A1A-FF3D-7043-9762-2BA38FB59031}"/>
    <hyperlink ref="FE269" r:id="rId1964" location="sel=1:9,1:11" display="https://veved.ru/perm/perm-news/152842-v-prikame-na-kraevoj-konkurs-postupilo-pochti-300-proektov-iniciativnogo-bjudzhetirovanija.html#sel=1:9,1:11" xr:uid="{0D619936-A06C-AC44-BE53-55291213756B}"/>
    <hyperlink ref="FC269" r:id="rId1965" display="https://vmeste.permkrai.ru/program/category/6/" xr:uid="{B9D72DD4-1D36-9249-A4D5-A295258E1FCA}"/>
    <hyperlink ref="FL269" r:id="rId1966" xr:uid="{AF9BFE89-5C2C-4D4D-B4A0-7AC78EAA88E0}"/>
    <hyperlink ref="FO269" r:id="rId1967" xr:uid="{544D531F-6AFC-8C4A-91CC-B39764CDD1A7}"/>
    <hyperlink ref="CS269" r:id="rId1968" xr:uid="{7BB5A885-D4C7-CA43-BFF8-C8950D08D66E}"/>
    <hyperlink ref="BG269" r:id="rId1969" xr:uid="{23A3CE56-E255-D248-8055-6DBA87ABEF12}"/>
    <hyperlink ref="U269" r:id="rId1970" xr:uid="{A259E15C-3917-B749-A2CE-1A6EA81A5352}"/>
    <hyperlink ref="Q269" r:id="rId1971" xr:uid="{AA67331C-1605-5F42-8DB7-6ADDB4E162ED}"/>
    <hyperlink ref="CP182" r:id="rId1972" xr:uid="{EE30D495-8785-494C-BCF3-783CEC4BAC57}"/>
    <hyperlink ref="FO182" r:id="rId1973" xr:uid="{E2AE2C30-D12D-5E47-9C8D-AACF16694E19}"/>
    <hyperlink ref="FL182" r:id="rId1974" xr:uid="{3B7C980D-B5F1-6A4E-BDAC-587AE209F926}"/>
    <hyperlink ref="FC182" r:id="rId1975" display="https://vk.com/centr_izuch_grazhdans_initsiativ   " xr:uid="{C7D521BA-0C2F-7547-B316-D66D4E7AE167}"/>
    <hyperlink ref="FD182" r:id="rId1976" xr:uid="{AD951BC8-41FD-6944-85D7-FB93658051F0}"/>
    <hyperlink ref="FB182" r:id="rId1977" xr:uid="{9023EBB9-2EF5-ED40-A27E-D07735985974}"/>
    <hyperlink ref="CV182" display="https://minfin.rk.gov.ru/uploads/txteditor/minfin/attachments//d4/1d/8c/d98f00b204e9800998ecf8427e/phpborCGo_%D0%9F%D0%BE%D1%81%D1%82%D0%B0%D0%BD%D0%BE%D0%B2%D0%BB%D0%B5%D0%BD%D0%B8%D0%B5%20%D0%A1%D0%9C%20%D0%A0%D0%9A%20%D0%BE%D1%82%2016.11.2020%20%E2%84%" xr:uid="{6090F9FE-204A-8847-8C19-27CA9FD9728F}"/>
    <hyperlink ref="S182" r:id="rId1978" xr:uid="{20B92B59-B208-0B49-81D4-AE05AA61D63A}"/>
    <hyperlink ref="Y182" r:id="rId1979" xr:uid="{2430762B-9DF1-6E49-8D22-6B4549F5002E}"/>
    <hyperlink ref="W182" r:id="rId1980" xr:uid="{4B0DC49F-D571-3A48-90F4-79EA9CA654B9}"/>
    <hyperlink ref="U182" r:id="rId1981" xr:uid="{03527A31-C69B-C141-A924-D92CF4AC5AF0}"/>
    <hyperlink ref="CS194" r:id="rId1982" xr:uid="{44D0327F-8BFC-8C4D-8120-0CD469E4768C}"/>
    <hyperlink ref="FC194" r:id="rId1983" xr:uid="{06AFE7C5-4316-0241-B659-022052A70A67}"/>
    <hyperlink ref="FL194" r:id="rId1984" xr:uid="{E5A953FC-295D-5642-984D-32D338DFC799}"/>
    <hyperlink ref="FO194" r:id="rId1985" xr:uid="{2A36BD84-6E42-5849-A43E-817AEF8D5D01}"/>
    <hyperlink ref="FO195" r:id="rId1986" xr:uid="{4ABF05A9-7AE7-6641-866E-14BCF089903E}"/>
    <hyperlink ref="S195" r:id="rId1987" xr:uid="{61E6D6D0-D8E4-4140-8BF6-5B0530FD0D5D}"/>
    <hyperlink ref="BG195" r:id="rId1988" xr:uid="{AF6A2533-812D-B643-9AFF-D14931B9688E}"/>
    <hyperlink ref="CS195" r:id="rId1989" xr:uid="{780DA248-88BB-5F42-9D44-3F39A96EAF8D}"/>
    <hyperlink ref="Y195" r:id="rId1990" xr:uid="{138494F7-E7E1-824B-8E2B-87F3306714F2}"/>
    <hyperlink ref="Q195" r:id="rId1991" xr:uid="{354784D7-A93D-F747-8284-F8B0BFD021CF}"/>
    <hyperlink ref="FO193" r:id="rId1992" xr:uid="{6FBF6C19-92BE-E54E-A0A1-0D80F5ED300D}"/>
    <hyperlink ref="FH193" r:id="rId1993" xr:uid="{158935A5-BF2B-DF47-AC29-0B25CB21ED07}"/>
    <hyperlink ref="FF193" r:id="rId1994" display="https://gg12.ru/v-joshkar-ole-nazvany-territorii-lidery-v-golosovanii-po-blagoustrojstvu/" xr:uid="{A8DBCB0E-D7D7-A340-B5AA-C8D347DF955C}"/>
    <hyperlink ref="FB193" r:id="rId1995" xr:uid="{4832311B-FE8C-6D4A-8846-E4C6189F9D86}"/>
    <hyperlink ref="FC193" r:id="rId1996" xr:uid="{0A351869-183D-734A-8454-36EFBE7CB3CE}"/>
    <hyperlink ref="FD193" r:id="rId1997" display="https://disk.yandex.ru/i/04f_ikVeU6_mDg" xr:uid="{2099423E-73A6-544E-B41E-FF80F9110DFF}"/>
    <hyperlink ref="CP193" r:id="rId1998" xr:uid="{AB3BF1CE-E778-E040-804B-F3249F988A2D}"/>
    <hyperlink ref="CS193" r:id="rId1999" xr:uid="{A6CD489F-F47D-384D-95C6-0E278FD6AFAA}"/>
    <hyperlink ref="Y193" r:id="rId2000" xr:uid="{BE4ACEE4-40D2-FC42-A0F7-517ADC4DD295}"/>
    <hyperlink ref="FL193" r:id="rId2001" xr:uid="{1B2E72B8-58CD-7844-980F-71AEF3D9B288}"/>
    <hyperlink ref="FO201" r:id="rId2002" xr:uid="{EA033413-A90E-A748-85FA-459E1292C5E0}"/>
    <hyperlink ref="BG201" r:id="rId2003" xr:uid="{F93A67BC-6D17-C44A-A07D-8CECA9FDCB2C}"/>
    <hyperlink ref="FL201" r:id="rId2004" xr:uid="{43CD5EE2-EBB1-1D47-9C18-08465FC43351}"/>
    <hyperlink ref="CS201" r:id="rId2005" xr:uid="{1BDCB95C-557B-3F4A-9004-C7ACEC57217D}"/>
    <hyperlink ref="Y201" r:id="rId2006" display="http://publication.pravo.gov.ru/Document/View/5200201712270003" xr:uid="{803DC468-C99B-5045-9FA1-14C30C3968C4}"/>
    <hyperlink ref="U201" r:id="rId2007" xr:uid="{CAAFEEEB-12D0-7E41-AFED-CD8A85700DC8}"/>
    <hyperlink ref="S201" r:id="rId2008" xr:uid="{646785B8-D8E9-C14E-9AC0-C75FC9E4F47A}"/>
    <hyperlink ref="FL187" r:id="rId2009" xr:uid="{E86B8789-36EB-094F-BD58-825596F172E4}"/>
    <hyperlink ref="FO187" r:id="rId2010" xr:uid="{090F1CEE-49DA-724E-A9A2-F435655B7574}"/>
    <hyperlink ref="CS187" r:id="rId2011" xr:uid="{94726F29-9800-CD42-9E06-3A0790600466}"/>
    <hyperlink ref="CP187" r:id="rId2012" xr:uid="{465A789B-C109-2A40-9901-D6A3F714753B}"/>
    <hyperlink ref="CV187" r:id="rId2013" xr:uid="{DA0868BB-F48B-3046-9FDF-58FCA642E5BC}"/>
    <hyperlink ref="Y187" r:id="rId2014" display="https://msu.lenobl.ru/programmy-i-plany/celevye-programmy/" xr:uid="{39C13C56-BDDA-2344-8BA8-DE63613BE6E3}"/>
    <hyperlink ref="Q187" r:id="rId2015" xr:uid="{29EFBF3F-F851-134A-96D6-433D03E278D7}"/>
    <hyperlink ref="FO186" r:id="rId2016" xr:uid="{E7FCE5B3-6455-D74C-AC88-3A69862A40D6}"/>
    <hyperlink ref="FL186" r:id="rId2017" xr:uid="{D81545B8-3F6E-6A4F-B49D-E7CD8CCD01F0}"/>
    <hyperlink ref="FF186" r:id="rId2018" xr:uid="{04EFF858-228C-0047-A37E-857524DA83E4}"/>
    <hyperlink ref="CV186" r:id="rId2019" xr:uid="{00B6C8DE-7AEB-784B-8885-F8A9B8A99345}"/>
    <hyperlink ref="CS186" r:id="rId2020" xr:uid="{B5066EC8-94A7-1248-9402-771FFE416471}"/>
    <hyperlink ref="Y186" r:id="rId2021" xr:uid="{880E7238-22ED-1747-AD10-511A6B0D815C}"/>
    <hyperlink ref="Q186" r:id="rId2022" xr:uid="{A7D21FD8-2A5A-8040-8577-5314EE998B7C}"/>
    <hyperlink ref="FL172" r:id="rId2023" xr:uid="{9D19E54A-4E12-3D4D-AAA0-739422047A72}"/>
    <hyperlink ref="FF172" r:id="rId2024" display="https://disk.yandex.ru/d/bNtKkI7tYHzdAg" xr:uid="{5D174DBD-56EE-7041-A188-0688DF9414C2}"/>
    <hyperlink ref="FE172" r:id="rId2025" display="https://disk.yandex.ru/d/mo3LfhYOR04Vlw" xr:uid="{71F75441-DE14-044C-AA44-7665F4209E8B}"/>
    <hyperlink ref="FD172" r:id="rId2026" display="https://disk.yandex.ru/d/SsbVuUugi9mHGg" xr:uid="{F290420E-B52E-9A4C-B109-AC9550446604}"/>
    <hyperlink ref="FB172" r:id="rId2027" xr:uid="{F61B87D6-7D40-B64F-85D4-9D2A8FFB115A}"/>
    <hyperlink ref="EZ172" display="www.ppmi24.ru  - системой предусмотрена загрузка информации о проектах-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 xr:uid="{F2FFEA94-564C-E241-B93A-662824481054}"/>
    <hyperlink ref="CS172" r:id="rId2028" xr:uid="{2779FDCB-46F3-154A-9106-6E62276F944B}"/>
    <hyperlink ref="BG172" r:id="rId2029" xr:uid="{EB90AF41-C639-954C-AA4A-28AECD5833CE}"/>
    <hyperlink ref="Y172" r:id="rId2030" xr:uid="{DEB2ACE4-2BD8-5342-9B7A-D86ADC76778B}"/>
    <hyperlink ref="U172" r:id="rId2031" xr:uid="{9EBA3868-4B30-C740-B700-BD251393AD26}"/>
    <hyperlink ref="Q172" r:id="rId2032" xr:uid="{7EF1F2C0-53FB-3C4E-A1C6-0D915C2DA54D}"/>
    <hyperlink ref="FO231" r:id="rId2033" xr:uid="{F76A7DD7-E549-1349-AD35-11B44D5D7FCE}"/>
    <hyperlink ref="FL231" r:id="rId2034" xr:uid="{2336C35E-CA2F-5C48-8337-CF4EE63D40FB}"/>
    <hyperlink ref="FB231" r:id="rId2035" xr:uid="{95FB7E2A-6B34-7B48-9C4A-B71C57ED74C8}"/>
    <hyperlink ref="Y231" r:id="rId2036" xr:uid="{D04FEE62-9EAA-2745-8565-FEC5ADAFC9CF}"/>
    <hyperlink ref="W231" r:id="rId2037" xr:uid="{B8BA2D45-B3B5-9F47-ABAA-37A4397F72EE}"/>
    <hyperlink ref="U231" r:id="rId2038" xr:uid="{1C154F87-62FF-E044-BF32-59063F464536}"/>
    <hyperlink ref="Q231" r:id="rId2039" xr:uid="{1E0EEA75-4FCB-7C42-877B-0E790E42A769}"/>
    <hyperlink ref="FL200" r:id="rId2040" xr:uid="{5BECE4AB-292A-D249-A90C-C10085E9C35F}"/>
    <hyperlink ref="FF200" r:id="rId2041" xr:uid="{FD1D1F44-F05C-1B4B-BCC1-4A6EE9250674}"/>
    <hyperlink ref="FB200" r:id="rId2042" xr:uid="{0921229E-C252-F042-A109-992746837B4F}"/>
    <hyperlink ref="CS200" r:id="rId2043" xr:uid="{F5F245E4-0608-5149-B12E-009970F9A8EC}"/>
    <hyperlink ref="W200" r:id="rId2044" xr:uid="{D373DB43-0216-184F-8CBB-4F78AFC8D13C}"/>
    <hyperlink ref="Q200" r:id="rId2045" xr:uid="{D9312363-996E-7D4B-B2FC-1B87E14583FD}"/>
    <hyperlink ref="FD216" r:id="rId2046" xr:uid="{97FA9F9E-1638-F744-8D80-B82E479CF271}"/>
    <hyperlink ref="FC216" r:id="rId2047" xr:uid="{35E4834B-60DF-944E-8DF7-D66101F7405B}"/>
    <hyperlink ref="FL216" r:id="rId2048" display="mailto:jkh-tek@novreg.ru" xr:uid="{1A5009D7-5045-854E-BAE6-6DD07A1A167C}"/>
    <hyperlink ref="FB216" r:id="rId2049" xr:uid="{34CEDC8D-52BA-9A48-8EA9-0E1C5A7BB5A8}"/>
    <hyperlink ref="DZ216" r:id="rId2050" xr:uid="{528CCB20-7C32-A745-938C-712CC8E987BF}"/>
    <hyperlink ref="EZ216" r:id="rId2051" xr:uid="{42719DFB-6DD1-844B-A297-AF5C3355AC6C}"/>
    <hyperlink ref="CP216" r:id="rId2052" xr:uid="{3435AF1A-D14A-9F47-93DA-79C53021D997}"/>
    <hyperlink ref="Q216" r:id="rId2053" xr:uid="{5E2681B6-B622-A048-B177-B2BC43E14986}"/>
    <hyperlink ref="FO216" r:id="rId2054" xr:uid="{0301B592-D0BC-6D4A-ABDD-828EB159D539}"/>
    <hyperlink ref="CS216" r:id="rId2055" xr:uid="{CF3DCB81-ED0F-6342-BF78-B402C44A19FB}"/>
    <hyperlink ref="Y216" r:id="rId2056" xr:uid="{451E9A1B-B458-7A4B-B833-D1CBA1B5A8DD}"/>
    <hyperlink ref="W216" r:id="rId2057" xr:uid="{BAD21432-0A99-BD4D-AE37-F8E54274F346}"/>
    <hyperlink ref="CP215" r:id="rId2058" xr:uid="{F2C262BF-6347-9046-A75E-3EBB617D9F27}"/>
    <hyperlink ref="EO215" r:id="rId2059" display="https://www.novreg.ru/tenders/folder/" xr:uid="{601A4F11-63B9-B547-810F-A0815EE7A9CB}"/>
    <hyperlink ref="FO215" r:id="rId2060" xr:uid="{A5FD9250-A3B6-6245-A982-12A7B17B7956}"/>
    <hyperlink ref="FL215" r:id="rId2061" xr:uid="{37F8D34F-CED6-C943-ABA1-F12D03895CFE}"/>
    <hyperlink ref="FF215" r:id="rId2062" xr:uid="{BC4A8E34-FB42-1643-AC24-E39FB728627E}"/>
    <hyperlink ref="FC215" r:id="rId2063" display="https://vk.com/ppmi53)," xr:uid="{3C7F5F1F-6AB6-1747-B5D1-C4B967A32496}"/>
    <hyperlink ref="FD215" r:id="rId2064" xr:uid="{2FC39B3C-EE23-3B4C-974C-2AF02661706D}"/>
    <hyperlink ref="FB215" r:id="rId2065" xr:uid="{F322118A-5CE3-7341-AD65-D5D1AF5BBBF0}"/>
    <hyperlink ref="CV215" r:id="rId2066" xr:uid="{CA9017B1-F96A-5C44-A84A-F79C9707B811}"/>
    <hyperlink ref="CS215" r:id="rId2067" xr:uid="{C3758EDD-575A-E248-83C7-E912287C6390}"/>
    <hyperlink ref="Y215" r:id="rId2068" xr:uid="{FBEEBD41-9D23-0E42-8584-7A5EBF9B6172}"/>
    <hyperlink ref="W215" r:id="rId2069" xr:uid="{5A72BB64-6BC8-ED4F-8970-FEEA7A44836C}"/>
    <hyperlink ref="Q215" r:id="rId2070" xr:uid="{5164E88A-3EA8-4643-874D-7C36BDCED49B}"/>
    <hyperlink ref="FF214" r:id="rId2071" xr:uid="{CE535667-30E6-9B49-B423-A433ED9E2213}"/>
    <hyperlink ref="DH214" r:id="rId2072" display="https://vk.com/club172332438?w=wall-172332438_409%2Fall" xr:uid="{80A4B6FF-8ECB-C445-B8AB-3A2C4828534F}"/>
    <hyperlink ref="DQ214" r:id="rId2073" display="https://vk.com/club172332438?w=wall-172332438_410%2Fall" xr:uid="{9D72ABDA-79F6-D740-9396-D7975ACFB9A8}"/>
    <hyperlink ref="FD214" r:id="rId2074" xr:uid="{5468E266-EA2A-094F-9388-19C329D0F86F}"/>
    <hyperlink ref="CS214" r:id="rId2075" xr:uid="{A488D2BF-A833-D747-AB57-DFD25116D706}"/>
    <hyperlink ref="FC214" r:id="rId2076" display="https://vk.com/ppmi53)," xr:uid="{C88BA1EE-E553-C143-94EA-2B2A2912A398}"/>
    <hyperlink ref="FB214" r:id="rId2077" xr:uid="{9C7BC48F-4EF5-5745-B2D0-4932276F36F1}"/>
    <hyperlink ref="FL214" r:id="rId2078" xr:uid="{240556B9-FFE6-0D47-BB48-FF1D4811D3A0}"/>
    <hyperlink ref="FO214" r:id="rId2079" xr:uid="{D4A86BF8-D135-5249-90A9-9F681AC57474}"/>
    <hyperlink ref="CV214" r:id="rId2080" xr:uid="{C66D80C7-D3C4-5C43-ADB6-C18994A31CC6}"/>
    <hyperlink ref="CP214" r:id="rId2081" xr:uid="{BB5F6489-6FDE-514B-9110-6D1AF6EE9940}"/>
    <hyperlink ref="BG214" r:id="rId2082" xr:uid="{853FCC04-26A5-2946-B9D1-2C2F1ABF454E}"/>
    <hyperlink ref="Y214" r:id="rId2083" xr:uid="{A2E8B5DE-B872-8F46-B543-E255608734A4}"/>
    <hyperlink ref="W214" r:id="rId2084" xr:uid="{D22A5911-293D-B64D-A21D-E056A519B9C1}"/>
    <hyperlink ref="Q214" r:id="rId2085" xr:uid="{266F3B8D-3E2D-3541-83E7-D6F69EEEEA73}"/>
    <hyperlink ref="CS213" r:id="rId2086" display="https://novgorodstat.gks.ru/storage/mediabank/%D0%A7%D0%B8%D1%81%D0%BB%D0%B5%D0%BD%D0%BD%D0%BE%D1%81%D1%82%D1%8C %D0%BD%D0%B0%D1%81%D0%B5%D0%BB%D0%B5%D0%BD%D0%B8%D1%8F %D0%BD%D0%B0 1.01.2022 %D0%B3%D0%BE%D0%B4%D0%B0.pdf" xr:uid="{CAD86B4A-0F89-8E48-8526-1234F0BC3FCE}"/>
    <hyperlink ref="DN213" r:id="rId2087" display="https://vk.com/wall-160413159?offset=440&amp;q=%D0%9D%D0%B0%D1%88%20%D0%B2%D1%8B%D0%B1%D0%BE%D1%80&amp;w=wall-160413159_7946" xr:uid="{5E4767DB-8C5B-5442-86A2-40038997D1BF}"/>
    <hyperlink ref="FF213" r:id="rId2088" xr:uid="{2442B36E-B29E-F542-9036-6D2C71F29EC2}"/>
    <hyperlink ref="DH213" r:id="rId2089" display="https://vk.com/club172332438?w=wall-172332438_409%2Fall" xr:uid="{071C3106-22BD-8946-A535-8BE64CD0E3EC}"/>
    <hyperlink ref="DQ213" r:id="rId2090" display="https://vk.com/wall-160413159?offset=440&amp;q=%D0%9D%D0%B0%D1%88%20%D0%B2%D1%8B%D0%B1%D0%BE%D1%80&amp;w=wall-160413159_7860" xr:uid="{E67D066E-273F-A649-A2A9-6B9C9750FF18}"/>
    <hyperlink ref="FD213" r:id="rId2091" xr:uid="{E535BD0C-8396-3546-9AFF-932C499F1701}"/>
    <hyperlink ref="FC213" r:id="rId2092" display="https://vk.com/ppmi53)," xr:uid="{FF23D68D-C6EA-9441-9AC3-4FFC9167EABD}"/>
    <hyperlink ref="FB213" r:id="rId2093" xr:uid="{8E754CEA-0D7B-014D-A152-9A938ECE4550}"/>
    <hyperlink ref="FL213" r:id="rId2094" xr:uid="{9EABCA47-2969-6D40-B23D-FAEFB68E7900}"/>
    <hyperlink ref="FO213" r:id="rId2095" xr:uid="{40AD3338-1023-104C-B29C-C85BA80E4FE1}"/>
    <hyperlink ref="CV213" r:id="rId2096" xr:uid="{F5F69A2C-F8AD-9D49-9515-052C9F493F11}"/>
    <hyperlink ref="CP213" r:id="rId2097" xr:uid="{4CF693B2-9F47-EE4A-AD8E-4BC508C22562}"/>
    <hyperlink ref="BG213" r:id="rId2098" display="https://docs.cntd.ru/document/553386375 " xr:uid="{34A09805-7C89-4D41-834D-1688F7641FBD}"/>
    <hyperlink ref="Y213" r:id="rId2099" xr:uid="{A44B839A-6342-5646-913C-6B40F672ABAA}"/>
    <hyperlink ref="W213" r:id="rId2100" xr:uid="{374D4363-D2C9-324A-B3E3-56B750CEA2B1}"/>
    <hyperlink ref="Q213" r:id="rId2101" xr:uid="{DF426651-0689-C04D-BB52-5E3129F33D96}"/>
    <hyperlink ref="FC212" r:id="rId2102" display="https://vk.com/ppmi53)," xr:uid="{1B8C7491-2BE9-D648-8749-474486368C45}"/>
    <hyperlink ref="CS212" r:id="rId2103" xr:uid="{7F47FE20-4CC1-C54C-9EB5-4142E1221C91}"/>
    <hyperlink ref="CV212" r:id="rId2104" xr:uid="{B02383FC-EE37-6F41-B309-2623A2075FB8}"/>
    <hyperlink ref="FO212" r:id="rId2105" xr:uid="{BE139D3F-CAFB-754D-AFF5-1BD9B4746DC0}"/>
    <hyperlink ref="FL212" r:id="rId2106" xr:uid="{89CEBE5B-6C1C-9E47-B7A5-B1A852197057}"/>
    <hyperlink ref="FD212" r:id="rId2107" xr:uid="{CC9E0820-D59F-F84B-84CF-1F835C4641C9}"/>
    <hyperlink ref="FB212" r:id="rId2108" xr:uid="{4CDB639D-7C26-1C49-B352-4C1182A8768E}"/>
    <hyperlink ref="DE212" r:id="rId2109" xr:uid="{6DC22713-5293-D24B-A3AD-987BCDAD7F37}"/>
    <hyperlink ref="EL212" r:id="rId2110" display="https://vk.com/public197984081?w=wall-197984081_224" xr:uid="{18383725-7291-B94E-A39E-B8ECE53E3CE5}"/>
    <hyperlink ref="CP212" r:id="rId2111" xr:uid="{15F280FE-FC76-0A49-ABD8-33E711334AA9}"/>
    <hyperlink ref="W212" r:id="rId2112" xr:uid="{F126339B-5EE0-A341-954B-0015FB1EC68F}"/>
    <hyperlink ref="Q212" r:id="rId2113" xr:uid="{FF79CAB8-77B1-6448-81B5-FCDAE057A1DF}"/>
    <hyperlink ref="FO211" r:id="rId2114" display="mailto:bud_komfin@novreg.ru" xr:uid="{48CDEA5F-E4CE-1648-8594-3813302E54D5}"/>
    <hyperlink ref="FL211" r:id="rId2115" display="mailto:investapk@novreg.ru" xr:uid="{360350CD-2FDB-D541-A306-DCE8717364F1}"/>
    <hyperlink ref="CT211" r:id="rId2116" display="https://novgorodstat.gks.ru/storage/mediabank/Численность населения на 1.01.2022 года.pdf" xr:uid="{32618A09-0495-CA4F-9961-C1CC08A0F26C}"/>
    <hyperlink ref="Q211" r:id="rId2117" xr:uid="{80B036F1-154B-5B49-80BE-2A1A6B545287}"/>
    <hyperlink ref="FO210" r:id="rId2118" xr:uid="{E26B2C7B-B227-BE43-8125-A1923605DC30}"/>
    <hyperlink ref="CT210" r:id="rId2119" xr:uid="{99B60CEA-DAD3-6748-8007-5B2AFB30B7BC}"/>
    <hyperlink ref="FL210" r:id="rId2120" xr:uid="{BEEAE110-0554-E944-A0B4-3AD71E450F1C}"/>
    <hyperlink ref="Q210" r:id="rId2121" xr:uid="{A63C4A4D-CCAC-5443-8D44-7DBF55848AE6}"/>
    <hyperlink ref="CP209" r:id="rId2122" xr:uid="{C7687B84-9664-534F-8882-E4A26E836134}"/>
    <hyperlink ref="CV209" r:id="rId2123" xr:uid="{2D4005EA-850D-0149-A8BC-B314040886FE}"/>
    <hyperlink ref="FC209" r:id="rId2124" display="https://vk.com/ppmi53)," xr:uid="{6CA39312-10FE-5D49-A1A0-01FDD42FB3A5}"/>
    <hyperlink ref="FF209" r:id="rId2125" xr:uid="{E0BB3CBB-2B42-AE4E-80F6-A915C008CD24}"/>
    <hyperlink ref="FO209" r:id="rId2126" xr:uid="{240A7706-FC3B-DE42-AF4C-B5AA7026F952}"/>
    <hyperlink ref="FL209" r:id="rId2127" xr:uid="{49EA95FB-E2C9-4A48-B47F-886D33D988C3}"/>
    <hyperlink ref="FD209" r:id="rId2128" xr:uid="{48ADF508-A3AF-A344-B3C0-3560A502BFEC}"/>
    <hyperlink ref="FB209" r:id="rId2129" xr:uid="{62D55115-0FFA-6549-BD35-636FE1E0F36E}"/>
    <hyperlink ref="CS209" r:id="rId2130" xr:uid="{39A27470-8910-C54C-A1C1-3A2F8061FBE5}"/>
    <hyperlink ref="Y209" r:id="rId2131" xr:uid="{445782BC-064D-E144-89B2-D8F7DE30E5F2}"/>
    <hyperlink ref="W209" r:id="rId2132" xr:uid="{448220B8-1561-5F47-9A24-8DCFC836054F}"/>
    <hyperlink ref="Q209" r:id="rId2133" display="https://docs.cntd.ru/document/570845985?marker  " xr:uid="{1CC1463F-A053-864C-A0E3-78D4CD459739}"/>
    <hyperlink ref="FC222" r:id="rId2134" display="https://vk.com/iproject.mfnso, " xr:uid="{9AEC1694-BE09-F947-B8CC-7A87462B66EE}"/>
    <hyperlink ref="FB222" r:id="rId2135" xr:uid="{E9EEE047-3D3F-D94F-87B1-D5451CC7E602}"/>
    <hyperlink ref="CS222" r:id="rId2136" xr:uid="{8D944FC2-D1F3-7840-9383-B1B98651AB17}"/>
    <hyperlink ref="FL222" r:id="rId2137" xr:uid="{800BA61B-2AAC-B248-9B52-FB160A3BEBFF}"/>
    <hyperlink ref="Q222" r:id="rId2138" xr:uid="{5C3DA62F-8410-2840-B883-51F5EDEA845B}"/>
    <hyperlink ref="FL199" r:id="rId2139" xr:uid="{A574C782-EF01-E34D-813C-00DC9BDAF3DA}"/>
    <hyperlink ref="FL190" r:id="rId2140" xr:uid="{D1A52FDA-A8AA-A841-8093-3D91F4F7ADF8}"/>
    <hyperlink ref="FB190" r:id="rId2141" xr:uid="{C17CDB1F-BA5D-2843-BE41-9BB308A10C15}"/>
    <hyperlink ref="CS190" r:id="rId2142" xr:uid="{866071B7-8ADF-5647-9813-605032E77E3B}"/>
    <hyperlink ref="CO190" r:id="rId2143" display="https://27.rosstat.gov.ru" xr:uid="{B57BEE62-6938-6542-81E3-4AB8BF714AA2}"/>
    <hyperlink ref="Y181" r:id="rId2144" display="https://docs.cntd.ru/document/444712158 " xr:uid="{4D29D2DC-3CF2-A34E-BBBF-8804B01CE619}"/>
    <hyperlink ref="FO181" r:id="rId2145" xr:uid="{26CAF478-1EB9-314E-AC2E-1A9001F40570}"/>
    <hyperlink ref="FL181" r:id="rId2146" xr:uid="{DA358774-EADE-034E-93B6-36CFB7E80AD8}"/>
    <hyperlink ref="CS181" r:id="rId2147" xr:uid="{1108C16B-3155-524F-9B6A-BA49F5647D08}"/>
    <hyperlink ref="S181" r:id="rId2148" xr:uid="{E8DD7753-EFB5-144F-B3CE-74BC1FE01D16}"/>
    <hyperlink ref="AC164" r:id="rId2149" xr:uid="{31A3086D-0D9C-DC44-8706-90F4C4A2E805}"/>
    <hyperlink ref="AA164" r:id="rId2150" xr:uid="{E75752FA-2E49-CC4E-90F6-143B27B7014A}"/>
    <hyperlink ref="FC164" r:id="rId2151" xr:uid="{35287F31-DDF7-5E43-8D32-4C4CD0BF2662}"/>
    <hyperlink ref="BG68" r:id="rId2152" xr:uid="{30F4D3B4-BB18-A847-8389-7F3327D020B0}"/>
    <hyperlink ref="CS30" r:id="rId2153" xr:uid="{B9474420-D391-0B4A-9BA2-A10458AE04F4}"/>
    <hyperlink ref="FL30" r:id="rId2154" xr:uid="{4E7025BC-7EE6-FD48-AC71-8B89A47F5D0B}"/>
    <hyperlink ref="AA30" r:id="rId2155" xr:uid="{A47D59D2-BACC-4149-B94E-3B649B4F92CD}"/>
    <hyperlink ref="AG30" r:id="rId2156" xr:uid="{F9CC9F53-69AC-5843-A06D-196FB59D2564}"/>
    <hyperlink ref="FO30" r:id="rId2157" xr:uid="{27F45325-82DE-D244-BDE6-239CD1A164D8}"/>
  </hyperlinks>
  <pageMargins left="0.7" right="0.7" top="0.75" bottom="0.75" header="0.3" footer="0.3"/>
  <pageSetup paperSize="9" orientation="portrait" r:id="rId2158"/>
  <legacyDrawing r:id="rId215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E115-0A35-1D4F-897B-C0DFF7D7ED6C}">
  <dimension ref="A1:CX163"/>
  <sheetViews>
    <sheetView topLeftCell="C1" workbookViewId="0">
      <pane xSplit="15" ySplit="2" topLeftCell="R3" activePane="bottomRight" state="frozen"/>
      <selection activeCell="C1" sqref="C1"/>
      <selection pane="topRight" activeCell="R1" sqref="R1"/>
      <selection pane="bottomLeft" activeCell="C3" sqref="C3"/>
      <selection pane="bottomRight" activeCell="H6" sqref="H6"/>
    </sheetView>
  </sheetViews>
  <sheetFormatPr baseColWidth="10" defaultColWidth="11" defaultRowHeight="16" x14ac:dyDescent="0.2"/>
  <cols>
    <col min="1" max="1" width="13.5" style="94" customWidth="1"/>
    <col min="2" max="2" width="13.6640625" style="94" customWidth="1"/>
    <col min="3" max="3" width="11" style="94"/>
    <col min="4" max="4" width="26" style="94" customWidth="1"/>
    <col min="5" max="5" width="11" style="94"/>
    <col min="6" max="6" width="28.1640625" style="94" customWidth="1"/>
    <col min="7" max="7" width="12.83203125" style="94" customWidth="1"/>
    <col min="8" max="8" width="13" style="94" customWidth="1"/>
    <col min="9" max="9" width="6.1640625" style="94" customWidth="1"/>
    <col min="10" max="10" width="6.6640625" style="94" customWidth="1"/>
    <col min="11" max="11" width="7.1640625" style="94" customWidth="1"/>
    <col min="12" max="12" width="8.1640625" style="94" customWidth="1"/>
    <col min="13" max="13" width="7.1640625" style="94" customWidth="1"/>
    <col min="14" max="14" width="7.6640625" style="94" customWidth="1"/>
    <col min="15" max="15" width="9.5" style="94" customWidth="1"/>
    <col min="16" max="16" width="9" style="94" customWidth="1"/>
    <col min="17" max="17" width="8.83203125" style="94" customWidth="1"/>
    <col min="18" max="18" width="12.1640625" style="94" customWidth="1"/>
    <col min="19" max="19" width="14" style="94" customWidth="1"/>
    <col min="20" max="101" width="11" style="94"/>
    <col min="102" max="102" width="10.83203125" style="94"/>
    <col min="103" max="16384" width="11" style="94"/>
  </cols>
  <sheetData>
    <row r="1" spans="1:102" ht="17" x14ac:dyDescent="0.2">
      <c r="R1" s="94" t="s">
        <v>298</v>
      </c>
      <c r="S1" s="94" t="s">
        <v>299</v>
      </c>
      <c r="T1" s="94" t="s">
        <v>300</v>
      </c>
      <c r="U1" s="94" t="s">
        <v>301</v>
      </c>
      <c r="V1" s="94" t="s">
        <v>302</v>
      </c>
      <c r="W1" s="94" t="s">
        <v>303</v>
      </c>
      <c r="X1" s="94" t="s">
        <v>304</v>
      </c>
      <c r="Y1" s="97" t="s">
        <v>305</v>
      </c>
      <c r="Z1" s="97" t="s">
        <v>306</v>
      </c>
      <c r="AA1" s="97" t="s">
        <v>307</v>
      </c>
      <c r="AB1" s="97" t="s">
        <v>308</v>
      </c>
      <c r="AC1" s="97" t="s">
        <v>309</v>
      </c>
      <c r="AD1" s="97" t="s">
        <v>310</v>
      </c>
      <c r="AE1" s="97" t="s">
        <v>311</v>
      </c>
      <c r="AF1" s="97" t="s">
        <v>312</v>
      </c>
      <c r="AG1" s="97" t="s">
        <v>462</v>
      </c>
      <c r="AH1" s="97" t="s">
        <v>313</v>
      </c>
      <c r="AI1" s="97" t="s">
        <v>314</v>
      </c>
      <c r="AJ1" s="97" t="s">
        <v>9115</v>
      </c>
      <c r="AK1" s="97" t="s">
        <v>316</v>
      </c>
      <c r="AL1" s="97" t="s">
        <v>463</v>
      </c>
      <c r="AM1" s="97" t="s">
        <v>317</v>
      </c>
      <c r="AN1" s="97" t="s">
        <v>318</v>
      </c>
      <c r="AO1" s="97" t="s">
        <v>319</v>
      </c>
      <c r="AP1" s="97" t="s">
        <v>320</v>
      </c>
      <c r="AQ1" s="97" t="s">
        <v>464</v>
      </c>
      <c r="AR1" s="97" t="s">
        <v>321</v>
      </c>
      <c r="AS1" s="97" t="s">
        <v>322</v>
      </c>
      <c r="AT1" s="97" t="s">
        <v>323</v>
      </c>
      <c r="AU1" s="97" t="s">
        <v>324</v>
      </c>
      <c r="AV1" s="97" t="s">
        <v>325</v>
      </c>
      <c r="AW1" s="97" t="s">
        <v>326</v>
      </c>
      <c r="AX1" s="97" t="s">
        <v>327</v>
      </c>
      <c r="AY1" s="97" t="s">
        <v>465</v>
      </c>
      <c r="AZ1" s="97" t="s">
        <v>328</v>
      </c>
      <c r="BA1" s="97" t="s">
        <v>329</v>
      </c>
      <c r="BB1" s="97" t="s">
        <v>330</v>
      </c>
      <c r="BC1" s="97" t="s">
        <v>331</v>
      </c>
      <c r="BD1" s="97" t="s">
        <v>332</v>
      </c>
      <c r="BE1" s="97" t="s">
        <v>333</v>
      </c>
      <c r="BF1" s="97" t="s">
        <v>466</v>
      </c>
      <c r="BG1" s="97" t="s">
        <v>467</v>
      </c>
      <c r="BH1" s="97" t="s">
        <v>334</v>
      </c>
      <c r="BI1" s="97" t="s">
        <v>468</v>
      </c>
      <c r="BJ1" s="97" t="s">
        <v>335</v>
      </c>
      <c r="BK1" s="97" t="s">
        <v>336</v>
      </c>
      <c r="BL1" s="97" t="s">
        <v>337</v>
      </c>
      <c r="BM1" s="97" t="s">
        <v>338</v>
      </c>
      <c r="BN1" s="97" t="s">
        <v>339</v>
      </c>
      <c r="BO1" s="97" t="s">
        <v>340</v>
      </c>
      <c r="BP1" s="97" t="s">
        <v>341</v>
      </c>
      <c r="BQ1" s="97" t="s">
        <v>342</v>
      </c>
      <c r="BR1" s="97" t="s">
        <v>343</v>
      </c>
      <c r="BS1" s="97" t="s">
        <v>344</v>
      </c>
      <c r="BT1" s="97" t="s">
        <v>345</v>
      </c>
      <c r="BU1" s="97" t="s">
        <v>346</v>
      </c>
      <c r="BV1" s="97" t="s">
        <v>347</v>
      </c>
      <c r="BW1" s="97" t="s">
        <v>348</v>
      </c>
      <c r="BX1" s="97" t="s">
        <v>349</v>
      </c>
      <c r="BY1" s="97" t="s">
        <v>350</v>
      </c>
      <c r="BZ1" s="97" t="s">
        <v>351</v>
      </c>
      <c r="CA1" s="97" t="s">
        <v>352</v>
      </c>
      <c r="CB1" s="97" t="s">
        <v>353</v>
      </c>
      <c r="CC1" s="97" t="s">
        <v>354</v>
      </c>
      <c r="CD1" s="97" t="s">
        <v>355</v>
      </c>
      <c r="CE1" s="97" t="s">
        <v>356</v>
      </c>
      <c r="CF1" s="97" t="s">
        <v>357</v>
      </c>
      <c r="CG1" s="97" t="s">
        <v>358</v>
      </c>
      <c r="CH1" s="97" t="s">
        <v>359</v>
      </c>
      <c r="CI1" s="97" t="s">
        <v>360</v>
      </c>
      <c r="CJ1" s="97" t="s">
        <v>361</v>
      </c>
      <c r="CK1" s="97" t="s">
        <v>362</v>
      </c>
      <c r="CL1" s="97" t="s">
        <v>363</v>
      </c>
      <c r="CM1" s="97" t="s">
        <v>364</v>
      </c>
      <c r="CN1" s="97" t="s">
        <v>365</v>
      </c>
      <c r="CO1" s="97" t="s">
        <v>366</v>
      </c>
      <c r="CP1" s="97" t="s">
        <v>367</v>
      </c>
      <c r="CQ1" s="97" t="s">
        <v>368</v>
      </c>
      <c r="CR1" s="97" t="s">
        <v>369</v>
      </c>
      <c r="CS1" s="97" t="s">
        <v>370</v>
      </c>
      <c r="CT1" s="97" t="s">
        <v>371</v>
      </c>
      <c r="CU1" s="97" t="s">
        <v>372</v>
      </c>
      <c r="CV1" s="97" t="s">
        <v>373</v>
      </c>
      <c r="CW1" s="97" t="s">
        <v>374</v>
      </c>
      <c r="CX1" s="97" t="s">
        <v>375</v>
      </c>
    </row>
    <row r="2" spans="1:102" ht="68" x14ac:dyDescent="0.2">
      <c r="A2" s="602" t="s">
        <v>8882</v>
      </c>
      <c r="B2" s="99" t="s">
        <v>8883</v>
      </c>
      <c r="C2" s="602" t="s">
        <v>0</v>
      </c>
      <c r="D2" s="602"/>
      <c r="E2" s="602"/>
      <c r="F2" s="603" t="s">
        <v>8883</v>
      </c>
      <c r="G2" s="603" t="s">
        <v>8884</v>
      </c>
      <c r="H2" s="603" t="s">
        <v>8885</v>
      </c>
      <c r="I2" s="97"/>
      <c r="J2" s="97"/>
      <c r="N2" s="510"/>
      <c r="R2" s="97" t="s">
        <v>376</v>
      </c>
      <c r="S2" s="97" t="s">
        <v>9116</v>
      </c>
      <c r="T2" s="97" t="s">
        <v>378</v>
      </c>
      <c r="U2" s="97" t="s">
        <v>379</v>
      </c>
      <c r="V2" s="97" t="s">
        <v>380</v>
      </c>
      <c r="W2" s="97" t="s">
        <v>381</v>
      </c>
      <c r="X2" s="97" t="s">
        <v>382</v>
      </c>
      <c r="Y2" s="97" t="s">
        <v>383</v>
      </c>
      <c r="Z2" s="97" t="s">
        <v>384</v>
      </c>
      <c r="AA2" s="97" t="s">
        <v>9117</v>
      </c>
      <c r="AB2" s="97" t="s">
        <v>386</v>
      </c>
      <c r="AC2" s="97" t="s">
        <v>387</v>
      </c>
      <c r="AD2" s="97" t="s">
        <v>388</v>
      </c>
      <c r="AE2" s="97" t="s">
        <v>389</v>
      </c>
      <c r="AF2" s="97" t="s">
        <v>390</v>
      </c>
      <c r="AG2" s="97" t="s">
        <v>9118</v>
      </c>
      <c r="AH2" s="97" t="s">
        <v>392</v>
      </c>
      <c r="AI2" s="97" t="s">
        <v>393</v>
      </c>
      <c r="AJ2" s="97" t="s">
        <v>394</v>
      </c>
      <c r="AK2" s="97" t="s">
        <v>395</v>
      </c>
      <c r="AL2" s="97" t="s">
        <v>396</v>
      </c>
      <c r="AM2" s="97" t="s">
        <v>397</v>
      </c>
      <c r="AN2" s="97" t="s">
        <v>398</v>
      </c>
      <c r="AO2" s="97" t="s">
        <v>399</v>
      </c>
      <c r="AP2" s="97" t="s">
        <v>400</v>
      </c>
      <c r="AQ2" s="97" t="s">
        <v>401</v>
      </c>
      <c r="AR2" s="97" t="s">
        <v>402</v>
      </c>
      <c r="AS2" s="97" t="s">
        <v>403</v>
      </c>
      <c r="AT2" s="97" t="s">
        <v>404</v>
      </c>
      <c r="AU2" s="97" t="s">
        <v>405</v>
      </c>
      <c r="AV2" s="97" t="s">
        <v>406</v>
      </c>
      <c r="AW2" s="97" t="s">
        <v>407</v>
      </c>
      <c r="AX2" s="97" t="s">
        <v>408</v>
      </c>
      <c r="AY2" s="97" t="s">
        <v>409</v>
      </c>
      <c r="AZ2" s="97" t="s">
        <v>410</v>
      </c>
      <c r="BA2" s="97" t="s">
        <v>411</v>
      </c>
      <c r="BB2" s="97" t="s">
        <v>412</v>
      </c>
      <c r="BC2" s="97" t="s">
        <v>413</v>
      </c>
      <c r="BD2" s="97" t="s">
        <v>414</v>
      </c>
      <c r="BE2" s="97" t="s">
        <v>9119</v>
      </c>
      <c r="BF2" s="97" t="s">
        <v>416</v>
      </c>
      <c r="BG2" s="97" t="s">
        <v>417</v>
      </c>
      <c r="BH2" s="97" t="s">
        <v>418</v>
      </c>
      <c r="BI2" s="97" t="s">
        <v>419</v>
      </c>
      <c r="BJ2" s="97" t="s">
        <v>420</v>
      </c>
      <c r="BK2" s="97" t="s">
        <v>421</v>
      </c>
      <c r="BL2" s="97" t="s">
        <v>422</v>
      </c>
      <c r="BM2" s="97" t="s">
        <v>423</v>
      </c>
      <c r="BN2" s="97" t="s">
        <v>424</v>
      </c>
      <c r="BO2" s="97" t="s">
        <v>425</v>
      </c>
      <c r="BP2" s="97" t="s">
        <v>426</v>
      </c>
      <c r="BQ2" s="97" t="s">
        <v>427</v>
      </c>
      <c r="BR2" s="97" t="s">
        <v>428</v>
      </c>
      <c r="BS2" s="97" t="s">
        <v>429</v>
      </c>
      <c r="BT2" s="97" t="s">
        <v>430</v>
      </c>
      <c r="BU2" s="97" t="s">
        <v>431</v>
      </c>
      <c r="BV2" s="97" t="s">
        <v>432</v>
      </c>
      <c r="BW2" s="97" t="s">
        <v>433</v>
      </c>
      <c r="BX2" s="97" t="s">
        <v>434</v>
      </c>
      <c r="BY2" s="97" t="s">
        <v>435</v>
      </c>
      <c r="BZ2" s="97" t="s">
        <v>436</v>
      </c>
      <c r="CA2" s="97" t="s">
        <v>437</v>
      </c>
      <c r="CB2" s="97" t="s">
        <v>438</v>
      </c>
      <c r="CC2" s="97" t="s">
        <v>439</v>
      </c>
      <c r="CD2" s="97" t="s">
        <v>440</v>
      </c>
      <c r="CE2" s="97" t="s">
        <v>441</v>
      </c>
      <c r="CF2" s="97" t="s">
        <v>442</v>
      </c>
      <c r="CG2" s="97" t="s">
        <v>443</v>
      </c>
      <c r="CH2" s="97" t="s">
        <v>444</v>
      </c>
      <c r="CI2" s="97" t="s">
        <v>445</v>
      </c>
      <c r="CJ2" s="97" t="s">
        <v>446</v>
      </c>
      <c r="CK2" s="97" t="s">
        <v>447</v>
      </c>
      <c r="CL2" s="97" t="s">
        <v>448</v>
      </c>
      <c r="CM2" s="97" t="s">
        <v>449</v>
      </c>
      <c r="CN2" s="97" t="s">
        <v>450</v>
      </c>
      <c r="CO2" s="97" t="s">
        <v>451</v>
      </c>
      <c r="CP2" s="97" t="s">
        <v>452</v>
      </c>
      <c r="CQ2" s="97" t="s">
        <v>453</v>
      </c>
      <c r="CR2" s="97" t="s">
        <v>454</v>
      </c>
      <c r="CS2" s="97" t="s">
        <v>455</v>
      </c>
      <c r="CT2" s="97" t="s">
        <v>456</v>
      </c>
      <c r="CU2" s="97" t="s">
        <v>457</v>
      </c>
      <c r="CV2" s="97" t="s">
        <v>458</v>
      </c>
      <c r="CW2" s="97" t="s">
        <v>459</v>
      </c>
      <c r="CX2" s="97" t="s">
        <v>460</v>
      </c>
    </row>
    <row r="3" spans="1:102" x14ac:dyDescent="0.2">
      <c r="A3" s="602"/>
      <c r="B3" s="99"/>
      <c r="C3" s="602"/>
      <c r="D3" s="602"/>
      <c r="E3" s="602"/>
      <c r="F3" s="603"/>
      <c r="G3" s="603"/>
      <c r="H3" s="603"/>
      <c r="I3" s="97"/>
      <c r="J3" s="97"/>
      <c r="K3" s="577">
        <v>2016</v>
      </c>
      <c r="L3" s="577">
        <v>2017</v>
      </c>
      <c r="M3" s="577">
        <v>2018</v>
      </c>
      <c r="N3" s="577">
        <v>2019</v>
      </c>
      <c r="O3" s="577">
        <v>2020</v>
      </c>
      <c r="P3" s="577">
        <v>2021</v>
      </c>
      <c r="Q3" s="577">
        <v>2022</v>
      </c>
    </row>
    <row r="4" spans="1:102" x14ac:dyDescent="0.2">
      <c r="A4" s="602"/>
      <c r="B4" s="99"/>
      <c r="C4" s="602"/>
      <c r="D4" s="602"/>
      <c r="E4" s="602"/>
      <c r="F4" s="603"/>
      <c r="G4" s="603"/>
      <c r="H4" s="603"/>
      <c r="I4" s="97"/>
      <c r="J4" s="97"/>
      <c r="K4" s="97"/>
      <c r="L4" s="97"/>
      <c r="M4" s="97"/>
      <c r="N4" s="99"/>
    </row>
    <row r="5" spans="1:102" ht="68" x14ac:dyDescent="0.2">
      <c r="A5" s="1238"/>
      <c r="B5" s="1237"/>
      <c r="C5" s="97" t="s">
        <v>8886</v>
      </c>
      <c r="D5" s="97">
        <v>2</v>
      </c>
      <c r="E5" s="502" t="s">
        <v>8887</v>
      </c>
      <c r="F5" s="97" t="s">
        <v>8888</v>
      </c>
      <c r="G5" s="513" t="s">
        <v>8889</v>
      </c>
      <c r="H5" s="513" t="s">
        <v>8890</v>
      </c>
      <c r="I5" s="97"/>
      <c r="J5" s="97"/>
      <c r="K5" s="97"/>
      <c r="L5" s="97">
        <v>57</v>
      </c>
      <c r="M5" s="97">
        <v>68</v>
      </c>
      <c r="N5" s="97">
        <v>69</v>
      </c>
      <c r="O5" s="97">
        <v>73</v>
      </c>
      <c r="P5" s="97">
        <v>75</v>
      </c>
      <c r="Q5" s="94">
        <v>76</v>
      </c>
    </row>
    <row r="6" spans="1:102" ht="99" customHeight="1" x14ac:dyDescent="0.2">
      <c r="A6" s="1238"/>
      <c r="B6" s="1237"/>
      <c r="C6" s="97" t="s">
        <v>8886</v>
      </c>
      <c r="D6" s="97">
        <v>3</v>
      </c>
      <c r="E6" s="502" t="s">
        <v>8891</v>
      </c>
      <c r="F6" s="97" t="s">
        <v>8892</v>
      </c>
      <c r="G6" s="513" t="s">
        <v>8893</v>
      </c>
      <c r="H6" s="513" t="s">
        <v>8890</v>
      </c>
      <c r="I6" s="97"/>
      <c r="J6" s="97"/>
      <c r="K6" s="97"/>
      <c r="L6" s="97">
        <v>112</v>
      </c>
      <c r="M6" s="97">
        <v>193</v>
      </c>
      <c r="N6" s="97">
        <v>249</v>
      </c>
      <c r="O6" s="94">
        <v>290</v>
      </c>
      <c r="P6" s="94">
        <v>406</v>
      </c>
      <c r="Q6" s="94">
        <f>SUM(Q7:Q8)</f>
        <v>439</v>
      </c>
      <c r="R6" s="94">
        <f>SUM(R7,R8)</f>
        <v>1</v>
      </c>
      <c r="S6" s="94">
        <f t="shared" ref="S6:CD6" si="0">SUM(S7,S8)</f>
        <v>3</v>
      </c>
      <c r="T6" s="94">
        <f t="shared" si="0"/>
        <v>2</v>
      </c>
      <c r="U6" s="94">
        <f t="shared" si="0"/>
        <v>1</v>
      </c>
      <c r="V6" s="94">
        <f t="shared" si="0"/>
        <v>3</v>
      </c>
      <c r="W6" s="94">
        <f t="shared" si="0"/>
        <v>1</v>
      </c>
      <c r="X6" s="94">
        <f t="shared" si="0"/>
        <v>9</v>
      </c>
      <c r="Y6" s="94">
        <f t="shared" si="0"/>
        <v>11</v>
      </c>
      <c r="Z6" s="94">
        <f t="shared" si="0"/>
        <v>2</v>
      </c>
      <c r="AA6" s="94">
        <f t="shared" si="0"/>
        <v>1</v>
      </c>
      <c r="AB6" s="94">
        <f t="shared" si="0"/>
        <v>6</v>
      </c>
      <c r="AC6" s="94">
        <f t="shared" si="0"/>
        <v>2</v>
      </c>
      <c r="AD6" s="94">
        <f t="shared" si="0"/>
        <v>2</v>
      </c>
      <c r="AE6" s="94">
        <f t="shared" si="0"/>
        <v>3</v>
      </c>
      <c r="AF6" s="94">
        <f t="shared" si="0"/>
        <v>3</v>
      </c>
      <c r="AG6" s="94">
        <f t="shared" si="0"/>
        <v>0</v>
      </c>
      <c r="AH6" s="94">
        <f t="shared" si="0"/>
        <v>3</v>
      </c>
      <c r="AI6" s="94">
        <f t="shared" si="0"/>
        <v>1</v>
      </c>
      <c r="AJ6" s="94">
        <f t="shared" si="0"/>
        <v>0</v>
      </c>
      <c r="AK6" s="94">
        <f t="shared" si="0"/>
        <v>1</v>
      </c>
      <c r="AL6" s="94">
        <f t="shared" si="0"/>
        <v>0</v>
      </c>
      <c r="AM6" s="94">
        <f t="shared" si="0"/>
        <v>5</v>
      </c>
      <c r="AN6" s="94">
        <f t="shared" si="0"/>
        <v>1</v>
      </c>
      <c r="AO6" s="94">
        <f t="shared" si="0"/>
        <v>5</v>
      </c>
      <c r="AP6" s="94">
        <f t="shared" si="0"/>
        <v>0</v>
      </c>
      <c r="AQ6" s="94">
        <f t="shared" si="0"/>
        <v>0</v>
      </c>
      <c r="AR6" s="94">
        <f t="shared" si="0"/>
        <v>3</v>
      </c>
      <c r="AS6" s="94">
        <f t="shared" si="0"/>
        <v>1</v>
      </c>
      <c r="AT6" s="94">
        <f t="shared" si="0"/>
        <v>5</v>
      </c>
      <c r="AU6" s="94">
        <f t="shared" si="0"/>
        <v>21</v>
      </c>
      <c r="AV6" s="94">
        <f t="shared" si="0"/>
        <v>4</v>
      </c>
      <c r="AW6" s="94">
        <f t="shared" si="0"/>
        <v>61</v>
      </c>
      <c r="AX6" s="94">
        <f t="shared" si="0"/>
        <v>5</v>
      </c>
      <c r="AY6" s="94">
        <f t="shared" si="0"/>
        <v>4</v>
      </c>
      <c r="AZ6" s="94">
        <f t="shared" si="0"/>
        <v>1</v>
      </c>
      <c r="BA6" s="94">
        <f t="shared" si="0"/>
        <v>4</v>
      </c>
      <c r="BB6" s="94">
        <f t="shared" si="0"/>
        <v>3</v>
      </c>
      <c r="BC6" s="94">
        <f t="shared" si="0"/>
        <v>1</v>
      </c>
      <c r="BD6" s="94">
        <f t="shared" si="0"/>
        <v>3</v>
      </c>
      <c r="BE6" s="94">
        <f t="shared" si="0"/>
        <v>3</v>
      </c>
      <c r="BF6" s="94">
        <f t="shared" si="0"/>
        <v>0</v>
      </c>
      <c r="BG6" s="94">
        <f t="shared" si="0"/>
        <v>0</v>
      </c>
      <c r="BH6" s="94">
        <f t="shared" si="0"/>
        <v>1</v>
      </c>
      <c r="BI6" s="94">
        <f t="shared" si="0"/>
        <v>1</v>
      </c>
      <c r="BJ6" s="94">
        <f t="shared" si="0"/>
        <v>1</v>
      </c>
      <c r="BK6" s="94">
        <f t="shared" si="0"/>
        <v>8</v>
      </c>
      <c r="BL6" s="94">
        <f t="shared" si="0"/>
        <v>13</v>
      </c>
      <c r="BM6" s="94">
        <f t="shared" si="0"/>
        <v>2</v>
      </c>
      <c r="BN6" s="94">
        <f t="shared" si="0"/>
        <v>7</v>
      </c>
      <c r="BO6" s="94">
        <f t="shared" si="0"/>
        <v>33</v>
      </c>
      <c r="BP6" s="94">
        <f t="shared" si="0"/>
        <v>3</v>
      </c>
      <c r="BQ6" s="94">
        <f t="shared" si="0"/>
        <v>1</v>
      </c>
      <c r="BR6" s="94">
        <f t="shared" si="0"/>
        <v>5</v>
      </c>
      <c r="BS6" s="94">
        <f t="shared" si="0"/>
        <v>5</v>
      </c>
      <c r="BT6" s="94">
        <f t="shared" si="0"/>
        <v>2</v>
      </c>
      <c r="BU6" s="94">
        <f t="shared" si="0"/>
        <v>2</v>
      </c>
      <c r="BV6" s="94">
        <f t="shared" si="0"/>
        <v>3</v>
      </c>
      <c r="BW6" s="94">
        <f t="shared" si="0"/>
        <v>42</v>
      </c>
      <c r="BX6" s="94">
        <f t="shared" si="0"/>
        <v>3</v>
      </c>
      <c r="BY6" s="94">
        <f t="shared" si="0"/>
        <v>3</v>
      </c>
      <c r="BZ6" s="94">
        <f t="shared" si="0"/>
        <v>1</v>
      </c>
      <c r="CA6" s="94">
        <f t="shared" si="0"/>
        <v>2</v>
      </c>
      <c r="CB6" s="94">
        <f t="shared" si="0"/>
        <v>9</v>
      </c>
      <c r="CC6" s="94">
        <f t="shared" si="0"/>
        <v>1</v>
      </c>
      <c r="CD6" s="94">
        <f t="shared" si="0"/>
        <v>1</v>
      </c>
      <c r="CE6" s="94">
        <f t="shared" ref="CE6:CX6" si="1">SUM(CE7,CE8)</f>
        <v>1</v>
      </c>
      <c r="CF6" s="94">
        <f t="shared" si="1"/>
        <v>26</v>
      </c>
      <c r="CG6" s="94">
        <f t="shared" si="1"/>
        <v>6</v>
      </c>
      <c r="CH6" s="94">
        <f t="shared" si="1"/>
        <v>1</v>
      </c>
      <c r="CI6" s="94">
        <f t="shared" si="1"/>
        <v>2</v>
      </c>
      <c r="CJ6" s="94">
        <f t="shared" si="1"/>
        <v>1</v>
      </c>
      <c r="CK6" s="94">
        <f t="shared" si="1"/>
        <v>1</v>
      </c>
      <c r="CL6" s="94">
        <f t="shared" si="1"/>
        <v>0</v>
      </c>
      <c r="CM6" s="94">
        <f t="shared" si="1"/>
        <v>4</v>
      </c>
      <c r="CN6" s="94">
        <f t="shared" si="1"/>
        <v>3</v>
      </c>
      <c r="CO6" s="94">
        <f t="shared" si="1"/>
        <v>16</v>
      </c>
      <c r="CP6" s="94">
        <f t="shared" si="1"/>
        <v>5</v>
      </c>
      <c r="CQ6" s="94">
        <f t="shared" si="1"/>
        <v>0</v>
      </c>
      <c r="CR6" s="94">
        <f t="shared" si="1"/>
        <v>21</v>
      </c>
      <c r="CS6" s="94">
        <f t="shared" si="1"/>
        <v>1</v>
      </c>
      <c r="CT6" s="94">
        <f t="shared" si="1"/>
        <v>1</v>
      </c>
      <c r="CU6" s="94">
        <f t="shared" si="1"/>
        <v>1</v>
      </c>
      <c r="CV6" s="94">
        <f t="shared" si="1"/>
        <v>1</v>
      </c>
      <c r="CW6" s="94">
        <f t="shared" si="1"/>
        <v>13</v>
      </c>
      <c r="CX6" s="94">
        <f t="shared" si="1"/>
        <v>1</v>
      </c>
    </row>
    <row r="7" spans="1:102" ht="68" x14ac:dyDescent="0.2">
      <c r="A7" s="1238"/>
      <c r="B7" s="1237"/>
      <c r="C7" s="97" t="s">
        <v>8886</v>
      </c>
      <c r="D7" s="97">
        <v>5</v>
      </c>
      <c r="E7" s="502" t="s">
        <v>8894</v>
      </c>
      <c r="F7" s="97" t="s">
        <v>9564</v>
      </c>
      <c r="G7" s="513" t="s">
        <v>8893</v>
      </c>
      <c r="H7" s="513" t="s">
        <v>8895</v>
      </c>
      <c r="I7" s="97"/>
      <c r="J7" s="97"/>
      <c r="K7" s="97"/>
      <c r="L7" s="97" t="s">
        <v>4906</v>
      </c>
      <c r="M7" s="97">
        <v>102</v>
      </c>
      <c r="N7" s="97">
        <v>102</v>
      </c>
      <c r="O7" s="94">
        <v>115</v>
      </c>
      <c r="P7" s="94">
        <v>132</v>
      </c>
      <c r="Q7" s="94">
        <f>SUM(R7:CX7)</f>
        <v>141</v>
      </c>
      <c r="R7" s="94">
        <f>COUNTIFS(Свод!$G$6:$G$455,Расчеты!R$1,Свод!$F$6:$F$455,"суб")</f>
        <v>1</v>
      </c>
      <c r="S7" s="94">
        <f>COUNTIFS(Свод!$G$6:$G$455,Расчеты!S$1,Свод!$F$6:$F$455,"суб")</f>
        <v>3</v>
      </c>
      <c r="T7" s="94">
        <f>COUNTIFS(Свод!$G$6:$G$455,Расчеты!T$1,Свод!$F$6:$F$455,"суб")</f>
        <v>2</v>
      </c>
      <c r="U7" s="94">
        <f>COUNTIFS(Свод!$G$6:$G$455,Расчеты!U$1,Свод!$F$6:$F$455,"суб")</f>
        <v>1</v>
      </c>
      <c r="V7" s="94">
        <f>COUNTIFS(Свод!$G$6:$G$455,Расчеты!V$1,Свод!$F$6:$F$455,"суб")</f>
        <v>1</v>
      </c>
      <c r="W7" s="94">
        <f>COUNTIFS(Свод!$G$6:$G$455,Расчеты!W$1,Свод!$F$6:$F$455,"суб")</f>
        <v>1</v>
      </c>
      <c r="X7" s="94">
        <f>COUNTIFS(Свод!$G$6:$G$455,Расчеты!X$1,Свод!$F$6:$F$455,"суб")</f>
        <v>5</v>
      </c>
      <c r="Y7" s="94">
        <f>COUNTIFS(Свод!$G$6:$G$455,Расчеты!Y$1,Свод!$F$6:$F$455,"суб")</f>
        <v>3</v>
      </c>
      <c r="Z7" s="94">
        <f>COUNTIFS(Свод!$G$6:$G$455,Расчеты!Z$1,Свод!$F$6:$F$455,"суб")</f>
        <v>1</v>
      </c>
      <c r="AA7" s="94">
        <f>COUNTIFS(Свод!$G$6:$G$455,Расчеты!AA$1,Свод!$F$6:$F$455,"суб")</f>
        <v>1</v>
      </c>
      <c r="AB7" s="94">
        <f>COUNTIFS(Свод!$G$6:$G$455,Расчеты!AB$1,Свод!$F$6:$F$455,"суб")</f>
        <v>3</v>
      </c>
      <c r="AC7" s="94">
        <f>COUNTIFS(Свод!$G$6:$G$455,Расчеты!AC$1,Свод!$F$6:$F$455,"суб")</f>
        <v>2</v>
      </c>
      <c r="AD7" s="94">
        <f>COUNTIFS(Свод!$G$6:$G$455,Расчеты!AD$1,Свод!$F$6:$F$455,"суб")</f>
        <v>1</v>
      </c>
      <c r="AE7" s="94">
        <f>COUNTIFS(Свод!$G$6:$G$455,Расчеты!AE$1,Свод!$F$6:$F$455,"суб")</f>
        <v>3</v>
      </c>
      <c r="AF7" s="94">
        <f>COUNTIFS(Свод!$G$6:$G$455,Расчеты!AF$1,Свод!$F$6:$F$455,"суб")</f>
        <v>3</v>
      </c>
      <c r="AG7" s="94">
        <f>COUNTIFS(Свод!$G$6:$G$455,Расчеты!AG$1,Свод!$F$6:$F$455,"суб")</f>
        <v>0</v>
      </c>
      <c r="AH7" s="94">
        <f>COUNTIFS(Свод!$G$6:$G$455,Расчеты!AH$1,Свод!$F$6:$F$455,"суб")</f>
        <v>3</v>
      </c>
      <c r="AI7" s="94">
        <f>COUNTIFS(Свод!$G$6:$G$455,Расчеты!AI$1,Свод!$F$6:$F$455,"суб")</f>
        <v>1</v>
      </c>
      <c r="AJ7" s="94">
        <f>COUNTIFS(Свод!$G$6:$G$455,Расчеты!AJ$1,Свод!$F$6:$F$455,"суб")</f>
        <v>0</v>
      </c>
      <c r="AK7" s="94">
        <f>COUNTIFS(Свод!$G$6:$G$455,Расчеты!AK$1,Свод!$F$6:$F$455,"суб")</f>
        <v>1</v>
      </c>
      <c r="AL7" s="94">
        <f>COUNTIFS(Свод!$G$6:$G$455,Расчеты!AL$1,Свод!$F$6:$F$455,"суб")</f>
        <v>0</v>
      </c>
      <c r="AM7" s="94">
        <f>COUNTIFS(Свод!$G$6:$G$455,Расчеты!AM$1,Свод!$F$6:$F$455,"суб")</f>
        <v>3</v>
      </c>
      <c r="AN7" s="94">
        <f>COUNTIFS(Свод!$G$6:$G$455,Расчеты!AN$1,Свод!$F$6:$F$455,"суб")</f>
        <v>1</v>
      </c>
      <c r="AO7" s="94">
        <f>COUNTIFS(Свод!$G$6:$G$455,Расчеты!AO$1,Свод!$F$6:$F$455,"суб")</f>
        <v>1</v>
      </c>
      <c r="AP7" s="94">
        <f>COUNTIFS(Свод!$G$6:$G$455,Расчеты!AP$1,Свод!$F$6:$F$455,"суб")</f>
        <v>0</v>
      </c>
      <c r="AQ7" s="94">
        <f>COUNTIFS(Свод!$G$6:$G$455,Расчеты!AQ$1,Свод!$F$6:$F$455,"суб")</f>
        <v>0</v>
      </c>
      <c r="AR7" s="94">
        <f>COUNTIFS(Свод!$G$6:$G$455,Расчеты!AR$1,Свод!$F$6:$F$455,"суб")</f>
        <v>3</v>
      </c>
      <c r="AS7" s="94">
        <f>COUNTIFS(Свод!$G$6:$G$455,Расчеты!AS$1,Свод!$F$6:$F$455,"суб")</f>
        <v>1</v>
      </c>
      <c r="AT7" s="94">
        <f>COUNTIFS(Свод!$G$6:$G$455,Расчеты!AT$1,Свод!$F$6:$F$455,"суб")</f>
        <v>2</v>
      </c>
      <c r="AU7" s="94">
        <f>COUNTIFS(Свод!$G$6:$G$455,Расчеты!AU$1,Свод!$F$6:$F$455,"суб")</f>
        <v>1</v>
      </c>
      <c r="AV7" s="94">
        <f>COUNTIFS(Свод!$G$6:$G$455,Расчеты!AV$1,Свод!$F$6:$F$455,"суб")</f>
        <v>4</v>
      </c>
      <c r="AW7" s="94">
        <f>COUNTIFS(Свод!$G$6:$G$455,Расчеты!AW$1,Свод!$F$6:$F$455,"суб")</f>
        <v>1</v>
      </c>
      <c r="AX7" s="94">
        <f>COUNTIFS(Свод!$G$6:$G$455,Расчеты!AX$1,Свод!$F$6:$F$455,"суб")</f>
        <v>1</v>
      </c>
      <c r="AY7" s="94">
        <f>COUNTIFS(Свод!$G$6:$G$455,Расчеты!AY$1,Свод!$F$6:$F$455,"суб")</f>
        <v>3</v>
      </c>
      <c r="AZ7" s="94">
        <f>COUNTIFS(Свод!$G$6:$G$455,Расчеты!AZ$1,Свод!$F$6:$F$455,"суб")</f>
        <v>1</v>
      </c>
      <c r="BA7" s="94">
        <f>COUNTIFS(Свод!$G$6:$G$455,Расчеты!BA$1,Свод!$F$6:$F$455,"суб")</f>
        <v>1</v>
      </c>
      <c r="BB7" s="94">
        <f>COUNTIFS(Свод!$G$6:$G$455,Расчеты!BB$1,Свод!$F$6:$F$455,"суб")</f>
        <v>2</v>
      </c>
      <c r="BC7" s="94">
        <f>COUNTIFS(Свод!$G$6:$G$455,Расчеты!BC$1,Свод!$F$6:$F$455,"суб")</f>
        <v>1</v>
      </c>
      <c r="BD7" s="94">
        <f>COUNTIFS(Свод!$G$6:$G$455,Расчеты!BD$1,Свод!$F$6:$F$455,"суб")</f>
        <v>1</v>
      </c>
      <c r="BE7" s="94">
        <f>COUNTIFS(Свод!$G$6:$G$455,Расчеты!BE$1,Свод!$F$6:$F$455,"суб")</f>
        <v>3</v>
      </c>
      <c r="BF7" s="94">
        <f>COUNTIFS(Свод!$G$6:$G$455,Расчеты!BF$1,Свод!$F$6:$F$455,"суб")</f>
        <v>0</v>
      </c>
      <c r="BG7" s="94">
        <f>COUNTIFS(Свод!$G$6:$G$455,Расчеты!BG$1,Свод!$F$6:$F$455,"суб")</f>
        <v>0</v>
      </c>
      <c r="BH7" s="94">
        <f>COUNTIFS(Свод!$G$6:$G$455,Расчеты!BH$1,Свод!$F$6:$F$455,"суб")</f>
        <v>1</v>
      </c>
      <c r="BI7" s="94">
        <f>COUNTIFS(Свод!$G$6:$G$455,Расчеты!BI$1,Свод!$F$6:$F$455,"суб")</f>
        <v>1</v>
      </c>
      <c r="BJ7" s="94">
        <f>COUNTIFS(Свод!$G$6:$G$455,Расчеты!BJ$1,Свод!$F$6:$F$455,"суб")</f>
        <v>1</v>
      </c>
      <c r="BK7" s="94">
        <f>COUNTIFS(Свод!$G$6:$G$455,Расчеты!BK$1,Свод!$F$6:$F$455,"суб")</f>
        <v>1</v>
      </c>
      <c r="BL7" s="94">
        <f>COUNTIFS(Свод!$G$6:$G$455,Расчеты!BL$1,Свод!$F$6:$F$455,"суб")</f>
        <v>8</v>
      </c>
      <c r="BM7" s="94">
        <f>COUNTIFS(Свод!$G$6:$G$455,Расчеты!BM$1,Свод!$F$6:$F$455,"суб")</f>
        <v>1</v>
      </c>
      <c r="BN7" s="94">
        <f>COUNTIFS(Свод!$G$6:$G$455,Расчеты!BN$1,Свод!$F$6:$F$455,"суб")</f>
        <v>4</v>
      </c>
      <c r="BO7" s="94">
        <f>COUNTIFS(Свод!$G$6:$G$455,Расчеты!BO$1,Свод!$F$6:$F$455,"суб")</f>
        <v>1</v>
      </c>
      <c r="BP7" s="94">
        <f>COUNTIFS(Свод!$G$6:$G$455,Расчеты!BP$1,Свод!$F$6:$F$455,"суб")</f>
        <v>3</v>
      </c>
      <c r="BQ7" s="94">
        <f>COUNTIFS(Свод!$G$6:$G$455,Расчеты!BQ$1,Свод!$F$6:$F$455,"суб")</f>
        <v>0</v>
      </c>
      <c r="BR7" s="94">
        <f>COUNTIFS(Свод!$G$6:$G$455,Расчеты!BR$1,Свод!$F$6:$F$455,"суб")</f>
        <v>1</v>
      </c>
      <c r="BS7" s="94">
        <f>COUNTIFS(Свод!$G$6:$G$455,Расчеты!BS$1,Свод!$F$6:$F$455,"суб")</f>
        <v>1</v>
      </c>
      <c r="BT7" s="94">
        <f>COUNTIFS(Свод!$G$6:$G$455,Расчеты!BT$1,Свод!$F$6:$F$455,"суб")</f>
        <v>2</v>
      </c>
      <c r="BU7" s="94">
        <f>COUNTIFS(Свод!$G$6:$G$455,Расчеты!BU$1,Свод!$F$6:$F$455,"суб")</f>
        <v>1</v>
      </c>
      <c r="BV7" s="94">
        <f>COUNTIFS(Свод!$G$6:$G$455,Расчеты!BV$1,Свод!$F$6:$F$455,"суб")</f>
        <v>3</v>
      </c>
      <c r="BW7" s="94">
        <f>COUNTIFS(Свод!$G$6:$G$455,Расчеты!BW$1,Свод!$F$6:$F$455,"суб")</f>
        <v>2</v>
      </c>
      <c r="BX7" s="94">
        <f>COUNTIFS(Свод!$G$6:$G$455,Расчеты!BX$1,Свод!$F$6:$F$455,"суб")</f>
        <v>3</v>
      </c>
      <c r="BY7" s="94">
        <f>COUNTIFS(Свод!$G$6:$G$455,Расчеты!BY$1,Свод!$F$6:$F$455,"суб")</f>
        <v>3</v>
      </c>
      <c r="BZ7" s="94">
        <f>COUNTIFS(Свод!$G$6:$G$455,Расчеты!BZ$1,Свод!$F$6:$F$455,"суб")</f>
        <v>1</v>
      </c>
      <c r="CA7" s="94">
        <f>COUNTIFS(Свод!$G$6:$G$455,Расчеты!CA$1,Свод!$F$6:$F$455,"суб")</f>
        <v>2</v>
      </c>
      <c r="CB7" s="94">
        <f>COUNTIFS(Свод!$G$6:$G$455,Расчеты!CB$1,Свод!$F$6:$F$455,"суб")</f>
        <v>3</v>
      </c>
      <c r="CC7" s="94">
        <f>COUNTIFS(Свод!$G$6:$G$455,Расчеты!CC$1,Свод!$F$6:$F$455,"суб")</f>
        <v>1</v>
      </c>
      <c r="CD7" s="94">
        <f>COUNTIFS(Свод!$G$6:$G$455,Расчеты!CD$1,Свод!$F$6:$F$455,"суб")</f>
        <v>1</v>
      </c>
      <c r="CE7" s="94">
        <f>COUNTIFS(Свод!$G$6:$G$455,Расчеты!CE$1,Свод!$F$6:$F$455,"суб")</f>
        <v>1</v>
      </c>
      <c r="CF7" s="94">
        <f>COUNTIFS(Свод!$G$6:$G$455,Расчеты!CF$1,Свод!$F$6:$F$455,"суб")</f>
        <v>1</v>
      </c>
      <c r="CG7" s="94">
        <f>COUNTIFS(Свод!$G$6:$G$455,Расчеты!CG$1,Свод!$F$6:$F$455,"суб")</f>
        <v>5</v>
      </c>
      <c r="CH7" s="94">
        <f>COUNTIFS(Свод!$G$6:$G$455,Расчеты!CH$1,Свод!$F$6:$F$455,"суб")</f>
        <v>1</v>
      </c>
      <c r="CI7" s="94">
        <f>COUNTIFS(Свод!$G$6:$G$455,Расчеты!CI$1,Свод!$F$6:$F$455,"суб")</f>
        <v>2</v>
      </c>
      <c r="CJ7" s="94">
        <f>COUNTIFS(Свод!$G$6:$G$455,Расчеты!CJ$1,Свод!$F$6:$F$455,"суб")</f>
        <v>1</v>
      </c>
      <c r="CK7" s="94">
        <f>COUNTIFS(Свод!$G$6:$G$455,Расчеты!CK$1,Свод!$F$6:$F$455,"суб")</f>
        <v>1</v>
      </c>
      <c r="CL7" s="94">
        <f>COUNTIFS(Свод!$G$6:$G$455,Расчеты!CL$1,Свод!$F$6:$F$455,"суб")</f>
        <v>0</v>
      </c>
      <c r="CM7" s="94">
        <f>COUNTIFS(Свод!$G$6:$G$455,Расчеты!CM$1,Свод!$F$6:$F$455,"суб")</f>
        <v>3</v>
      </c>
      <c r="CN7" s="94">
        <f>COUNTIFS(Свод!$G$6:$G$455,Расчеты!CN$1,Свод!$F$6:$F$455,"суб")</f>
        <v>2</v>
      </c>
      <c r="CO7" s="94">
        <f>COUNTIFS(Свод!$G$6:$G$455,Расчеты!CO$1,Свод!$F$6:$F$455,"суб")</f>
        <v>3</v>
      </c>
      <c r="CP7" s="94">
        <f>COUNTIFS(Свод!$G$6:$G$455,Расчеты!CP$1,Свод!$F$6:$F$455,"суб")</f>
        <v>3</v>
      </c>
      <c r="CQ7" s="94">
        <f>COUNTIFS(Свод!$G$6:$G$455,Расчеты!CQ$1,Свод!$F$6:$F$455,"суб")</f>
        <v>0</v>
      </c>
      <c r="CR7" s="94">
        <f>COUNTIFS(Свод!$G$6:$G$455,Расчеты!CR$1,Свод!$F$6:$F$455,"суб")</f>
        <v>2</v>
      </c>
      <c r="CS7" s="94">
        <f>COUNTIFS(Свод!$G$6:$G$455,Расчеты!CS$1,Свод!$F$6:$F$455,"суб")</f>
        <v>1</v>
      </c>
      <c r="CT7" s="94">
        <f>COUNTIFS(Свод!$G$6:$G$455,Расчеты!CT$1,Свод!$F$6:$F$455,"суб")</f>
        <v>1</v>
      </c>
      <c r="CU7" s="94">
        <f>COUNTIFS(Свод!$G$6:$G$455,Расчеты!CU$1,Свод!$F$6:$F$455,"суб")</f>
        <v>1</v>
      </c>
      <c r="CV7" s="94">
        <f>COUNTIFS(Свод!$G$6:$G$455,Расчеты!CV$1,Свод!$F$6:$F$455,"суб")</f>
        <v>1</v>
      </c>
      <c r="CW7" s="94">
        <f>COUNTIFS(Свод!$G$6:$G$455,Расчеты!CW$1,Свод!$F$6:$F$455,"суб")</f>
        <v>0</v>
      </c>
      <c r="CX7" s="94">
        <f>COUNTIFS(Свод!$G$6:$G$455,Расчеты!CX$1,Свод!$F$6:$F$455,"суб")</f>
        <v>1</v>
      </c>
    </row>
    <row r="8" spans="1:102" ht="68" x14ac:dyDescent="0.2">
      <c r="A8" s="1238"/>
      <c r="B8" s="1237"/>
      <c r="C8" s="97" t="s">
        <v>8886</v>
      </c>
      <c r="D8" s="97">
        <v>7</v>
      </c>
      <c r="E8" s="502" t="s">
        <v>8896</v>
      </c>
      <c r="F8" s="97" t="s">
        <v>9565</v>
      </c>
      <c r="G8" s="513" t="s">
        <v>8893</v>
      </c>
      <c r="H8" s="513" t="s">
        <v>8895</v>
      </c>
      <c r="I8" s="97"/>
      <c r="J8" s="97"/>
      <c r="K8" s="97"/>
      <c r="L8" s="97" t="s">
        <v>4906</v>
      </c>
      <c r="M8" s="97">
        <v>91</v>
      </c>
      <c r="N8" s="97">
        <v>147</v>
      </c>
      <c r="O8" s="94">
        <v>175</v>
      </c>
      <c r="P8" s="94">
        <v>274</v>
      </c>
      <c r="Q8" s="94">
        <f>SUM(R8:CX8)</f>
        <v>298</v>
      </c>
      <c r="R8" s="94">
        <f>COUNTIFS(Свод!$G$6:$G$455,Расчеты!R$1,Свод!$F$6:$F$455,"мун")</f>
        <v>0</v>
      </c>
      <c r="S8" s="94">
        <f>COUNTIFS(Свод!$G$6:$G$455,Расчеты!S$1,Свод!$F$6:$F$455,"мун")</f>
        <v>0</v>
      </c>
      <c r="T8" s="94">
        <f>COUNTIFS(Свод!$G$6:$G$455,Расчеты!T$1,Свод!$F$6:$F$455,"мун")</f>
        <v>0</v>
      </c>
      <c r="U8" s="94">
        <f>COUNTIFS(Свод!$G$6:$G$455,Расчеты!U$1,Свод!$F$6:$F$455,"мун")</f>
        <v>0</v>
      </c>
      <c r="V8" s="94">
        <f>COUNTIFS(Свод!$G$6:$G$455,Расчеты!V$1,Свод!$F$6:$F$455,"мун")</f>
        <v>2</v>
      </c>
      <c r="W8" s="94">
        <f>COUNTIFS(Свод!$G$6:$G$455,Расчеты!W$1,Свод!$F$6:$F$455,"мун")</f>
        <v>0</v>
      </c>
      <c r="X8" s="94">
        <f>COUNTIFS(Свод!$G$6:$G$455,Расчеты!X$1,Свод!$F$6:$F$455,"мун")</f>
        <v>4</v>
      </c>
      <c r="Y8" s="94">
        <f>COUNTIFS(Свод!$G$6:$G$455,Расчеты!Y$1,Свод!$F$6:$F$455,"мун")</f>
        <v>8</v>
      </c>
      <c r="Z8" s="94">
        <f>COUNTIFS(Свод!$G$6:$G$455,Расчеты!Z$1,Свод!$F$6:$F$455,"мун")</f>
        <v>1</v>
      </c>
      <c r="AA8" s="94">
        <f>COUNTIFS(Свод!$G$6:$G$455,Расчеты!AA$1,Свод!$F$6:$F$455,"мун")</f>
        <v>0</v>
      </c>
      <c r="AB8" s="94">
        <f>COUNTIFS(Свод!$G$6:$G$455,Расчеты!AB$1,Свод!$F$6:$F$455,"мун")</f>
        <v>3</v>
      </c>
      <c r="AC8" s="94">
        <f>COUNTIFS(Свод!$G$6:$G$455,Расчеты!AC$1,Свод!$F$6:$F$455,"мун")</f>
        <v>0</v>
      </c>
      <c r="AD8" s="94">
        <f>COUNTIFS(Свод!$G$6:$G$455,Расчеты!AD$1,Свод!$F$6:$F$455,"мун")</f>
        <v>1</v>
      </c>
      <c r="AE8" s="94">
        <f>COUNTIFS(Свод!$G$6:$G$455,Расчеты!AE$1,Свод!$F$6:$F$455,"мун")</f>
        <v>0</v>
      </c>
      <c r="AF8" s="94">
        <f>COUNTIFS(Свод!$G$6:$G$455,Расчеты!AF$1,Свод!$F$6:$F$455,"мун")</f>
        <v>0</v>
      </c>
      <c r="AG8" s="94">
        <f>COUNTIFS(Свод!$G$6:$G$455,Расчеты!AG$1,Свод!$F$6:$F$455,"мун")</f>
        <v>0</v>
      </c>
      <c r="AH8" s="94">
        <f>COUNTIFS(Свод!$G$6:$G$455,Расчеты!AH$1,Свод!$F$6:$F$455,"мун")</f>
        <v>0</v>
      </c>
      <c r="AI8" s="94">
        <f>COUNTIFS(Свод!$G$6:$G$455,Расчеты!AI$1,Свод!$F$6:$F$455,"мун")</f>
        <v>0</v>
      </c>
      <c r="AJ8" s="94">
        <f>COUNTIFS(Свод!$G$6:$G$455,Расчеты!AJ$1,Свод!$F$6:$F$455,"мун")</f>
        <v>0</v>
      </c>
      <c r="AK8" s="94">
        <f>COUNTIFS(Свод!$G$6:$G$455,Расчеты!AK$1,Свод!$F$6:$F$455,"мун")</f>
        <v>0</v>
      </c>
      <c r="AL8" s="94">
        <f>COUNTIFS(Свод!$G$6:$G$455,Расчеты!AL$1,Свод!$F$6:$F$455,"мун")</f>
        <v>0</v>
      </c>
      <c r="AM8" s="94">
        <f>COUNTIFS(Свод!$G$6:$G$455,Расчеты!AM$1,Свод!$F$6:$F$455,"мун")</f>
        <v>2</v>
      </c>
      <c r="AN8" s="94">
        <f>COUNTIFS(Свод!$G$6:$G$455,Расчеты!AN$1,Свод!$F$6:$F$455,"мун")</f>
        <v>0</v>
      </c>
      <c r="AO8" s="94">
        <f>COUNTIFS(Свод!$G$6:$G$455,Расчеты!AO$1,Свод!$F$6:$F$455,"мун")</f>
        <v>4</v>
      </c>
      <c r="AP8" s="94">
        <f>COUNTIFS(Свод!$G$6:$G$455,Расчеты!AP$1,Свод!$F$6:$F$455,"мун")</f>
        <v>0</v>
      </c>
      <c r="AQ8" s="94">
        <f>COUNTIFS(Свод!$G$6:$G$455,Расчеты!AQ$1,Свод!$F$6:$F$455,"мун")</f>
        <v>0</v>
      </c>
      <c r="AR8" s="94">
        <f>COUNTIFS(Свод!$G$6:$G$455,Расчеты!AR$1,Свод!$F$6:$F$455,"мун")</f>
        <v>0</v>
      </c>
      <c r="AS8" s="94">
        <f>COUNTIFS(Свод!$G$6:$G$455,Расчеты!AS$1,Свод!$F$6:$F$455,"мун")</f>
        <v>0</v>
      </c>
      <c r="AT8" s="94">
        <f>COUNTIFS(Свод!$G$6:$G$455,Расчеты!AT$1,Свод!$F$6:$F$455,"мун")</f>
        <v>3</v>
      </c>
      <c r="AU8" s="94">
        <f>COUNTIFS(Свод!$G$6:$G$455,Расчеты!AU$1,Свод!$F$6:$F$455,"мун")</f>
        <v>20</v>
      </c>
      <c r="AV8" s="94">
        <f>COUNTIFS(Свод!$G$6:$G$455,Расчеты!AV$1,Свод!$F$6:$F$455,"мун")</f>
        <v>0</v>
      </c>
      <c r="AW8" s="94">
        <f>COUNTIFS(Свод!$G$6:$G$455,Расчеты!AW$1,Свод!$F$6:$F$455,"мун")</f>
        <v>60</v>
      </c>
      <c r="AX8" s="94">
        <f>COUNTIFS(Свод!$G$6:$G$455,Расчеты!AX$1,Свод!$F$6:$F$455,"мун")</f>
        <v>4</v>
      </c>
      <c r="AY8" s="94">
        <f>COUNTIFS(Свод!$G$6:$G$455,Расчеты!AY$1,Свод!$F$6:$F$455,"мун")</f>
        <v>1</v>
      </c>
      <c r="AZ8" s="94">
        <f>COUNTIFS(Свод!$G$6:$G$455,Расчеты!AZ$1,Свод!$F$6:$F$455,"мун")</f>
        <v>0</v>
      </c>
      <c r="BA8" s="94">
        <f>COUNTIFS(Свод!$G$6:$G$455,Расчеты!BA$1,Свод!$F$6:$F$455,"мун")</f>
        <v>3</v>
      </c>
      <c r="BB8" s="94">
        <f>COUNTIFS(Свод!$G$6:$G$455,Расчеты!BB$1,Свод!$F$6:$F$455,"мун")</f>
        <v>1</v>
      </c>
      <c r="BC8" s="94">
        <f>COUNTIFS(Свод!$G$6:$G$455,Расчеты!BC$1,Свод!$F$6:$F$455,"мун")</f>
        <v>0</v>
      </c>
      <c r="BD8" s="94">
        <f>COUNTIFS(Свод!$G$6:$G$455,Расчеты!BD$1,Свод!$F$6:$F$455,"мун")</f>
        <v>2</v>
      </c>
      <c r="BE8" s="94">
        <f>COUNTIFS(Свод!$G$6:$G$455,Расчеты!BE$1,Свод!$F$6:$F$455,"мун")</f>
        <v>0</v>
      </c>
      <c r="BF8" s="94">
        <f>COUNTIFS(Свод!$G$6:$G$455,Расчеты!BF$1,Свод!$F$6:$F$455,"мун")</f>
        <v>0</v>
      </c>
      <c r="BG8" s="94">
        <f>COUNTIFS(Свод!$G$6:$G$455,Расчеты!BG$1,Свод!$F$6:$F$455,"мун")</f>
        <v>0</v>
      </c>
      <c r="BH8" s="94">
        <f>COUNTIFS(Свод!$G$6:$G$455,Расчеты!BH$1,Свод!$F$6:$F$455,"мун")</f>
        <v>0</v>
      </c>
      <c r="BI8" s="94">
        <f>COUNTIFS(Свод!$G$6:$G$455,Расчеты!BI$1,Свод!$F$6:$F$455,"мун")</f>
        <v>0</v>
      </c>
      <c r="BJ8" s="94">
        <f>COUNTIFS(Свод!$G$6:$G$455,Расчеты!BJ$1,Свод!$F$6:$F$455,"мун")</f>
        <v>0</v>
      </c>
      <c r="BK8" s="94">
        <f>COUNTIFS(Свод!$G$6:$G$455,Расчеты!BK$1,Свод!$F$6:$F$455,"мун")</f>
        <v>7</v>
      </c>
      <c r="BL8" s="94">
        <f>COUNTIFS(Свод!$G$6:$G$455,Расчеты!BL$1,Свод!$F$6:$F$455,"мун")</f>
        <v>5</v>
      </c>
      <c r="BM8" s="94">
        <f>COUNTIFS(Свод!$G$6:$G$455,Расчеты!BM$1,Свод!$F$6:$F$455,"мун")</f>
        <v>1</v>
      </c>
      <c r="BN8" s="94">
        <f>COUNTIFS(Свод!$G$6:$G$455,Расчеты!BN$1,Свод!$F$6:$F$455,"мун")</f>
        <v>3</v>
      </c>
      <c r="BO8" s="94">
        <f>COUNTIFS(Свод!$G$6:$G$455,Расчеты!BO$1,Свод!$F$6:$F$455,"мун")</f>
        <v>32</v>
      </c>
      <c r="BP8" s="94">
        <f>COUNTIFS(Свод!$G$6:$G$455,Расчеты!BP$1,Свод!$F$6:$F$455,"мун")</f>
        <v>0</v>
      </c>
      <c r="BQ8" s="94">
        <f>COUNTIFS(Свод!$G$6:$G$455,Расчеты!BQ$1,Свод!$F$6:$F$455,"мун")</f>
        <v>1</v>
      </c>
      <c r="BR8" s="94">
        <f>COUNTIFS(Свод!$G$6:$G$455,Расчеты!BR$1,Свод!$F$6:$F$455,"мун")</f>
        <v>4</v>
      </c>
      <c r="BS8" s="94">
        <f>COUNTIFS(Свод!$G$6:$G$455,Расчеты!BS$1,Свод!$F$6:$F$455,"мун")</f>
        <v>4</v>
      </c>
      <c r="BT8" s="94">
        <f>COUNTIFS(Свод!$G$6:$G$455,Расчеты!BT$1,Свод!$F$6:$F$455,"мун")</f>
        <v>0</v>
      </c>
      <c r="BU8" s="94">
        <f>COUNTIFS(Свод!$G$6:$G$455,Расчеты!BU$1,Свод!$F$6:$F$455,"мун")</f>
        <v>1</v>
      </c>
      <c r="BV8" s="94">
        <f>COUNTIFS(Свод!$G$6:$G$455,Расчеты!BV$1,Свод!$F$6:$F$455,"мун")</f>
        <v>0</v>
      </c>
      <c r="BW8" s="94">
        <f>COUNTIFS(Свод!$G$6:$G$455,Расчеты!BW$1,Свод!$F$6:$F$455,"мун")</f>
        <v>40</v>
      </c>
      <c r="BX8" s="94">
        <f>COUNTIFS(Свод!$G$6:$G$455,Расчеты!BX$1,Свод!$F$6:$F$455,"мун")</f>
        <v>0</v>
      </c>
      <c r="BY8" s="94">
        <f>COUNTIFS(Свод!$G$6:$G$455,Расчеты!BY$1,Свод!$F$6:$F$455,"мун")</f>
        <v>0</v>
      </c>
      <c r="BZ8" s="94">
        <f>COUNTIFS(Свод!$G$6:$G$455,Расчеты!BZ$1,Свод!$F$6:$F$455,"мун")</f>
        <v>0</v>
      </c>
      <c r="CA8" s="94">
        <f>COUNTIFS(Свод!$G$6:$G$455,Расчеты!CA$1,Свод!$F$6:$F$455,"мун")</f>
        <v>0</v>
      </c>
      <c r="CB8" s="94">
        <f>COUNTIFS(Свод!$G$6:$G$455,Расчеты!CB$1,Свод!$F$6:$F$455,"мун")</f>
        <v>6</v>
      </c>
      <c r="CC8" s="94">
        <f>COUNTIFS(Свод!$G$6:$G$455,Расчеты!CC$1,Свод!$F$6:$F$455,"мун")</f>
        <v>0</v>
      </c>
      <c r="CD8" s="94">
        <f>COUNTIFS(Свод!$G$6:$G$455,Расчеты!CD$1,Свод!$F$6:$F$455,"мун")</f>
        <v>0</v>
      </c>
      <c r="CE8" s="94">
        <f>COUNTIFS(Свод!$G$6:$G$455,Расчеты!CE$1,Свод!$F$6:$F$455,"мун")</f>
        <v>0</v>
      </c>
      <c r="CF8" s="94">
        <f>COUNTIFS(Свод!$G$6:$G$455,Расчеты!CF$1,Свод!$F$6:$F$455,"мун")</f>
        <v>25</v>
      </c>
      <c r="CG8" s="94">
        <f>COUNTIFS(Свод!$G$6:$G$455,Расчеты!CG$1,Свод!$F$6:$F$455,"мун")</f>
        <v>1</v>
      </c>
      <c r="CH8" s="94">
        <f>COUNTIFS(Свод!$G$6:$G$455,Расчеты!CH$1,Свод!$F$6:$F$455,"мун")</f>
        <v>0</v>
      </c>
      <c r="CI8" s="94">
        <f>COUNTIFS(Свод!$G$6:$G$455,Расчеты!CI$1,Свод!$F$6:$F$455,"мун")</f>
        <v>0</v>
      </c>
      <c r="CJ8" s="94">
        <f>COUNTIFS(Свод!$G$6:$G$455,Расчеты!CJ$1,Свод!$F$6:$F$455,"мун")</f>
        <v>0</v>
      </c>
      <c r="CK8" s="94">
        <f>COUNTIFS(Свод!$G$6:$G$455,Расчеты!CK$1,Свод!$F$6:$F$455,"мун")</f>
        <v>0</v>
      </c>
      <c r="CL8" s="94">
        <f>COUNTIFS(Свод!$G$6:$G$455,Расчеты!CL$1,Свод!$F$6:$F$455,"мун")</f>
        <v>0</v>
      </c>
      <c r="CM8" s="94">
        <f>COUNTIFS(Свод!$G$6:$G$455,Расчеты!CM$1,Свод!$F$6:$F$455,"мун")</f>
        <v>1</v>
      </c>
      <c r="CN8" s="94">
        <f>COUNTIFS(Свод!$G$6:$G$455,Расчеты!CN$1,Свод!$F$6:$F$455,"мун")</f>
        <v>1</v>
      </c>
      <c r="CO8" s="94">
        <f>COUNTIFS(Свод!$G$6:$G$455,Расчеты!CO$1,Свод!$F$6:$F$455,"мун")</f>
        <v>13</v>
      </c>
      <c r="CP8" s="94">
        <f>COUNTIFS(Свод!$G$6:$G$455,Расчеты!CP$1,Свод!$F$6:$F$455,"мун")</f>
        <v>2</v>
      </c>
      <c r="CQ8" s="94">
        <f>COUNTIFS(Свод!$G$6:$G$455,Расчеты!CQ$1,Свод!$F$6:$F$455,"мун")</f>
        <v>0</v>
      </c>
      <c r="CR8" s="94">
        <f>COUNTIFS(Свод!$G$6:$G$455,Расчеты!CR$1,Свод!$F$6:$F$455,"мун")</f>
        <v>19</v>
      </c>
      <c r="CS8" s="94">
        <f>COUNTIFS(Свод!$G$6:$G$455,Расчеты!CS$1,Свод!$F$6:$F$455,"мун")</f>
        <v>0</v>
      </c>
      <c r="CT8" s="94">
        <f>COUNTIFS(Свод!$G$6:$G$455,Расчеты!CT$1,Свод!$F$6:$F$455,"мун")</f>
        <v>0</v>
      </c>
      <c r="CU8" s="94">
        <f>COUNTIFS(Свод!$G$6:$G$455,Расчеты!CU$1,Свод!$F$6:$F$455,"мун")</f>
        <v>0</v>
      </c>
      <c r="CV8" s="94">
        <f>COUNTIFS(Свод!$G$6:$G$455,Расчеты!CV$1,Свод!$F$6:$F$455,"мун")</f>
        <v>0</v>
      </c>
      <c r="CW8" s="94">
        <f>COUNTIFS(Свод!$G$6:$G$455,Расчеты!CW$1,Свод!$F$6:$F$455,"мун")</f>
        <v>13</v>
      </c>
      <c r="CX8" s="94">
        <f>COUNTIFS(Свод!$G$6:$G$455,Расчеты!CX$1,Свод!$F$6:$F$455,"мун")</f>
        <v>0</v>
      </c>
    </row>
    <row r="9" spans="1:102" ht="102" x14ac:dyDescent="0.2">
      <c r="A9" s="199" t="s">
        <v>8897</v>
      </c>
      <c r="B9" s="97" t="s">
        <v>8898</v>
      </c>
      <c r="C9" s="97" t="s">
        <v>8886</v>
      </c>
      <c r="D9" s="97">
        <v>11</v>
      </c>
      <c r="E9" s="502" t="s">
        <v>8899</v>
      </c>
      <c r="F9" s="97" t="s">
        <v>8900</v>
      </c>
      <c r="G9" s="513" t="s">
        <v>23</v>
      </c>
      <c r="H9" s="513" t="s">
        <v>8901</v>
      </c>
      <c r="I9" s="97"/>
      <c r="J9" s="97"/>
      <c r="K9" s="97" t="s">
        <v>689</v>
      </c>
      <c r="L9" s="97" t="s">
        <v>4906</v>
      </c>
      <c r="M9" s="97" t="s">
        <v>4906</v>
      </c>
      <c r="N9" s="97" t="s">
        <v>4906</v>
      </c>
      <c r="O9" s="97" t="s">
        <v>4906</v>
      </c>
      <c r="P9" s="604" t="s">
        <v>8992</v>
      </c>
      <c r="Q9" s="604" t="s">
        <v>8992</v>
      </c>
    </row>
    <row r="10" spans="1:102" ht="85" x14ac:dyDescent="0.2">
      <c r="A10" s="199" t="s">
        <v>8902</v>
      </c>
      <c r="B10" s="97" t="s">
        <v>8903</v>
      </c>
      <c r="C10" s="97" t="s">
        <v>8886</v>
      </c>
      <c r="D10" s="97">
        <v>12</v>
      </c>
      <c r="E10" s="502" t="s">
        <v>8904</v>
      </c>
      <c r="F10" s="97" t="s">
        <v>8905</v>
      </c>
      <c r="G10" s="513" t="s">
        <v>8906</v>
      </c>
      <c r="H10" s="513" t="s">
        <v>8907</v>
      </c>
      <c r="I10" s="97"/>
      <c r="J10" s="97"/>
      <c r="K10" s="97"/>
      <c r="L10" s="516">
        <v>333.35210659223816</v>
      </c>
      <c r="M10" s="516">
        <v>343.51835528226104</v>
      </c>
      <c r="N10" s="605">
        <v>409.04981680155589</v>
      </c>
      <c r="O10" s="510">
        <v>338.75376826344285</v>
      </c>
    </row>
    <row r="11" spans="1:102" ht="34" x14ac:dyDescent="0.2">
      <c r="A11" s="1238" t="s">
        <v>8897</v>
      </c>
      <c r="B11" s="1237" t="s">
        <v>8908</v>
      </c>
      <c r="C11" s="97" t="s">
        <v>8886</v>
      </c>
      <c r="D11" s="97">
        <v>15</v>
      </c>
      <c r="E11" s="502" t="s">
        <v>8909</v>
      </c>
      <c r="F11" s="97" t="s">
        <v>9582</v>
      </c>
      <c r="G11" s="513" t="s">
        <v>102</v>
      </c>
      <c r="H11" s="513" t="s">
        <v>8910</v>
      </c>
      <c r="I11" s="97"/>
      <c r="J11" s="97"/>
      <c r="K11" s="97"/>
      <c r="L11" s="97">
        <v>20</v>
      </c>
      <c r="M11" s="97">
        <v>14</v>
      </c>
      <c r="N11" s="99">
        <v>20</v>
      </c>
      <c r="P11" s="94">
        <f>COUNTIF(Q11:CV11,"да")</f>
        <v>0</v>
      </c>
    </row>
    <row r="12" spans="1:102" ht="119" x14ac:dyDescent="0.2">
      <c r="A12" s="1237"/>
      <c r="B12" s="1237"/>
      <c r="C12" s="97" t="s">
        <v>8886</v>
      </c>
      <c r="D12" s="97">
        <v>16</v>
      </c>
      <c r="E12" s="502" t="s">
        <v>8911</v>
      </c>
      <c r="F12" s="97" t="s">
        <v>8912</v>
      </c>
      <c r="G12" s="513" t="s">
        <v>8913</v>
      </c>
      <c r="H12" s="513" t="s">
        <v>8895</v>
      </c>
      <c r="I12" s="97"/>
      <c r="J12" s="97"/>
      <c r="K12" s="97"/>
      <c r="L12" s="97">
        <v>189</v>
      </c>
      <c r="M12" s="97">
        <v>168</v>
      </c>
      <c r="N12" s="99">
        <v>390</v>
      </c>
      <c r="P12" s="94">
        <f>SUM(Q12:CV12)</f>
        <v>0</v>
      </c>
    </row>
    <row r="13" spans="1:102" ht="102" x14ac:dyDescent="0.2">
      <c r="A13" s="97"/>
      <c r="B13" s="1237"/>
      <c r="C13" s="97" t="s">
        <v>8886</v>
      </c>
      <c r="D13" s="97">
        <v>18</v>
      </c>
      <c r="E13" s="502" t="s">
        <v>8914</v>
      </c>
      <c r="F13" s="97" t="s">
        <v>8915</v>
      </c>
      <c r="G13" s="513" t="s">
        <v>8916</v>
      </c>
      <c r="H13" s="513" t="s">
        <v>8895</v>
      </c>
      <c r="I13" s="97"/>
      <c r="J13" s="97"/>
      <c r="K13" s="97"/>
      <c r="L13" s="97" t="s">
        <v>4906</v>
      </c>
      <c r="M13" s="97">
        <v>710</v>
      </c>
      <c r="N13" s="99">
        <v>844</v>
      </c>
      <c r="P13" s="94">
        <f>SUM(Q13:CV13)</f>
        <v>0</v>
      </c>
    </row>
    <row r="14" spans="1:102" ht="34" x14ac:dyDescent="0.2">
      <c r="A14" s="97"/>
      <c r="B14" s="1237" t="s">
        <v>8917</v>
      </c>
      <c r="C14" s="97" t="s">
        <v>8886</v>
      </c>
      <c r="D14" s="97">
        <v>26</v>
      </c>
      <c r="E14" s="502" t="s">
        <v>8918</v>
      </c>
      <c r="F14" s="97" t="s">
        <v>9583</v>
      </c>
      <c r="G14" s="513" t="s">
        <v>102</v>
      </c>
      <c r="H14" s="513" t="s">
        <v>8910</v>
      </c>
      <c r="I14" s="97"/>
      <c r="J14" s="97"/>
      <c r="K14" s="97"/>
      <c r="L14" s="97" t="s">
        <v>4906</v>
      </c>
      <c r="M14" s="97">
        <v>33</v>
      </c>
      <c r="N14" s="99">
        <v>30</v>
      </c>
      <c r="P14" s="94">
        <f t="shared" ref="P14:P19" si="2">COUNTIF(Q14:CV14,"да")</f>
        <v>0</v>
      </c>
    </row>
    <row r="15" spans="1:102" ht="51" x14ac:dyDescent="0.2">
      <c r="A15" s="97"/>
      <c r="B15" s="1237"/>
      <c r="C15" s="97" t="s">
        <v>8886</v>
      </c>
      <c r="D15" s="97">
        <v>27</v>
      </c>
      <c r="E15" s="502" t="s">
        <v>8919</v>
      </c>
      <c r="F15" s="97" t="s">
        <v>8920</v>
      </c>
      <c r="G15" s="513" t="s">
        <v>102</v>
      </c>
      <c r="H15" s="513" t="s">
        <v>8910</v>
      </c>
      <c r="I15" s="97"/>
      <c r="J15" s="97"/>
      <c r="K15" s="97"/>
      <c r="L15" s="97" t="s">
        <v>4906</v>
      </c>
      <c r="M15" s="97">
        <v>52</v>
      </c>
      <c r="N15" s="99">
        <v>53</v>
      </c>
      <c r="P15" s="94">
        <f t="shared" si="2"/>
        <v>0</v>
      </c>
    </row>
    <row r="16" spans="1:102" ht="51" x14ac:dyDescent="0.2">
      <c r="A16" s="97"/>
      <c r="B16" s="1237"/>
      <c r="C16" s="97" t="s">
        <v>8886</v>
      </c>
      <c r="D16" s="97">
        <v>28</v>
      </c>
      <c r="E16" s="502" t="s">
        <v>8921</v>
      </c>
      <c r="F16" s="97" t="s">
        <v>8922</v>
      </c>
      <c r="G16" s="513" t="s">
        <v>102</v>
      </c>
      <c r="H16" s="513" t="s">
        <v>8910</v>
      </c>
      <c r="I16" s="97"/>
      <c r="J16" s="97"/>
      <c r="K16" s="97"/>
      <c r="L16" s="97" t="s">
        <v>4906</v>
      </c>
      <c r="M16" s="97">
        <v>12</v>
      </c>
      <c r="N16" s="99">
        <v>10</v>
      </c>
      <c r="P16" s="94">
        <f t="shared" si="2"/>
        <v>0</v>
      </c>
    </row>
    <row r="17" spans="1:16" ht="68" x14ac:dyDescent="0.2">
      <c r="A17" s="97"/>
      <c r="B17" s="1237"/>
      <c r="C17" s="97" t="s">
        <v>8886</v>
      </c>
      <c r="D17" s="97">
        <v>29</v>
      </c>
      <c r="E17" s="502" t="s">
        <v>8923</v>
      </c>
      <c r="F17" s="97" t="s">
        <v>8924</v>
      </c>
      <c r="G17" s="513" t="s">
        <v>102</v>
      </c>
      <c r="H17" s="513" t="s">
        <v>8910</v>
      </c>
      <c r="I17" s="97"/>
      <c r="J17" s="97"/>
      <c r="K17" s="97"/>
      <c r="L17" s="97" t="s">
        <v>4906</v>
      </c>
      <c r="M17" s="97">
        <v>19</v>
      </c>
      <c r="N17" s="99">
        <v>21</v>
      </c>
      <c r="P17" s="94">
        <f t="shared" si="2"/>
        <v>0</v>
      </c>
    </row>
    <row r="18" spans="1:16" ht="51" x14ac:dyDescent="0.2">
      <c r="A18" s="97"/>
      <c r="B18" s="1237"/>
      <c r="C18" s="97" t="s">
        <v>8886</v>
      </c>
      <c r="D18" s="97">
        <v>30</v>
      </c>
      <c r="E18" s="502" t="s">
        <v>8925</v>
      </c>
      <c r="F18" s="97" t="s">
        <v>8926</v>
      </c>
      <c r="G18" s="513" t="s">
        <v>102</v>
      </c>
      <c r="H18" s="513" t="s">
        <v>8910</v>
      </c>
      <c r="I18" s="97"/>
      <c r="J18" s="97"/>
      <c r="K18" s="97"/>
      <c r="L18" s="97" t="s">
        <v>4906</v>
      </c>
      <c r="M18" s="97">
        <v>10</v>
      </c>
      <c r="N18" s="99">
        <v>10</v>
      </c>
      <c r="P18" s="94">
        <f t="shared" si="2"/>
        <v>0</v>
      </c>
    </row>
    <row r="19" spans="1:16" ht="34" x14ac:dyDescent="0.2">
      <c r="A19" s="97"/>
      <c r="B19" s="1237"/>
      <c r="C19" s="97" t="s">
        <v>8886</v>
      </c>
      <c r="D19" s="97">
        <v>31</v>
      </c>
      <c r="E19" s="502" t="s">
        <v>8927</v>
      </c>
      <c r="F19" s="97" t="s">
        <v>8928</v>
      </c>
      <c r="G19" s="513" t="s">
        <v>102</v>
      </c>
      <c r="H19" s="513" t="s">
        <v>8910</v>
      </c>
      <c r="I19" s="97"/>
      <c r="J19" s="97"/>
      <c r="K19" s="97"/>
      <c r="L19" s="97" t="s">
        <v>4906</v>
      </c>
      <c r="M19" s="97">
        <v>24</v>
      </c>
      <c r="N19" s="99">
        <v>26</v>
      </c>
      <c r="P19" s="94">
        <f t="shared" si="2"/>
        <v>0</v>
      </c>
    </row>
    <row r="20" spans="1:16" ht="68" x14ac:dyDescent="0.2">
      <c r="A20" s="97"/>
      <c r="B20" s="1237" t="s">
        <v>8917</v>
      </c>
      <c r="C20" s="97" t="s">
        <v>8886</v>
      </c>
      <c r="D20" s="97">
        <v>33</v>
      </c>
      <c r="E20" s="502" t="s">
        <v>8929</v>
      </c>
      <c r="F20" s="97" t="s">
        <v>9584</v>
      </c>
      <c r="G20" s="513" t="s">
        <v>8930</v>
      </c>
      <c r="H20" s="513" t="s">
        <v>8895</v>
      </c>
      <c r="I20" s="97"/>
      <c r="J20" s="97"/>
      <c r="K20" s="97"/>
      <c r="L20" s="97" t="s">
        <v>4906</v>
      </c>
      <c r="M20" s="97">
        <v>966186</v>
      </c>
      <c r="N20" s="99">
        <v>979239</v>
      </c>
      <c r="O20" s="600">
        <v>1866862.8</v>
      </c>
      <c r="P20" s="94" t="s">
        <v>8931</v>
      </c>
    </row>
    <row r="21" spans="1:16" ht="85" x14ac:dyDescent="0.2">
      <c r="A21" s="97"/>
      <c r="B21" s="1237"/>
      <c r="C21" s="97" t="s">
        <v>8886</v>
      </c>
      <c r="D21" s="97">
        <v>34</v>
      </c>
      <c r="E21" s="502" t="s">
        <v>8932</v>
      </c>
      <c r="F21" s="97" t="s">
        <v>8933</v>
      </c>
      <c r="G21" s="513" t="s">
        <v>8930</v>
      </c>
      <c r="H21" s="513" t="s">
        <v>8895</v>
      </c>
      <c r="I21" s="97"/>
      <c r="J21" s="97"/>
      <c r="K21" s="97"/>
      <c r="L21" s="97" t="s">
        <v>4906</v>
      </c>
      <c r="M21" s="97">
        <v>2434343</v>
      </c>
      <c r="N21" s="99">
        <v>2714658</v>
      </c>
      <c r="O21" s="600">
        <v>3013576.3449999997</v>
      </c>
      <c r="P21" s="94" t="s">
        <v>8931</v>
      </c>
    </row>
    <row r="22" spans="1:16" ht="85" x14ac:dyDescent="0.2">
      <c r="A22" s="97"/>
      <c r="B22" s="1237"/>
      <c r="C22" s="97"/>
      <c r="D22" s="97"/>
      <c r="E22" s="502"/>
      <c r="F22" s="97" t="s">
        <v>211</v>
      </c>
      <c r="G22" s="513" t="s">
        <v>8930</v>
      </c>
      <c r="H22" s="513" t="s">
        <v>8895</v>
      </c>
      <c r="I22" s="97"/>
      <c r="J22" s="97"/>
      <c r="K22" s="97"/>
      <c r="L22" s="97" t="s">
        <v>4906</v>
      </c>
      <c r="M22" s="97" t="s">
        <v>4906</v>
      </c>
      <c r="N22" s="97" t="s">
        <v>4906</v>
      </c>
      <c r="O22" s="600">
        <v>18934</v>
      </c>
      <c r="P22" s="94" t="s">
        <v>8931</v>
      </c>
    </row>
    <row r="23" spans="1:16" ht="34" x14ac:dyDescent="0.2">
      <c r="A23" s="97"/>
      <c r="B23" s="1237"/>
      <c r="C23" s="97"/>
      <c r="D23" s="97"/>
      <c r="E23" s="502"/>
      <c r="F23" s="97" t="s">
        <v>213</v>
      </c>
      <c r="G23" s="513" t="s">
        <v>8930</v>
      </c>
      <c r="H23" s="513" t="s">
        <v>8895</v>
      </c>
      <c r="I23" s="97"/>
      <c r="J23" s="97"/>
      <c r="K23" s="97"/>
      <c r="L23" s="97" t="s">
        <v>4906</v>
      </c>
      <c r="M23" s="97" t="s">
        <v>4906</v>
      </c>
      <c r="N23" s="97" t="s">
        <v>4906</v>
      </c>
      <c r="O23" s="600">
        <v>15542</v>
      </c>
      <c r="P23" s="94" t="s">
        <v>8931</v>
      </c>
    </row>
    <row r="24" spans="1:16" ht="68" x14ac:dyDescent="0.2">
      <c r="A24" s="97"/>
      <c r="B24" s="1237"/>
      <c r="C24" s="97" t="s">
        <v>8886</v>
      </c>
      <c r="D24" s="97">
        <v>35</v>
      </c>
      <c r="E24" s="502" t="s">
        <v>8934</v>
      </c>
      <c r="F24" s="97" t="s">
        <v>8935</v>
      </c>
      <c r="G24" s="513" t="s">
        <v>8930</v>
      </c>
      <c r="H24" s="513" t="s">
        <v>8895</v>
      </c>
      <c r="I24" s="97"/>
      <c r="J24" s="97"/>
      <c r="K24" s="97"/>
      <c r="L24" s="97" t="s">
        <v>4906</v>
      </c>
      <c r="M24" s="97">
        <v>1547486</v>
      </c>
      <c r="N24" s="99">
        <v>117297</v>
      </c>
      <c r="O24" s="600">
        <v>66567</v>
      </c>
      <c r="P24" s="94" t="s">
        <v>8931</v>
      </c>
    </row>
    <row r="25" spans="1:16" ht="85" x14ac:dyDescent="0.2">
      <c r="A25" s="97"/>
      <c r="B25" s="1237"/>
      <c r="C25" s="97" t="s">
        <v>8886</v>
      </c>
      <c r="D25" s="97">
        <v>36</v>
      </c>
      <c r="E25" s="502" t="s">
        <v>8936</v>
      </c>
      <c r="F25" s="97" t="s">
        <v>8937</v>
      </c>
      <c r="G25" s="513" t="s">
        <v>8930</v>
      </c>
      <c r="H25" s="513" t="s">
        <v>8895</v>
      </c>
      <c r="I25" s="97"/>
      <c r="J25" s="97"/>
      <c r="K25" s="97"/>
      <c r="L25" s="97" t="s">
        <v>4906</v>
      </c>
      <c r="M25" s="97">
        <v>20682</v>
      </c>
      <c r="N25" s="99">
        <v>223135</v>
      </c>
      <c r="O25" s="600">
        <v>317667</v>
      </c>
      <c r="P25" s="94" t="s">
        <v>8931</v>
      </c>
    </row>
    <row r="26" spans="1:16" ht="68" x14ac:dyDescent="0.2">
      <c r="A26" s="97"/>
      <c r="B26" s="1237"/>
      <c r="C26" s="97" t="s">
        <v>8886</v>
      </c>
      <c r="D26" s="97">
        <v>37</v>
      </c>
      <c r="E26" s="502" t="s">
        <v>8938</v>
      </c>
      <c r="F26" s="97" t="s">
        <v>8939</v>
      </c>
      <c r="G26" s="513" t="s">
        <v>8930</v>
      </c>
      <c r="H26" s="513" t="s">
        <v>8895</v>
      </c>
      <c r="I26" s="97"/>
      <c r="J26" s="97"/>
      <c r="K26" s="97"/>
      <c r="L26" s="97" t="s">
        <v>4906</v>
      </c>
      <c r="M26" s="97">
        <v>2205</v>
      </c>
      <c r="N26" s="99">
        <v>14836</v>
      </c>
      <c r="O26" s="600">
        <v>20353</v>
      </c>
      <c r="P26" s="94" t="s">
        <v>8931</v>
      </c>
    </row>
    <row r="27" spans="1:16" ht="68" x14ac:dyDescent="0.2">
      <c r="A27" s="97"/>
      <c r="B27" s="1237"/>
      <c r="C27" s="97" t="s">
        <v>8886</v>
      </c>
      <c r="D27" s="97">
        <v>38</v>
      </c>
      <c r="E27" s="502" t="s">
        <v>8940</v>
      </c>
      <c r="F27" s="97" t="s">
        <v>8941</v>
      </c>
      <c r="G27" s="513" t="s">
        <v>8930</v>
      </c>
      <c r="H27" s="513" t="s">
        <v>8895</v>
      </c>
      <c r="I27" s="97"/>
      <c r="J27" s="97"/>
      <c r="K27" s="97"/>
      <c r="L27" s="97" t="s">
        <v>4906</v>
      </c>
      <c r="M27" s="97">
        <v>420221</v>
      </c>
      <c r="N27" s="99">
        <v>402710</v>
      </c>
      <c r="O27" s="600">
        <v>376285.2562</v>
      </c>
      <c r="P27" s="94" t="s">
        <v>8931</v>
      </c>
    </row>
    <row r="28" spans="1:16" ht="68" x14ac:dyDescent="0.2">
      <c r="A28" s="199" t="s">
        <v>8902</v>
      </c>
      <c r="B28" s="1237"/>
      <c r="C28" s="97" t="s">
        <v>8886</v>
      </c>
      <c r="D28" s="97">
        <v>39</v>
      </c>
      <c r="E28" s="502" t="s">
        <v>8942</v>
      </c>
      <c r="F28" s="97" t="s">
        <v>8943</v>
      </c>
      <c r="G28" s="513" t="s">
        <v>8930</v>
      </c>
      <c r="H28" s="513" t="s">
        <v>8890</v>
      </c>
      <c r="I28" s="97"/>
      <c r="J28" s="97"/>
      <c r="K28" s="97"/>
      <c r="L28" s="97" t="s">
        <v>4906</v>
      </c>
      <c r="M28" s="97">
        <v>5391123</v>
      </c>
      <c r="N28" s="99">
        <v>4451875</v>
      </c>
      <c r="O28" s="600">
        <v>5695787.4011999993</v>
      </c>
      <c r="P28" s="94" t="s">
        <v>8931</v>
      </c>
    </row>
    <row r="29" spans="1:16" ht="51" x14ac:dyDescent="0.2">
      <c r="A29" s="1238" t="s">
        <v>8897</v>
      </c>
      <c r="B29" s="1237" t="s">
        <v>8944</v>
      </c>
      <c r="C29" s="97" t="s">
        <v>8886</v>
      </c>
      <c r="D29" s="97">
        <v>18</v>
      </c>
      <c r="E29" s="502" t="s">
        <v>8945</v>
      </c>
      <c r="F29" s="97" t="s">
        <v>9585</v>
      </c>
      <c r="G29" s="513" t="s">
        <v>102</v>
      </c>
      <c r="H29" s="513" t="s">
        <v>8910</v>
      </c>
      <c r="I29" s="97"/>
      <c r="J29" s="97"/>
      <c r="K29" s="97"/>
      <c r="L29" s="97">
        <v>15</v>
      </c>
      <c r="M29" s="97">
        <v>15</v>
      </c>
      <c r="N29" s="99">
        <v>16</v>
      </c>
      <c r="P29" s="94">
        <f t="shared" ref="P29:P34" si="3">COUNTIF(Q29:CV29,"да")</f>
        <v>0</v>
      </c>
    </row>
    <row r="30" spans="1:16" ht="51" x14ac:dyDescent="0.2">
      <c r="A30" s="1238"/>
      <c r="B30" s="1237"/>
      <c r="C30" s="97" t="s">
        <v>8886</v>
      </c>
      <c r="D30" s="97">
        <v>19</v>
      </c>
      <c r="E30" s="502" t="s">
        <v>8946</v>
      </c>
      <c r="F30" s="97" t="s">
        <v>8947</v>
      </c>
      <c r="G30" s="513" t="s">
        <v>102</v>
      </c>
      <c r="H30" s="513" t="s">
        <v>8910</v>
      </c>
      <c r="I30" s="97"/>
      <c r="J30" s="97"/>
      <c r="K30" s="97"/>
      <c r="L30" s="97">
        <v>37</v>
      </c>
      <c r="M30" s="97">
        <v>41</v>
      </c>
      <c r="N30" s="99">
        <v>38</v>
      </c>
      <c r="P30" s="94">
        <f t="shared" si="3"/>
        <v>0</v>
      </c>
    </row>
    <row r="31" spans="1:16" ht="34" x14ac:dyDescent="0.2">
      <c r="A31" s="1238"/>
      <c r="B31" s="1237"/>
      <c r="C31" s="97" t="s">
        <v>8886</v>
      </c>
      <c r="D31" s="97">
        <v>20</v>
      </c>
      <c r="E31" s="502" t="s">
        <v>8948</v>
      </c>
      <c r="F31" s="97" t="s">
        <v>8949</v>
      </c>
      <c r="G31" s="513" t="s">
        <v>102</v>
      </c>
      <c r="H31" s="513" t="s">
        <v>8910</v>
      </c>
      <c r="I31" s="97"/>
      <c r="J31" s="97"/>
      <c r="K31" s="97"/>
      <c r="L31" s="97">
        <v>2</v>
      </c>
      <c r="M31" s="97">
        <v>3</v>
      </c>
      <c r="N31" s="99">
        <v>4</v>
      </c>
      <c r="P31" s="94">
        <f t="shared" si="3"/>
        <v>0</v>
      </c>
    </row>
    <row r="32" spans="1:16" ht="34" x14ac:dyDescent="0.2">
      <c r="A32" s="1238"/>
      <c r="B32" s="1237"/>
      <c r="C32" s="97" t="s">
        <v>8886</v>
      </c>
      <c r="D32" s="97">
        <v>21</v>
      </c>
      <c r="E32" s="502" t="s">
        <v>8950</v>
      </c>
      <c r="F32" s="97" t="s">
        <v>8951</v>
      </c>
      <c r="G32" s="513" t="s">
        <v>102</v>
      </c>
      <c r="H32" s="513" t="s">
        <v>8910</v>
      </c>
      <c r="I32" s="97"/>
      <c r="J32" s="97"/>
      <c r="K32" s="97"/>
      <c r="L32" s="97">
        <v>9</v>
      </c>
      <c r="M32" s="97">
        <v>9</v>
      </c>
      <c r="N32" s="99">
        <v>15</v>
      </c>
      <c r="P32" s="94">
        <f t="shared" si="3"/>
        <v>0</v>
      </c>
    </row>
    <row r="33" spans="1:102" ht="51" x14ac:dyDescent="0.2">
      <c r="A33" s="1238"/>
      <c r="B33" s="1237"/>
      <c r="C33" s="97" t="s">
        <v>8886</v>
      </c>
      <c r="D33" s="97">
        <v>25</v>
      </c>
      <c r="E33" s="502" t="s">
        <v>8952</v>
      </c>
      <c r="F33" s="97" t="s">
        <v>8953</v>
      </c>
      <c r="G33" s="513" t="s">
        <v>102</v>
      </c>
      <c r="H33" s="513" t="s">
        <v>8910</v>
      </c>
      <c r="I33" s="97"/>
      <c r="J33" s="97"/>
      <c r="K33" s="97"/>
      <c r="L33" s="97" t="s">
        <v>4906</v>
      </c>
      <c r="M33" s="97">
        <v>46</v>
      </c>
      <c r="N33" s="99">
        <v>46</v>
      </c>
      <c r="P33" s="94">
        <f t="shared" si="3"/>
        <v>0</v>
      </c>
    </row>
    <row r="34" spans="1:102" ht="34" x14ac:dyDescent="0.2">
      <c r="A34" s="1238"/>
      <c r="B34" s="1237"/>
      <c r="C34" s="97" t="s">
        <v>8886</v>
      </c>
      <c r="D34" s="97">
        <v>23</v>
      </c>
      <c r="E34" s="502" t="s">
        <v>8954</v>
      </c>
      <c r="F34" s="97" t="s">
        <v>8955</v>
      </c>
      <c r="G34" s="513" t="s">
        <v>102</v>
      </c>
      <c r="H34" s="513" t="s">
        <v>8910</v>
      </c>
      <c r="I34" s="97"/>
      <c r="J34" s="97"/>
      <c r="K34" s="97"/>
      <c r="L34" s="97">
        <v>11</v>
      </c>
      <c r="M34" s="97">
        <v>20</v>
      </c>
      <c r="N34" s="99">
        <v>20</v>
      </c>
      <c r="P34" s="94">
        <f t="shared" si="3"/>
        <v>0</v>
      </c>
    </row>
    <row r="35" spans="1:102" ht="34" x14ac:dyDescent="0.2">
      <c r="A35" s="199" t="s">
        <v>8902</v>
      </c>
      <c r="B35" s="1237"/>
      <c r="C35" s="97" t="s">
        <v>8886</v>
      </c>
      <c r="D35" s="97">
        <v>24</v>
      </c>
      <c r="E35" s="502" t="s">
        <v>8956</v>
      </c>
      <c r="F35" s="97" t="s">
        <v>8957</v>
      </c>
      <c r="G35" s="513" t="s">
        <v>8958</v>
      </c>
      <c r="H35" s="513" t="s">
        <v>8890</v>
      </c>
      <c r="I35" s="97"/>
      <c r="J35" s="97"/>
      <c r="K35" s="97"/>
      <c r="L35" s="97">
        <v>2.0175438596491229</v>
      </c>
      <c r="M35" s="97">
        <v>1.7882352941176471</v>
      </c>
      <c r="N35" s="99">
        <v>1.8235294117647058</v>
      </c>
    </row>
    <row r="36" spans="1:102" ht="68" x14ac:dyDescent="0.2">
      <c r="A36" s="199"/>
      <c r="B36" s="1237" t="s">
        <v>8944</v>
      </c>
      <c r="C36" s="97" t="s">
        <v>8886</v>
      </c>
      <c r="D36" s="97">
        <v>25</v>
      </c>
      <c r="E36" s="502" t="s">
        <v>8959</v>
      </c>
      <c r="F36" s="97" t="s">
        <v>9586</v>
      </c>
      <c r="G36" s="513" t="s">
        <v>8930</v>
      </c>
      <c r="H36" s="513" t="s">
        <v>8895</v>
      </c>
      <c r="I36" s="97"/>
      <c r="J36" s="97"/>
      <c r="K36" s="97"/>
      <c r="L36" s="97" t="s">
        <v>4906</v>
      </c>
      <c r="M36" s="97">
        <v>726171</v>
      </c>
      <c r="N36" s="99">
        <v>835746</v>
      </c>
      <c r="O36" s="600">
        <v>1550403</v>
      </c>
      <c r="P36" s="94" t="s">
        <v>8931</v>
      </c>
    </row>
    <row r="37" spans="1:102" ht="85" x14ac:dyDescent="0.2">
      <c r="A37" s="199"/>
      <c r="B37" s="1237"/>
      <c r="C37" s="97" t="s">
        <v>8886</v>
      </c>
      <c r="D37" s="97">
        <v>26</v>
      </c>
      <c r="E37" s="502" t="s">
        <v>8960</v>
      </c>
      <c r="F37" s="97" t="s">
        <v>8961</v>
      </c>
      <c r="G37" s="513" t="s">
        <v>8930</v>
      </c>
      <c r="H37" s="513" t="s">
        <v>8895</v>
      </c>
      <c r="I37" s="97"/>
      <c r="J37" s="97"/>
      <c r="K37" s="97"/>
      <c r="L37" s="97" t="s">
        <v>4906</v>
      </c>
      <c r="M37" s="97">
        <v>1260482</v>
      </c>
      <c r="N37" s="99">
        <v>887656.6</v>
      </c>
      <c r="O37" s="600">
        <v>1366143</v>
      </c>
      <c r="P37" s="94" t="s">
        <v>8931</v>
      </c>
    </row>
    <row r="38" spans="1:102" ht="102" x14ac:dyDescent="0.2">
      <c r="A38" s="199"/>
      <c r="B38" s="1237"/>
      <c r="C38" s="97"/>
      <c r="D38" s="97"/>
      <c r="E38" s="502"/>
      <c r="F38" s="97" t="s">
        <v>230</v>
      </c>
      <c r="G38" s="513" t="s">
        <v>8930</v>
      </c>
      <c r="H38" s="513" t="s">
        <v>8895</v>
      </c>
      <c r="I38" s="97"/>
      <c r="J38" s="97"/>
      <c r="K38" s="97"/>
      <c r="L38" s="97" t="s">
        <v>4906</v>
      </c>
      <c r="M38" s="97" t="s">
        <v>4906</v>
      </c>
      <c r="N38" s="97" t="s">
        <v>4906</v>
      </c>
      <c r="O38" s="600">
        <v>17240.099999999999</v>
      </c>
      <c r="P38" s="94" t="s">
        <v>8931</v>
      </c>
    </row>
    <row r="39" spans="1:102" ht="68" x14ac:dyDescent="0.2">
      <c r="A39" s="199"/>
      <c r="B39" s="1237"/>
      <c r="C39" s="97" t="s">
        <v>8886</v>
      </c>
      <c r="D39" s="97">
        <v>27</v>
      </c>
      <c r="E39" s="502" t="s">
        <v>8962</v>
      </c>
      <c r="F39" s="97" t="s">
        <v>8963</v>
      </c>
      <c r="G39" s="513" t="s">
        <v>8930</v>
      </c>
      <c r="H39" s="513" t="s">
        <v>8895</v>
      </c>
      <c r="I39" s="97"/>
      <c r="J39" s="97"/>
      <c r="K39" s="97"/>
      <c r="L39" s="97" t="s">
        <v>4906</v>
      </c>
      <c r="M39" s="97">
        <v>1128567</v>
      </c>
      <c r="N39" s="99">
        <v>699475</v>
      </c>
      <c r="O39" s="600">
        <v>11</v>
      </c>
      <c r="P39" s="94" t="s">
        <v>8931</v>
      </c>
    </row>
    <row r="40" spans="1:102" ht="68" x14ac:dyDescent="0.2">
      <c r="A40" s="199"/>
      <c r="B40" s="1237"/>
      <c r="C40" s="97" t="s">
        <v>8886</v>
      </c>
      <c r="D40" s="97">
        <v>28</v>
      </c>
      <c r="E40" s="502" t="s">
        <v>8964</v>
      </c>
      <c r="F40" s="97" t="s">
        <v>8965</v>
      </c>
      <c r="G40" s="513" t="s">
        <v>8930</v>
      </c>
      <c r="H40" s="513" t="s">
        <v>8895</v>
      </c>
      <c r="I40" s="97"/>
      <c r="J40" s="97"/>
      <c r="K40" s="97"/>
      <c r="L40" s="97" t="s">
        <v>4906</v>
      </c>
      <c r="M40" s="97">
        <v>20769</v>
      </c>
      <c r="N40" s="99">
        <v>21938</v>
      </c>
      <c r="O40" s="600">
        <v>637</v>
      </c>
      <c r="P40" s="94" t="s">
        <v>8931</v>
      </c>
    </row>
    <row r="41" spans="1:102" ht="68" x14ac:dyDescent="0.2">
      <c r="A41" s="199"/>
      <c r="B41" s="1237"/>
      <c r="C41" s="97" t="s">
        <v>8886</v>
      </c>
      <c r="D41" s="97">
        <v>29</v>
      </c>
      <c r="E41" s="502" t="s">
        <v>8966</v>
      </c>
      <c r="F41" s="97" t="s">
        <v>8967</v>
      </c>
      <c r="G41" s="513" t="s">
        <v>8930</v>
      </c>
      <c r="H41" s="513" t="s">
        <v>8895</v>
      </c>
      <c r="I41" s="97"/>
      <c r="J41" s="97"/>
      <c r="K41" s="97"/>
      <c r="L41" s="97" t="s">
        <v>4906</v>
      </c>
      <c r="M41" s="97">
        <v>11830</v>
      </c>
      <c r="N41" s="99">
        <v>3552</v>
      </c>
      <c r="O41" s="600">
        <v>60004</v>
      </c>
      <c r="P41" s="94" t="s">
        <v>8931</v>
      </c>
    </row>
    <row r="42" spans="1:102" ht="170" x14ac:dyDescent="0.2">
      <c r="A42" s="199"/>
      <c r="B42" s="1237"/>
      <c r="C42" s="97" t="s">
        <v>8886</v>
      </c>
      <c r="D42" s="97">
        <v>30</v>
      </c>
      <c r="E42" s="502" t="s">
        <v>8968</v>
      </c>
      <c r="F42" s="97" t="s">
        <v>9587</v>
      </c>
      <c r="G42" s="513" t="s">
        <v>8930</v>
      </c>
      <c r="H42" s="513" t="s">
        <v>8895</v>
      </c>
      <c r="I42" s="97"/>
      <c r="J42" s="97"/>
      <c r="K42" s="97"/>
      <c r="L42" s="97" t="s">
        <v>4906</v>
      </c>
      <c r="M42" s="97">
        <v>123816</v>
      </c>
      <c r="N42" s="99">
        <v>127749</v>
      </c>
      <c r="O42" s="600">
        <v>840</v>
      </c>
      <c r="P42" s="94" t="s">
        <v>8931</v>
      </c>
    </row>
    <row r="43" spans="1:102" ht="68" x14ac:dyDescent="0.2">
      <c r="A43" s="199"/>
      <c r="B43" s="1237"/>
      <c r="C43" s="97" t="s">
        <v>8886</v>
      </c>
      <c r="D43" s="97">
        <v>31</v>
      </c>
      <c r="E43" s="502" t="s">
        <v>8969</v>
      </c>
      <c r="F43" s="97" t="s">
        <v>8970</v>
      </c>
      <c r="G43" s="513" t="s">
        <v>8930</v>
      </c>
      <c r="H43" s="513" t="s">
        <v>8895</v>
      </c>
      <c r="I43" s="97"/>
      <c r="J43" s="97"/>
      <c r="K43" s="97"/>
      <c r="L43" s="97" t="s">
        <v>4906</v>
      </c>
      <c r="M43" s="97">
        <v>1545240</v>
      </c>
      <c r="N43" s="99">
        <v>524824</v>
      </c>
      <c r="O43" s="600">
        <v>642817</v>
      </c>
      <c r="P43" s="94" t="s">
        <v>8931</v>
      </c>
      <c r="S43" s="94">
        <f ca="1">Q47+Q49+Q51+Q53+Q55+Q60</f>
        <v>44460.285577475835</v>
      </c>
    </row>
    <row r="44" spans="1:102" ht="68" x14ac:dyDescent="0.2">
      <c r="A44" s="199" t="s">
        <v>8897</v>
      </c>
      <c r="B44" s="1237" t="s">
        <v>8971</v>
      </c>
      <c r="C44" s="97" t="s">
        <v>8886</v>
      </c>
      <c r="D44" s="97">
        <v>25</v>
      </c>
      <c r="E44" s="502" t="s">
        <v>8972</v>
      </c>
      <c r="F44" s="97" t="s">
        <v>8973</v>
      </c>
      <c r="G44" s="97" t="s">
        <v>8974</v>
      </c>
      <c r="H44" s="97" t="s">
        <v>8895</v>
      </c>
      <c r="I44" s="97"/>
      <c r="J44" s="97"/>
      <c r="K44" s="97" t="s">
        <v>479</v>
      </c>
      <c r="L44" s="97">
        <v>14501.733461</v>
      </c>
      <c r="M44" s="97">
        <v>19314.295638039996</v>
      </c>
      <c r="N44" s="504">
        <v>24064.186236270001</v>
      </c>
      <c r="O44" s="510">
        <v>31808.476827409999</v>
      </c>
      <c r="P44" s="594">
        <v>39459.15065659579</v>
      </c>
      <c r="Q44" s="606">
        <f>SUM(R44:CX44)</f>
        <v>44668.221613475805</v>
      </c>
      <c r="R44" s="94">
        <f>SUMIFS(Свод!$AM$6:$AM$455,Свод!$G$6:$G$455,Расчеты!R$1)</f>
        <v>21.406999999999996</v>
      </c>
      <c r="S44" s="94">
        <f>SUMIFS(Свод!$AM$6:$AM$455,Свод!$G$6:$G$455,Расчеты!S$1)</f>
        <v>70.098441919999999</v>
      </c>
      <c r="T44" s="94">
        <f>SUMIFS(Свод!$AM$6:$AM$455,Свод!$G$6:$G$455,Расчеты!T$1)</f>
        <v>536.52650014999995</v>
      </c>
      <c r="U44" s="94">
        <f>SUMIFS(Свод!$AM$6:$AM$455,Свод!$G$6:$G$455,Расчеты!U$1)</f>
        <v>236.44900000000001</v>
      </c>
      <c r="V44" s="94">
        <f>SUMIFS(Свод!$AM$6:$AM$455,Свод!$G$6:$G$455,Расчеты!V$1)</f>
        <v>53.06</v>
      </c>
      <c r="W44" s="94">
        <f>SUMIFS(Свод!$AM$6:$AM$455,Свод!$G$6:$G$455,Расчеты!W$1)</f>
        <v>27.678000000000001</v>
      </c>
      <c r="X44" s="94">
        <f>SUMIFS(Свод!$AM$6:$AM$455,Свод!$G$6:$G$455,Расчеты!X$1)</f>
        <v>2083.3744250000004</v>
      </c>
      <c r="Y44" s="94">
        <f>SUMIFS(Свод!$AM$6:$AM$455,Свод!$G$6:$G$455,Расчеты!Y$1)</f>
        <v>2329.9076719999998</v>
      </c>
      <c r="Z44" s="94">
        <f>SUMIFS(Свод!$AM$6:$AM$455,Свод!$G$6:$G$455,Расчеты!Z$1)</f>
        <v>156.42912600000002</v>
      </c>
      <c r="AA44" s="94">
        <f>SUMIFS(Свод!$AM$6:$AM$455,Свод!$G$6:$G$455,Расчеты!AA$1)</f>
        <v>70</v>
      </c>
      <c r="AB44" s="94">
        <f>SUMIFS(Свод!$AM$6:$AM$455,Свод!$G$6:$G$455,Расчеты!AB$1)</f>
        <v>1102.5787043999999</v>
      </c>
      <c r="AC44" s="94">
        <f>SUMIFS(Свод!$AM$6:$AM$455,Свод!$G$6:$G$455,Расчеты!AC$1)</f>
        <v>0</v>
      </c>
      <c r="AD44" s="94">
        <f>SUMIFS(Свод!$AM$6:$AM$455,Свод!$G$6:$G$455,Расчеты!AD$1)</f>
        <v>898.9860000000001</v>
      </c>
      <c r="AE44" s="94">
        <f>SUMIFS(Свод!$AM$6:$AM$455,Свод!$G$6:$G$455,Расчеты!AE$1)</f>
        <v>578.86400000000003</v>
      </c>
      <c r="AF44" s="94">
        <f>SUMIFS(Свод!$AM$6:$AM$455,Свод!$G$6:$G$455,Расчеты!AF$1)</f>
        <v>950.44100000000003</v>
      </c>
      <c r="AG44" s="94">
        <f>SUMIFS(Свод!$AM$6:$AM$455,Свод!$G$6:$G$455,Расчеты!AG$1)</f>
        <v>0</v>
      </c>
      <c r="AH44" s="94">
        <f>SUMIFS(Свод!$AM$6:$AM$455,Свод!$G$6:$G$455,Расчеты!AH$1)</f>
        <v>1344.9551057003584</v>
      </c>
      <c r="AI44" s="94">
        <f>SUMIFS(Свод!$AM$6:$AM$455,Свод!$G$6:$G$455,Расчеты!AI$1)</f>
        <v>123.34139999999999</v>
      </c>
      <c r="AJ44" s="94">
        <f>SUMIFS(Свод!$AM$6:$AM$455,Свод!$G$6:$G$455,Расчеты!AJ$1)</f>
        <v>0</v>
      </c>
      <c r="AK44" s="94">
        <f>SUMIFS(Свод!$AM$6:$AM$455,Свод!$G$6:$G$455,Расчеты!AK$1)</f>
        <v>946</v>
      </c>
      <c r="AL44" s="94">
        <f>SUMIFS(Свод!$AM$6:$AM$455,Свод!$G$6:$G$455,Расчеты!AL$1)</f>
        <v>0</v>
      </c>
      <c r="AM44" s="94">
        <f>SUMIFS(Свод!$AM$6:$AM$455,Свод!$G$6:$G$455,Расчеты!AM$1)</f>
        <v>1352.1387709599999</v>
      </c>
      <c r="AN44" s="94">
        <f>SUMIFS(Свод!$AM$6:$AM$455,Свод!$G$6:$G$455,Расчеты!AN$1)</f>
        <v>18.273</v>
      </c>
      <c r="AO44" s="94">
        <f>SUMIFS(Свод!$AM$6:$AM$455,Свод!$G$6:$G$455,Расчеты!AO$1)</f>
        <v>303.32399999999996</v>
      </c>
      <c r="AP44" s="94">
        <f>SUMIFS(Свод!$AM$6:$AM$455,Свод!$G$6:$G$455,Расчеты!AP$1)</f>
        <v>0</v>
      </c>
      <c r="AQ44" s="94">
        <f>SUMIFS(Свод!$AM$6:$AM$455,Свод!$G$6:$G$455,Расчеты!AQ$1)</f>
        <v>0</v>
      </c>
      <c r="AR44" s="94">
        <f>SUMIFS(Свод!$AM$6:$AM$455,Свод!$G$6:$G$455,Расчеты!AR$1)</f>
        <v>422.49099999999999</v>
      </c>
      <c r="AS44" s="94">
        <f>SUMIFS(Свод!$AM$6:$AM$455,Свод!$G$6:$G$455,Расчеты!AS$1)</f>
        <v>207.423</v>
      </c>
      <c r="AT44" s="94">
        <f>SUMIFS(Свод!$AM$6:$AM$455,Свод!$G$6:$G$455,Расчеты!AT$1)</f>
        <v>391.09799999999996</v>
      </c>
      <c r="AU44" s="94">
        <f>SUMIFS(Свод!$AM$6:$AM$455,Свод!$G$6:$G$455,Расчеты!AU$1)</f>
        <v>457.72019652999995</v>
      </c>
      <c r="AV44" s="94">
        <f>SUMIFS(Свод!$AM$6:$AM$455,Свод!$G$6:$G$455,Расчеты!AV$1)</f>
        <v>582.342848</v>
      </c>
      <c r="AW44" s="94">
        <f>SUMIFS(Свод!$AM$6:$AM$455,Свод!$G$6:$G$455,Расчеты!AW$1)</f>
        <v>1742.4507394000002</v>
      </c>
      <c r="AX44" s="94">
        <f>SUMIFS(Свод!$AM$6:$AM$455,Свод!$G$6:$G$455,Расчеты!AX$1)</f>
        <v>362.82799999999997</v>
      </c>
      <c r="AY44" s="94">
        <f>SUMIFS(Свод!$AM$6:$AM$455,Свод!$G$6:$G$455,Расчеты!AY$1)</f>
        <v>303.68092234</v>
      </c>
      <c r="AZ44" s="94">
        <f>SUMIFS(Свод!$AM$6:$AM$455,Свод!$G$6:$G$455,Расчеты!AZ$1)</f>
        <v>785.04499999999996</v>
      </c>
      <c r="BA44" s="94">
        <f>SUMIFS(Свод!$AM$6:$AM$455,Свод!$G$6:$G$455,Расчеты!BA$1)</f>
        <v>81.353999999999999</v>
      </c>
      <c r="BB44" s="94">
        <f>SUMIFS(Свод!$AM$6:$AM$455,Свод!$G$6:$G$455,Расчеты!BB$1)</f>
        <v>589.8370000000001</v>
      </c>
      <c r="BC44" s="94">
        <f>SUMIFS(Свод!$AM$6:$AM$455,Свод!$G$6:$G$455,Расчеты!BC$1)</f>
        <v>66.525824260000007</v>
      </c>
      <c r="BD44" s="94">
        <f>SUMIFS(Свод!$AM$6:$AM$455,Свод!$G$6:$G$455,Расчеты!BD$1)</f>
        <v>10.401194</v>
      </c>
      <c r="BE44" s="94">
        <f>SUMIFS(Свод!$AM$6:$AM$455,Свод!$G$6:$G$455,Расчеты!BE$1)</f>
        <v>232.37250229999998</v>
      </c>
      <c r="BF44" s="94">
        <f>SUMIFS(Свод!$AM$6:$AM$455,Свод!$G$6:$G$455,Расчеты!BF$1)</f>
        <v>0</v>
      </c>
      <c r="BG44" s="94">
        <f>SUMIFS(Свод!$AM$6:$AM$455,Свод!$G$6:$G$455,Расчеты!BG$1)</f>
        <v>0</v>
      </c>
      <c r="BH44" s="94">
        <f>SUMIFS(Свод!$AM$6:$AM$455,Свод!$G$6:$G$455,Расчеты!BH$1)</f>
        <v>659.12049999999999</v>
      </c>
      <c r="BI44" s="94">
        <f>SUMIFS(Свод!$AM$6:$AM$455,Свод!$G$6:$G$455,Расчеты!BI$1)</f>
        <v>92.498999999999995</v>
      </c>
      <c r="BJ44" s="94">
        <f>SUMIFS(Свод!$AM$6:$AM$455,Свод!$G$6:$G$455,Расчеты!BJ$1)</f>
        <v>31.447000000000003</v>
      </c>
      <c r="BK44" s="94">
        <f>SUMIFS(Свод!$AM$6:$AM$455,Свод!$G$6:$G$455,Расчеты!BK$1)</f>
        <v>1159.6450690500001</v>
      </c>
      <c r="BL44" s="94">
        <f>SUMIFS(Свод!$AM$6:$AM$455,Свод!$G$6:$G$455,Расчеты!BL$1)</f>
        <v>899.5882267500001</v>
      </c>
      <c r="BM44" s="94">
        <f>SUMIFS(Свод!$AM$6:$AM$455,Свод!$G$6:$G$455,Расчеты!BM$1)</f>
        <v>260.80099999999999</v>
      </c>
      <c r="BN44" s="94">
        <f>SUMIFS(Свод!$AM$6:$AM$455,Свод!$G$6:$G$455,Расчеты!BN$1)</f>
        <v>992.21929214000011</v>
      </c>
      <c r="BO44" s="94">
        <f>SUMIFS(Свод!$AM$6:$AM$455,Свод!$G$6:$G$455,Расчеты!BO$1)</f>
        <v>261.40132520000009</v>
      </c>
      <c r="BP44" s="94">
        <f>SUMIFS(Свод!$AM$6:$AM$455,Свод!$G$6:$G$455,Расчеты!BP$1)</f>
        <v>613.47159228626253</v>
      </c>
      <c r="BQ44" s="94">
        <f>SUMIFS(Свод!$AM$6:$AM$455,Свод!$G$6:$G$455,Расчеты!BQ$1)</f>
        <v>33.527000000000001</v>
      </c>
      <c r="BR44" s="94">
        <f>SUMIFS(Свод!$AM$6:$AM$455,Свод!$G$6:$G$455,Расчеты!BR$1)</f>
        <v>361.86455037000002</v>
      </c>
      <c r="BS44" s="94">
        <f>SUMIFS(Свод!$AM$6:$AM$455,Свод!$G$6:$G$455,Расчеты!BS$1)</f>
        <v>248.49077330000003</v>
      </c>
      <c r="BT44" s="94">
        <f>SUMIFS(Свод!$AM$6:$AM$455,Свод!$G$6:$G$455,Расчеты!BT$1)</f>
        <v>79.061660000000003</v>
      </c>
      <c r="BU44" s="94">
        <f>SUMIFS(Свод!$AM$6:$AM$455,Свод!$G$6:$G$455,Расчеты!BU$1)</f>
        <v>720.28543000000002</v>
      </c>
      <c r="BV44" s="94">
        <f>SUMIFS(Свод!$AM$6:$AM$455,Свод!$G$6:$G$455,Расчеты!BV$1)</f>
        <v>705.90321420000009</v>
      </c>
      <c r="BW44" s="94">
        <f>SUMIFS(Свод!$AM$6:$AM$455,Свод!$G$6:$G$455,Расчеты!BW$1)</f>
        <v>459.73722334000024</v>
      </c>
      <c r="BX44" s="94">
        <f>SUMIFS(Свод!$AM$6:$AM$455,Свод!$G$6:$G$455,Расчеты!BX$1)</f>
        <v>311.82</v>
      </c>
      <c r="BY44" s="94">
        <f>SUMIFS(Свод!$AM$6:$AM$455,Свод!$G$6:$G$455,Расчеты!BY$1)</f>
        <v>1304.7257999999999</v>
      </c>
      <c r="BZ44" s="94">
        <f>SUMIFS(Свод!$AM$6:$AM$455,Свод!$G$6:$G$455,Расчеты!BZ$1)</f>
        <v>798.6</v>
      </c>
      <c r="CA44" s="94">
        <f>SUMIFS(Свод!$AM$6:$AM$455,Свод!$G$6:$G$455,Расчеты!CA$1)</f>
        <v>477.8</v>
      </c>
      <c r="CB44" s="94">
        <f>SUMIFS(Свод!$AM$6:$AM$455,Свод!$G$6:$G$455,Расчеты!CB$1)</f>
        <v>1961.9113843300001</v>
      </c>
      <c r="CC44" s="94">
        <f>SUMIFS(Свод!$AM$6:$AM$455,Свод!$G$6:$G$455,Расчеты!CC$1)</f>
        <v>42.579000000000001</v>
      </c>
      <c r="CD44" s="94">
        <f>SUMIFS(Свод!$AM$6:$AM$455,Свод!$G$6:$G$455,Расчеты!CD$1)</f>
        <v>3</v>
      </c>
      <c r="CE44" s="94">
        <f>SUMIFS(Свод!$AM$6:$AM$455,Свод!$G$6:$G$455,Расчеты!CE$1)</f>
        <v>5.8369999999999997</v>
      </c>
      <c r="CF44" s="94">
        <f>SUMIFS(Свод!$AM$6:$AM$455,Свод!$G$6:$G$455,Расчеты!CF$1)</f>
        <v>579.41180802999975</v>
      </c>
      <c r="CG44" s="94">
        <f>SUMIFS(Свод!$AM$6:$AM$455,Свод!$G$6:$G$455,Расчеты!CG$1)</f>
        <v>1278.8941829599996</v>
      </c>
      <c r="CH44" s="94">
        <f>SUMIFS(Свод!$AM$6:$AM$455,Свод!$G$6:$G$455,Расчеты!CH$1)</f>
        <v>1707.3300000000002</v>
      </c>
      <c r="CI44" s="94">
        <f>SUMIFS(Свод!$AM$6:$AM$455,Свод!$G$6:$G$455,Расчеты!CI$1)</f>
        <v>313.26699999999994</v>
      </c>
      <c r="CJ44" s="94">
        <f>SUMIFS(Свод!$AM$6:$AM$455,Свод!$G$6:$G$455,Расчеты!CJ$1)</f>
        <v>60.58984684</v>
      </c>
      <c r="CK44" s="94">
        <f>SUMIFS(Свод!$AM$6:$AM$455,Свод!$G$6:$G$455,Расчеты!CK$1)</f>
        <v>684.91499999999996</v>
      </c>
      <c r="CL44" s="94">
        <f>SUMIFS(Свод!$AM$6:$AM$455,Свод!$G$6:$G$455,Расчеты!CL$1)</f>
        <v>0</v>
      </c>
      <c r="CM44" s="94">
        <f>SUMIFS(Свод!$AM$6:$AM$455,Свод!$G$6:$G$455,Расчеты!CM$1)</f>
        <v>648.90003200000012</v>
      </c>
      <c r="CN44" s="94">
        <f>SUMIFS(Свод!$AM$6:$AM$455,Свод!$G$6:$G$455,Расчеты!CN$1)</f>
        <v>272.22852999999998</v>
      </c>
      <c r="CO44" s="94">
        <f>SUMIFS(Свод!$AM$6:$AM$455,Свод!$G$6:$G$455,Расчеты!CO$1)</f>
        <v>1214.1765201200003</v>
      </c>
      <c r="CP44" s="94">
        <f>SUMIFS(Свод!$AM$6:$AM$455,Свод!$G$6:$G$455,Расчеты!CP$1)</f>
        <v>780.53355396920722</v>
      </c>
      <c r="CQ44" s="94">
        <f>SUMIFS(Свод!$AM$6:$AM$455,Свод!$G$6:$G$455,Расчеты!CQ$1)</f>
        <v>0</v>
      </c>
      <c r="CR44" s="94">
        <f>SUMIFS(Свод!$AM$6:$AM$455,Свод!$G$6:$G$455,Расчеты!CR$1)</f>
        <v>1348.1045332600004</v>
      </c>
      <c r="CS44" s="94">
        <f>SUMIFS(Свод!$AM$6:$AM$455,Свод!$G$6:$G$455,Расчеты!CS$1)</f>
        <v>1329.050326</v>
      </c>
      <c r="CT44" s="94">
        <f>SUMIFS(Свод!$AM$6:$AM$455,Свод!$G$6:$G$455,Расчеты!CT$1)</f>
        <v>28.738000000000003</v>
      </c>
      <c r="CU44" s="94">
        <f>SUMIFS(Свод!$AM$6:$AM$455,Свод!$G$6:$G$455,Расчеты!CU$1)</f>
        <v>1177.0461422600001</v>
      </c>
      <c r="CV44" s="94">
        <f>SUMIFS(Свод!$AM$6:$AM$455,Свод!$G$6:$G$455,Расчеты!CV$1)</f>
        <v>72.599999999999994</v>
      </c>
      <c r="CW44" s="94">
        <f>SUMIFS(Свод!$AM$6:$AM$455,Свод!$G$6:$G$455,Расчеты!CW$1)</f>
        <v>469.12472410999999</v>
      </c>
      <c r="CX44" s="94">
        <f>SUMIFS(Свод!$AM$6:$AM$455,Свод!$G$6:$G$455,Расчеты!CX$1)</f>
        <v>778.57300000000009</v>
      </c>
    </row>
    <row r="45" spans="1:102" ht="113" customHeight="1" x14ac:dyDescent="0.2">
      <c r="A45" s="199"/>
      <c r="B45" s="1237"/>
      <c r="C45" s="97" t="s">
        <v>8886</v>
      </c>
      <c r="D45" s="97">
        <v>26</v>
      </c>
      <c r="E45" s="502" t="s">
        <v>8975</v>
      </c>
      <c r="F45" s="97" t="s">
        <v>9566</v>
      </c>
      <c r="G45" s="513" t="s">
        <v>8974</v>
      </c>
      <c r="H45" s="513" t="s">
        <v>8895</v>
      </c>
      <c r="I45" s="97"/>
      <c r="J45" s="97"/>
      <c r="K45" s="97" t="s">
        <v>479</v>
      </c>
      <c r="L45" s="97" t="s">
        <v>4906</v>
      </c>
      <c r="M45" s="97">
        <v>18568.369938039999</v>
      </c>
      <c r="N45" s="607">
        <v>23130.056435779999</v>
      </c>
      <c r="O45" s="608">
        <v>29717.80639505</v>
      </c>
      <c r="P45" s="594">
        <v>36816.763287646791</v>
      </c>
      <c r="Q45" s="94">
        <f>SUM(R45:CX45)</f>
        <v>41156.824882866604</v>
      </c>
      <c r="R45" s="94">
        <f>SUMIFS(Свод!$AM$6:$AM$455,Свод!$F$6:$F$455,"суб",Свод!$G$6:$G$455,Расчеты!R$1)</f>
        <v>21.406999999999996</v>
      </c>
      <c r="S45" s="94">
        <f>SUMIFS(Свод!$AM$6:$AM$455,Свод!$F$6:$F$455,"суб",Свод!$G$6:$G$455,Расчеты!S$1)</f>
        <v>70.098441919999999</v>
      </c>
      <c r="T45" s="94">
        <f>SUMIFS(Свод!$AM$6:$AM$455,Свод!$F$6:$F$455,"суб",Свод!$G$6:$G$455,Расчеты!T$1)</f>
        <v>536.52650014999995</v>
      </c>
      <c r="U45" s="94">
        <f>SUMIFS(Свод!$AM$6:$AM$455,Свод!$F$6:$F$455,"суб",Свод!$G$6:$G$455,Расчеты!U$1)</f>
        <v>236.44900000000001</v>
      </c>
      <c r="V45" s="94">
        <f>SUMIFS(Свод!$AM$6:$AM$455,Свод!$F$6:$F$455,"суб",Свод!$G$6:$G$455,Расчеты!V$1)</f>
        <v>38.980000000000004</v>
      </c>
      <c r="W45" s="94">
        <f>SUMIFS(Свод!$AM$6:$AM$455,Свод!$F$6:$F$455,"суб",Свод!$G$6:$G$455,Расчеты!W$1)</f>
        <v>27.678000000000001</v>
      </c>
      <c r="X45" s="94">
        <f>SUMIFS(Свод!$AM$6:$AM$455,Свод!$F$6:$F$455,"суб",Свод!$G$6:$G$455,Расчеты!X$1)</f>
        <v>2079.448977</v>
      </c>
      <c r="Y45" s="94">
        <f>SUMIFS(Свод!$AM$6:$AM$455,Свод!$F$6:$F$455,"суб",Свод!$G$6:$G$455,Расчеты!Y$1)</f>
        <v>2302.5699999999997</v>
      </c>
      <c r="Z45" s="94">
        <f>SUMIFS(Свод!$AM$6:$AM$455,Свод!$F$6:$F$455,"суб",Свод!$G$6:$G$455,Расчеты!Z$1)</f>
        <v>155.47900000000001</v>
      </c>
      <c r="AA45" s="94">
        <f>SUMIFS(Свод!$AM$6:$AM$455,Свод!$F$6:$F$455,"суб",Свод!$G$6:$G$455,Расчеты!AA$1)</f>
        <v>70</v>
      </c>
      <c r="AB45" s="94">
        <f>SUMIFS(Свод!$AM$6:$AM$455,Свод!$F$6:$F$455,"суб",Свод!$G$6:$G$455,Расчеты!AB$1)</f>
        <v>1101.5236</v>
      </c>
      <c r="AC45" s="94">
        <f>SUMIFS(Свод!$AM$6:$AM$455,Свод!$F$6:$F$455,"суб",Свод!$G$6:$G$455,Расчеты!AC$1)</f>
        <v>0</v>
      </c>
      <c r="AD45" s="94">
        <f>SUMIFS(Свод!$AM$6:$AM$455,Свод!$F$6:$F$455,"суб",Свод!$G$6:$G$455,Расчеты!AD$1)</f>
        <v>569.38200000000006</v>
      </c>
      <c r="AE45" s="94">
        <f>SUMIFS(Свод!$AM$6:$AM$455,Свод!$F$6:$F$455,"суб",Свод!$G$6:$G$455,Расчеты!AE$1)</f>
        <v>578.86400000000003</v>
      </c>
      <c r="AF45" s="94">
        <f>SUMIFS(Свод!$AM$6:$AM$455,Свод!$F$6:$F$455,"суб",Свод!$G$6:$G$455,Расчеты!AF$1)</f>
        <v>950.44100000000003</v>
      </c>
      <c r="AG45" s="94">
        <f>SUMIFS(Свод!$AM$6:$AM$455,Свод!$F$6:$F$455,"суб",Свод!$G$6:$G$455,Расчеты!AG$1)</f>
        <v>0</v>
      </c>
      <c r="AH45" s="94">
        <f>SUMIFS(Свод!$AM$6:$AM$455,Свод!$F$6:$F$455,"суб",Свод!$G$6:$G$455,Расчеты!AH$1)</f>
        <v>1344.9551057003584</v>
      </c>
      <c r="AI45" s="94">
        <f>SUMIFS(Свод!$AM$6:$AM$455,Свод!$F$6:$F$455,"суб",Свод!$G$6:$G$455,Расчеты!AI$1)</f>
        <v>123.34139999999999</v>
      </c>
      <c r="AJ45" s="94">
        <f>SUMIFS(Свод!$AM$6:$AM$455,Свод!$F$6:$F$455,"суб",Свод!$G$6:$G$455,Расчеты!AJ$1)</f>
        <v>0</v>
      </c>
      <c r="AK45" s="94">
        <f>SUMIFS(Свод!$AM$6:$AM$455,Свод!$F$6:$F$455,"суб",Свод!$G$6:$G$455,Расчеты!AK$1)</f>
        <v>946</v>
      </c>
      <c r="AL45" s="94">
        <f>SUMIFS(Свод!$AM$6:$AM$455,Свод!$F$6:$F$455,"суб",Свод!$G$6:$G$455,Расчеты!AL$1)</f>
        <v>0</v>
      </c>
      <c r="AM45" s="94">
        <f>SUMIFS(Свод!$AM$6:$AM$455,Свод!$F$6:$F$455,"суб",Свод!$G$6:$G$455,Расчеты!AM$1)</f>
        <v>1342.53130096</v>
      </c>
      <c r="AN45" s="94">
        <f>SUMIFS(Свод!$AM$6:$AM$455,Свод!$F$6:$F$455,"суб",Свод!$G$6:$G$455,Расчеты!AN$1)</f>
        <v>18.273</v>
      </c>
      <c r="AO45" s="94">
        <f>SUMIFS(Свод!$AM$6:$AM$455,Свод!$F$6:$F$455,"суб",Свод!$G$6:$G$455,Расчеты!AO$1)</f>
        <v>288.017</v>
      </c>
      <c r="AP45" s="94">
        <f>SUMIFS(Свод!$AM$6:$AM$455,Свод!$F$6:$F$455,"суб",Свод!$G$6:$G$455,Расчеты!AP$1)</f>
        <v>0</v>
      </c>
      <c r="AQ45" s="94">
        <f>SUMIFS(Свод!$AM$6:$AM$455,Свод!$F$6:$F$455,"суб",Свод!$G$6:$G$455,Расчеты!AQ$1)</f>
        <v>0</v>
      </c>
      <c r="AR45" s="94">
        <f>SUMIFS(Свод!$AM$6:$AM$455,Свод!$F$6:$F$455,"суб",Свод!$G$6:$G$455,Расчеты!AR$1)</f>
        <v>422.49099999999999</v>
      </c>
      <c r="AS45" s="94">
        <f>SUMIFS(Свод!$AM$6:$AM$455,Свод!$F$6:$F$455,"суб",Свод!$G$6:$G$455,Расчеты!AS$1)</f>
        <v>207.423</v>
      </c>
      <c r="AT45" s="94">
        <f>SUMIFS(Свод!$AM$6:$AM$455,Свод!$F$6:$F$455,"суб",Свод!$G$6:$G$455,Расчеты!AT$1)</f>
        <v>383.18799999999999</v>
      </c>
      <c r="AU45" s="94">
        <f>SUMIFS(Свод!$AM$6:$AM$455,Свод!$F$6:$F$455,"суб",Свод!$G$6:$G$455,Расчеты!AU$1)</f>
        <v>391.25291600000003</v>
      </c>
      <c r="AV45" s="94">
        <f>SUMIFS(Свод!$AM$6:$AM$455,Свод!$F$6:$F$455,"суб",Свод!$G$6:$G$455,Расчеты!AV$1)</f>
        <v>582.342848</v>
      </c>
      <c r="AW45" s="94">
        <f>SUMIFS(Свод!$AM$6:$AM$455,Свод!$F$6:$F$455,"суб",Свод!$G$6:$G$455,Расчеты!AW$1)</f>
        <v>300</v>
      </c>
      <c r="AX45" s="94">
        <f>SUMIFS(Свод!$AM$6:$AM$455,Свод!$F$6:$F$455,"суб",Свод!$G$6:$G$455,Расчеты!AX$1)</f>
        <v>301.58199999999999</v>
      </c>
      <c r="AY45" s="94">
        <f>SUMIFS(Свод!$AM$6:$AM$455,Свод!$F$6:$F$455,"суб",Свод!$G$6:$G$455,Расчеты!AY$1)</f>
        <v>303.17592234</v>
      </c>
      <c r="AZ45" s="94">
        <f>SUMIFS(Свод!$AM$6:$AM$455,Свод!$F$6:$F$455,"суб",Свод!$G$6:$G$455,Расчеты!AZ$1)</f>
        <v>785.04499999999996</v>
      </c>
      <c r="BA45" s="94">
        <f>SUMIFS(Свод!$AM$6:$AM$455,Свод!$F$6:$F$455,"суб",Свод!$G$6:$G$455,Расчеты!BA$1)</f>
        <v>73.100000000000009</v>
      </c>
      <c r="BB45" s="94">
        <f>SUMIFS(Свод!$AM$6:$AM$455,Свод!$F$6:$F$455,"суб",Свод!$G$6:$G$455,Расчеты!BB$1)</f>
        <v>576.43700000000013</v>
      </c>
      <c r="BC45" s="94">
        <f>SUMIFS(Свод!$AM$6:$AM$455,Свод!$F$6:$F$455,"суб",Свод!$G$6:$G$455,Расчеты!BC$1)</f>
        <v>66.525824260000007</v>
      </c>
      <c r="BD45" s="94">
        <f>SUMIFS(Свод!$AM$6:$AM$455,Свод!$F$6:$F$455,"суб",Свод!$G$6:$G$455,Расчеты!BD$1)</f>
        <v>9.5088159999999995</v>
      </c>
      <c r="BE45" s="94">
        <f>SUMIFS(Свод!$AM$6:$AM$455,Свод!$F$6:$F$455,"суб",Свод!$G$6:$G$455,Расчеты!BE$1)</f>
        <v>232.37250229999998</v>
      </c>
      <c r="BF45" s="94">
        <f>SUMIFS(Свод!$AM$6:$AM$455,Свод!$F$6:$F$455,"суб",Свод!$G$6:$G$455,Расчеты!BF$1)</f>
        <v>0</v>
      </c>
      <c r="BG45" s="94">
        <f>SUMIFS(Свод!$AM$6:$AM$455,Свод!$F$6:$F$455,"суб",Свод!$G$6:$G$455,Расчеты!BG$1)</f>
        <v>0</v>
      </c>
      <c r="BH45" s="94">
        <f>SUMIFS(Свод!$AM$6:$AM$455,Свод!$F$6:$F$455,"суб",Свод!$G$6:$G$455,Расчеты!BH$1)</f>
        <v>659.12049999999999</v>
      </c>
      <c r="BI45" s="94">
        <f>SUMIFS(Свод!$AM$6:$AM$455,Свод!$F$6:$F$455,"суб",Свод!$G$6:$G$455,Расчеты!BI$1)</f>
        <v>92.498999999999995</v>
      </c>
      <c r="BJ45" s="94">
        <f>SUMIFS(Свод!$AM$6:$AM$455,Свод!$F$6:$F$455,"суб",Свод!$G$6:$G$455,Расчеты!BJ$1)</f>
        <v>31.447000000000003</v>
      </c>
      <c r="BK45" s="94">
        <f>SUMIFS(Свод!$AM$6:$AM$455,Свод!$F$6:$F$455,"суб",Свод!$G$6:$G$455,Расчеты!BK$1)</f>
        <v>1089.098</v>
      </c>
      <c r="BL45" s="94">
        <f>SUMIFS(Свод!$AM$6:$AM$455,Свод!$F$6:$F$455,"суб",Свод!$G$6:$G$455,Расчеты!BL$1)</f>
        <v>898.18822675000001</v>
      </c>
      <c r="BM45" s="94">
        <f>SUMIFS(Свод!$AM$6:$AM$455,Свод!$F$6:$F$455,"суб",Свод!$G$6:$G$455,Расчеты!BM$1)</f>
        <v>260.58999999999997</v>
      </c>
      <c r="BN45" s="94">
        <f>SUMIFS(Свод!$AM$6:$AM$455,Свод!$F$6:$F$455,"суб",Свод!$G$6:$G$455,Расчеты!BN$1)</f>
        <v>975.94672114000014</v>
      </c>
      <c r="BO45" s="94">
        <f>SUMIFS(Свод!$AM$6:$AM$455,Свод!$F$6:$F$455,"суб",Свод!$G$6:$G$455,Расчеты!BO$1)</f>
        <v>230.79090000000002</v>
      </c>
      <c r="BP45" s="94">
        <f>SUMIFS(Свод!$AM$6:$AM$455,Свод!$F$6:$F$455,"суб",Свод!$G$6:$G$455,Расчеты!BP$1)</f>
        <v>613.47159228626253</v>
      </c>
      <c r="BQ45" s="94">
        <f>SUMIFS(Свод!$AM$6:$AM$455,Свод!$F$6:$F$455,"суб",Свод!$G$6:$G$455,Расчеты!BQ$1)</f>
        <v>0</v>
      </c>
      <c r="BR45" s="94">
        <f>SUMIFS(Свод!$AM$6:$AM$455,Свод!$F$6:$F$455,"суб",Свод!$G$6:$G$455,Расчеты!BR$1)</f>
        <v>337.36191697000004</v>
      </c>
      <c r="BS45" s="94">
        <f>SUMIFS(Свод!$AM$6:$AM$455,Свод!$F$6:$F$455,"суб",Свод!$G$6:$G$455,Расчеты!BS$1)</f>
        <v>231.00200000000001</v>
      </c>
      <c r="BT45" s="94">
        <f>SUMIFS(Свод!$AM$6:$AM$455,Свод!$F$6:$F$455,"суб",Свод!$G$6:$G$455,Расчеты!BT$1)</f>
        <v>79.061660000000003</v>
      </c>
      <c r="BU45" s="94">
        <f>SUMIFS(Свод!$AM$6:$AM$455,Свод!$F$6:$F$455,"суб",Свод!$G$6:$G$455,Расчеты!BU$1)</f>
        <v>372.78143</v>
      </c>
      <c r="BV45" s="94">
        <f>SUMIFS(Свод!$AM$6:$AM$455,Свод!$F$6:$F$455,"суб",Свод!$G$6:$G$455,Расчеты!BV$1)</f>
        <v>705.90321420000009</v>
      </c>
      <c r="BW45" s="94">
        <f>SUMIFS(Свод!$AM$6:$AM$455,Свод!$F$6:$F$455,"суб",Свод!$G$6:$G$455,Расчеты!BW$1)</f>
        <v>416.86777201000007</v>
      </c>
      <c r="BX45" s="94">
        <f>SUMIFS(Свод!$AM$6:$AM$455,Свод!$F$6:$F$455,"суб",Свод!$G$6:$G$455,Расчеты!BX$1)</f>
        <v>311.82</v>
      </c>
      <c r="BY45" s="94">
        <f>SUMIFS(Свод!$AM$6:$AM$455,Свод!$F$6:$F$455,"суб",Свод!$G$6:$G$455,Расчеты!BY$1)</f>
        <v>1304.7257999999999</v>
      </c>
      <c r="BZ45" s="94">
        <f>SUMIFS(Свод!$AM$6:$AM$455,Свод!$F$6:$F$455,"суб",Свод!$G$6:$G$455,Расчеты!BZ$1)</f>
        <v>798.6</v>
      </c>
      <c r="CA45" s="94">
        <f>SUMIFS(Свод!$AM$6:$AM$455,Свод!$F$6:$F$455,"суб",Свод!$G$6:$G$455,Расчеты!CA$1)</f>
        <v>477.8</v>
      </c>
      <c r="CB45" s="94">
        <f>SUMIFS(Свод!$AM$6:$AM$455,Свод!$F$6:$F$455,"суб",Свод!$G$6:$G$455,Расчеты!CB$1)</f>
        <v>1917.2400843300002</v>
      </c>
      <c r="CC45" s="94">
        <f>SUMIFS(Свод!$AM$6:$AM$455,Свод!$F$6:$F$455,"суб",Свод!$G$6:$G$455,Расчеты!CC$1)</f>
        <v>42.579000000000001</v>
      </c>
      <c r="CD45" s="94">
        <f>SUMIFS(Свод!$AM$6:$AM$455,Свод!$F$6:$F$455,"суб",Свод!$G$6:$G$455,Расчеты!CD$1)</f>
        <v>3</v>
      </c>
      <c r="CE45" s="94">
        <f>SUMIFS(Свод!$AM$6:$AM$455,Свод!$F$6:$F$455,"суб",Свод!$G$6:$G$455,Расчеты!CE$1)</f>
        <v>5.8369999999999997</v>
      </c>
      <c r="CF45" s="94">
        <f>SUMIFS(Свод!$AM$6:$AM$455,Свод!$F$6:$F$455,"суб",Свод!$G$6:$G$455,Расчеты!CF$1)</f>
        <v>439.24599999999998</v>
      </c>
      <c r="CG45" s="94">
        <f>SUMIFS(Свод!$AM$6:$AM$455,Свод!$F$6:$F$455,"суб",Свод!$G$6:$G$455,Расчеты!CG$1)</f>
        <v>1277.6131829599997</v>
      </c>
      <c r="CH45" s="94">
        <f>SUMIFS(Свод!$AM$6:$AM$455,Свод!$F$6:$F$455,"суб",Свод!$G$6:$G$455,Расчеты!CH$1)</f>
        <v>1707.3300000000002</v>
      </c>
      <c r="CI45" s="94">
        <f>SUMIFS(Свод!$AM$6:$AM$455,Свод!$F$6:$F$455,"суб",Свод!$G$6:$G$455,Расчеты!CI$1)</f>
        <v>313.26699999999994</v>
      </c>
      <c r="CJ45" s="94">
        <f>SUMIFS(Свод!$AM$6:$AM$455,Свод!$F$6:$F$455,"суб",Свод!$G$6:$G$455,Расчеты!CJ$1)</f>
        <v>60.58984684</v>
      </c>
      <c r="CK45" s="94">
        <f>SUMIFS(Свод!$AM$6:$AM$455,Свод!$F$6:$F$455,"суб",Свод!$G$6:$G$455,Расчеты!CK$1)</f>
        <v>684.91499999999996</v>
      </c>
      <c r="CL45" s="94">
        <f>SUMIFS(Свод!$AM$6:$AM$455,Свод!$F$6:$F$455,"суб",Свод!$G$6:$G$455,Расчеты!CL$1)</f>
        <v>0</v>
      </c>
      <c r="CM45" s="94">
        <f>SUMIFS(Свод!$AM$6:$AM$455,Свод!$F$6:$F$455,"суб",Свод!$G$6:$G$455,Расчеты!CM$1)</f>
        <v>630.11803200000008</v>
      </c>
      <c r="CN45" s="94">
        <f>SUMIFS(Свод!$AM$6:$AM$455,Свод!$F$6:$F$455,"суб",Свод!$G$6:$G$455,Расчеты!CN$1)</f>
        <v>271.68012999999996</v>
      </c>
      <c r="CO45" s="94">
        <f>SUMIFS(Свод!$AM$6:$AM$455,Свод!$F$6:$F$455,"суб",Свод!$G$6:$G$455,Расчеты!CO$1)</f>
        <v>1210.6126601200001</v>
      </c>
      <c r="CP45" s="94">
        <f>SUMIFS(Свод!$AM$6:$AM$455,Свод!$F$6:$F$455,"суб",Свод!$G$6:$G$455,Расчеты!CP$1)</f>
        <v>770.25314036999976</v>
      </c>
      <c r="CQ45" s="94">
        <f>SUMIFS(Свод!$AM$6:$AM$455,Свод!$F$6:$F$455,"суб",Свод!$G$6:$G$455,Расчеты!CQ$1)</f>
        <v>0</v>
      </c>
      <c r="CR45" s="94">
        <f>SUMIFS(Свод!$AM$6:$AM$455,Свод!$F$6:$F$455,"суб",Свод!$G$6:$G$455,Расчеты!CR$1)</f>
        <v>1113.05045</v>
      </c>
      <c r="CS45" s="94">
        <f>SUMIFS(Свод!$AM$6:$AM$455,Свод!$F$6:$F$455,"суб",Свод!$G$6:$G$455,Расчеты!CS$1)</f>
        <v>1329.050326</v>
      </c>
      <c r="CT45" s="94">
        <f>SUMIFS(Свод!$AM$6:$AM$455,Свод!$F$6:$F$455,"суб",Свод!$G$6:$G$455,Расчеты!CT$1)</f>
        <v>28.738000000000003</v>
      </c>
      <c r="CU45" s="94">
        <f>SUMIFS(Свод!$AM$6:$AM$455,Свод!$F$6:$F$455,"суб",Свод!$G$6:$G$455,Расчеты!CU$1)</f>
        <v>1177.0461422600001</v>
      </c>
      <c r="CV45" s="94">
        <f>SUMIFS(Свод!$AM$6:$AM$455,Свод!$F$6:$F$455,"суб",Свод!$G$6:$G$455,Расчеты!CV$1)</f>
        <v>72.599999999999994</v>
      </c>
      <c r="CW45" s="94">
        <f>SUMIFS(Свод!$AM$6:$AM$455,Свод!$F$6:$F$455,"суб",Свод!$G$6:$G$455,Расчеты!CW$1)</f>
        <v>0</v>
      </c>
      <c r="CX45" s="94">
        <f>SUMIFS(Свод!$AM$6:$AM$455,Свод!$F$6:$F$455,"суб",Свод!$G$6:$G$455,Расчеты!CX$1)</f>
        <v>778.57300000000009</v>
      </c>
    </row>
    <row r="46" spans="1:102" ht="122" customHeight="1" x14ac:dyDescent="0.2">
      <c r="A46" s="199"/>
      <c r="B46" s="1237"/>
      <c r="C46" s="97" t="s">
        <v>8886</v>
      </c>
      <c r="D46" s="97">
        <v>27</v>
      </c>
      <c r="E46" s="502" t="s">
        <v>8976</v>
      </c>
      <c r="F46" s="97" t="s">
        <v>9567</v>
      </c>
      <c r="G46" s="513" t="s">
        <v>8974</v>
      </c>
      <c r="H46" s="513" t="s">
        <v>8895</v>
      </c>
      <c r="I46" s="97"/>
      <c r="J46" s="97"/>
      <c r="K46" s="97"/>
      <c r="L46" s="97" t="s">
        <v>4906</v>
      </c>
      <c r="M46" s="97">
        <v>745.92569999999989</v>
      </c>
      <c r="N46" s="99">
        <v>934.12980049000009</v>
      </c>
      <c r="O46" s="608">
        <v>2090.6704323600002</v>
      </c>
      <c r="P46" s="594">
        <v>2642.3873689489997</v>
      </c>
      <c r="Q46" s="94">
        <f>SUM(R46:CX46)</f>
        <v>3511.3967306092081</v>
      </c>
      <c r="R46" s="94">
        <f>SUMIFS(Свод!$AM$6:$AM$455,Свод!$F$6:$F$455,"мун",Свод!$G$6:$G$455,Расчеты!R$1)</f>
        <v>0</v>
      </c>
      <c r="S46" s="94">
        <f>SUMIFS(Свод!$AM$6:$AM$455,Свод!$F$6:$F$455,"мун",Свод!$G$6:$G$455,Расчеты!S$1)</f>
        <v>0</v>
      </c>
      <c r="T46" s="94">
        <f>SUMIFS(Свод!$AM$6:$AM$455,Свод!$F$6:$F$455,"мун",Свод!$G$6:$G$455,Расчеты!T$1)</f>
        <v>0</v>
      </c>
      <c r="U46" s="94">
        <f>SUMIFS(Свод!$AM$6:$AM$455,Свод!$F$6:$F$455,"мун",Свод!$G$6:$G$455,Расчеты!U$1)</f>
        <v>0</v>
      </c>
      <c r="V46" s="94">
        <f>SUMIFS(Свод!$AM$6:$AM$455,Свод!$F$6:$F$455,"мун",Свод!$G$6:$G$455,Расчеты!V$1)</f>
        <v>14.079999999999998</v>
      </c>
      <c r="W46" s="94">
        <f>SUMIFS(Свод!$AM$6:$AM$455,Свод!$F$6:$F$455,"мун",Свод!$G$6:$G$455,Расчеты!W$1)</f>
        <v>0</v>
      </c>
      <c r="X46" s="94">
        <f>SUMIFS(Свод!$AM$6:$AM$455,Свод!$F$6:$F$455,"мун",Свод!$G$6:$G$455,Расчеты!X$1)</f>
        <v>3.9254479999999998</v>
      </c>
      <c r="Y46" s="94">
        <f>SUMIFS(Свод!$AM$6:$AM$455,Свод!$F$6:$F$455,"мун",Свод!$G$6:$G$455,Расчеты!Y$1)</f>
        <v>27.337672000000001</v>
      </c>
      <c r="Z46" s="94">
        <f>SUMIFS(Свод!$AM$6:$AM$455,Свод!$F$6:$F$455,"мун",Свод!$G$6:$G$455,Расчеты!Z$1)</f>
        <v>0.95012600000000003</v>
      </c>
      <c r="AA46" s="94">
        <f>SUMIFS(Свод!$AM$6:$AM$455,Свод!$F$6:$F$455,"мун",Свод!$G$6:$G$455,Расчеты!AA$1)</f>
        <v>0</v>
      </c>
      <c r="AB46" s="94">
        <f>SUMIFS(Свод!$AM$6:$AM$455,Свод!$F$6:$F$455,"мун",Свод!$G$6:$G$455,Расчеты!AB$1)</f>
        <v>1.0551043999999998</v>
      </c>
      <c r="AC46" s="94">
        <f>SUMIFS(Свод!$AM$6:$AM$455,Свод!$F$6:$F$455,"мун",Свод!$G$6:$G$455,Расчеты!AC$1)</f>
        <v>0</v>
      </c>
      <c r="AD46" s="94">
        <f>SUMIFS(Свод!$AM$6:$AM$455,Свод!$F$6:$F$455,"мун",Свод!$G$6:$G$455,Расчеты!AD$1)</f>
        <v>329.60399999999998</v>
      </c>
      <c r="AE46" s="94">
        <f>SUMIFS(Свод!$AM$6:$AM$455,Свод!$F$6:$F$455,"мун",Свод!$G$6:$G$455,Расчеты!AE$1)</f>
        <v>0</v>
      </c>
      <c r="AF46" s="94">
        <f>SUMIFS(Свод!$AM$6:$AM$455,Свод!$F$6:$F$455,"мун",Свод!$G$6:$G$455,Расчеты!AF$1)</f>
        <v>0</v>
      </c>
      <c r="AG46" s="94">
        <f>SUMIFS(Свод!$AM$6:$AM$455,Свод!$F$6:$F$455,"мун",Свод!$G$6:$G$455,Расчеты!AG$1)</f>
        <v>0</v>
      </c>
      <c r="AH46" s="94">
        <f>SUMIFS(Свод!$AM$6:$AM$455,Свод!$F$6:$F$455,"мун",Свод!$G$6:$G$455,Расчеты!AH$1)</f>
        <v>0</v>
      </c>
      <c r="AI46" s="94">
        <f>SUMIFS(Свод!$AM$6:$AM$455,Свод!$F$6:$F$455,"мун",Свод!$G$6:$G$455,Расчеты!AI$1)</f>
        <v>0</v>
      </c>
      <c r="AJ46" s="94">
        <f>SUMIFS(Свод!$AM$6:$AM$455,Свод!$F$6:$F$455,"мун",Свод!$G$6:$G$455,Расчеты!AJ$1)</f>
        <v>0</v>
      </c>
      <c r="AK46" s="94">
        <f>SUMIFS(Свод!$AM$6:$AM$455,Свод!$F$6:$F$455,"мун",Свод!$G$6:$G$455,Расчеты!AK$1)</f>
        <v>0</v>
      </c>
      <c r="AL46" s="94">
        <f>SUMIFS(Свод!$AM$6:$AM$455,Свод!$F$6:$F$455,"мун",Свод!$G$6:$G$455,Расчеты!AL$1)</f>
        <v>0</v>
      </c>
      <c r="AM46" s="94">
        <f>SUMIFS(Свод!$AM$6:$AM$455,Свод!$F$6:$F$455,"мун",Свод!$G$6:$G$455,Расчеты!AM$1)</f>
        <v>9.6074699999999993</v>
      </c>
      <c r="AN46" s="94">
        <f>SUMIFS(Свод!$AM$6:$AM$455,Свод!$F$6:$F$455,"мун",Свод!$G$6:$G$455,Расчеты!AN$1)</f>
        <v>0</v>
      </c>
      <c r="AO46" s="94">
        <f>SUMIFS(Свод!$AM$6:$AM$455,Свод!$F$6:$F$455,"мун",Свод!$G$6:$G$455,Расчеты!AO$1)</f>
        <v>15.307</v>
      </c>
      <c r="AP46" s="94">
        <f>SUMIFS(Свод!$AM$6:$AM$455,Свод!$F$6:$F$455,"мун",Свод!$G$6:$G$455,Расчеты!AP$1)</f>
        <v>0</v>
      </c>
      <c r="AQ46" s="94">
        <f>SUMIFS(Свод!$AM$6:$AM$455,Свод!$F$6:$F$455,"мун",Свод!$G$6:$G$455,Расчеты!AQ$1)</f>
        <v>0</v>
      </c>
      <c r="AR46" s="94">
        <f>SUMIFS(Свод!$AM$6:$AM$455,Свод!$F$6:$F$455,"мун",Свод!$G$6:$G$455,Расчеты!AR$1)</f>
        <v>0</v>
      </c>
      <c r="AS46" s="94">
        <f>SUMIFS(Свод!$AM$6:$AM$455,Свод!$F$6:$F$455,"мун",Свод!$G$6:$G$455,Расчеты!AS$1)</f>
        <v>0</v>
      </c>
      <c r="AT46" s="94">
        <f>SUMIFS(Свод!$AM$6:$AM$455,Свод!$F$6:$F$455,"мун",Свод!$G$6:$G$455,Расчеты!AT$1)</f>
        <v>7.91</v>
      </c>
      <c r="AU46" s="94">
        <f>SUMIFS(Свод!$AM$6:$AM$455,Свод!$F$6:$F$455,"мун",Свод!$G$6:$G$455,Расчеты!AU$1)</f>
        <v>66.467280529999996</v>
      </c>
      <c r="AV46" s="94">
        <f>SUMIFS(Свод!$AM$6:$AM$455,Свод!$F$6:$F$455,"мун",Свод!$G$6:$G$455,Расчеты!AV$1)</f>
        <v>0</v>
      </c>
      <c r="AW46" s="94">
        <f>SUMIFS(Свод!$AM$6:$AM$455,Свод!$F$6:$F$455,"мун",Свод!$G$6:$G$455,Расчеты!AW$1)</f>
        <v>1442.4507394000004</v>
      </c>
      <c r="AX46" s="94">
        <f>SUMIFS(Свод!$AM$6:$AM$455,Свод!$F$6:$F$455,"мун",Свод!$G$6:$G$455,Расчеты!AX$1)</f>
        <v>61.245999999999995</v>
      </c>
      <c r="AY46" s="94">
        <f>SUMIFS(Свод!$AM$6:$AM$455,Свод!$F$6:$F$455,"мун",Свод!$G$6:$G$455,Расчеты!AY$1)</f>
        <v>0.505</v>
      </c>
      <c r="AZ46" s="94">
        <f>SUMIFS(Свод!$AM$6:$AM$455,Свод!$F$6:$F$455,"мун",Свод!$G$6:$G$455,Расчеты!AZ$1)</f>
        <v>0</v>
      </c>
      <c r="BA46" s="94">
        <f>SUMIFS(Свод!$AM$6:$AM$455,Свод!$F$6:$F$455,"мун",Свод!$G$6:$G$455,Расчеты!BA$1)</f>
        <v>8.2539999999999996</v>
      </c>
      <c r="BB46" s="94">
        <f>SUMIFS(Свод!$AM$6:$AM$455,Свод!$F$6:$F$455,"мун",Свод!$G$6:$G$455,Расчеты!BB$1)</f>
        <v>13.4</v>
      </c>
      <c r="BC46" s="94">
        <f>SUMIFS(Свод!$AM$6:$AM$455,Свод!$F$6:$F$455,"мун",Свод!$G$6:$G$455,Расчеты!BC$1)</f>
        <v>0</v>
      </c>
      <c r="BD46" s="94">
        <f>SUMIFS(Свод!$AM$6:$AM$455,Свод!$F$6:$F$455,"мун",Свод!$G$6:$G$455,Расчеты!BD$1)</f>
        <v>0.89237799999999989</v>
      </c>
      <c r="BE46" s="94">
        <f>SUMIFS(Свод!$AM$6:$AM$455,Свод!$F$6:$F$455,"мун",Свод!$G$6:$G$455,Расчеты!BE$1)</f>
        <v>0</v>
      </c>
      <c r="BF46" s="94">
        <f>SUMIFS(Свод!$AM$6:$AM$455,Свод!$F$6:$F$455,"мун",Свод!$G$6:$G$455,Расчеты!BF$1)</f>
        <v>0</v>
      </c>
      <c r="BG46" s="94">
        <f>SUMIFS(Свод!$AM$6:$AM$455,Свод!$F$6:$F$455,"мун",Свод!$G$6:$G$455,Расчеты!BG$1)</f>
        <v>0</v>
      </c>
      <c r="BH46" s="94">
        <f>SUMIFS(Свод!$AM$6:$AM$455,Свод!$F$6:$F$455,"мун",Свод!$G$6:$G$455,Расчеты!BH$1)</f>
        <v>0</v>
      </c>
      <c r="BI46" s="94">
        <f>SUMIFS(Свод!$AM$6:$AM$455,Свод!$F$6:$F$455,"мун",Свод!$G$6:$G$455,Расчеты!BI$1)</f>
        <v>0</v>
      </c>
      <c r="BJ46" s="94">
        <f>SUMIFS(Свод!$AM$6:$AM$455,Свод!$F$6:$F$455,"мун",Свод!$G$6:$G$455,Расчеты!BJ$1)</f>
        <v>0</v>
      </c>
      <c r="BK46" s="94">
        <f>SUMIFS(Свод!$AM$6:$AM$455,Свод!$F$6:$F$455,"мун",Свод!$G$6:$G$455,Расчеты!BK$1)</f>
        <v>70.547069050000005</v>
      </c>
      <c r="BL46" s="94">
        <f>SUMIFS(Свод!$AM$6:$AM$455,Свод!$F$6:$F$455,"мун",Свод!$G$6:$G$455,Расчеты!BL$1)</f>
        <v>1.4000000000000004</v>
      </c>
      <c r="BM46" s="94">
        <f>SUMIFS(Свод!$AM$6:$AM$455,Свод!$F$6:$F$455,"мун",Свод!$G$6:$G$455,Расчеты!BM$1)</f>
        <v>0.21099999999999999</v>
      </c>
      <c r="BN46" s="94">
        <f>SUMIFS(Свод!$AM$6:$AM$455,Свод!$F$6:$F$455,"мун",Свод!$G$6:$G$455,Расчеты!BN$1)</f>
        <v>16.272570999999999</v>
      </c>
      <c r="BO46" s="94">
        <f>SUMIFS(Свод!$AM$6:$AM$455,Свод!$F$6:$F$455,"мун",Свод!$G$6:$G$455,Расчеты!BO$1)</f>
        <v>30.610425200000002</v>
      </c>
      <c r="BP46" s="94">
        <f>SUMIFS(Свод!$AM$6:$AM$455,Свод!$F$6:$F$455,"мун",Свод!$G$6:$G$455,Расчеты!BP$1)</f>
        <v>0</v>
      </c>
      <c r="BQ46" s="94">
        <f>SUMIFS(Свод!$AM$6:$AM$455,Свод!$F$6:$F$455,"мун",Свод!$G$6:$G$455,Расчеты!BQ$1)</f>
        <v>33.527000000000001</v>
      </c>
      <c r="BR46" s="94">
        <f>SUMIFS(Свод!$AM$6:$AM$455,Свод!$F$6:$F$455,"мун",Свод!$G$6:$G$455,Расчеты!BR$1)</f>
        <v>24.502633400000001</v>
      </c>
      <c r="BS46" s="94">
        <f>SUMIFS(Свод!$AM$6:$AM$455,Свод!$F$6:$F$455,"мун",Свод!$G$6:$G$455,Расчеты!BS$1)</f>
        <v>17.488773299999998</v>
      </c>
      <c r="BT46" s="94">
        <f>SUMIFS(Свод!$AM$6:$AM$455,Свод!$F$6:$F$455,"мун",Свод!$G$6:$G$455,Расчеты!BT$1)</f>
        <v>0</v>
      </c>
      <c r="BU46" s="94">
        <f>SUMIFS(Свод!$AM$6:$AM$455,Свод!$F$6:$F$455,"мун",Свод!$G$6:$G$455,Расчеты!BU$1)</f>
        <v>347.50400000000002</v>
      </c>
      <c r="BV46" s="94">
        <f>SUMIFS(Свод!$AM$6:$AM$455,Свод!$F$6:$F$455,"мун",Свод!$G$6:$G$455,Расчеты!BV$1)</f>
        <v>0</v>
      </c>
      <c r="BW46" s="94">
        <f>SUMIFS(Свод!$AM$6:$AM$455,Свод!$F$6:$F$455,"мун",Свод!$G$6:$G$455,Расчеты!BW$1)</f>
        <v>42.869451329999983</v>
      </c>
      <c r="BX46" s="94">
        <f>SUMIFS(Свод!$AM$6:$AM$455,Свод!$F$6:$F$455,"мун",Свод!$G$6:$G$455,Расчеты!BX$1)</f>
        <v>0</v>
      </c>
      <c r="BY46" s="94">
        <f>SUMIFS(Свод!$AM$6:$AM$455,Свод!$F$6:$F$455,"мун",Свод!$G$6:$G$455,Расчеты!BY$1)</f>
        <v>0</v>
      </c>
      <c r="BZ46" s="94">
        <f>SUMIFS(Свод!$AM$6:$AM$455,Свод!$F$6:$F$455,"мун",Свод!$G$6:$G$455,Расчеты!BZ$1)</f>
        <v>0</v>
      </c>
      <c r="CA46" s="94">
        <f>SUMIFS(Свод!$AM$6:$AM$455,Свод!$F$6:$F$455,"мун",Свод!$G$6:$G$455,Расчеты!CA$1)</f>
        <v>0</v>
      </c>
      <c r="CB46" s="94">
        <f>SUMIFS(Свод!$AM$6:$AM$455,Свод!$F$6:$F$455,"мун",Свод!$G$6:$G$455,Расчеты!CB$1)</f>
        <v>44.671300000000002</v>
      </c>
      <c r="CC46" s="94">
        <f>SUMIFS(Свод!$AM$6:$AM$455,Свод!$F$6:$F$455,"мун",Свод!$G$6:$G$455,Расчеты!CC$1)</f>
        <v>0</v>
      </c>
      <c r="CD46" s="94">
        <f>SUMIFS(Свод!$AM$6:$AM$455,Свод!$F$6:$F$455,"мун",Свод!$G$6:$G$455,Расчеты!CD$1)</f>
        <v>0</v>
      </c>
      <c r="CE46" s="94">
        <f>SUMIFS(Свод!$AM$6:$AM$455,Свод!$F$6:$F$455,"мун",Свод!$G$6:$G$455,Расчеты!CE$1)</f>
        <v>0</v>
      </c>
      <c r="CF46" s="94">
        <f>SUMIFS(Свод!$AM$6:$AM$455,Свод!$F$6:$F$455,"мун",Свод!$G$6:$G$455,Расчеты!CF$1)</f>
        <v>140.16580802999999</v>
      </c>
      <c r="CG46" s="94">
        <f>SUMIFS(Свод!$AM$6:$AM$455,Свод!$F$6:$F$455,"мун",Свод!$G$6:$G$455,Расчеты!CG$1)</f>
        <v>1.2810000000000001</v>
      </c>
      <c r="CH46" s="94">
        <f>SUMIFS(Свод!$AM$6:$AM$455,Свод!$F$6:$F$455,"мун",Свод!$G$6:$G$455,Расчеты!CH$1)</f>
        <v>0</v>
      </c>
      <c r="CI46" s="94">
        <f>SUMIFS(Свод!$AM$6:$AM$455,Свод!$F$6:$F$455,"мун",Свод!$G$6:$G$455,Расчеты!CI$1)</f>
        <v>0</v>
      </c>
      <c r="CJ46" s="94">
        <f>SUMIFS(Свод!$AM$6:$AM$455,Свод!$F$6:$F$455,"мун",Свод!$G$6:$G$455,Расчеты!CJ$1)</f>
        <v>0</v>
      </c>
      <c r="CK46" s="94">
        <f>SUMIFS(Свод!$AM$6:$AM$455,Свод!$F$6:$F$455,"мун",Свод!$G$6:$G$455,Расчеты!CK$1)</f>
        <v>0</v>
      </c>
      <c r="CL46" s="94">
        <f>SUMIFS(Свод!$AM$6:$AM$455,Свод!$F$6:$F$455,"мун",Свод!$G$6:$G$455,Расчеты!CL$1)</f>
        <v>0</v>
      </c>
      <c r="CM46" s="94">
        <f>SUMIFS(Свод!$AM$6:$AM$455,Свод!$F$6:$F$455,"мун",Свод!$G$6:$G$455,Расчеты!CM$1)</f>
        <v>18.782</v>
      </c>
      <c r="CN46" s="94">
        <f>SUMIFS(Свод!$AM$6:$AM$455,Свод!$F$6:$F$455,"мун",Свод!$G$6:$G$455,Расчеты!CN$1)</f>
        <v>0.5484</v>
      </c>
      <c r="CO46" s="94">
        <f>SUMIFS(Свод!$AM$6:$AM$455,Свод!$F$6:$F$455,"мун",Свод!$G$6:$G$455,Расчеты!CO$1)</f>
        <v>3.56386</v>
      </c>
      <c r="CP46" s="94">
        <f>SUMIFS(Свод!$AM$6:$AM$455,Свод!$F$6:$F$455,"мун",Свод!$G$6:$G$455,Расчеты!CP$1)</f>
        <v>10.280413599207535</v>
      </c>
      <c r="CQ46" s="94">
        <f>SUMIFS(Свод!$AM$6:$AM$455,Свод!$F$6:$F$455,"мун",Свод!$G$6:$G$455,Расчеты!CQ$1)</f>
        <v>0</v>
      </c>
      <c r="CR46" s="94">
        <f>SUMIFS(Свод!$AM$6:$AM$455,Свод!$F$6:$F$455,"мун",Свод!$G$6:$G$455,Расчеты!CR$1)</f>
        <v>235.05408325999997</v>
      </c>
      <c r="CS46" s="94">
        <f>SUMIFS(Свод!$AM$6:$AM$455,Свод!$F$6:$F$455,"мун",Свод!$G$6:$G$455,Расчеты!CS$1)</f>
        <v>0</v>
      </c>
      <c r="CT46" s="94">
        <f>SUMIFS(Свод!$AM$6:$AM$455,Свод!$F$6:$F$455,"мун",Свод!$G$6:$G$455,Расчеты!CT$1)</f>
        <v>0</v>
      </c>
      <c r="CU46" s="94">
        <f>SUMIFS(Свод!$AM$6:$AM$455,Свод!$F$6:$F$455,"мун",Свод!$G$6:$G$455,Расчеты!CU$1)</f>
        <v>0</v>
      </c>
      <c r="CV46" s="94">
        <f>SUMIFS(Свод!$AM$6:$AM$455,Свод!$F$6:$F$455,"мун",Свод!$G$6:$G$455,Расчеты!CV$1)</f>
        <v>0</v>
      </c>
      <c r="CW46" s="94">
        <f>SUMIFS(Свод!$AM$6:$AM$455,Свод!$F$6:$F$455,"мун",Свод!$G$6:$G$455,Расчеты!CW$1)</f>
        <v>469.12472410999999</v>
      </c>
      <c r="CX46" s="94">
        <f>SUMIFS(Свод!$AM$6:$AM$455,Свод!$F$6:$F$455,"мун",Свод!$G$6:$G$455,Расчеты!CX$1)</f>
        <v>0</v>
      </c>
    </row>
    <row r="47" spans="1:102" ht="68" x14ac:dyDescent="0.2">
      <c r="A47" s="1238" t="s">
        <v>8897</v>
      </c>
      <c r="B47" s="1237" t="s">
        <v>8977</v>
      </c>
      <c r="C47" s="97" t="s">
        <v>8886</v>
      </c>
      <c r="D47" s="97">
        <v>26</v>
      </c>
      <c r="E47" s="502" t="s">
        <v>8978</v>
      </c>
      <c r="F47" s="97" t="s">
        <v>9568</v>
      </c>
      <c r="G47" s="513" t="s">
        <v>8974</v>
      </c>
      <c r="H47" s="513" t="s">
        <v>8895</v>
      </c>
      <c r="I47" s="97"/>
      <c r="J47" s="97"/>
      <c r="K47" s="97" t="s">
        <v>479</v>
      </c>
      <c r="L47" s="97">
        <v>7678.9611190000014</v>
      </c>
      <c r="M47" s="97">
        <v>10499.313935439999</v>
      </c>
      <c r="N47" s="607">
        <v>13110.686485000002</v>
      </c>
      <c r="O47" s="510">
        <v>16835.898302920006</v>
      </c>
      <c r="P47" s="594">
        <v>21102.786539860001</v>
      </c>
      <c r="Q47" s="606">
        <f>SUM(R47:CX47)</f>
        <v>23893.96293924535</v>
      </c>
      <c r="R47" s="94">
        <f>SUMIFS(Свод!$AN$6:$AN$455,Свод!$G$6:$G$455,Расчеты!R$1)</f>
        <v>13.35</v>
      </c>
      <c r="S47" s="94">
        <f>SUMIFS(Свод!$AN$6:$AN$455,Свод!$G$6:$G$455,Расчеты!S$1)</f>
        <v>3.2414419200000002</v>
      </c>
      <c r="T47" s="94">
        <f>SUMIFS(Свод!$AN$6:$AN$455,Свод!$G$6:$G$455,Расчеты!T$1)</f>
        <v>397.97079489999999</v>
      </c>
      <c r="U47" s="94">
        <f>SUMIFS(Свод!$AN$6:$AN$455,Свод!$G$6:$G$455,Расчеты!U$1)</f>
        <v>199.19200000000001</v>
      </c>
      <c r="V47" s="94">
        <f>SUMIFS(Свод!$AN$6:$AN$455,Свод!$G$6:$G$455,Расчеты!V$1)</f>
        <v>30</v>
      </c>
      <c r="W47" s="94">
        <f>SUMIFS(Свод!$AN$6:$AN$455,Свод!$G$6:$G$455,Расчеты!W$1)</f>
        <v>25.016999999999999</v>
      </c>
      <c r="X47" s="94">
        <f>SUMIFS(Свод!$AN$6:$AN$455,Свод!$G$6:$G$455,Расчеты!X$1)</f>
        <v>1739.3389999999999</v>
      </c>
      <c r="Y47" s="94">
        <f>SUMIFS(Свод!$AN$6:$AN$455,Свод!$G$6:$G$455,Расчеты!Y$1)</f>
        <v>2174.489</v>
      </c>
      <c r="Z47" s="94">
        <f>SUMIFS(Свод!$AN$6:$AN$455,Свод!$G$6:$G$455,Расчеты!Z$1)</f>
        <v>137.4</v>
      </c>
      <c r="AA47" s="94">
        <f>SUMIFS(Свод!$AN$6:$AN$455,Свод!$G$6:$G$455,Расчеты!AA$1)</f>
        <v>70</v>
      </c>
      <c r="AB47" s="94">
        <f>SUMIFS(Свод!$AN$6:$AN$455,Свод!$G$6:$G$455,Расчеты!AB$1)</f>
        <v>364.39959999999996</v>
      </c>
      <c r="AC47" s="94">
        <f>SUMIFS(Свод!$AN$6:$AN$455,Свод!$G$6:$G$455,Расчеты!AC$1)</f>
        <v>0</v>
      </c>
      <c r="AD47" s="94">
        <f>SUMIFS(Свод!$AN$6:$AN$455,Свод!$G$6:$G$455,Расчеты!AD$1)</f>
        <v>394.69400000000002</v>
      </c>
      <c r="AE47" s="94">
        <f>SUMIFS(Свод!$AN$6:$AN$455,Свод!$G$6:$G$455,Расчеты!AE$1)</f>
        <v>450.80100000000004</v>
      </c>
      <c r="AF47" s="94">
        <f>SUMIFS(Свод!$AN$6:$AN$455,Свод!$G$6:$G$455,Расчеты!AF$1)</f>
        <v>659.18900000000008</v>
      </c>
      <c r="AG47" s="94">
        <f>SUMIFS(Свод!$AN$6:$AN$455,Свод!$G$6:$G$455,Расчеты!AG$1)</f>
        <v>0</v>
      </c>
      <c r="AH47" s="94">
        <f>SUMIFS(Свод!$AN$6:$AN$455,Свод!$G$6:$G$455,Расчеты!AH$1)</f>
        <v>15.199716330358502</v>
      </c>
      <c r="AI47" s="94">
        <f>SUMIFS(Свод!$AN$6:$AN$455,Свод!$G$6:$G$455,Расчеты!AI$1)</f>
        <v>97.435299999999998</v>
      </c>
      <c r="AJ47" s="94">
        <f>SUMIFS(Свод!$AN$6:$AN$455,Свод!$G$6:$G$455,Расчеты!AJ$1)</f>
        <v>0</v>
      </c>
      <c r="AK47" s="94">
        <f>SUMIFS(Свод!$AN$6:$AN$455,Свод!$G$6:$G$455,Расчеты!AK$1)</f>
        <v>850</v>
      </c>
      <c r="AL47" s="94">
        <f>SUMIFS(Свод!$AN$6:$AN$455,Свод!$G$6:$G$455,Расчеты!AL$1)</f>
        <v>0</v>
      </c>
      <c r="AM47" s="94">
        <f>SUMIFS(Свод!$AN$6:$AN$455,Свод!$G$6:$G$455,Расчеты!AM$1)</f>
        <v>892.99220233999995</v>
      </c>
      <c r="AN47" s="94">
        <f>SUMIFS(Свод!$AN$6:$AN$455,Свод!$G$6:$G$455,Расчеты!AN$1)</f>
        <v>13.734999999999999</v>
      </c>
      <c r="AO47" s="94">
        <f>SUMIFS(Свод!$AN$6:$AN$455,Свод!$G$6:$G$455,Расчеты!AO$1)</f>
        <v>208.37700000000001</v>
      </c>
      <c r="AP47" s="94">
        <f>SUMIFS(Свод!$AN$6:$AN$455,Свод!$G$6:$G$455,Расчеты!AP$1)</f>
        <v>0</v>
      </c>
      <c r="AQ47" s="94">
        <f>SUMIFS(Свод!$AN$6:$AN$455,Свод!$G$6:$G$455,Расчеты!AQ$1)</f>
        <v>0</v>
      </c>
      <c r="AR47" s="94">
        <f>SUMIFS(Свод!$AN$6:$AN$455,Свод!$G$6:$G$455,Расчеты!AR$1)</f>
        <v>343.99799999999999</v>
      </c>
      <c r="AS47" s="94">
        <f>SUMIFS(Свод!$AN$6:$AN$455,Свод!$G$6:$G$455,Расчеты!AS$1)</f>
        <v>120.364</v>
      </c>
      <c r="AT47" s="94">
        <f>SUMIFS(Свод!$AN$6:$AN$455,Свод!$G$6:$G$455,Расчеты!AT$1)</f>
        <v>249.16000000000003</v>
      </c>
      <c r="AU47" s="94">
        <f>SUMIFS(Свод!$AN$6:$AN$455,Свод!$G$6:$G$455,Расчеты!AU$1)</f>
        <v>306.89111200000002</v>
      </c>
      <c r="AV47" s="94">
        <f>SUMIFS(Свод!$AN$6:$AN$455,Свод!$G$6:$G$455,Расчеты!AV$1)</f>
        <v>151.91999999999999</v>
      </c>
      <c r="AW47" s="94">
        <f>SUMIFS(Свод!$AN$6:$AN$455,Свод!$G$6:$G$455,Расчеты!AW$1)</f>
        <v>300</v>
      </c>
      <c r="AX47" s="94">
        <f>SUMIFS(Свод!$AN$6:$AN$455,Свод!$G$6:$G$455,Расчеты!AX$1)</f>
        <v>245.285</v>
      </c>
      <c r="AY47" s="94">
        <f>SUMIFS(Свод!$AN$6:$AN$455,Свод!$G$6:$G$455,Расчеты!AY$1)</f>
        <v>28.221809999999998</v>
      </c>
      <c r="AZ47" s="94">
        <f>SUMIFS(Свод!$AN$6:$AN$455,Свод!$G$6:$G$455,Расчеты!AZ$1)</f>
        <v>382.92599999999999</v>
      </c>
      <c r="BA47" s="94">
        <f>SUMIFS(Свод!$AN$6:$AN$455,Свод!$G$6:$G$455,Расчеты!BA$1)</f>
        <v>52.3</v>
      </c>
      <c r="BB47" s="94">
        <f>SUMIFS(Свод!$AN$6:$AN$455,Свод!$G$6:$G$455,Расчеты!BB$1)</f>
        <v>457.19900000000001</v>
      </c>
      <c r="BC47" s="94">
        <f>SUMIFS(Свод!$AN$6:$AN$455,Свод!$G$6:$G$455,Расчеты!BC$1)</f>
        <v>56.912300000000002</v>
      </c>
      <c r="BD47" s="94">
        <f>SUMIFS(Свод!$AN$6:$AN$455,Свод!$G$6:$G$455,Расчеты!BD$1)</f>
        <v>8.6164380000000005</v>
      </c>
      <c r="BE47" s="94">
        <f>SUMIFS(Свод!$AN$6:$AN$455,Свод!$G$6:$G$455,Расчеты!BE$1)</f>
        <v>27.447044479999999</v>
      </c>
      <c r="BF47" s="94">
        <f>SUMIFS(Свод!$AN$6:$AN$455,Свод!$G$6:$G$455,Расчеты!BF$1)</f>
        <v>0</v>
      </c>
      <c r="BG47" s="94">
        <f>SUMIFS(Свод!$AN$6:$AN$455,Свод!$G$6:$G$455,Расчеты!BG$1)</f>
        <v>0</v>
      </c>
      <c r="BH47" s="94">
        <f>SUMIFS(Свод!$AN$6:$AN$455,Свод!$G$6:$G$455,Расчеты!BH$1)</f>
        <v>493.995</v>
      </c>
      <c r="BI47" s="94">
        <f>SUMIFS(Свод!$AN$6:$AN$455,Свод!$G$6:$G$455,Расчеты!BI$1)</f>
        <v>41.701000000000001</v>
      </c>
      <c r="BJ47" s="94">
        <f>SUMIFS(Свод!$AN$6:$AN$455,Свод!$G$6:$G$455,Расчеты!BJ$1)</f>
        <v>22</v>
      </c>
      <c r="BK47" s="94">
        <f>SUMIFS(Свод!$AN$6:$AN$455,Свод!$G$6:$G$455,Расчеты!BK$1)</f>
        <v>729.96900000000005</v>
      </c>
      <c r="BL47" s="94">
        <f>SUMIFS(Свод!$AN$6:$AN$455,Свод!$G$6:$G$455,Расчеты!BL$1)</f>
        <v>476.62294931999998</v>
      </c>
      <c r="BM47" s="94">
        <f>SUMIFS(Свод!$AN$6:$AN$455,Свод!$G$6:$G$455,Расчеты!BM$1)</f>
        <v>177.82</v>
      </c>
      <c r="BN47" s="94">
        <f>SUMIFS(Свод!$AN$6:$AN$455,Свод!$G$6:$G$455,Расчеты!BN$1)</f>
        <v>337.17</v>
      </c>
      <c r="BO47" s="94">
        <f>SUMIFS(Свод!$AN$6:$AN$455,Свод!$G$6:$G$455,Расчеты!BO$1)</f>
        <v>131.2106</v>
      </c>
      <c r="BP47" s="94">
        <f>SUMIFS(Свод!$AN$6:$AN$455,Свод!$G$6:$G$455,Расчеты!BP$1)</f>
        <v>207.27685305</v>
      </c>
      <c r="BQ47" s="94">
        <f>SUMIFS(Свод!$AN$6:$AN$455,Свод!$G$6:$G$455,Расчеты!BQ$1)</f>
        <v>0</v>
      </c>
      <c r="BR47" s="94">
        <f>SUMIFS(Свод!$AN$6:$AN$455,Свод!$G$6:$G$455,Расчеты!BR$1)</f>
        <v>239.85445482</v>
      </c>
      <c r="BS47" s="94">
        <f>SUMIFS(Свод!$AN$6:$AN$455,Свод!$G$6:$G$455,Расчеты!BS$1)</f>
        <v>210.41</v>
      </c>
      <c r="BT47" s="94">
        <f>SUMIFS(Свод!$AN$6:$AN$455,Свод!$G$6:$G$455,Расчеты!BT$1)</f>
        <v>64.710999999999999</v>
      </c>
      <c r="BU47" s="94">
        <f>SUMIFS(Свод!$AN$6:$AN$455,Свод!$G$6:$G$455,Расчеты!BU$1)</f>
        <v>277.5</v>
      </c>
      <c r="BV47" s="94">
        <f>SUMIFS(Свод!$AN$6:$AN$455,Свод!$G$6:$G$455,Расчеты!BV$1)</f>
        <v>292.57678318000001</v>
      </c>
      <c r="BW47" s="94">
        <f>SUMIFS(Свод!$AN$6:$AN$455,Свод!$G$6:$G$455,Расчеты!BW$1)</f>
        <v>248.49389908000001</v>
      </c>
      <c r="BX47" s="94">
        <f>SUMIFS(Свод!$AN$6:$AN$455,Свод!$G$6:$G$455,Расчеты!BX$1)</f>
        <v>311.82</v>
      </c>
      <c r="BY47" s="94">
        <f>SUMIFS(Свод!$AN$6:$AN$455,Свод!$G$6:$G$455,Расчеты!BY$1)</f>
        <v>152.4528</v>
      </c>
      <c r="BZ47" s="94">
        <f>SUMIFS(Свод!$AN$6:$AN$455,Свод!$G$6:$G$455,Расчеты!BZ$1)</f>
        <v>500</v>
      </c>
      <c r="CA47" s="94">
        <f>SUMIFS(Свод!$AN$6:$AN$455,Свод!$G$6:$G$455,Расчеты!CA$1)</f>
        <v>465.1</v>
      </c>
      <c r="CB47" s="94">
        <f>SUMIFS(Свод!$AN$6:$AN$455,Свод!$G$6:$G$455,Расчеты!CB$1)</f>
        <v>152.58864462</v>
      </c>
      <c r="CC47" s="94">
        <f>SUMIFS(Свод!$AN$6:$AN$455,Свод!$G$6:$G$455,Расчеты!CC$1)</f>
        <v>42.579000000000001</v>
      </c>
      <c r="CD47" s="94">
        <f>SUMIFS(Свод!$AN$6:$AN$455,Свод!$G$6:$G$455,Расчеты!CD$1)</f>
        <v>2.7</v>
      </c>
      <c r="CE47" s="94">
        <f>SUMIFS(Свод!$AN$6:$AN$455,Свод!$G$6:$G$455,Расчеты!CE$1)</f>
        <v>4.5</v>
      </c>
      <c r="CF47" s="94">
        <f>SUMIFS(Свод!$AN$6:$AN$455,Свод!$G$6:$G$455,Расчеты!CF$1)</f>
        <v>244.63</v>
      </c>
      <c r="CG47" s="94">
        <f>SUMIFS(Свод!$AN$6:$AN$455,Свод!$G$6:$G$455,Расчеты!CG$1)</f>
        <v>371.05417053000002</v>
      </c>
      <c r="CH47" s="94">
        <f>SUMIFS(Свод!$AN$6:$AN$455,Свод!$G$6:$G$455,Расчеты!CH$1)</f>
        <v>1352.0630000000001</v>
      </c>
      <c r="CI47" s="94">
        <f>SUMIFS(Свод!$AN$6:$AN$455,Свод!$G$6:$G$455,Расчеты!CI$1)</f>
        <v>202.155</v>
      </c>
      <c r="CJ47" s="94">
        <f>SUMIFS(Свод!$AN$6:$AN$455,Свод!$G$6:$G$455,Расчеты!CJ$1)</f>
        <v>39.057578550000002</v>
      </c>
      <c r="CK47" s="94">
        <f>SUMIFS(Свод!$AN$6:$AN$455,Свод!$G$6:$G$455,Расчеты!CK$1)</f>
        <v>480.9</v>
      </c>
      <c r="CL47" s="94">
        <f>SUMIFS(Свод!$AN$6:$AN$455,Свод!$G$6:$G$455,Расчеты!CL$1)</f>
        <v>0</v>
      </c>
      <c r="CM47" s="94">
        <f>SUMIFS(Свод!$AN$6:$AN$455,Свод!$G$6:$G$455,Расчеты!CM$1)</f>
        <v>414.104602</v>
      </c>
      <c r="CN47" s="94">
        <f>SUMIFS(Свод!$AN$6:$AN$455,Свод!$G$6:$G$455,Расчеты!CN$1)</f>
        <v>190.04399999999998</v>
      </c>
      <c r="CO47" s="94">
        <f>SUMIFS(Свод!$AN$6:$AN$455,Свод!$G$6:$G$455,Расчеты!CO$1)</f>
        <v>303.85260387</v>
      </c>
      <c r="CP47" s="94">
        <f>SUMIFS(Свод!$AN$6:$AN$455,Свод!$G$6:$G$455,Расчеты!CP$1)</f>
        <v>250.67424025498869</v>
      </c>
      <c r="CQ47" s="94">
        <f>SUMIFS(Свод!$AN$6:$AN$455,Свод!$G$6:$G$455,Расчеты!CQ$1)</f>
        <v>0</v>
      </c>
      <c r="CR47" s="94">
        <f>SUMIFS(Свод!$AN$6:$AN$455,Свод!$G$6:$G$455,Расчеты!CR$1)</f>
        <v>656.16300000000001</v>
      </c>
      <c r="CS47" s="94">
        <f>SUMIFS(Свод!$AN$6:$AN$455,Свод!$G$6:$G$455,Расчеты!CS$1)</f>
        <v>1320.546</v>
      </c>
      <c r="CT47" s="94">
        <f>SUMIFS(Свод!$AN$6:$AN$455,Свод!$G$6:$G$455,Расчеты!CT$1)</f>
        <v>26.899000000000001</v>
      </c>
      <c r="CU47" s="94">
        <f>SUMIFS(Свод!$AN$6:$AN$455,Свод!$G$6:$G$455,Расчеты!CU$1)</f>
        <v>688.76900000000001</v>
      </c>
      <c r="CV47" s="94">
        <f>SUMIFS(Свод!$AN$6:$AN$455,Свод!$G$6:$G$455,Расчеты!CV$1)</f>
        <v>50</v>
      </c>
      <c r="CW47" s="94">
        <f>SUMIFS(Свод!$AN$6:$AN$455,Свод!$G$6:$G$455,Расчеты!CW$1)</f>
        <v>0</v>
      </c>
      <c r="CX47" s="94">
        <f>SUMIFS(Свод!$AN$6:$AN$455,Свод!$G$6:$G$455,Расчеты!CX$1)</f>
        <v>251.93600000000001</v>
      </c>
    </row>
    <row r="48" spans="1:102" ht="34" x14ac:dyDescent="0.2">
      <c r="A48" s="1237"/>
      <c r="B48" s="1237"/>
      <c r="C48" s="97" t="s">
        <v>8886</v>
      </c>
      <c r="D48" s="97">
        <v>27</v>
      </c>
      <c r="E48" s="502" t="s">
        <v>8979</v>
      </c>
      <c r="F48" s="97" t="s">
        <v>63</v>
      </c>
      <c r="G48" s="513" t="s">
        <v>64</v>
      </c>
      <c r="H48" s="513" t="s">
        <v>8980</v>
      </c>
      <c r="I48" s="97"/>
      <c r="J48" s="97"/>
      <c r="K48" s="97"/>
      <c r="L48" s="97">
        <v>0.52952022181701863</v>
      </c>
      <c r="M48" s="97">
        <v>0.54360325285491307</v>
      </c>
      <c r="N48" s="572">
        <v>0.54482151842888105</v>
      </c>
      <c r="O48" s="510">
        <v>52.92896731355642</v>
      </c>
      <c r="P48" s="595">
        <v>0.53480083044647508</v>
      </c>
      <c r="Q48" s="573">
        <f>Q47/Q44</f>
        <v>0.5349208469951009</v>
      </c>
      <c r="R48" s="573">
        <f>R47/R44</f>
        <v>0.62362778530387264</v>
      </c>
      <c r="S48" s="573">
        <f t="shared" ref="S48:CD48" si="4">S47/S44</f>
        <v>4.624128341824349E-2</v>
      </c>
      <c r="T48" s="573">
        <f t="shared" si="4"/>
        <v>0.74175421864295032</v>
      </c>
      <c r="U48" s="573">
        <f t="shared" si="4"/>
        <v>0.84243113737000364</v>
      </c>
      <c r="V48" s="573">
        <f t="shared" si="4"/>
        <v>0.56539766302299277</v>
      </c>
      <c r="W48" s="573">
        <f t="shared" si="4"/>
        <v>0.90385866030782569</v>
      </c>
      <c r="X48" s="573">
        <f t="shared" si="4"/>
        <v>0.83486625309802365</v>
      </c>
      <c r="Y48" s="573">
        <f t="shared" si="4"/>
        <v>0.93329406402332338</v>
      </c>
      <c r="Z48" s="573">
        <f t="shared" si="4"/>
        <v>0.87835305044151424</v>
      </c>
      <c r="AA48" s="573">
        <f t="shared" si="4"/>
        <v>1</v>
      </c>
      <c r="AB48" s="573">
        <f t="shared" si="4"/>
        <v>0.33049758583746502</v>
      </c>
      <c r="AC48" s="573" t="e">
        <f t="shared" si="4"/>
        <v>#DIV/0!</v>
      </c>
      <c r="AD48" s="573">
        <f t="shared" si="4"/>
        <v>0.43904354461582268</v>
      </c>
      <c r="AE48" s="573">
        <f t="shared" si="4"/>
        <v>0.77876841537908736</v>
      </c>
      <c r="AF48" s="573">
        <f t="shared" si="4"/>
        <v>0.6935611994852916</v>
      </c>
      <c r="AG48" s="573" t="e">
        <f t="shared" si="4"/>
        <v>#DIV/0!</v>
      </c>
      <c r="AH48" s="573">
        <f t="shared" si="4"/>
        <v>1.1301281556489988E-2</v>
      </c>
      <c r="AI48" s="573">
        <f t="shared" si="4"/>
        <v>0.7899642780120868</v>
      </c>
      <c r="AJ48" s="573" t="e">
        <f t="shared" si="4"/>
        <v>#DIV/0!</v>
      </c>
      <c r="AK48" s="573">
        <f t="shared" si="4"/>
        <v>0.89852008456659616</v>
      </c>
      <c r="AL48" s="573" t="e">
        <f t="shared" si="4"/>
        <v>#DIV/0!</v>
      </c>
      <c r="AM48" s="573">
        <f t="shared" si="4"/>
        <v>0.66042940378522519</v>
      </c>
      <c r="AN48" s="573">
        <f t="shared" si="4"/>
        <v>0.75165544792863781</v>
      </c>
      <c r="AO48" s="573">
        <f t="shared" si="4"/>
        <v>0.68697828065039379</v>
      </c>
      <c r="AP48" s="573" t="e">
        <f t="shared" si="4"/>
        <v>#DIV/0!</v>
      </c>
      <c r="AQ48" s="573" t="e">
        <f t="shared" si="4"/>
        <v>#DIV/0!</v>
      </c>
      <c r="AR48" s="573">
        <f t="shared" si="4"/>
        <v>0.81421379390330206</v>
      </c>
      <c r="AS48" s="573">
        <f t="shared" si="4"/>
        <v>0.58028280373921892</v>
      </c>
      <c r="AT48" s="573">
        <f t="shared" si="4"/>
        <v>0.63707817477972284</v>
      </c>
      <c r="AU48" s="573">
        <f t="shared" si="4"/>
        <v>0.67047754135945303</v>
      </c>
      <c r="AV48" s="573">
        <f t="shared" si="4"/>
        <v>0.26087724872341866</v>
      </c>
      <c r="AW48" s="573">
        <f t="shared" si="4"/>
        <v>0.17217129484148444</v>
      </c>
      <c r="AX48" s="573">
        <f t="shared" si="4"/>
        <v>0.67603657931581906</v>
      </c>
      <c r="AY48" s="573">
        <f t="shared" si="4"/>
        <v>9.2932442981725955E-2</v>
      </c>
      <c r="AZ48" s="573">
        <f t="shared" si="4"/>
        <v>0.4877758599825488</v>
      </c>
      <c r="BA48" s="573">
        <f t="shared" si="4"/>
        <v>0.64286943481574355</v>
      </c>
      <c r="BB48" s="573">
        <f t="shared" si="4"/>
        <v>0.77512770477267434</v>
      </c>
      <c r="BC48" s="573">
        <f t="shared" si="4"/>
        <v>0.85549184295067304</v>
      </c>
      <c r="BD48" s="573">
        <f t="shared" si="4"/>
        <v>0.82840854617267978</v>
      </c>
      <c r="BE48" s="573">
        <f t="shared" si="4"/>
        <v>0.11811657665314043</v>
      </c>
      <c r="BF48" s="573" t="e">
        <f t="shared" si="4"/>
        <v>#DIV/0!</v>
      </c>
      <c r="BG48" s="573" t="e">
        <f t="shared" si="4"/>
        <v>#DIV/0!</v>
      </c>
      <c r="BH48" s="573">
        <f t="shared" si="4"/>
        <v>0.74947600628413169</v>
      </c>
      <c r="BI48" s="573">
        <f t="shared" si="4"/>
        <v>0.45082649542157216</v>
      </c>
      <c r="BJ48" s="573">
        <f t="shared" si="4"/>
        <v>0.69958978598912447</v>
      </c>
      <c r="BK48" s="573">
        <f t="shared" si="4"/>
        <v>0.62947622465036002</v>
      </c>
      <c r="BL48" s="573">
        <f t="shared" si="4"/>
        <v>0.52982346272130099</v>
      </c>
      <c r="BM48" s="573">
        <f t="shared" si="4"/>
        <v>0.6818225390240068</v>
      </c>
      <c r="BN48" s="573">
        <f t="shared" si="4"/>
        <v>0.33981399340945895</v>
      </c>
      <c r="BO48" s="573">
        <f t="shared" si="4"/>
        <v>0.50195078353030465</v>
      </c>
      <c r="BP48" s="573">
        <f t="shared" si="4"/>
        <v>0.33787522626358057</v>
      </c>
      <c r="BQ48" s="573">
        <f t="shared" si="4"/>
        <v>0</v>
      </c>
      <c r="BR48" s="573">
        <f t="shared" si="4"/>
        <v>0.6628293779392127</v>
      </c>
      <c r="BS48" s="573">
        <f t="shared" si="4"/>
        <v>0.84675176146671027</v>
      </c>
      <c r="BT48" s="573">
        <f t="shared" si="4"/>
        <v>0.81848774741132424</v>
      </c>
      <c r="BU48" s="573">
        <f t="shared" si="4"/>
        <v>0.38526393627037547</v>
      </c>
      <c r="BV48" s="573">
        <f t="shared" si="4"/>
        <v>0.4144715271081138</v>
      </c>
      <c r="BW48" s="573">
        <f t="shared" si="4"/>
        <v>0.54051289837852756</v>
      </c>
      <c r="BX48" s="573">
        <f t="shared" si="4"/>
        <v>1</v>
      </c>
      <c r="BY48" s="573">
        <f t="shared" si="4"/>
        <v>0.11684662018640239</v>
      </c>
      <c r="BZ48" s="573">
        <f t="shared" si="4"/>
        <v>0.62609566741798151</v>
      </c>
      <c r="CA48" s="573">
        <f t="shared" si="4"/>
        <v>0.97341984093763079</v>
      </c>
      <c r="CB48" s="573">
        <f t="shared" si="4"/>
        <v>7.7775502929817386E-2</v>
      </c>
      <c r="CC48" s="573">
        <f t="shared" si="4"/>
        <v>1</v>
      </c>
      <c r="CD48" s="573">
        <f t="shared" si="4"/>
        <v>0.9</v>
      </c>
      <c r="CE48" s="573">
        <f t="shared" ref="CE48:CX48" si="5">CE47/CE44</f>
        <v>0.77094397807092685</v>
      </c>
      <c r="CF48" s="573">
        <f t="shared" si="5"/>
        <v>0.42220402934441748</v>
      </c>
      <c r="CG48" s="573">
        <f t="shared" si="5"/>
        <v>0.29013672551953862</v>
      </c>
      <c r="CH48" s="573">
        <f t="shared" si="5"/>
        <v>0.7919166183456039</v>
      </c>
      <c r="CI48" s="573">
        <f t="shared" si="5"/>
        <v>0.64531214586917884</v>
      </c>
      <c r="CJ48" s="573">
        <f t="shared" si="5"/>
        <v>0.64462250008882849</v>
      </c>
      <c r="CK48" s="573">
        <f t="shared" si="5"/>
        <v>0.70213092135520472</v>
      </c>
      <c r="CL48" s="573" t="e">
        <f t="shared" si="5"/>
        <v>#DIV/0!</v>
      </c>
      <c r="CM48" s="573">
        <f t="shared" si="5"/>
        <v>0.63816394140661703</v>
      </c>
      <c r="CN48" s="573">
        <f t="shared" si="5"/>
        <v>0.69810464024472374</v>
      </c>
      <c r="CO48" s="573">
        <f t="shared" si="5"/>
        <v>0.25025406012625695</v>
      </c>
      <c r="CP48" s="573">
        <f t="shared" si="5"/>
        <v>0.32115754534862445</v>
      </c>
      <c r="CQ48" s="573" t="e">
        <f t="shared" si="5"/>
        <v>#DIV/0!</v>
      </c>
      <c r="CR48" s="573">
        <f t="shared" si="5"/>
        <v>0.48673005973302369</v>
      </c>
      <c r="CS48" s="573">
        <f t="shared" si="5"/>
        <v>0.99360120092246984</v>
      </c>
      <c r="CT48" s="573">
        <f t="shared" si="5"/>
        <v>0.93600807293479016</v>
      </c>
      <c r="CU48" s="573">
        <f t="shared" si="5"/>
        <v>0.585167373878412</v>
      </c>
      <c r="CV48" s="573">
        <f t="shared" si="5"/>
        <v>0.68870523415977969</v>
      </c>
      <c r="CW48" s="573">
        <f t="shared" si="5"/>
        <v>0</v>
      </c>
      <c r="CX48" s="573">
        <f t="shared" si="5"/>
        <v>0.32358686982466639</v>
      </c>
    </row>
    <row r="49" spans="1:102" ht="85" x14ac:dyDescent="0.2">
      <c r="A49" s="1238" t="s">
        <v>8897</v>
      </c>
      <c r="B49" s="1237" t="s">
        <v>8981</v>
      </c>
      <c r="C49" s="97" t="s">
        <v>8886</v>
      </c>
      <c r="D49" s="97">
        <v>28</v>
      </c>
      <c r="E49" s="502" t="s">
        <v>8982</v>
      </c>
      <c r="F49" s="97" t="s">
        <v>9569</v>
      </c>
      <c r="G49" s="513" t="s">
        <v>8974</v>
      </c>
      <c r="H49" s="513" t="s">
        <v>8895</v>
      </c>
      <c r="I49" s="97"/>
      <c r="J49" s="97"/>
      <c r="K49" s="97" t="s">
        <v>479</v>
      </c>
      <c r="L49" s="97">
        <v>1926.2231559999993</v>
      </c>
      <c r="M49" s="97">
        <v>2964.5685994099999</v>
      </c>
      <c r="N49" s="99">
        <v>3937.5416459700004</v>
      </c>
      <c r="O49" s="510">
        <v>5055.7866082500004</v>
      </c>
      <c r="P49" s="594">
        <v>6758.5748266958071</v>
      </c>
      <c r="Q49" s="606">
        <f ca="1">SUM(R49:CX49)</f>
        <v>7552.2109729462627</v>
      </c>
      <c r="R49" s="94">
        <f>SUMIFS(Свод!$AQ$6:$AQ$455,Свод!$G$6:$G$455,Расчеты!R$1)</f>
        <v>5.39</v>
      </c>
      <c r="S49" s="94">
        <f>SUMIFS(Свод!$AQ$6:$AQ$455,Свод!$G$6:$G$455,Расчеты!S$1)</f>
        <v>2.5339999999999998</v>
      </c>
      <c r="T49" s="94">
        <f>SUMIFS(Свод!$AQ$6:$AQ$455,Свод!$G$6:$G$455,Расчеты!T$1)</f>
        <v>81.280344259999993</v>
      </c>
      <c r="U49" s="94">
        <f>SUMIFS(Свод!$AQ$6:$AQ$455,Свод!$G$6:$G$455,Расчеты!U$1)</f>
        <v>26.111999999999998</v>
      </c>
      <c r="V49" s="94">
        <f>SUMIFS(Свод!$AQ$6:$AQ$455,Свод!$G$6:$G$455,Расчеты!V$1)</f>
        <v>18.916999999999998</v>
      </c>
      <c r="W49" s="94">
        <f>SUMIFS(Свод!$AQ$6:$AQ$455,Свод!$G$6:$G$455,Расчеты!W$1)</f>
        <v>1.7290000000000001</v>
      </c>
      <c r="X49" s="94">
        <f>SUMIFS(Свод!$AQ$6:$AQ$455,Свод!$G$6:$G$455,Расчеты!X$1)</f>
        <v>196.23117000000002</v>
      </c>
      <c r="Y49" s="94">
        <f>SUMIFS(Свод!$AQ$6:$AQ$455,Свод!$G$6:$G$455,Расчеты!Y$1)</f>
        <v>154.81171400000002</v>
      </c>
      <c r="Z49" s="94">
        <f>SUMIFS(Свод!$AQ$6:$AQ$455,Свод!$G$6:$G$455,Расчеты!Z$1)</f>
        <v>10.691520000000001</v>
      </c>
      <c r="AA49" s="94">
        <f>SUMIFS(Свод!$AQ$6:$AQ$455,Свод!$G$6:$G$455,Расчеты!AA$1)</f>
        <v>0</v>
      </c>
      <c r="AB49" s="94">
        <f>SUMIFS(Свод!$AQ$6:$AQ$455,Свод!$G$6:$G$455,Расчеты!AB$1)</f>
        <v>56.280959399999993</v>
      </c>
      <c r="AC49" s="94">
        <f>SUMIFS(Свод!$AQ$6:$AQ$455,Свод!$G$6:$G$455,Расчеты!AC$1)</f>
        <v>0</v>
      </c>
      <c r="AD49" s="94">
        <f>SUMIFS(Свод!$AQ$6:$AQ$455,Свод!$G$6:$G$455,Расчеты!AD$1)</f>
        <v>447.45799999999997</v>
      </c>
      <c r="AE49" s="94">
        <f>SUMIFS(Свод!$AQ$6:$AQ$455,Свод!$G$6:$G$455,Расчеты!AE$1)</f>
        <v>80.59899999999999</v>
      </c>
      <c r="AF49" s="94">
        <f>SUMIFS(Свод!$AQ$6:$AQ$455,Свод!$G$6:$G$455,Расчеты!AF$1)</f>
        <v>109.98100000000001</v>
      </c>
      <c r="AG49" s="94">
        <f>SUMIFS(Свод!$AQ$6:$AQ$455,Свод!$G$6:$G$455,Расчеты!AG$1)</f>
        <v>0</v>
      </c>
      <c r="AH49" s="94">
        <f>SUMIFS(Свод!$AQ$6:$AQ$455,Свод!$G$6:$G$455,Расчеты!AH$1)</f>
        <v>25.269389369999999</v>
      </c>
      <c r="AI49" s="94">
        <f>SUMIFS(Свод!$AQ$6:$AQ$455,Свод!$G$6:$G$455,Расчеты!AI$1)</f>
        <v>18.633099999999999</v>
      </c>
      <c r="AJ49" s="94">
        <f>SUMIFS(Свод!$AQ$6:$AQ$455,Свод!$G$6:$G$455,Расчеты!AJ$1)</f>
        <v>0</v>
      </c>
      <c r="AK49" s="94">
        <f>SUMIFS(Свод!$AQ$6:$AQ$455,Свод!$G$6:$G$455,Расчеты!AK$1)</f>
        <v>96</v>
      </c>
      <c r="AL49" s="94">
        <f>SUMIFS(Свод!$AQ$6:$AQ$455,Свод!$G$6:$G$455,Расчеты!AL$1)</f>
        <v>0</v>
      </c>
      <c r="AM49" s="94">
        <f>SUMIFS(Свод!$AQ$6:$AQ$455,Свод!$G$6:$G$455,Расчеты!AM$1)</f>
        <v>166.95304971000002</v>
      </c>
      <c r="AN49" s="94">
        <f>SUMIFS(Свод!$AQ$6:$AQ$455,Свод!$G$6:$G$455,Расчеты!AN$1)</f>
        <v>2.4020000000000001</v>
      </c>
      <c r="AO49" s="94">
        <f>SUMIFS(Свод!$AQ$6:$AQ$455,Свод!$G$6:$G$455,Расчеты!AO$1)</f>
        <v>76.399000000000001</v>
      </c>
      <c r="AP49" s="94">
        <f>SUMIFS(Свод!$AQ$6:$AQ$455,Свод!$G$6:$G$455,Расчеты!AP$1)</f>
        <v>0</v>
      </c>
      <c r="AQ49" s="94">
        <f>SUMIFS(Свод!$AQ$6:$AQ$455,Свод!$G$6:$G$455,Расчеты!AQ$1)</f>
        <v>0</v>
      </c>
      <c r="AR49" s="94">
        <f ca="1">SUMIFS(Свод!$AQ$6:$AQ$455,Свод!$G$6:$G$455,Расчеты!AR$1)</f>
        <v>42.516999999999989</v>
      </c>
      <c r="AS49" s="94">
        <f>SUMIFS(Свод!$AQ$6:$AQ$455,Свод!$G$6:$G$455,Расчеты!AS$1)</f>
        <v>66.650999999999996</v>
      </c>
      <c r="AT49" s="94">
        <f>SUMIFS(Свод!$AQ$6:$AQ$455,Свод!$G$6:$G$455,Расчеты!AT$1)</f>
        <v>79.238</v>
      </c>
      <c r="AU49" s="94">
        <f ca="1">SUMIFS(Свод!$AQ$6:$AQ$455,Свод!$G$6:$G$455,Расчеты!AU$1)</f>
        <v>124.41007053000004</v>
      </c>
      <c r="AV49" s="94">
        <f>SUMIFS(Свод!$AQ$6:$AQ$455,Свод!$G$6:$G$455,Расчеты!AV$1)</f>
        <v>214.94254799999999</v>
      </c>
      <c r="AW49" s="94">
        <f>SUMIFS(Свод!$AQ$6:$AQ$455,Свод!$G$6:$G$455,Расчеты!AW$1)</f>
        <v>1089.3510554000002</v>
      </c>
      <c r="AX49" s="94">
        <f>SUMIFS(Свод!$AQ$6:$AQ$455,Свод!$G$6:$G$455,Расчеты!AX$1)</f>
        <v>73.551999999999992</v>
      </c>
      <c r="AY49" s="94">
        <f>SUMIFS(Свод!$AQ$6:$AQ$455,Свод!$G$6:$G$455,Расчеты!AY$1)</f>
        <v>28.767000000000003</v>
      </c>
      <c r="AZ49" s="94">
        <f>SUMIFS(Свод!$AQ$6:$AQ$455,Свод!$G$6:$G$455,Расчеты!AZ$1)</f>
        <v>367.125</v>
      </c>
      <c r="BA49" s="94">
        <f>SUMIFS(Свод!$AQ$6:$AQ$455,Свод!$G$6:$G$455,Расчеты!BA$1)</f>
        <v>16.48</v>
      </c>
      <c r="BB49" s="94">
        <f>SUMIFS(Свод!$AQ$6:$AQ$455,Свод!$G$6:$G$455,Расчеты!BB$1)</f>
        <v>132.26599999999999</v>
      </c>
      <c r="BC49" s="94">
        <f>SUMIFS(Свод!$AQ$6:$AQ$455,Свод!$G$6:$G$455,Расчеты!BC$1)</f>
        <v>5.6494501799999997</v>
      </c>
      <c r="BD49" s="94">
        <f>SUMIFS(Свод!$AQ$6:$AQ$455,Свод!$G$6:$G$455,Расчеты!BD$1)</f>
        <v>1.507088</v>
      </c>
      <c r="BE49" s="94">
        <f>SUMIFS(Свод!$AQ$6:$AQ$455,Свод!$G$6:$G$455,Расчеты!BE$1)</f>
        <v>19.488133999999999</v>
      </c>
      <c r="BF49" s="94">
        <f>SUMIFS(Свод!$AQ$6:$AQ$455,Свод!$G$6:$G$455,Расчеты!BF$1)</f>
        <v>0</v>
      </c>
      <c r="BG49" s="94">
        <f>SUMIFS(Свод!$AQ$6:$AQ$455,Свод!$G$6:$G$455,Расчеты!BG$1)</f>
        <v>0</v>
      </c>
      <c r="BH49" s="94">
        <f>SUMIFS(Свод!$AQ$6:$AQ$455,Свод!$G$6:$G$455,Расчеты!BH$1)</f>
        <v>154.14147</v>
      </c>
      <c r="BI49" s="94">
        <f>SUMIFS(Свод!$AQ$6:$AQ$455,Свод!$G$6:$G$455,Расчеты!BI$1)</f>
        <v>31.45</v>
      </c>
      <c r="BJ49" s="94">
        <f>SUMIFS(Свод!$AQ$6:$AQ$455,Свод!$G$6:$G$455,Расчеты!BJ$1)</f>
        <v>7.9779999999999998</v>
      </c>
      <c r="BK49" s="94">
        <f>SUMIFS(Свод!$AQ$6:$AQ$455,Свод!$G$6:$G$455,Расчеты!BK$1)</f>
        <v>402.11405179000002</v>
      </c>
      <c r="BL49" s="94">
        <f>SUMIFS(Свод!$AQ$6:$AQ$455,Свод!$G$6:$G$455,Расчеты!BL$1)</f>
        <v>132.00406625999997</v>
      </c>
      <c r="BM49" s="94">
        <f>SUMIFS(Свод!$AQ$6:$AQ$455,Свод!$G$6:$G$455,Расчеты!BM$1)</f>
        <v>63.091000000000001</v>
      </c>
      <c r="BN49" s="94">
        <f>SUMIFS(Свод!$AQ$6:$AQ$455,Свод!$G$6:$G$455,Расчеты!BN$1)</f>
        <v>133.42888577000002</v>
      </c>
      <c r="BO49" s="94">
        <f>SUMIFS(Свод!$AQ$6:$AQ$455,Свод!$G$6:$G$455,Расчеты!BO$1)</f>
        <v>86.765480000000011</v>
      </c>
      <c r="BP49" s="94">
        <f>SUMIFS(Свод!$AQ$6:$AQ$455,Свод!$G$6:$G$455,Расчеты!BP$1)</f>
        <v>20.091098656262599</v>
      </c>
      <c r="BQ49" s="94">
        <f>SUMIFS(Свод!$AQ$6:$AQ$455,Свод!$G$6:$G$455,Расчеты!BQ$1)</f>
        <v>17.027000000000001</v>
      </c>
      <c r="BR49" s="94">
        <f>SUMIFS(Свод!$AQ$6:$AQ$455,Свод!$G$6:$G$455,Расчеты!BR$1)</f>
        <v>49.28187003</v>
      </c>
      <c r="BS49" s="94">
        <f>SUMIFS(Свод!$AQ$6:$AQ$455,Свод!$G$6:$G$455,Расчеты!BS$1)</f>
        <v>38.050773299999996</v>
      </c>
      <c r="BT49" s="94">
        <f>SUMIFS(Свод!$AQ$6:$AQ$455,Свод!$G$6:$G$455,Расчеты!BT$1)</f>
        <v>13.195</v>
      </c>
      <c r="BU49" s="94">
        <f>SUMIFS(Свод!$AQ$6:$AQ$455,Свод!$G$6:$G$455,Расчеты!BU$1)</f>
        <v>368.50780000000003</v>
      </c>
      <c r="BV49" s="94">
        <f>SUMIFS(Свод!$AQ$6:$AQ$455,Свод!$G$6:$G$455,Расчеты!BV$1)</f>
        <v>75.20428480999999</v>
      </c>
      <c r="BW49" s="94">
        <f ca="1">SUMIFS(Свод!$AQ$6:$AQ$455,Свод!$G$6:$G$455,Расчеты!BW$1)</f>
        <v>98.970866639999983</v>
      </c>
      <c r="BX49" s="94">
        <f>SUMIFS(Свод!$AQ$6:$AQ$455,Свод!$G$6:$G$455,Расчеты!BX$1)</f>
        <v>0</v>
      </c>
      <c r="BY49" s="94">
        <f>SUMIFS(Свод!$AQ$6:$AQ$455,Свод!$G$6:$G$455,Расчеты!BY$1)</f>
        <v>35.36</v>
      </c>
      <c r="BZ49" s="94">
        <f>SUMIFS(Свод!$AQ$6:$AQ$455,Свод!$G$6:$G$455,Расчеты!BZ$1)</f>
        <v>216</v>
      </c>
      <c r="CA49" s="94">
        <f>SUMIFS(Свод!$AQ$6:$AQ$455,Свод!$G$6:$G$455,Расчеты!CA$1)</f>
        <v>8.5</v>
      </c>
      <c r="CB49" s="94">
        <f>SUMIFS(Свод!$AQ$6:$AQ$455,Свод!$G$6:$G$455,Расчеты!CB$1)</f>
        <v>210.40325643000003</v>
      </c>
      <c r="CC49" s="94">
        <f>SUMIFS(Свод!$AQ$6:$AQ$455,Свод!$G$6:$G$455,Расчеты!CC$1)</f>
        <v>0</v>
      </c>
      <c r="CD49" s="94">
        <f>SUMIFS(Свод!$AQ$6:$AQ$455,Свод!$G$6:$G$455,Расчеты!CD$1)</f>
        <v>0.2</v>
      </c>
      <c r="CE49" s="94">
        <f>SUMIFS(Свод!$AQ$6:$AQ$455,Свод!$G$6:$G$455,Расчеты!CE$1)</f>
        <v>1.337</v>
      </c>
      <c r="CF49" s="94">
        <f>SUMIFS(Свод!$AQ$6:$AQ$455,Свод!$G$6:$G$455,Расчеты!CF$1)</f>
        <v>262.20937776000005</v>
      </c>
      <c r="CG49" s="94">
        <f>SUMIFS(Свод!$AQ$6:$AQ$455,Свод!$G$6:$G$455,Расчеты!CG$1)</f>
        <v>7.0571114699999997</v>
      </c>
      <c r="CH49" s="94">
        <f>SUMIFS(Свод!$AQ$6:$AQ$455,Свод!$G$6:$G$455,Расчеты!CH$1)</f>
        <v>0</v>
      </c>
      <c r="CI49" s="94">
        <f>SUMIFS(Свод!$AQ$6:$AQ$455,Свод!$G$6:$G$455,Расчеты!CI$1)</f>
        <v>75.48</v>
      </c>
      <c r="CJ49" s="94">
        <f>SUMIFS(Свод!$AQ$6:$AQ$455,Свод!$G$6:$G$455,Расчеты!CJ$1)</f>
        <v>12.92584564</v>
      </c>
      <c r="CK49" s="94">
        <f>SUMIFS(Свод!$AQ$6:$AQ$455,Свод!$G$6:$G$455,Расчеты!CK$1)</f>
        <v>129.63999999999999</v>
      </c>
      <c r="CL49" s="94">
        <f>SUMIFS(Свод!$AQ$6:$AQ$455,Свод!$G$6:$G$455,Расчеты!CL$1)</f>
        <v>0</v>
      </c>
      <c r="CM49" s="94">
        <f>SUMIFS(Свод!$AQ$6:$AQ$455,Свод!$G$6:$G$455,Расчеты!CM$1)</f>
        <v>28.120359999999998</v>
      </c>
      <c r="CN49" s="94">
        <f>SUMIFS(Свод!$AQ$6:$AQ$455,Свод!$G$6:$G$455,Расчеты!CN$1)</f>
        <v>33.830799999999996</v>
      </c>
      <c r="CO49" s="94">
        <f>SUMIFS(Свод!$AQ$6:$AQ$455,Свод!$G$6:$G$455,Расчеты!CO$1)</f>
        <v>40.367616249999998</v>
      </c>
      <c r="CP49" s="94">
        <f>SUMIFS(Свод!$AQ$6:$AQ$455,Свод!$G$6:$G$455,Расчеты!CP$1)</f>
        <v>68.976047559999998</v>
      </c>
      <c r="CQ49" s="94">
        <f>SUMIFS(Свод!$AQ$6:$AQ$455,Свод!$G$6:$G$455,Расчеты!CQ$1)</f>
        <v>0</v>
      </c>
      <c r="CR49" s="94">
        <f>SUMIFS(Свод!$AQ$6:$AQ$455,Свод!$G$6:$G$455,Расчеты!CR$1)</f>
        <v>318.471</v>
      </c>
      <c r="CS49" s="94">
        <f>SUMIFS(Свод!$AQ$6:$AQ$455,Свод!$G$6:$G$455,Расчеты!CS$1)</f>
        <v>1.321</v>
      </c>
      <c r="CT49" s="94">
        <f>SUMIFS(Свод!$AQ$6:$AQ$455,Свод!$G$6:$G$455,Расчеты!CT$1)</f>
        <v>0.498</v>
      </c>
      <c r="CU49" s="94">
        <f>SUMIFS(Свод!$AQ$6:$AQ$455,Свод!$G$6:$G$455,Расчеты!CU$1)</f>
        <v>218.92339999999999</v>
      </c>
      <c r="CV49" s="94">
        <f>SUMIFS(Свод!$AQ$6:$AQ$455,Свод!$G$6:$G$455,Расчеты!CV$1)</f>
        <v>22.5</v>
      </c>
      <c r="CW49" s="94">
        <f>SUMIFS(Свод!$AQ$6:$AQ$455,Свод!$G$6:$G$455,Расчеты!CW$1)</f>
        <v>463.74295373000007</v>
      </c>
      <c r="CX49" s="94">
        <f>SUMIFS(Свод!$AQ$6:$AQ$455,Свод!$G$6:$G$455,Расчеты!CX$1)</f>
        <v>73.364999999999995</v>
      </c>
    </row>
    <row r="50" spans="1:102" ht="34" x14ac:dyDescent="0.2">
      <c r="A50" s="1237"/>
      <c r="B50" s="1237"/>
      <c r="C50" s="97" t="s">
        <v>8886</v>
      </c>
      <c r="D50" s="97">
        <v>29</v>
      </c>
      <c r="E50" s="502" t="s">
        <v>8983</v>
      </c>
      <c r="F50" s="97" t="s">
        <v>63</v>
      </c>
      <c r="G50" s="513" t="s">
        <v>64</v>
      </c>
      <c r="H50" s="513" t="s">
        <v>8980</v>
      </c>
      <c r="I50" s="97"/>
      <c r="J50" s="97"/>
      <c r="K50" s="97"/>
      <c r="L50" s="97">
        <v>0.13282709692467154</v>
      </c>
      <c r="M50" s="97">
        <v>0.15349089891588938</v>
      </c>
      <c r="N50" s="572">
        <v>0.16362662785726212</v>
      </c>
      <c r="O50" s="510">
        <v>15.89446308819581</v>
      </c>
      <c r="P50" s="595">
        <v>0.17128029149725446</v>
      </c>
      <c r="Q50" s="573">
        <f ca="1">Q49/Q44</f>
        <v>0.16986420295897328</v>
      </c>
      <c r="R50" s="573">
        <f>R49/R44</f>
        <v>0.25178679871070214</v>
      </c>
      <c r="S50" s="573">
        <f t="shared" ref="S50:CD50" si="6">S49/S44</f>
        <v>3.6149162957030238E-2</v>
      </c>
      <c r="T50" s="573">
        <f t="shared" si="6"/>
        <v>0.15149362470870675</v>
      </c>
      <c r="U50" s="573">
        <f t="shared" si="6"/>
        <v>0.11043396250354198</v>
      </c>
      <c r="V50" s="573">
        <f t="shared" si="6"/>
        <v>0.35652091971353178</v>
      </c>
      <c r="W50" s="573">
        <f t="shared" si="6"/>
        <v>6.2468386444107238E-2</v>
      </c>
      <c r="X50" s="573">
        <f t="shared" si="6"/>
        <v>9.4189103814116354E-2</v>
      </c>
      <c r="Y50" s="573">
        <f t="shared" si="6"/>
        <v>6.6445428658170463E-2</v>
      </c>
      <c r="Z50" s="573">
        <f t="shared" si="6"/>
        <v>6.8347374132870869E-2</v>
      </c>
      <c r="AA50" s="573">
        <f t="shared" si="6"/>
        <v>0</v>
      </c>
      <c r="AB50" s="573">
        <f t="shared" si="6"/>
        <v>5.1044845302564507E-2</v>
      </c>
      <c r="AC50" s="573" t="e">
        <f t="shared" si="6"/>
        <v>#DIV/0!</v>
      </c>
      <c r="AD50" s="573">
        <f t="shared" si="6"/>
        <v>0.49773633849692867</v>
      </c>
      <c r="AE50" s="573">
        <f t="shared" si="6"/>
        <v>0.13923650460211723</v>
      </c>
      <c r="AF50" s="573">
        <f t="shared" si="6"/>
        <v>0.11571575721165228</v>
      </c>
      <c r="AG50" s="573" t="e">
        <f t="shared" si="6"/>
        <v>#DIV/0!</v>
      </c>
      <c r="AH50" s="573">
        <f t="shared" si="6"/>
        <v>1.8788277216763655E-2</v>
      </c>
      <c r="AI50" s="573">
        <f t="shared" si="6"/>
        <v>0.15106930843982636</v>
      </c>
      <c r="AJ50" s="573" t="e">
        <f t="shared" si="6"/>
        <v>#DIV/0!</v>
      </c>
      <c r="AK50" s="573">
        <f t="shared" si="6"/>
        <v>0.1014799154334038</v>
      </c>
      <c r="AL50" s="573" t="e">
        <f t="shared" si="6"/>
        <v>#DIV/0!</v>
      </c>
      <c r="AM50" s="573">
        <f t="shared" si="6"/>
        <v>0.12347331005934077</v>
      </c>
      <c r="AN50" s="573">
        <f t="shared" si="6"/>
        <v>0.13145077436655175</v>
      </c>
      <c r="AO50" s="573">
        <f t="shared" si="6"/>
        <v>0.25187258509053029</v>
      </c>
      <c r="AP50" s="573" t="e">
        <f t="shared" si="6"/>
        <v>#DIV/0!</v>
      </c>
      <c r="AQ50" s="573" t="e">
        <f t="shared" si="6"/>
        <v>#DIV/0!</v>
      </c>
      <c r="AR50" s="573">
        <f t="shared" ca="1" si="6"/>
        <v>0.10063409634761449</v>
      </c>
      <c r="AS50" s="573">
        <f t="shared" si="6"/>
        <v>0.32132887866822868</v>
      </c>
      <c r="AT50" s="573">
        <f t="shared" si="6"/>
        <v>0.20260395092790046</v>
      </c>
      <c r="AU50" s="573">
        <f t="shared" ca="1" si="6"/>
        <v>0.27180376018615543</v>
      </c>
      <c r="AV50" s="573">
        <f t="shared" si="6"/>
        <v>0.36909966137336331</v>
      </c>
      <c r="AW50" s="573">
        <f t="shared" si="6"/>
        <v>0.6251832724838523</v>
      </c>
      <c r="AX50" s="573">
        <f t="shared" si="6"/>
        <v>0.20271864354459965</v>
      </c>
      <c r="AY50" s="573">
        <f t="shared" si="6"/>
        <v>9.4727715453236744E-2</v>
      </c>
      <c r="AZ50" s="573">
        <f t="shared" si="6"/>
        <v>0.46764835136839294</v>
      </c>
      <c r="BA50" s="573">
        <f t="shared" si="6"/>
        <v>0.20257147773926298</v>
      </c>
      <c r="BB50" s="573">
        <f t="shared" si="6"/>
        <v>0.2242416125132875</v>
      </c>
      <c r="BC50" s="573">
        <f t="shared" si="6"/>
        <v>8.4921160208710794E-2</v>
      </c>
      <c r="BD50" s="573">
        <f t="shared" si="6"/>
        <v>0.14489567255451632</v>
      </c>
      <c r="BE50" s="573">
        <f t="shared" si="6"/>
        <v>8.3865921342277508E-2</v>
      </c>
      <c r="BF50" s="573" t="e">
        <f t="shared" si="6"/>
        <v>#DIV/0!</v>
      </c>
      <c r="BG50" s="573" t="e">
        <f t="shared" si="6"/>
        <v>#DIV/0!</v>
      </c>
      <c r="BH50" s="573">
        <f t="shared" si="6"/>
        <v>0.23385931707479893</v>
      </c>
      <c r="BI50" s="573">
        <f t="shared" si="6"/>
        <v>0.34000367571541312</v>
      </c>
      <c r="BJ50" s="573">
        <f t="shared" si="6"/>
        <v>0.25369669602823797</v>
      </c>
      <c r="BK50" s="573">
        <f t="shared" si="6"/>
        <v>0.34675614334256455</v>
      </c>
      <c r="BL50" s="573">
        <f t="shared" si="6"/>
        <v>0.14673832130607078</v>
      </c>
      <c r="BM50" s="573">
        <f t="shared" si="6"/>
        <v>0.2419124159800001</v>
      </c>
      <c r="BN50" s="573">
        <f t="shared" si="6"/>
        <v>0.13447519800005409</v>
      </c>
      <c r="BO50" s="573">
        <f t="shared" si="6"/>
        <v>0.33192440755078462</v>
      </c>
      <c r="BP50" s="573">
        <f t="shared" si="6"/>
        <v>3.2749843528023619E-2</v>
      </c>
      <c r="BQ50" s="573">
        <f t="shared" si="6"/>
        <v>0.50785933725057419</v>
      </c>
      <c r="BR50" s="573">
        <f t="shared" si="6"/>
        <v>0.13618872028113882</v>
      </c>
      <c r="BS50" s="573">
        <f t="shared" si="6"/>
        <v>0.15312750970460276</v>
      </c>
      <c r="BT50" s="573">
        <f t="shared" si="6"/>
        <v>0.16689505380989977</v>
      </c>
      <c r="BU50" s="573">
        <f t="shared" si="6"/>
        <v>0.51161356963724791</v>
      </c>
      <c r="BV50" s="573">
        <f t="shared" si="6"/>
        <v>0.10653625496694895</v>
      </c>
      <c r="BW50" s="573">
        <f t="shared" ca="1" si="6"/>
        <v>0.21527703569655429</v>
      </c>
      <c r="BX50" s="573">
        <f t="shared" si="6"/>
        <v>0</v>
      </c>
      <c r="BY50" s="573">
        <f t="shared" si="6"/>
        <v>2.7101479866497621E-2</v>
      </c>
      <c r="BZ50" s="573">
        <f t="shared" si="6"/>
        <v>0.270473328324568</v>
      </c>
      <c r="CA50" s="573">
        <f t="shared" si="6"/>
        <v>1.7789870238593554E-2</v>
      </c>
      <c r="CB50" s="573">
        <f t="shared" si="6"/>
        <v>0.10724401627439126</v>
      </c>
      <c r="CC50" s="573">
        <f t="shared" si="6"/>
        <v>0</v>
      </c>
      <c r="CD50" s="573">
        <f t="shared" si="6"/>
        <v>6.6666666666666666E-2</v>
      </c>
      <c r="CE50" s="573">
        <f t="shared" ref="CE50:CX50" si="7">CE49/CE44</f>
        <v>0.22905602192907315</v>
      </c>
      <c r="CF50" s="573">
        <f t="shared" si="7"/>
        <v>0.45254406991033197</v>
      </c>
      <c r="CG50" s="573">
        <f t="shared" si="7"/>
        <v>5.5181355611973468E-3</v>
      </c>
      <c r="CH50" s="573">
        <f t="shared" si="7"/>
        <v>0</v>
      </c>
      <c r="CI50" s="573">
        <f t="shared" si="7"/>
        <v>0.24094462551114551</v>
      </c>
      <c r="CJ50" s="573">
        <f t="shared" si="7"/>
        <v>0.21333352556796131</v>
      </c>
      <c r="CK50" s="573">
        <f t="shared" si="7"/>
        <v>0.18927896162297511</v>
      </c>
      <c r="CL50" s="573" t="e">
        <f t="shared" si="7"/>
        <v>#DIV/0!</v>
      </c>
      <c r="CM50" s="573">
        <f t="shared" si="7"/>
        <v>4.3335427050803399E-2</v>
      </c>
      <c r="CN50" s="573">
        <f t="shared" si="7"/>
        <v>0.12427352856807476</v>
      </c>
      <c r="CO50" s="573">
        <f t="shared" si="7"/>
        <v>3.3246908979931815E-2</v>
      </c>
      <c r="CP50" s="573">
        <f t="shared" si="7"/>
        <v>8.8370381015959718E-2</v>
      </c>
      <c r="CQ50" s="573" t="e">
        <f t="shared" si="7"/>
        <v>#DIV/0!</v>
      </c>
      <c r="CR50" s="573">
        <f t="shared" si="7"/>
        <v>0.23623613165209831</v>
      </c>
      <c r="CS50" s="573">
        <f t="shared" si="7"/>
        <v>9.9394279822026836E-4</v>
      </c>
      <c r="CT50" s="573">
        <f t="shared" si="7"/>
        <v>1.7328972092699561E-2</v>
      </c>
      <c r="CU50" s="573">
        <f t="shared" si="7"/>
        <v>0.18599389789397189</v>
      </c>
      <c r="CV50" s="573">
        <f t="shared" si="7"/>
        <v>0.30991735537190085</v>
      </c>
      <c r="CW50" s="573">
        <f t="shared" si="7"/>
        <v>0.98852806065548993</v>
      </c>
      <c r="CX50" s="573">
        <f t="shared" si="7"/>
        <v>9.4230085040195311E-2</v>
      </c>
    </row>
    <row r="51" spans="1:102" ht="68" x14ac:dyDescent="0.2">
      <c r="A51" s="1238" t="s">
        <v>8897</v>
      </c>
      <c r="B51" s="1237" t="s">
        <v>8984</v>
      </c>
      <c r="C51" s="97" t="s">
        <v>8886</v>
      </c>
      <c r="D51" s="97">
        <v>30</v>
      </c>
      <c r="E51" s="502" t="s">
        <v>8985</v>
      </c>
      <c r="F51" s="97" t="s">
        <v>9570</v>
      </c>
      <c r="G51" s="513" t="s">
        <v>8974</v>
      </c>
      <c r="H51" s="513" t="s">
        <v>8895</v>
      </c>
      <c r="I51" s="97"/>
      <c r="J51" s="97"/>
      <c r="K51" s="97" t="s">
        <v>479</v>
      </c>
      <c r="L51" s="97">
        <v>776.5529130000001</v>
      </c>
      <c r="M51" s="97">
        <v>1123.1145690999999</v>
      </c>
      <c r="N51" s="99">
        <v>1267.2471590900002</v>
      </c>
      <c r="O51" s="510">
        <v>1085.1753496000003</v>
      </c>
      <c r="P51" s="594">
        <v>1669.6752473699996</v>
      </c>
      <c r="Q51" s="94">
        <f>SUM(R51:CX51)</f>
        <v>1542.3997791692075</v>
      </c>
      <c r="R51" s="94">
        <f>SUMIFS(Свод!$AT$6:$AT$455,Свод!$G$6:$G$455,Расчеты!R$1)</f>
        <v>0</v>
      </c>
      <c r="S51" s="94">
        <f>SUMIFS(Свод!$AT$6:$AT$455,Свод!$G$6:$G$455,Расчеты!S$1)</f>
        <v>3.5220000000000002</v>
      </c>
      <c r="T51" s="94">
        <f>SUMIFS(Свод!$AT$6:$AT$455,Свод!$G$6:$G$455,Расчеты!T$1)</f>
        <v>0.64426700000000003</v>
      </c>
      <c r="U51" s="94">
        <f>SUMIFS(Свод!$AT$6:$AT$455,Свод!$G$6:$G$455,Расчеты!U$1)</f>
        <v>2.7930000000000001</v>
      </c>
      <c r="V51" s="94">
        <f>SUMIFS(Свод!$AT$6:$AT$455,Свод!$G$6:$G$455,Расчеты!V$1)</f>
        <v>1.1180000000000001</v>
      </c>
      <c r="W51" s="94">
        <f>SUMIFS(Свод!$AT$6:$AT$455,Свод!$G$6:$G$455,Расчеты!W$1)</f>
        <v>0.38200000000000001</v>
      </c>
      <c r="X51" s="94">
        <f>SUMIFS(Свод!$AT$6:$AT$455,Свод!$G$6:$G$455,Расчеты!X$1)</f>
        <v>71.857260999999994</v>
      </c>
      <c r="Y51" s="94">
        <f>SUMIFS(Свод!$AT$6:$AT$455,Свод!$G$6:$G$455,Расчеты!Y$1)</f>
        <v>0.606958</v>
      </c>
      <c r="Z51" s="94">
        <f>SUMIFS(Свод!$AT$6:$AT$455,Свод!$G$6:$G$455,Расчеты!Z$1)</f>
        <v>7.9538660000000005</v>
      </c>
      <c r="AA51" s="94">
        <f>SUMIFS(Свод!$AT$6:$AT$455,Свод!$G$6:$G$455,Расчеты!AA$1)</f>
        <v>0</v>
      </c>
      <c r="AB51" s="94">
        <f>SUMIFS(Свод!$AT$6:$AT$455,Свод!$G$6:$G$455,Расчеты!AB$1)</f>
        <v>85.997144999999989</v>
      </c>
      <c r="AC51" s="94">
        <f>SUMIFS(Свод!$AT$6:$AT$455,Свод!$G$6:$G$455,Расчеты!AC$1)</f>
        <v>0</v>
      </c>
      <c r="AD51" s="94">
        <f>SUMIFS(Свод!$AT$6:$AT$455,Свод!$G$6:$G$455,Расчеты!AD$1)</f>
        <v>33.671999999999997</v>
      </c>
      <c r="AE51" s="94">
        <f>SUMIFS(Свод!$AT$6:$AT$455,Свод!$G$6:$G$455,Расчеты!AE$1)</f>
        <v>16.059999999999999</v>
      </c>
      <c r="AF51" s="94">
        <f>SUMIFS(Свод!$AT$6:$AT$455,Свод!$G$6:$G$455,Расчеты!AF$1)</f>
        <v>172.85400000000001</v>
      </c>
      <c r="AG51" s="94">
        <f>SUMIFS(Свод!$AT$6:$AT$455,Свод!$G$6:$G$455,Расчеты!AG$1)</f>
        <v>0</v>
      </c>
      <c r="AH51" s="94">
        <f>SUMIFS(Свод!$AT$6:$AT$455,Свод!$G$6:$G$455,Расчеты!AH$1)</f>
        <v>0.1525</v>
      </c>
      <c r="AI51" s="94">
        <f>SUMIFS(Свод!$AT$6:$AT$455,Свод!$G$6:$G$455,Расчеты!AI$1)</f>
        <v>0</v>
      </c>
      <c r="AJ51" s="94">
        <f>SUMIFS(Свод!$AT$6:$AT$455,Свод!$G$6:$G$455,Расчеты!AJ$1)</f>
        <v>0</v>
      </c>
      <c r="AK51" s="94">
        <f>SUMIFS(Свод!$AT$6:$AT$455,Свод!$G$6:$G$455,Расчеты!AK$1)</f>
        <v>0</v>
      </c>
      <c r="AL51" s="94">
        <f>SUMIFS(Свод!$AT$6:$AT$455,Свод!$G$6:$G$455,Расчеты!AL$1)</f>
        <v>0</v>
      </c>
      <c r="AM51" s="94">
        <f>SUMIFS(Свод!$AT$6:$AT$455,Свод!$G$6:$G$455,Расчеты!AM$1)</f>
        <v>15.693118909999999</v>
      </c>
      <c r="AN51" s="94">
        <f>SUMIFS(Свод!$AT$6:$AT$455,Свод!$G$6:$G$455,Расчеты!AN$1)</f>
        <v>0</v>
      </c>
      <c r="AO51" s="94">
        <f>SUMIFS(Свод!$AT$6:$AT$455,Свод!$G$6:$G$455,Расчеты!AO$1)</f>
        <v>14.367000000000001</v>
      </c>
      <c r="AP51" s="94">
        <f>SUMIFS(Свод!$AT$6:$AT$455,Свод!$G$6:$G$455,Расчеты!AP$1)</f>
        <v>0</v>
      </c>
      <c r="AQ51" s="94">
        <f>SUMIFS(Свод!$AT$6:$AT$455,Свод!$G$6:$G$455,Расчеты!AQ$1)</f>
        <v>0</v>
      </c>
      <c r="AR51" s="94">
        <f>SUMIFS(Свод!$AT$6:$AT$455,Свод!$G$6:$G$455,Расчеты!AR$1)</f>
        <v>8.0570000000000004</v>
      </c>
      <c r="AS51" s="94">
        <f>SUMIFS(Свод!$AT$6:$AT$455,Свод!$G$6:$G$455,Расчеты!AS$1)</f>
        <v>0</v>
      </c>
      <c r="AT51" s="94">
        <f>SUMIFS(Свод!$AT$6:$AT$455,Свод!$G$6:$G$455,Расчеты!AT$1)</f>
        <v>40.241999999999997</v>
      </c>
      <c r="AU51" s="94">
        <f>SUMIFS(Свод!$AT$6:$AT$455,Свод!$G$6:$G$455,Расчеты!AU$1)</f>
        <v>4.6117210000000002</v>
      </c>
      <c r="AV51" s="94">
        <f>SUMIFS(Свод!$AT$6:$AT$455,Свод!$G$6:$G$455,Расчеты!AV$1)</f>
        <v>23.072899999999997</v>
      </c>
      <c r="AW51" s="94">
        <f>SUMIFS(Свод!$AT$6:$AT$455,Свод!$G$6:$G$455,Расчеты!AW$1)</f>
        <v>104.33483</v>
      </c>
      <c r="AX51" s="94">
        <f>SUMIFS(Свод!$AT$6:$AT$455,Свод!$G$6:$G$455,Расчеты!AX$1)</f>
        <v>3.3449999999999998</v>
      </c>
      <c r="AY51" s="94">
        <f>SUMIFS(Свод!$AT$6:$AT$455,Свод!$G$6:$G$455,Расчеты!AY$1)</f>
        <v>0.185</v>
      </c>
      <c r="AZ51" s="94">
        <f>SUMIFS(Свод!$AT$6:$AT$455,Свод!$G$6:$G$455,Расчеты!AZ$1)</f>
        <v>0</v>
      </c>
      <c r="BA51" s="94">
        <f>SUMIFS(Свод!$AT$6:$AT$455,Свод!$G$6:$G$455,Расчеты!BA$1)</f>
        <v>2.956</v>
      </c>
      <c r="BB51" s="94">
        <f>SUMIFS(Свод!$AT$6:$AT$455,Свод!$G$6:$G$455,Расчеты!BB$1)</f>
        <v>0.06</v>
      </c>
      <c r="BC51" s="94">
        <f>SUMIFS(Свод!$AT$6:$AT$455,Свод!$G$6:$G$455,Расчеты!BC$1)</f>
        <v>3.9640740800000001</v>
      </c>
      <c r="BD51" s="94">
        <f>SUMIFS(Свод!$AT$6:$AT$455,Свод!$G$6:$G$455,Расчеты!BD$1)</f>
        <v>0</v>
      </c>
      <c r="BE51" s="94">
        <f>SUMIFS(Свод!$AT$6:$AT$455,Свод!$G$6:$G$455,Расчеты!BE$1)</f>
        <v>1.3209358199999999</v>
      </c>
      <c r="BF51" s="94">
        <f>SUMIFS(Свод!$AT$6:$AT$455,Свод!$G$6:$G$455,Расчеты!BF$1)</f>
        <v>0</v>
      </c>
      <c r="BG51" s="94">
        <f>SUMIFS(Свод!$AT$6:$AT$455,Свод!$G$6:$G$455,Расчеты!BG$1)</f>
        <v>0</v>
      </c>
      <c r="BH51" s="94">
        <f>SUMIFS(Свод!$AT$6:$AT$455,Свод!$G$6:$G$455,Расчеты!BH$1)</f>
        <v>10.984030000000001</v>
      </c>
      <c r="BI51" s="94">
        <f>SUMIFS(Свод!$AT$6:$AT$455,Свод!$G$6:$G$455,Расчеты!BI$1)</f>
        <v>0</v>
      </c>
      <c r="BJ51" s="94">
        <f>SUMIFS(Свод!$AT$6:$AT$455,Свод!$G$6:$G$455,Расчеты!BJ$1)</f>
        <v>0.59899999999999998</v>
      </c>
      <c r="BK51" s="94">
        <f>SUMIFS(Свод!$AT$6:$AT$455,Свод!$G$6:$G$455,Расчеты!BK$1)</f>
        <v>2.359</v>
      </c>
      <c r="BL51" s="94">
        <f>SUMIFS(Свод!$AT$6:$AT$455,Свод!$G$6:$G$455,Расчеты!BL$1)</f>
        <v>10.41254417</v>
      </c>
      <c r="BM51" s="94">
        <f>SUMIFS(Свод!$AT$6:$AT$455,Свод!$G$6:$G$455,Расчеты!BM$1)</f>
        <v>0</v>
      </c>
      <c r="BN51" s="94">
        <f>SUMIFS(Свод!$AT$6:$AT$455,Свод!$G$6:$G$455,Расчеты!BN$1)</f>
        <v>6.7757563699999999</v>
      </c>
      <c r="BO51" s="94">
        <f>SUMIFS(Свод!$AT$6:$AT$455,Свод!$G$6:$G$455,Расчеты!BO$1)</f>
        <v>0.81390000000000007</v>
      </c>
      <c r="BP51" s="94">
        <f>SUMIFS(Свод!$AT$6:$AT$455,Свод!$G$6:$G$455,Расчеты!BP$1)</f>
        <v>7.5999999999999998E-2</v>
      </c>
      <c r="BQ51" s="94">
        <f>SUMIFS(Свод!$AT$6:$AT$455,Свод!$G$6:$G$455,Расчеты!BQ$1)</f>
        <v>16.5</v>
      </c>
      <c r="BR51" s="94">
        <f>SUMIFS(Свод!$AT$6:$AT$455,Свод!$G$6:$G$455,Расчеты!BR$1)</f>
        <v>33.863076499999998</v>
      </c>
      <c r="BS51" s="94">
        <f>SUMIFS(Свод!$AT$6:$AT$455,Свод!$G$6:$G$455,Расчеты!BS$1)</f>
        <v>0</v>
      </c>
      <c r="BT51" s="94">
        <f>SUMIFS(Свод!$AT$6:$AT$455,Свод!$G$6:$G$455,Расчеты!BT$1)</f>
        <v>0</v>
      </c>
      <c r="BU51" s="94">
        <f>SUMIFS(Свод!$AT$6:$AT$455,Свод!$G$6:$G$455,Расчеты!BU$1)</f>
        <v>28.588719999999999</v>
      </c>
      <c r="BV51" s="94">
        <f>SUMIFS(Свод!$AT$6:$AT$455,Свод!$G$6:$G$455,Расчеты!BV$1)</f>
        <v>0</v>
      </c>
      <c r="BW51" s="94">
        <f>SUMIFS(Свод!$AT$6:$AT$455,Свод!$G$6:$G$455,Расчеты!BW$1)</f>
        <v>24.672000000000001</v>
      </c>
      <c r="BX51" s="94">
        <f>SUMIFS(Свод!$AT$6:$AT$455,Свод!$G$6:$G$455,Расчеты!BX$1)</f>
        <v>0</v>
      </c>
      <c r="BY51" s="94">
        <f>SUMIFS(Свод!$AT$6:$AT$455,Свод!$G$6:$G$455,Расчеты!BY$1)</f>
        <v>10.332000000000001</v>
      </c>
      <c r="BZ51" s="94">
        <f>SUMIFS(Свод!$AT$6:$AT$455,Свод!$G$6:$G$455,Расчеты!BZ$1)</f>
        <v>30.9</v>
      </c>
      <c r="CA51" s="94">
        <f>SUMIFS(Свод!$AT$6:$AT$455,Свод!$G$6:$G$455,Расчеты!CA$1)</f>
        <v>0</v>
      </c>
      <c r="CB51" s="94">
        <f>SUMIFS(Свод!$AT$6:$AT$455,Свод!$G$6:$G$455,Расчеты!CB$1)</f>
        <v>43.158441339999996</v>
      </c>
      <c r="CC51" s="94">
        <f>SUMIFS(Свод!$AT$6:$AT$455,Свод!$G$6:$G$455,Расчеты!CC$1)</f>
        <v>0</v>
      </c>
      <c r="CD51" s="94">
        <f>SUMIFS(Свод!$AT$6:$AT$455,Свод!$G$6:$G$455,Расчеты!CD$1)</f>
        <v>0.03</v>
      </c>
      <c r="CE51" s="94">
        <f>SUMIFS(Свод!$AT$6:$AT$455,Свод!$G$6:$G$455,Расчеты!CE$1)</f>
        <v>0</v>
      </c>
      <c r="CF51" s="94">
        <f>SUMIFS(Свод!$AT$6:$AT$455,Свод!$G$6:$G$455,Расчеты!CF$1)</f>
        <v>0</v>
      </c>
      <c r="CG51" s="94">
        <f>SUMIFS(Свод!$AT$6:$AT$455,Свод!$G$6:$G$455,Расчеты!CG$1)</f>
        <v>4.9239999999999995</v>
      </c>
      <c r="CH51" s="94">
        <f>SUMIFS(Свод!$AT$6:$AT$455,Свод!$G$6:$G$455,Расчеты!CH$1)</f>
        <v>355.267</v>
      </c>
      <c r="CI51" s="94">
        <f>SUMIFS(Свод!$AT$6:$AT$455,Свод!$G$6:$G$455,Расчеты!CI$1)</f>
        <v>0</v>
      </c>
      <c r="CJ51" s="94">
        <f>SUMIFS(Свод!$AT$6:$AT$455,Свод!$G$6:$G$455,Расчеты!CJ$1)</f>
        <v>0</v>
      </c>
      <c r="CK51" s="94">
        <f>SUMIFS(Свод!$AT$6:$AT$455,Свод!$G$6:$G$455,Расчеты!CK$1)</f>
        <v>57.704999999999998</v>
      </c>
      <c r="CL51" s="94">
        <f>SUMIFS(Свод!$AT$6:$AT$455,Свод!$G$6:$G$455,Расчеты!CL$1)</f>
        <v>0</v>
      </c>
      <c r="CM51" s="94">
        <f>SUMIFS(Свод!$AT$6:$AT$455,Свод!$G$6:$G$455,Расчеты!CM$1)</f>
        <v>0.6238999999999999</v>
      </c>
      <c r="CN51" s="94">
        <f>SUMIFS(Свод!$AT$6:$AT$455,Свод!$G$6:$G$455,Расчеты!CN$1)</f>
        <v>24.116800000000001</v>
      </c>
      <c r="CO51" s="94">
        <f>SUMIFS(Свод!$AT$6:$AT$455,Свод!$G$6:$G$455,Расчеты!CO$1)</f>
        <v>5.1719999999999997</v>
      </c>
      <c r="CP51" s="94">
        <f>SUMIFS(Свод!$AT$6:$AT$455,Свод!$G$6:$G$455,Расчеты!CP$1)</f>
        <v>117.58381359920753</v>
      </c>
      <c r="CQ51" s="94">
        <f>SUMIFS(Свод!$AT$6:$AT$455,Свод!$G$6:$G$455,Расчеты!CQ$1)</f>
        <v>0</v>
      </c>
      <c r="CR51" s="94">
        <f>SUMIFS(Свод!$AT$6:$AT$455,Свод!$G$6:$G$455,Расчеты!CR$1)</f>
        <v>6.6864499999999998</v>
      </c>
      <c r="CS51" s="94">
        <f>SUMIFS(Свод!$AT$6:$AT$455,Свод!$G$6:$G$455,Расчеты!CS$1)</f>
        <v>0</v>
      </c>
      <c r="CT51" s="94">
        <f>SUMIFS(Свод!$AT$6:$AT$455,Свод!$G$6:$G$455,Расчеты!CT$1)</f>
        <v>0</v>
      </c>
      <c r="CU51" s="94">
        <f>SUMIFS(Свод!$AT$6:$AT$455,Свод!$G$6:$G$455,Расчеты!CU$1)</f>
        <v>120.70400000000001</v>
      </c>
      <c r="CV51" s="94">
        <f>SUMIFS(Свод!$AT$6:$AT$455,Свод!$G$6:$G$455,Расчеты!CV$1)</f>
        <v>0.08</v>
      </c>
      <c r="CW51" s="94">
        <f>SUMIFS(Свод!$AT$6:$AT$455,Свод!$G$6:$G$455,Расчеты!CW$1)</f>
        <v>1.8717703799999998</v>
      </c>
      <c r="CX51" s="94">
        <f>SUMIFS(Свод!$AT$6:$AT$455,Свод!$G$6:$G$455,Расчеты!CX$1)</f>
        <v>7.7779999999999996</v>
      </c>
    </row>
    <row r="52" spans="1:102" ht="34" x14ac:dyDescent="0.2">
      <c r="A52" s="1237"/>
      <c r="B52" s="1237"/>
      <c r="C52" s="97" t="s">
        <v>8886</v>
      </c>
      <c r="D52" s="97">
        <v>31</v>
      </c>
      <c r="E52" s="502" t="s">
        <v>8986</v>
      </c>
      <c r="F52" s="97" t="s">
        <v>63</v>
      </c>
      <c r="G52" s="513" t="s">
        <v>64</v>
      </c>
      <c r="H52" s="513" t="s">
        <v>8980</v>
      </c>
      <c r="I52" s="97"/>
      <c r="J52" s="97"/>
      <c r="K52" s="97"/>
      <c r="L52" s="97">
        <v>5.3548971582494602E-2</v>
      </c>
      <c r="M52" s="97">
        <v>5.8149393078979143E-2</v>
      </c>
      <c r="N52" s="572">
        <v>5.2661126648861328E-2</v>
      </c>
      <c r="O52" s="510">
        <v>3.4115916819534187</v>
      </c>
      <c r="P52" s="595">
        <v>4.2314018917964352E-2</v>
      </c>
      <c r="Q52" s="573">
        <f>Q51/Q44</f>
        <v>3.4530136268149214E-2</v>
      </c>
      <c r="R52" s="573">
        <f t="shared" ref="R52:CC52" si="8">R51/R44</f>
        <v>0</v>
      </c>
      <c r="S52" s="573">
        <f t="shared" si="8"/>
        <v>5.0243627440671082E-2</v>
      </c>
      <c r="T52" s="573">
        <f t="shared" si="8"/>
        <v>1.200811143195869E-3</v>
      </c>
      <c r="U52" s="573">
        <f t="shared" si="8"/>
        <v>1.1812272413924355E-2</v>
      </c>
      <c r="V52" s="573">
        <f t="shared" si="8"/>
        <v>2.1070486241990202E-2</v>
      </c>
      <c r="W52" s="573">
        <f t="shared" si="8"/>
        <v>1.3801575258327913E-2</v>
      </c>
      <c r="X52" s="573">
        <f t="shared" si="8"/>
        <v>3.4490804983362496E-2</v>
      </c>
      <c r="Y52" s="573">
        <f t="shared" si="8"/>
        <v>2.6050731850631035E-4</v>
      </c>
      <c r="Z52" s="573">
        <f t="shared" si="8"/>
        <v>5.0846451702351129E-2</v>
      </c>
      <c r="AA52" s="573">
        <f t="shared" si="8"/>
        <v>0</v>
      </c>
      <c r="AB52" s="573">
        <f t="shared" si="8"/>
        <v>7.7996377634372893E-2</v>
      </c>
      <c r="AC52" s="573" t="e">
        <f t="shared" si="8"/>
        <v>#DIV/0!</v>
      </c>
      <c r="AD52" s="573">
        <f t="shared" si="8"/>
        <v>3.7455533234110425E-2</v>
      </c>
      <c r="AE52" s="573">
        <f t="shared" si="8"/>
        <v>2.774399513529948E-2</v>
      </c>
      <c r="AF52" s="573">
        <f t="shared" si="8"/>
        <v>0.18186715429995129</v>
      </c>
      <c r="AG52" s="573" t="e">
        <f t="shared" si="8"/>
        <v>#DIV/0!</v>
      </c>
      <c r="AH52" s="573">
        <f t="shared" si="8"/>
        <v>1.1338668432400105E-4</v>
      </c>
      <c r="AI52" s="573">
        <f t="shared" si="8"/>
        <v>0</v>
      </c>
      <c r="AJ52" s="573" t="e">
        <f t="shared" si="8"/>
        <v>#DIV/0!</v>
      </c>
      <c r="AK52" s="573">
        <f t="shared" si="8"/>
        <v>0</v>
      </c>
      <c r="AL52" s="573" t="e">
        <f t="shared" si="8"/>
        <v>#DIV/0!</v>
      </c>
      <c r="AM52" s="573">
        <f t="shared" si="8"/>
        <v>1.1606145202728046E-2</v>
      </c>
      <c r="AN52" s="573">
        <f t="shared" si="8"/>
        <v>0</v>
      </c>
      <c r="AO52" s="573">
        <f t="shared" si="8"/>
        <v>4.7365193654310252E-2</v>
      </c>
      <c r="AP52" s="573" t="e">
        <f t="shared" si="8"/>
        <v>#DIV/0!</v>
      </c>
      <c r="AQ52" s="573" t="e">
        <f t="shared" si="8"/>
        <v>#DIV/0!</v>
      </c>
      <c r="AR52" s="573">
        <f t="shared" si="8"/>
        <v>1.9070228714931206E-2</v>
      </c>
      <c r="AS52" s="573">
        <f t="shared" si="8"/>
        <v>0</v>
      </c>
      <c r="AT52" s="573">
        <f t="shared" si="8"/>
        <v>0.10289492659128914</v>
      </c>
      <c r="AU52" s="573">
        <f t="shared" si="8"/>
        <v>1.0075415144364813E-2</v>
      </c>
      <c r="AV52" s="573">
        <f t="shared" si="8"/>
        <v>3.9620818009943166E-2</v>
      </c>
      <c r="AW52" s="573">
        <f t="shared" si="8"/>
        <v>5.9878209260553851E-2</v>
      </c>
      <c r="AX52" s="573">
        <f t="shared" si="8"/>
        <v>9.2192443802573115E-3</v>
      </c>
      <c r="AY52" s="573">
        <f t="shared" si="8"/>
        <v>6.0919203805919267E-4</v>
      </c>
      <c r="AZ52" s="573">
        <f t="shared" si="8"/>
        <v>0</v>
      </c>
      <c r="BA52" s="573">
        <f t="shared" si="8"/>
        <v>3.633502962362023E-2</v>
      </c>
      <c r="BB52" s="573">
        <f t="shared" si="8"/>
        <v>1.0172301839321709E-4</v>
      </c>
      <c r="BC52" s="573">
        <f t="shared" si="8"/>
        <v>5.9586996840616066E-2</v>
      </c>
      <c r="BD52" s="573">
        <f t="shared" si="8"/>
        <v>0</v>
      </c>
      <c r="BE52" s="573">
        <f t="shared" si="8"/>
        <v>5.6845616711336672E-3</v>
      </c>
      <c r="BF52" s="573" t="e">
        <f t="shared" si="8"/>
        <v>#DIV/0!</v>
      </c>
      <c r="BG52" s="573" t="e">
        <f t="shared" si="8"/>
        <v>#DIV/0!</v>
      </c>
      <c r="BH52" s="573">
        <f t="shared" si="8"/>
        <v>1.6664676641069427E-2</v>
      </c>
      <c r="BI52" s="573">
        <f t="shared" si="8"/>
        <v>0</v>
      </c>
      <c r="BJ52" s="573">
        <f t="shared" si="8"/>
        <v>1.9047921900340253E-2</v>
      </c>
      <c r="BK52" s="573">
        <f t="shared" si="8"/>
        <v>2.0342431171052455E-3</v>
      </c>
      <c r="BL52" s="573">
        <f t="shared" si="8"/>
        <v>1.1574789287336568E-2</v>
      </c>
      <c r="BM52" s="573">
        <f t="shared" si="8"/>
        <v>0</v>
      </c>
      <c r="BN52" s="573">
        <f t="shared" si="8"/>
        <v>6.8288899678479089E-3</v>
      </c>
      <c r="BO52" s="573">
        <f t="shared" si="8"/>
        <v>3.1136031899504685E-3</v>
      </c>
      <c r="BP52" s="573">
        <f t="shared" si="8"/>
        <v>1.2388511702190821E-4</v>
      </c>
      <c r="BQ52" s="573">
        <f t="shared" si="8"/>
        <v>0.49214066274942581</v>
      </c>
      <c r="BR52" s="573">
        <f t="shared" si="8"/>
        <v>9.3579424857659063E-2</v>
      </c>
      <c r="BS52" s="573">
        <f t="shared" si="8"/>
        <v>0</v>
      </c>
      <c r="BT52" s="573">
        <f t="shared" si="8"/>
        <v>0</v>
      </c>
      <c r="BU52" s="573">
        <f t="shared" si="8"/>
        <v>3.9690820901375164E-2</v>
      </c>
      <c r="BV52" s="573">
        <f t="shared" si="8"/>
        <v>0</v>
      </c>
      <c r="BW52" s="573">
        <f t="shared" si="8"/>
        <v>5.3665439184492E-2</v>
      </c>
      <c r="BX52" s="573">
        <f t="shared" si="8"/>
        <v>0</v>
      </c>
      <c r="BY52" s="573">
        <f t="shared" si="8"/>
        <v>7.9189052596338634E-3</v>
      </c>
      <c r="BZ52" s="573">
        <f t="shared" si="8"/>
        <v>3.8692712246431255E-2</v>
      </c>
      <c r="CA52" s="573">
        <f t="shared" si="8"/>
        <v>0</v>
      </c>
      <c r="CB52" s="573">
        <f t="shared" si="8"/>
        <v>2.199816040862557E-2</v>
      </c>
      <c r="CC52" s="573">
        <f t="shared" si="8"/>
        <v>0</v>
      </c>
      <c r="CD52" s="573">
        <f t="shared" ref="CD52:CX52" si="9">CD51/CD44</f>
        <v>0.01</v>
      </c>
      <c r="CE52" s="573">
        <f t="shared" si="9"/>
        <v>0</v>
      </c>
      <c r="CF52" s="573">
        <f t="shared" si="9"/>
        <v>0</v>
      </c>
      <c r="CG52" s="573">
        <f t="shared" si="9"/>
        <v>3.8502012641916982E-3</v>
      </c>
      <c r="CH52" s="573">
        <f t="shared" si="9"/>
        <v>0.20808338165439602</v>
      </c>
      <c r="CI52" s="573">
        <f t="shared" si="9"/>
        <v>0</v>
      </c>
      <c r="CJ52" s="573">
        <f t="shared" si="9"/>
        <v>0</v>
      </c>
      <c r="CK52" s="573">
        <f t="shared" si="9"/>
        <v>8.4251330457064011E-2</v>
      </c>
      <c r="CL52" s="573" t="e">
        <f t="shared" si="9"/>
        <v>#DIV/0!</v>
      </c>
      <c r="CM52" s="573">
        <f t="shared" si="9"/>
        <v>9.6147321502983033E-4</v>
      </c>
      <c r="CN52" s="573">
        <f t="shared" si="9"/>
        <v>8.8590273767411534E-2</v>
      </c>
      <c r="CO52" s="573">
        <f t="shared" si="9"/>
        <v>4.2596771674425372E-3</v>
      </c>
      <c r="CP52" s="573">
        <f t="shared" si="9"/>
        <v>0.15064543093793289</v>
      </c>
      <c r="CQ52" s="573" t="e">
        <f t="shared" si="9"/>
        <v>#DIV/0!</v>
      </c>
      <c r="CR52" s="573">
        <f t="shared" si="9"/>
        <v>4.95988985648669E-3</v>
      </c>
      <c r="CS52" s="573">
        <f t="shared" si="9"/>
        <v>0</v>
      </c>
      <c r="CT52" s="573">
        <f t="shared" si="9"/>
        <v>0</v>
      </c>
      <c r="CU52" s="573">
        <f t="shared" si="9"/>
        <v>0.10254823125985613</v>
      </c>
      <c r="CV52" s="573">
        <f t="shared" si="9"/>
        <v>1.1019283746556475E-3</v>
      </c>
      <c r="CW52" s="573">
        <f t="shared" si="9"/>
        <v>3.9899205558842146E-3</v>
      </c>
      <c r="CX52" s="573">
        <f t="shared" si="9"/>
        <v>9.9900715796720392E-3</v>
      </c>
    </row>
    <row r="53" spans="1:102" ht="102" x14ac:dyDescent="0.2">
      <c r="A53" s="1238" t="s">
        <v>8897</v>
      </c>
      <c r="B53" s="1237" t="s">
        <v>8987</v>
      </c>
      <c r="C53" s="97" t="s">
        <v>8886</v>
      </c>
      <c r="D53" s="97">
        <v>32</v>
      </c>
      <c r="E53" s="502" t="s">
        <v>8988</v>
      </c>
      <c r="F53" s="97" t="s">
        <v>9571</v>
      </c>
      <c r="G53" s="513" t="s">
        <v>8974</v>
      </c>
      <c r="H53" s="513" t="s">
        <v>8895</v>
      </c>
      <c r="I53" s="97"/>
      <c r="J53" s="97"/>
      <c r="K53" s="97" t="s">
        <v>479</v>
      </c>
      <c r="L53" s="97">
        <v>344.49962099999993</v>
      </c>
      <c r="M53" s="97">
        <v>714.58004827000002</v>
      </c>
      <c r="N53" s="99">
        <v>811.29691905000004</v>
      </c>
      <c r="O53" s="510">
        <v>928.76965999999982</v>
      </c>
      <c r="P53" s="594">
        <v>1140.4649449200001</v>
      </c>
      <c r="Q53" s="94">
        <f>SUM(R53:CX53)</f>
        <v>706.18002823000006</v>
      </c>
      <c r="R53" s="94">
        <f>SUMIFS(Свод!$AV$6:$AV$455,Свод!$G$6:$G$455,Расчеты!R$1)</f>
        <v>0</v>
      </c>
      <c r="S53" s="94">
        <f>SUMIFS(Свод!$AV$6:$AV$455,Свод!$G$6:$G$455,Расчеты!S$1)</f>
        <v>0.96900000000000008</v>
      </c>
      <c r="T53" s="94">
        <f>SUMIFS(Свод!$AV$6:$AV$455,Свод!$G$6:$G$455,Расчеты!T$1)</f>
        <v>3.61609399</v>
      </c>
      <c r="U53" s="94">
        <f>SUMIFS(Свод!$AV$6:$AV$455,Свод!$G$6:$G$455,Расчеты!U$1)</f>
        <v>5.1360000000000001</v>
      </c>
      <c r="V53" s="94">
        <f>SUMIFS(Свод!$AV$6:$AV$455,Свод!$G$6:$G$455,Расчеты!V$1)</f>
        <v>3.0249999999999999</v>
      </c>
      <c r="W53" s="94">
        <f>SUMIFS(Свод!$AV$6:$AV$455,Свод!$G$6:$G$455,Расчеты!W$1)</f>
        <v>0.55000000000000004</v>
      </c>
      <c r="X53" s="94">
        <f>SUMIFS(Свод!$AV$6:$AV$455,Свод!$G$6:$G$455,Расчеты!X$1)</f>
        <v>75.786993999999993</v>
      </c>
      <c r="Y53" s="94">
        <f>SUMIFS(Свод!$AV$6:$AV$455,Свод!$G$6:$G$455,Расчеты!Y$1)</f>
        <v>0</v>
      </c>
      <c r="Z53" s="94">
        <f>SUMIFS(Свод!$AV$6:$AV$455,Свод!$G$6:$G$455,Расчеты!Z$1)</f>
        <v>7.4740000000000001E-2</v>
      </c>
      <c r="AA53" s="94">
        <f>SUMIFS(Свод!$AV$6:$AV$455,Свод!$G$6:$G$455,Расчеты!AA$1)</f>
        <v>0</v>
      </c>
      <c r="AB53" s="94">
        <f>SUMIFS(Свод!$AV$6:$AV$455,Свод!$G$6:$G$455,Расчеты!AB$1)</f>
        <v>32.433</v>
      </c>
      <c r="AC53" s="94">
        <f>SUMIFS(Свод!$AV$6:$AV$455,Свод!$G$6:$G$455,Расчеты!AC$1)</f>
        <v>0</v>
      </c>
      <c r="AD53" s="94">
        <f>SUMIFS(Свод!$AV$6:$AV$455,Свод!$G$6:$G$455,Расчеты!AD$1)</f>
        <v>14.99</v>
      </c>
      <c r="AE53" s="94">
        <f>SUMIFS(Свод!$AV$6:$AV$455,Свод!$G$6:$G$455,Расчеты!AE$1)</f>
        <v>16.249000000000002</v>
      </c>
      <c r="AF53" s="94">
        <f>SUMIFS(Свод!$AV$6:$AV$455,Свод!$G$6:$G$455,Расчеты!AF$1)</f>
        <v>0</v>
      </c>
      <c r="AG53" s="94">
        <f>SUMIFS(Свод!$AV$6:$AV$455,Свод!$G$6:$G$455,Расчеты!AG$1)</f>
        <v>0</v>
      </c>
      <c r="AH53" s="94">
        <f>SUMIFS(Свод!$AV$6:$AV$455,Свод!$G$6:$G$455,Расчеты!AH$1)</f>
        <v>0.18540000000000001</v>
      </c>
      <c r="AI53" s="94">
        <f>SUMIFS(Свод!$AV$6:$AV$455,Свод!$G$6:$G$455,Расчеты!AI$1)</f>
        <v>0</v>
      </c>
      <c r="AJ53" s="94">
        <f>SUMIFS(Свод!$AV$6:$AV$455,Свод!$G$6:$G$455,Расчеты!AJ$1)</f>
        <v>0</v>
      </c>
      <c r="AK53" s="94">
        <f>SUMIFS(Свод!$AV$6:$AV$455,Свод!$G$6:$G$455,Расчеты!AK$1)</f>
        <v>0</v>
      </c>
      <c r="AL53" s="94">
        <f>SUMIFS(Свод!$AV$6:$AV$455,Свод!$G$6:$G$455,Расчеты!AL$1)</f>
        <v>0</v>
      </c>
      <c r="AM53" s="94">
        <f>SUMIFS(Свод!$AV$6:$AV$455,Свод!$G$6:$G$455,Расчеты!AM$1)</f>
        <v>0.54300000000000004</v>
      </c>
      <c r="AN53" s="94">
        <f>SUMIFS(Свод!$AV$6:$AV$455,Свод!$G$6:$G$455,Расчеты!AN$1)</f>
        <v>0</v>
      </c>
      <c r="AO53" s="94">
        <f>SUMIFS(Свод!$AV$6:$AV$455,Свод!$G$6:$G$455,Расчеты!AO$1)</f>
        <v>4.1710000000000003</v>
      </c>
      <c r="AP53" s="94">
        <f>SUMIFS(Свод!$AV$6:$AV$455,Свод!$G$6:$G$455,Расчеты!AP$1)</f>
        <v>0</v>
      </c>
      <c r="AQ53" s="94">
        <f>SUMIFS(Свод!$AV$6:$AV$455,Свод!$G$6:$G$455,Расчеты!AQ$1)</f>
        <v>0</v>
      </c>
      <c r="AR53" s="94">
        <f>SUMIFS(Свод!$AV$6:$AV$455,Свод!$G$6:$G$455,Расчеты!AR$1)</f>
        <v>4.3150000000000004</v>
      </c>
      <c r="AS53" s="94">
        <f>SUMIFS(Свод!$AV$6:$AV$455,Свод!$G$6:$G$455,Расчеты!AS$1)</f>
        <v>0</v>
      </c>
      <c r="AT53" s="94">
        <f>SUMIFS(Свод!$AV$6:$AV$455,Свод!$G$6:$G$455,Расчеты!AT$1)</f>
        <v>22.32</v>
      </c>
      <c r="AU53" s="94">
        <f>SUMIFS(Свод!$AV$6:$AV$455,Свод!$G$6:$G$455,Расчеты!AU$1)</f>
        <v>21.807293000000001</v>
      </c>
      <c r="AV53" s="94">
        <f>SUMIFS(Свод!$AV$6:$AV$455,Свод!$G$6:$G$455,Расчеты!AV$1)</f>
        <v>2.2529999999999997</v>
      </c>
      <c r="AW53" s="94">
        <f>SUMIFS(Свод!$AV$6:$AV$455,Свод!$G$6:$G$455,Расчеты!AW$1)</f>
        <v>243.96609999999998</v>
      </c>
      <c r="AX53" s="94">
        <f>SUMIFS(Свод!$AV$6:$AV$455,Свод!$G$6:$G$455,Расчеты!AX$1)</f>
        <v>7.2850000000000001</v>
      </c>
      <c r="AY53" s="94">
        <f>SUMIFS(Свод!$AV$6:$AV$455,Свод!$G$6:$G$455,Расчеты!AY$1)</f>
        <v>0.42000000000000004</v>
      </c>
      <c r="AZ53" s="94">
        <f>SUMIFS(Свод!$AV$6:$AV$455,Свод!$G$6:$G$455,Расчеты!AZ$1)</f>
        <v>0</v>
      </c>
      <c r="BA53" s="94">
        <f>SUMIFS(Свод!$AV$6:$AV$455,Свод!$G$6:$G$455,Расчеты!BA$1)</f>
        <v>3.4</v>
      </c>
      <c r="BB53" s="94">
        <f>SUMIFS(Свод!$AV$6:$AV$455,Свод!$G$6:$G$455,Расчеты!BB$1)</f>
        <v>0.312</v>
      </c>
      <c r="BC53" s="94">
        <f>SUMIFS(Свод!$AV$6:$AV$455,Свод!$G$6:$G$455,Расчеты!BC$1)</f>
        <v>0</v>
      </c>
      <c r="BD53" s="94">
        <f>SUMIFS(Свод!$AV$6:$AV$455,Свод!$G$6:$G$455,Расчеты!BD$1)</f>
        <v>0</v>
      </c>
      <c r="BE53" s="94">
        <f>SUMIFS(Свод!$AV$6:$AV$455,Свод!$G$6:$G$455,Расчеты!BE$1)</f>
        <v>0</v>
      </c>
      <c r="BF53" s="94">
        <f>SUMIFS(Свод!$AV$6:$AV$455,Свод!$G$6:$G$455,Расчеты!BF$1)</f>
        <v>0</v>
      </c>
      <c r="BG53" s="94">
        <f>SUMIFS(Свод!$AV$6:$AV$455,Свод!$G$6:$G$455,Расчеты!BG$1)</f>
        <v>0</v>
      </c>
      <c r="BH53" s="94">
        <f>SUMIFS(Свод!$AV$6:$AV$455,Свод!$G$6:$G$455,Расчеты!BH$1)</f>
        <v>0</v>
      </c>
      <c r="BI53" s="94">
        <f>SUMIFS(Свод!$AV$6:$AV$455,Свод!$G$6:$G$455,Расчеты!BI$1)</f>
        <v>0</v>
      </c>
      <c r="BJ53" s="94">
        <f>SUMIFS(Свод!$AV$6:$AV$455,Свод!$G$6:$G$455,Расчеты!BJ$1)</f>
        <v>0.87</v>
      </c>
      <c r="BK53" s="94">
        <f>SUMIFS(Свод!$AV$6:$AV$455,Свод!$G$6:$G$455,Расчеты!BK$1)</f>
        <v>0.81200000000000006</v>
      </c>
      <c r="BL53" s="94">
        <f>SUMIFS(Свод!$AV$6:$AV$455,Свод!$G$6:$G$455,Расчеты!BL$1)</f>
        <v>14.871667</v>
      </c>
      <c r="BM53" s="94">
        <f>SUMIFS(Свод!$AV$6:$AV$455,Свод!$G$6:$G$455,Расчеты!BM$1)</f>
        <v>0</v>
      </c>
      <c r="BN53" s="94">
        <f>SUMIFS(Свод!$AV$6:$AV$455,Свод!$G$6:$G$455,Расчеты!BN$1)</f>
        <v>7.4481499999999992</v>
      </c>
      <c r="BO53" s="94">
        <f>SUMIFS(Свод!$AV$6:$AV$455,Свод!$G$6:$G$455,Расчеты!BO$1)</f>
        <v>0.6431</v>
      </c>
      <c r="BP53" s="94">
        <f>SUMIFS(Свод!$AV$6:$AV$455,Свод!$G$6:$G$455,Расчеты!BP$1)</f>
        <v>2.92166478</v>
      </c>
      <c r="BQ53" s="94">
        <f>SUMIFS(Свод!$AV$6:$AV$455,Свод!$G$6:$G$455,Расчеты!BQ$1)</f>
        <v>0</v>
      </c>
      <c r="BR53" s="94">
        <f>SUMIFS(Свод!$AV$6:$AV$455,Свод!$G$6:$G$455,Расчеты!BR$1)</f>
        <v>1.3479296600000001</v>
      </c>
      <c r="BS53" s="94">
        <f>SUMIFS(Свод!$AV$6:$AV$455,Свод!$G$6:$G$455,Расчеты!BS$1)</f>
        <v>0</v>
      </c>
      <c r="BT53" s="94">
        <f>SUMIFS(Свод!$AV$6:$AV$455,Свод!$G$6:$G$455,Расчеты!BT$1)</f>
        <v>0</v>
      </c>
      <c r="BU53" s="94">
        <f>SUMIFS(Свод!$AV$6:$AV$455,Свод!$G$6:$G$455,Расчеты!BU$1)</f>
        <v>37.171909999999997</v>
      </c>
      <c r="BV53" s="94">
        <f>SUMIFS(Свод!$AV$6:$AV$455,Свод!$G$6:$G$455,Расчеты!BV$1)</f>
        <v>0</v>
      </c>
      <c r="BW53" s="94">
        <f>SUMIFS(Свод!$AV$6:$AV$455,Свод!$G$6:$G$455,Расчеты!BW$1)</f>
        <v>27.512840000000004</v>
      </c>
      <c r="BX53" s="94">
        <f>SUMIFS(Свод!$AV$6:$AV$455,Свод!$G$6:$G$455,Расчеты!BX$1)</f>
        <v>0</v>
      </c>
      <c r="BY53" s="94">
        <f>SUMIFS(Свод!$AV$6:$AV$455,Свод!$G$6:$G$455,Расчеты!BY$1)</f>
        <v>22.75</v>
      </c>
      <c r="BZ53" s="94">
        <f>SUMIFS(Свод!$AV$6:$AV$455,Свод!$G$6:$G$455,Расчеты!BZ$1)</f>
        <v>51.7</v>
      </c>
      <c r="CA53" s="94">
        <f>SUMIFS(Свод!$AV$6:$AV$455,Свод!$G$6:$G$455,Расчеты!CA$1)</f>
        <v>0</v>
      </c>
      <c r="CB53" s="94">
        <f>SUMIFS(Свод!$AV$6:$AV$455,Свод!$G$6:$G$455,Расчеты!CB$1)</f>
        <v>22.555004839999999</v>
      </c>
      <c r="CC53" s="94">
        <f>SUMIFS(Свод!$AV$6:$AV$455,Свод!$G$6:$G$455,Расчеты!CC$1)</f>
        <v>0</v>
      </c>
      <c r="CD53" s="94">
        <f>SUMIFS(Свод!$AV$6:$AV$455,Свод!$G$6:$G$455,Расчеты!CD$1)</f>
        <v>7.0000000000000007E-2</v>
      </c>
      <c r="CE53" s="94">
        <f>SUMIFS(Свод!$AV$6:$AV$455,Свод!$G$6:$G$455,Расчеты!CE$1)</f>
        <v>0</v>
      </c>
      <c r="CF53" s="94">
        <f>SUMIFS(Свод!$AV$6:$AV$455,Свод!$G$6:$G$455,Расчеты!CF$1)</f>
        <v>0</v>
      </c>
      <c r="CG53" s="94">
        <f>SUMIFS(Свод!$AV$6:$AV$455,Свод!$G$6:$G$455,Расчеты!CG$1)</f>
        <v>4.4024009599999996</v>
      </c>
      <c r="CH53" s="94">
        <f>SUMIFS(Свод!$AV$6:$AV$455,Свод!$G$6:$G$455,Расчеты!CH$1)</f>
        <v>0</v>
      </c>
      <c r="CI53" s="94">
        <f>SUMIFS(Свод!$AV$6:$AV$455,Свод!$G$6:$G$455,Расчеты!CI$1)</f>
        <v>1.677</v>
      </c>
      <c r="CJ53" s="94">
        <f>SUMIFS(Свод!$AV$6:$AV$455,Свод!$G$6:$G$455,Расчеты!CJ$1)</f>
        <v>0</v>
      </c>
      <c r="CK53" s="94">
        <f>SUMIFS(Свод!$AV$6:$AV$455,Свод!$G$6:$G$455,Расчеты!CK$1)</f>
        <v>0</v>
      </c>
      <c r="CL53" s="94">
        <f>SUMIFS(Свод!$AV$6:$AV$455,Свод!$G$6:$G$455,Расчеты!CL$1)</f>
        <v>0</v>
      </c>
      <c r="CM53" s="94">
        <f>SUMIFS(Свод!$AV$6:$AV$455,Свод!$G$6:$G$455,Расчеты!CM$1)</f>
        <v>1.9776400000000001</v>
      </c>
      <c r="CN53" s="94">
        <f>SUMIFS(Свод!$AV$6:$AV$455,Свод!$G$6:$G$455,Расчеты!CN$1)</f>
        <v>23.579000000000001</v>
      </c>
      <c r="CO53" s="94">
        <f>SUMIFS(Свод!$AV$6:$AV$455,Свод!$G$6:$G$455,Расчеты!CO$1)</f>
        <v>4.0259999999999998</v>
      </c>
      <c r="CP53" s="94">
        <f>SUMIFS(Свод!$AV$6:$AV$455,Свод!$G$6:$G$455,Расчеты!CP$1)</f>
        <v>4.3449999999999998</v>
      </c>
      <c r="CQ53" s="94">
        <f>SUMIFS(Свод!$AV$6:$AV$455,Свод!$G$6:$G$455,Расчеты!CQ$1)</f>
        <v>0</v>
      </c>
      <c r="CR53" s="94">
        <f>SUMIFS(Свод!$AV$6:$AV$455,Свод!$G$6:$G$455,Расчеты!CR$1)</f>
        <v>3.2105999999999999</v>
      </c>
      <c r="CS53" s="94">
        <f>SUMIFS(Свод!$AV$6:$AV$455,Свод!$G$6:$G$455,Расчеты!CS$1)</f>
        <v>0</v>
      </c>
      <c r="CT53" s="94">
        <f>SUMIFS(Свод!$AV$6:$AV$455,Свод!$G$6:$G$455,Расчеты!CT$1)</f>
        <v>0</v>
      </c>
      <c r="CU53" s="94">
        <f>SUMIFS(Свод!$AV$6:$AV$455,Свод!$G$6:$G$455,Расчеты!CU$1)</f>
        <v>4.9504999999999999</v>
      </c>
      <c r="CV53" s="94">
        <f>SUMIFS(Свод!$AV$6:$AV$455,Свод!$G$6:$G$455,Расчеты!CV$1)</f>
        <v>0.02</v>
      </c>
      <c r="CW53" s="94">
        <f>SUMIFS(Свод!$AV$6:$AV$455,Свод!$G$6:$G$455,Расчеты!CW$1)</f>
        <v>3.5100000000000002</v>
      </c>
      <c r="CX53" s="94">
        <f>SUMIFS(Свод!$AV$6:$AV$455,Свод!$G$6:$G$455,Расчеты!CX$1)</f>
        <v>0</v>
      </c>
    </row>
    <row r="54" spans="1:102" ht="34" x14ac:dyDescent="0.2">
      <c r="A54" s="1237"/>
      <c r="B54" s="1237"/>
      <c r="C54" s="97" t="s">
        <v>8886</v>
      </c>
      <c r="D54" s="97">
        <v>33</v>
      </c>
      <c r="E54" s="502" t="s">
        <v>8989</v>
      </c>
      <c r="F54" s="97" t="s">
        <v>63</v>
      </c>
      <c r="G54" s="513" t="s">
        <v>64</v>
      </c>
      <c r="H54" s="513" t="s">
        <v>8980</v>
      </c>
      <c r="I54" s="97"/>
      <c r="J54" s="97"/>
      <c r="K54" s="97"/>
      <c r="L54" s="97">
        <v>2.3755754574201378E-2</v>
      </c>
      <c r="M54" s="97">
        <v>3.6997468696845275E-2</v>
      </c>
      <c r="N54" s="572">
        <v>3.3713873017953866E-2</v>
      </c>
      <c r="O54" s="510">
        <v>2.9198809645599266</v>
      </c>
      <c r="P54" s="595">
        <v>2.8902419994926216E-2</v>
      </c>
      <c r="Q54" s="573">
        <f>Q53/Q44</f>
        <v>1.5809450269606323E-2</v>
      </c>
      <c r="R54" s="573">
        <f t="shared" ref="R54:CC54" si="10">R53/R44</f>
        <v>0</v>
      </c>
      <c r="S54" s="573">
        <f t="shared" si="10"/>
        <v>1.3823417089724668E-2</v>
      </c>
      <c r="T54" s="573">
        <f t="shared" si="10"/>
        <v>6.7398236414958571E-3</v>
      </c>
      <c r="U54" s="573">
        <f t="shared" si="10"/>
        <v>2.17213860071305E-2</v>
      </c>
      <c r="V54" s="573">
        <f t="shared" si="10"/>
        <v>5.7010931021485106E-2</v>
      </c>
      <c r="W54" s="573">
        <f t="shared" si="10"/>
        <v>1.9871377989739144E-2</v>
      </c>
      <c r="X54" s="573">
        <f t="shared" si="10"/>
        <v>3.6377039619270538E-2</v>
      </c>
      <c r="Y54" s="573">
        <f t="shared" si="10"/>
        <v>0</v>
      </c>
      <c r="Z54" s="573">
        <f t="shared" si="10"/>
        <v>4.7778826048034041E-4</v>
      </c>
      <c r="AA54" s="573">
        <f t="shared" si="10"/>
        <v>0</v>
      </c>
      <c r="AB54" s="573">
        <f t="shared" si="10"/>
        <v>2.9415587178104764E-2</v>
      </c>
      <c r="AC54" s="573" t="e">
        <f t="shared" si="10"/>
        <v>#DIV/0!</v>
      </c>
      <c r="AD54" s="573">
        <f t="shared" si="10"/>
        <v>1.6674341980853984E-2</v>
      </c>
      <c r="AE54" s="573">
        <f t="shared" si="10"/>
        <v>2.8070496696978912E-2</v>
      </c>
      <c r="AF54" s="573">
        <f t="shared" si="10"/>
        <v>0</v>
      </c>
      <c r="AG54" s="573" t="e">
        <f t="shared" si="10"/>
        <v>#DIV/0!</v>
      </c>
      <c r="AH54" s="573">
        <f t="shared" si="10"/>
        <v>1.3784846736832653E-4</v>
      </c>
      <c r="AI54" s="573">
        <f t="shared" si="10"/>
        <v>0</v>
      </c>
      <c r="AJ54" s="573" t="e">
        <f t="shared" si="10"/>
        <v>#DIV/0!</v>
      </c>
      <c r="AK54" s="573">
        <f t="shared" si="10"/>
        <v>0</v>
      </c>
      <c r="AL54" s="573" t="e">
        <f t="shared" si="10"/>
        <v>#DIV/0!</v>
      </c>
      <c r="AM54" s="573">
        <f t="shared" si="10"/>
        <v>4.0158599964889517E-4</v>
      </c>
      <c r="AN54" s="573">
        <f t="shared" si="10"/>
        <v>0</v>
      </c>
      <c r="AO54" s="573">
        <f t="shared" si="10"/>
        <v>1.3750972557397373E-2</v>
      </c>
      <c r="AP54" s="573" t="e">
        <f t="shared" si="10"/>
        <v>#DIV/0!</v>
      </c>
      <c r="AQ54" s="573" t="e">
        <f t="shared" si="10"/>
        <v>#DIV/0!</v>
      </c>
      <c r="AR54" s="573">
        <f t="shared" si="10"/>
        <v>1.021323531152143E-2</v>
      </c>
      <c r="AS54" s="573">
        <f t="shared" si="10"/>
        <v>0</v>
      </c>
      <c r="AT54" s="573">
        <f t="shared" si="10"/>
        <v>5.7070094963410714E-2</v>
      </c>
      <c r="AU54" s="573">
        <f t="shared" si="10"/>
        <v>4.764328331002695E-2</v>
      </c>
      <c r="AV54" s="573">
        <f t="shared" si="10"/>
        <v>3.8688549326873498E-3</v>
      </c>
      <c r="AW54" s="573">
        <f t="shared" si="10"/>
        <v>0.14001319778142357</v>
      </c>
      <c r="AX54" s="573">
        <f t="shared" si="10"/>
        <v>2.0078384248183714E-2</v>
      </c>
      <c r="AY54" s="573">
        <f t="shared" si="10"/>
        <v>1.3830305728911401E-3</v>
      </c>
      <c r="AZ54" s="573">
        <f t="shared" si="10"/>
        <v>0</v>
      </c>
      <c r="BA54" s="573">
        <f t="shared" si="10"/>
        <v>4.1792659242323671E-2</v>
      </c>
      <c r="BB54" s="573">
        <f t="shared" si="10"/>
        <v>5.2895969564472885E-4</v>
      </c>
      <c r="BC54" s="573">
        <f t="shared" si="10"/>
        <v>0</v>
      </c>
      <c r="BD54" s="573">
        <f t="shared" si="10"/>
        <v>0</v>
      </c>
      <c r="BE54" s="573">
        <f t="shared" si="10"/>
        <v>0</v>
      </c>
      <c r="BF54" s="573" t="e">
        <f t="shared" si="10"/>
        <v>#DIV/0!</v>
      </c>
      <c r="BG54" s="573" t="e">
        <f t="shared" si="10"/>
        <v>#DIV/0!</v>
      </c>
      <c r="BH54" s="573">
        <f t="shared" si="10"/>
        <v>0</v>
      </c>
      <c r="BI54" s="573">
        <f t="shared" si="10"/>
        <v>0</v>
      </c>
      <c r="BJ54" s="573">
        <f t="shared" si="10"/>
        <v>2.7665596082297197E-2</v>
      </c>
      <c r="BK54" s="573">
        <f t="shared" si="10"/>
        <v>7.0021424802435756E-4</v>
      </c>
      <c r="BL54" s="573">
        <f t="shared" si="10"/>
        <v>1.6531638095940653E-2</v>
      </c>
      <c r="BM54" s="573">
        <f t="shared" si="10"/>
        <v>0</v>
      </c>
      <c r="BN54" s="573">
        <f t="shared" si="10"/>
        <v>7.5065563217743608E-3</v>
      </c>
      <c r="BO54" s="573">
        <f t="shared" si="10"/>
        <v>2.460201758762927E-3</v>
      </c>
      <c r="BP54" s="573">
        <f t="shared" si="10"/>
        <v>4.7625103048564172E-3</v>
      </c>
      <c r="BQ54" s="573">
        <f t="shared" si="10"/>
        <v>0</v>
      </c>
      <c r="BR54" s="573">
        <f t="shared" si="10"/>
        <v>3.7249563645340949E-3</v>
      </c>
      <c r="BS54" s="573">
        <f t="shared" si="10"/>
        <v>0</v>
      </c>
      <c r="BT54" s="573">
        <f t="shared" si="10"/>
        <v>0</v>
      </c>
      <c r="BU54" s="573">
        <f t="shared" si="10"/>
        <v>5.1607194109146423E-2</v>
      </c>
      <c r="BV54" s="573">
        <f t="shared" si="10"/>
        <v>0</v>
      </c>
      <c r="BW54" s="573">
        <f t="shared" si="10"/>
        <v>5.9844708244676525E-2</v>
      </c>
      <c r="BX54" s="573">
        <f t="shared" si="10"/>
        <v>0</v>
      </c>
      <c r="BY54" s="573">
        <f t="shared" si="10"/>
        <v>1.7436613884695161E-2</v>
      </c>
      <c r="BZ54" s="573">
        <f t="shared" si="10"/>
        <v>6.4738292011019286E-2</v>
      </c>
      <c r="CA54" s="573">
        <f t="shared" si="10"/>
        <v>0</v>
      </c>
      <c r="CB54" s="573">
        <f t="shared" si="10"/>
        <v>1.1496444243174935E-2</v>
      </c>
      <c r="CC54" s="573">
        <f t="shared" si="10"/>
        <v>0</v>
      </c>
      <c r="CD54" s="573">
        <f t="shared" ref="CD54:CX54" si="11">CD53/CD44</f>
        <v>2.3333333333333334E-2</v>
      </c>
      <c r="CE54" s="573">
        <f t="shared" si="11"/>
        <v>0</v>
      </c>
      <c r="CF54" s="573">
        <f t="shared" si="11"/>
        <v>0</v>
      </c>
      <c r="CG54" s="573">
        <f t="shared" si="11"/>
        <v>3.4423496632150176E-3</v>
      </c>
      <c r="CH54" s="573">
        <f t="shared" si="11"/>
        <v>0</v>
      </c>
      <c r="CI54" s="573">
        <f t="shared" si="11"/>
        <v>5.3532609563088371E-3</v>
      </c>
      <c r="CJ54" s="573">
        <f t="shared" si="11"/>
        <v>0</v>
      </c>
      <c r="CK54" s="573">
        <f t="shared" si="11"/>
        <v>0</v>
      </c>
      <c r="CL54" s="573" t="e">
        <f t="shared" si="11"/>
        <v>#DIV/0!</v>
      </c>
      <c r="CM54" s="573">
        <f t="shared" si="11"/>
        <v>3.0476805401051356E-3</v>
      </c>
      <c r="CN54" s="573">
        <f t="shared" si="11"/>
        <v>8.6614727706901262E-2</v>
      </c>
      <c r="CO54" s="573">
        <f t="shared" si="11"/>
        <v>3.3158275862574739E-3</v>
      </c>
      <c r="CP54" s="573">
        <f t="shared" si="11"/>
        <v>5.5667049518942453E-3</v>
      </c>
      <c r="CQ54" s="573" t="e">
        <f t="shared" si="11"/>
        <v>#DIV/0!</v>
      </c>
      <c r="CR54" s="573">
        <f t="shared" si="11"/>
        <v>2.3815660587062143E-3</v>
      </c>
      <c r="CS54" s="573">
        <f t="shared" si="11"/>
        <v>0</v>
      </c>
      <c r="CT54" s="573">
        <f t="shared" si="11"/>
        <v>0</v>
      </c>
      <c r="CU54" s="573">
        <f t="shared" si="11"/>
        <v>4.2058674016761475E-3</v>
      </c>
      <c r="CV54" s="573">
        <f t="shared" si="11"/>
        <v>2.7548209366391188E-4</v>
      </c>
      <c r="CW54" s="573">
        <f t="shared" si="11"/>
        <v>7.4820187886259822E-3</v>
      </c>
      <c r="CX54" s="573">
        <f t="shared" si="11"/>
        <v>0</v>
      </c>
    </row>
    <row r="55" spans="1:102" ht="51" x14ac:dyDescent="0.2">
      <c r="A55" s="1238" t="s">
        <v>8897</v>
      </c>
      <c r="B55" s="1237" t="s">
        <v>8990</v>
      </c>
      <c r="C55" s="97" t="s">
        <v>8886</v>
      </c>
      <c r="D55" s="97">
        <v>34</v>
      </c>
      <c r="E55" s="502" t="s">
        <v>8991</v>
      </c>
      <c r="F55" s="97" t="s">
        <v>9572</v>
      </c>
      <c r="G55" s="513" t="s">
        <v>8974</v>
      </c>
      <c r="H55" s="513" t="s">
        <v>8895</v>
      </c>
      <c r="I55" s="97"/>
      <c r="J55" s="97"/>
      <c r="K55" s="97" t="s">
        <v>479</v>
      </c>
      <c r="L55" s="609" t="s">
        <v>8992</v>
      </c>
      <c r="M55" s="609" t="s">
        <v>8992</v>
      </c>
      <c r="N55" s="609" t="s">
        <v>8992</v>
      </c>
      <c r="O55" s="609" t="s">
        <v>8992</v>
      </c>
      <c r="P55" s="594">
        <v>15.111568600000002</v>
      </c>
      <c r="Q55" s="94">
        <f>SUM(R55:CX55)</f>
        <v>802.24870697999995</v>
      </c>
      <c r="R55" s="94">
        <f>SUMIFS(Свод!$AX$6:$AX$455,Свод!$G$6:$G$455,Расчеты!R$1)</f>
        <v>2.6669999999999998</v>
      </c>
      <c r="S55" s="94">
        <f>SUMIFS(Свод!$AX$6:$AX$455,Свод!$G$6:$G$455,Расчеты!S$1)</f>
        <v>0.216</v>
      </c>
      <c r="T55" s="94">
        <f>SUMIFS(Свод!$AX$6:$AX$455,Свод!$G$6:$G$455,Расчеты!T$1)</f>
        <v>53.015000000000001</v>
      </c>
      <c r="U55" s="94">
        <f>SUMIFS(Свод!$AX$6:$AX$455,Свод!$G$6:$G$455,Расчеты!U$1)</f>
        <v>3.2160000000000002</v>
      </c>
      <c r="V55" s="94">
        <f>SUMIFS(Свод!$AX$6:$AX$455,Свод!$G$6:$G$455,Расчеты!V$1)</f>
        <v>0</v>
      </c>
      <c r="W55" s="94">
        <f>SUMIFS(Свод!$AX$6:$AX$455,Свод!$G$6:$G$455,Расчеты!W$1)</f>
        <v>0</v>
      </c>
      <c r="X55" s="94">
        <f>SUMIFS(Свод!$AX$6:$AX$455,Свод!$G$6:$G$455,Расчеты!X$1)</f>
        <v>0.16</v>
      </c>
      <c r="Y55" s="94">
        <f>SUMIFS(Свод!$AX$6:$AX$455,Свод!$G$6:$G$455,Расчеты!Y$1)</f>
        <v>0</v>
      </c>
      <c r="Z55" s="94">
        <f>SUMIFS(Свод!$AX$6:$AX$455,Свод!$G$6:$G$455,Расчеты!Z$1)</f>
        <v>0.309</v>
      </c>
      <c r="AA55" s="94">
        <f>SUMIFS(Свод!$AX$6:$AX$455,Свод!$G$6:$G$455,Расчеты!AA$1)</f>
        <v>0</v>
      </c>
      <c r="AB55" s="94">
        <f>SUMIFS(Свод!$AX$6:$AX$455,Свод!$G$6:$G$455,Расчеты!AB$1)</f>
        <v>0</v>
      </c>
      <c r="AC55" s="94">
        <f>SUMIFS(Свод!$AX$6:$AX$455,Свод!$G$6:$G$455,Расчеты!AC$1)</f>
        <v>0</v>
      </c>
      <c r="AD55" s="94">
        <f>SUMIFS(Свод!$AX$6:$AX$455,Свод!$G$6:$G$455,Расчеты!AD$1)</f>
        <v>8.1720000000000006</v>
      </c>
      <c r="AE55" s="94">
        <f>SUMIFS(Свод!$AX$6:$AX$455,Свод!$G$6:$G$455,Расчеты!AE$1)</f>
        <v>15.154999999999999</v>
      </c>
      <c r="AF55" s="94">
        <f>SUMIFS(Свод!$AX$6:$AX$455,Свод!$G$6:$G$455,Расчеты!AF$1)</f>
        <v>0</v>
      </c>
      <c r="AG55" s="94">
        <f>SUMIFS(Свод!$AX$6:$AX$455,Свод!$G$6:$G$455,Расчеты!AG$1)</f>
        <v>0</v>
      </c>
      <c r="AH55" s="94">
        <f>SUMIFS(Свод!$AX$6:$AX$455,Свод!$G$6:$G$455,Расчеты!AH$1)</f>
        <v>0</v>
      </c>
      <c r="AI55" s="94">
        <f>SUMIFS(Свод!$AX$6:$AX$455,Свод!$G$6:$G$455,Расчеты!AI$1)</f>
        <v>7.2729999999999997</v>
      </c>
      <c r="AJ55" s="94">
        <f>SUMIFS(Свод!$AX$6:$AX$455,Свод!$G$6:$G$455,Расчеты!AJ$1)</f>
        <v>0</v>
      </c>
      <c r="AK55" s="94">
        <f>SUMIFS(Свод!$AX$6:$AX$455,Свод!$G$6:$G$455,Расчеты!AK$1)</f>
        <v>0</v>
      </c>
      <c r="AL55" s="94">
        <f>SUMIFS(Свод!$AX$6:$AX$455,Свод!$G$6:$G$455,Расчеты!AL$1)</f>
        <v>0</v>
      </c>
      <c r="AM55" s="94">
        <f>SUMIFS(Свод!$AX$6:$AX$455,Свод!$G$6:$G$455,Расчеты!AM$1)</f>
        <v>0.02</v>
      </c>
      <c r="AN55" s="94">
        <f>SUMIFS(Свод!$AX$6:$AX$455,Свод!$G$6:$G$455,Расчеты!AN$1)</f>
        <v>2.1360000000000001</v>
      </c>
      <c r="AO55" s="94">
        <f>SUMIFS(Свод!$AX$6:$AX$455,Свод!$G$6:$G$455,Расчеты!AO$1)</f>
        <v>0.01</v>
      </c>
      <c r="AP55" s="94">
        <f>SUMIFS(Свод!$AX$6:$AX$455,Свод!$G$6:$G$455,Расчеты!AP$1)</f>
        <v>0</v>
      </c>
      <c r="AQ55" s="94">
        <f>SUMIFS(Свод!$AX$6:$AX$455,Свод!$G$6:$G$455,Расчеты!AQ$1)</f>
        <v>0</v>
      </c>
      <c r="AR55" s="94">
        <f>SUMIFS(Свод!$AX$6:$AX$455,Свод!$G$6:$G$455,Расчеты!AR$1)</f>
        <v>23.603999999999999</v>
      </c>
      <c r="AS55" s="94">
        <f>SUMIFS(Свод!$AX$6:$AX$455,Свод!$G$6:$G$455,Расчеты!AS$1)</f>
        <v>20.408000000000001</v>
      </c>
      <c r="AT55" s="94">
        <f>SUMIFS(Свод!$AX$6:$AX$455,Свод!$G$6:$G$455,Расчеты!AT$1)</f>
        <v>0.13800000000000001</v>
      </c>
      <c r="AU55" s="94">
        <f>SUMIFS(Свод!$AX$6:$AX$455,Свод!$G$6:$G$455,Расчеты!AU$1)</f>
        <v>0</v>
      </c>
      <c r="AV55" s="94">
        <f>SUMIFS(Свод!$AX$6:$AX$455,Свод!$G$6:$G$455,Расчеты!AV$1)</f>
        <v>0</v>
      </c>
      <c r="AW55" s="94">
        <f>SUMIFS(Свод!$AX$6:$AX$455,Свод!$G$6:$G$455,Расчеты!AW$1)</f>
        <v>4.7987539999999997</v>
      </c>
      <c r="AX55" s="94">
        <f>SUMIFS(Свод!$AX$6:$AX$455,Свод!$G$6:$G$455,Расчеты!AX$1)</f>
        <v>33.361000000000004</v>
      </c>
      <c r="AY55" s="94">
        <f>SUMIFS(Свод!$AX$6:$AX$455,Свод!$G$6:$G$455,Расчеты!AY$1)</f>
        <v>0.24521234</v>
      </c>
      <c r="AZ55" s="94">
        <f>SUMIFS(Свод!$AX$6:$AX$455,Свод!$G$6:$G$455,Расчеты!AZ$1)</f>
        <v>34.994</v>
      </c>
      <c r="BA55" s="94">
        <f>SUMIFS(Свод!$AX$6:$AX$455,Свод!$G$6:$G$455,Расчеты!BA$1)</f>
        <v>6.218</v>
      </c>
      <c r="BB55" s="94">
        <f>SUMIFS(Свод!$AX$6:$AX$455,Свод!$G$6:$G$455,Расчеты!BB$1)</f>
        <v>0</v>
      </c>
      <c r="BC55" s="94">
        <f>SUMIFS(Свод!$AX$6:$AX$455,Свод!$G$6:$G$455,Расчеты!BC$1)</f>
        <v>0</v>
      </c>
      <c r="BD55" s="94">
        <f>SUMIFS(Свод!$AX$6:$AX$455,Свод!$G$6:$G$455,Расчеты!BD$1)</f>
        <v>0.27766800000000003</v>
      </c>
      <c r="BE55" s="94">
        <f>SUMIFS(Свод!$AX$6:$AX$455,Свод!$G$6:$G$455,Расчеты!BE$1)</f>
        <v>5.2592880000000015</v>
      </c>
      <c r="BF55" s="94">
        <f>SUMIFS(Свод!$AX$6:$AX$455,Свод!$G$6:$G$455,Расчеты!BF$1)</f>
        <v>0</v>
      </c>
      <c r="BG55" s="94">
        <f>SUMIFS(Свод!$AX$6:$AX$455,Свод!$G$6:$G$455,Расчеты!BG$1)</f>
        <v>0</v>
      </c>
      <c r="BH55" s="94">
        <f>SUMIFS(Свод!$AX$6:$AX$455,Свод!$G$6:$G$455,Расчеты!BH$1)</f>
        <v>0</v>
      </c>
      <c r="BI55" s="94">
        <f>SUMIFS(Свод!$AX$6:$AX$455,Свод!$G$6:$G$455,Расчеты!BI$1)</f>
        <v>19.347999999999999</v>
      </c>
      <c r="BJ55" s="94">
        <f>SUMIFS(Свод!$AX$6:$AX$455,Свод!$G$6:$G$455,Расчеты!BJ$1)</f>
        <v>0</v>
      </c>
      <c r="BK55" s="94">
        <f>SUMIFS(Свод!$AX$6:$AX$455,Свод!$G$6:$G$455,Расчеты!BK$1)</f>
        <v>24.391017260000002</v>
      </c>
      <c r="BL55" s="94">
        <f>SUMIFS(Свод!$AX$6:$AX$455,Свод!$G$6:$G$455,Расчеты!BL$1)</f>
        <v>0</v>
      </c>
      <c r="BM55" s="94">
        <f>SUMIFS(Свод!$AX$6:$AX$455,Свод!$G$6:$G$455,Расчеты!BM$1)</f>
        <v>19.89</v>
      </c>
      <c r="BN55" s="94">
        <f>SUMIFS(Свод!$AX$6:$AX$455,Свод!$G$6:$G$455,Расчеты!BN$1)</f>
        <v>11.749000000000001</v>
      </c>
      <c r="BO55" s="94">
        <f>SUMIFS(Свод!$AX$6:$AX$455,Свод!$G$6:$G$455,Расчеты!BO$1)</f>
        <v>41.968245199999991</v>
      </c>
      <c r="BP55" s="94">
        <f>SUMIFS(Свод!$AX$6:$AX$455,Свод!$G$6:$G$455,Расчеты!BP$1)</f>
        <v>1.9462259999999998</v>
      </c>
      <c r="BQ55" s="94">
        <f>SUMIFS(Свод!$AX$6:$AX$455,Свод!$G$6:$G$455,Расчеты!BQ$1)</f>
        <v>0</v>
      </c>
      <c r="BR55" s="94">
        <f>SUMIFS(Свод!$AX$6:$AX$455,Свод!$G$6:$G$455,Расчеты!BR$1)</f>
        <v>37.517219359999999</v>
      </c>
      <c r="BS55" s="94">
        <f>SUMIFS(Свод!$AX$6:$AX$455,Свод!$G$6:$G$455,Расчеты!BS$1)</f>
        <v>0.03</v>
      </c>
      <c r="BT55" s="94">
        <f>SUMIFS(Свод!$AX$6:$AX$455,Свод!$G$6:$G$455,Расчеты!BT$1)</f>
        <v>1.1556599999999999</v>
      </c>
      <c r="BU55" s="94">
        <f>SUMIFS(Свод!$AX$6:$AX$455,Свод!$G$6:$G$455,Расчеты!BU$1)</f>
        <v>8.5169999999999995</v>
      </c>
      <c r="BV55" s="94">
        <f>SUMIFS(Свод!$AX$6:$AX$455,Свод!$G$6:$G$455,Расчеты!BV$1)</f>
        <v>50.577364760000002</v>
      </c>
      <c r="BW55" s="94">
        <f>SUMIFS(Свод!$AX$6:$AX$455,Свод!$G$6:$G$455,Расчеты!BW$1)</f>
        <v>26.859217620000003</v>
      </c>
      <c r="BX55" s="94">
        <f>SUMIFS(Свод!$AX$6:$AX$455,Свод!$G$6:$G$455,Расчеты!BX$1)</f>
        <v>0</v>
      </c>
      <c r="BY55" s="94">
        <f>SUMIFS(Свод!$AX$6:$AX$455,Свод!$G$6:$G$455,Расчеты!BY$1)</f>
        <v>31.922999999999998</v>
      </c>
      <c r="BZ55" s="94">
        <f>SUMIFS(Свод!$AX$6:$AX$455,Свод!$G$6:$G$455,Расчеты!BZ$1)</f>
        <v>0</v>
      </c>
      <c r="CA55" s="94">
        <f>SUMIFS(Свод!$AX$6:$AX$455,Свод!$G$6:$G$455,Расчеты!CA$1)</f>
        <v>4.2</v>
      </c>
      <c r="CB55" s="94">
        <f>SUMIFS(Свод!$AX$6:$AX$455,Свод!$G$6:$G$455,Расчеты!CB$1)</f>
        <v>0</v>
      </c>
      <c r="CC55" s="94">
        <f>SUMIFS(Свод!$AX$6:$AX$455,Свод!$G$6:$G$455,Расчеты!CC$1)</f>
        <v>0</v>
      </c>
      <c r="CD55" s="94">
        <f>SUMIFS(Свод!$AX$6:$AX$455,Свод!$G$6:$G$455,Расчеты!CD$1)</f>
        <v>0</v>
      </c>
      <c r="CE55" s="94">
        <f>SUMIFS(Свод!$AX$6:$AX$455,Свод!$G$6:$G$455,Расчеты!CE$1)</f>
        <v>0</v>
      </c>
      <c r="CF55" s="94">
        <f>SUMIFS(Свод!$AX$6:$AX$455,Свод!$G$6:$G$455,Расчеты!CF$1)</f>
        <v>72.572430269999984</v>
      </c>
      <c r="CG55" s="94">
        <f>SUMIFS(Свод!$AX$6:$AX$455,Свод!$G$6:$G$455,Расчеты!CG$1)</f>
        <v>0</v>
      </c>
      <c r="CH55" s="94">
        <f>SUMIFS(Свод!$AX$6:$AX$455,Свод!$G$6:$G$455,Расчеты!CH$1)</f>
        <v>0</v>
      </c>
      <c r="CI55" s="94">
        <f>SUMIFS(Свод!$AX$6:$AX$455,Свод!$G$6:$G$455,Расчеты!CI$1)</f>
        <v>33.954999999999998</v>
      </c>
      <c r="CJ55" s="94">
        <f>SUMIFS(Свод!$AX$6:$AX$455,Свод!$G$6:$G$455,Расчеты!CJ$1)</f>
        <v>8.6064226500000007</v>
      </c>
      <c r="CK55" s="94">
        <f>SUMIFS(Свод!$AX$6:$AX$455,Свод!$G$6:$G$455,Расчеты!CK$1)</f>
        <v>16.670000000000002</v>
      </c>
      <c r="CL55" s="94">
        <f>SUMIFS(Свод!$AX$6:$AX$455,Свод!$G$6:$G$455,Расчеты!CL$1)</f>
        <v>0</v>
      </c>
      <c r="CM55" s="94">
        <f>SUMIFS(Свод!$AX$6:$AX$455,Свод!$G$6:$G$455,Расчеты!CM$1)</f>
        <v>1.284</v>
      </c>
      <c r="CN55" s="94">
        <f>SUMIFS(Свод!$AX$6:$AX$455,Свод!$G$6:$G$455,Расчеты!CN$1)</f>
        <v>0.65793000000000001</v>
      </c>
      <c r="CO55" s="94">
        <f>SUMIFS(Свод!$AX$6:$AX$455,Свод!$G$6:$G$455,Расчеты!CO$1)</f>
        <v>7.9809999999999999</v>
      </c>
      <c r="CP55" s="94">
        <f>SUMIFS(Свод!$AX$6:$AX$455,Свод!$G$6:$G$455,Расчеты!CP$1)</f>
        <v>0</v>
      </c>
      <c r="CQ55" s="94">
        <f>SUMIFS(Свод!$AX$6:$AX$455,Свод!$G$6:$G$455,Расчеты!CQ$1)</f>
        <v>0</v>
      </c>
      <c r="CR55" s="94">
        <f>SUMIFS(Свод!$AX$6:$AX$455,Свод!$G$6:$G$455,Расчеты!CR$1)</f>
        <v>6.5734832599999997</v>
      </c>
      <c r="CS55" s="94">
        <f>SUMIFS(Свод!$AX$6:$AX$455,Свод!$G$6:$G$455,Расчеты!CS$1)</f>
        <v>7.1833260000000001</v>
      </c>
      <c r="CT55" s="94">
        <f>SUMIFS(Свод!$AX$6:$AX$455,Свод!$G$6:$G$455,Расчеты!CT$1)</f>
        <v>1.341</v>
      </c>
      <c r="CU55" s="94">
        <f>SUMIFS(Свод!$AX$6:$AX$455,Свод!$G$6:$G$455,Расчеты!CU$1)</f>
        <v>143.69924226000001</v>
      </c>
      <c r="CV55" s="94">
        <f>SUMIFS(Свод!$AX$6:$AX$455,Свод!$G$6:$G$455,Расчеты!CV$1)</f>
        <v>0</v>
      </c>
      <c r="CW55" s="94">
        <f>SUMIFS(Свод!$AX$6:$AX$455,Свод!$G$6:$G$455,Расчеты!CW$1)</f>
        <v>0</v>
      </c>
      <c r="CX55" s="94">
        <f>SUMIFS(Свод!$AX$6:$AX$455,Свод!$G$6:$G$455,Расчеты!CX$1)</f>
        <v>0</v>
      </c>
    </row>
    <row r="56" spans="1:102" ht="34" x14ac:dyDescent="0.2">
      <c r="A56" s="1237"/>
      <c r="B56" s="1237"/>
      <c r="C56" s="97" t="s">
        <v>8886</v>
      </c>
      <c r="D56" s="97">
        <v>35</v>
      </c>
      <c r="E56" s="502" t="s">
        <v>8993</v>
      </c>
      <c r="F56" s="97" t="s">
        <v>63</v>
      </c>
      <c r="G56" s="513" t="s">
        <v>64</v>
      </c>
      <c r="H56" s="513" t="s">
        <v>8980</v>
      </c>
      <c r="I56" s="97"/>
      <c r="J56" s="97"/>
      <c r="K56" s="97"/>
      <c r="L56" s="609" t="s">
        <v>8992</v>
      </c>
      <c r="M56" s="609" t="s">
        <v>8992</v>
      </c>
      <c r="N56" s="609" t="s">
        <v>8992</v>
      </c>
      <c r="O56" s="609" t="s">
        <v>8992</v>
      </c>
      <c r="P56" s="596">
        <v>3.8296740676231535E-4</v>
      </c>
      <c r="Q56" s="573">
        <f>Q55/Q44</f>
        <v>1.7960166713643515E-2</v>
      </c>
      <c r="R56" s="573">
        <f t="shared" ref="R56:CC56" si="12">R55/R44</f>
        <v>0.12458541598542534</v>
      </c>
      <c r="S56" s="573">
        <f t="shared" si="12"/>
        <v>3.0813808992575108E-3</v>
      </c>
      <c r="T56" s="573">
        <f t="shared" si="12"/>
        <v>9.8811521863651247E-2</v>
      </c>
      <c r="U56" s="573">
        <f t="shared" si="12"/>
        <v>1.3601241705399473E-2</v>
      </c>
      <c r="V56" s="573">
        <f t="shared" si="12"/>
        <v>0</v>
      </c>
      <c r="W56" s="573">
        <f t="shared" si="12"/>
        <v>0</v>
      </c>
      <c r="X56" s="573">
        <f t="shared" si="12"/>
        <v>7.6798485226677379E-5</v>
      </c>
      <c r="Y56" s="573">
        <f t="shared" si="12"/>
        <v>0</v>
      </c>
      <c r="Z56" s="573">
        <f t="shared" si="12"/>
        <v>1.9753354627833181E-3</v>
      </c>
      <c r="AA56" s="573">
        <f t="shared" si="12"/>
        <v>0</v>
      </c>
      <c r="AB56" s="573">
        <f t="shared" si="12"/>
        <v>0</v>
      </c>
      <c r="AC56" s="573" t="e">
        <f t="shared" si="12"/>
        <v>#DIV/0!</v>
      </c>
      <c r="AD56" s="573">
        <f t="shared" si="12"/>
        <v>9.0902416722841058E-3</v>
      </c>
      <c r="AE56" s="573">
        <f t="shared" si="12"/>
        <v>2.6180588186517039E-2</v>
      </c>
      <c r="AF56" s="573">
        <f t="shared" si="12"/>
        <v>0</v>
      </c>
      <c r="AG56" s="573" t="e">
        <f t="shared" si="12"/>
        <v>#DIV/0!</v>
      </c>
      <c r="AH56" s="573">
        <f t="shared" si="12"/>
        <v>0</v>
      </c>
      <c r="AI56" s="573">
        <f t="shared" si="12"/>
        <v>5.8966413548086856E-2</v>
      </c>
      <c r="AJ56" s="573" t="e">
        <f t="shared" si="12"/>
        <v>#DIV/0!</v>
      </c>
      <c r="AK56" s="573">
        <f t="shared" si="12"/>
        <v>0</v>
      </c>
      <c r="AL56" s="573" t="e">
        <f t="shared" si="12"/>
        <v>#DIV/0!</v>
      </c>
      <c r="AM56" s="573">
        <f t="shared" si="12"/>
        <v>1.4791381202537573E-5</v>
      </c>
      <c r="AN56" s="573">
        <f t="shared" si="12"/>
        <v>0.11689377770481038</v>
      </c>
      <c r="AO56" s="573">
        <f t="shared" si="12"/>
        <v>3.2968047368490464E-5</v>
      </c>
      <c r="AP56" s="573" t="e">
        <f t="shared" si="12"/>
        <v>#DIV/0!</v>
      </c>
      <c r="AQ56" s="573" t="e">
        <f t="shared" si="12"/>
        <v>#DIV/0!</v>
      </c>
      <c r="AR56" s="573">
        <f t="shared" si="12"/>
        <v>5.5868645722630776E-2</v>
      </c>
      <c r="AS56" s="573">
        <f t="shared" si="12"/>
        <v>9.8388317592552427E-2</v>
      </c>
      <c r="AT56" s="573">
        <f t="shared" si="12"/>
        <v>3.5285273767700175E-4</v>
      </c>
      <c r="AU56" s="573">
        <f t="shared" si="12"/>
        <v>0</v>
      </c>
      <c r="AV56" s="573">
        <f t="shared" si="12"/>
        <v>0</v>
      </c>
      <c r="AW56" s="573">
        <f t="shared" si="12"/>
        <v>2.7540256326858427E-3</v>
      </c>
      <c r="AX56" s="573">
        <f t="shared" si="12"/>
        <v>9.1947148511140289E-2</v>
      </c>
      <c r="AY56" s="573">
        <f t="shared" si="12"/>
        <v>8.0746705492899286E-4</v>
      </c>
      <c r="AZ56" s="573">
        <f t="shared" si="12"/>
        <v>4.4575788649058333E-2</v>
      </c>
      <c r="BA56" s="573">
        <f t="shared" si="12"/>
        <v>7.6431398579049584E-2</v>
      </c>
      <c r="BB56" s="573">
        <f t="shared" si="12"/>
        <v>0</v>
      </c>
      <c r="BC56" s="573">
        <f t="shared" si="12"/>
        <v>0</v>
      </c>
      <c r="BD56" s="573">
        <f t="shared" si="12"/>
        <v>2.6695781272803875E-2</v>
      </c>
      <c r="BE56" s="573">
        <f t="shared" si="12"/>
        <v>2.263300497237879E-2</v>
      </c>
      <c r="BF56" s="573" t="e">
        <f t="shared" si="12"/>
        <v>#DIV/0!</v>
      </c>
      <c r="BG56" s="573" t="e">
        <f t="shared" si="12"/>
        <v>#DIV/0!</v>
      </c>
      <c r="BH56" s="573">
        <f t="shared" si="12"/>
        <v>0</v>
      </c>
      <c r="BI56" s="573">
        <f t="shared" si="12"/>
        <v>0.20916982886301475</v>
      </c>
      <c r="BJ56" s="573">
        <f t="shared" si="12"/>
        <v>0</v>
      </c>
      <c r="BK56" s="573">
        <f t="shared" si="12"/>
        <v>2.1033174641945845E-2</v>
      </c>
      <c r="BL56" s="573">
        <f t="shared" si="12"/>
        <v>0</v>
      </c>
      <c r="BM56" s="573">
        <f t="shared" si="12"/>
        <v>7.6265044995993125E-2</v>
      </c>
      <c r="BN56" s="573">
        <f t="shared" si="12"/>
        <v>1.1841132391872743E-2</v>
      </c>
      <c r="BO56" s="573">
        <f t="shared" si="12"/>
        <v>0.16055100397019709</v>
      </c>
      <c r="BP56" s="573">
        <f t="shared" si="12"/>
        <v>3.1724794179089516E-3</v>
      </c>
      <c r="BQ56" s="573">
        <f t="shared" si="12"/>
        <v>0</v>
      </c>
      <c r="BR56" s="573">
        <f t="shared" si="12"/>
        <v>0.10367752055745531</v>
      </c>
      <c r="BS56" s="573">
        <f t="shared" si="12"/>
        <v>1.2072882868685569E-4</v>
      </c>
      <c r="BT56" s="573">
        <f t="shared" si="12"/>
        <v>1.4617198778775957E-2</v>
      </c>
      <c r="BU56" s="573">
        <f t="shared" si="12"/>
        <v>1.1824479081855091E-2</v>
      </c>
      <c r="BV56" s="573">
        <f t="shared" si="12"/>
        <v>7.1649149263783019E-2</v>
      </c>
      <c r="BW56" s="573">
        <f t="shared" si="12"/>
        <v>5.8422977858671621E-2</v>
      </c>
      <c r="BX56" s="573">
        <f t="shared" si="12"/>
        <v>0</v>
      </c>
      <c r="BY56" s="573">
        <f t="shared" si="12"/>
        <v>2.4467209891917519E-2</v>
      </c>
      <c r="BZ56" s="573">
        <f t="shared" si="12"/>
        <v>0</v>
      </c>
      <c r="CA56" s="573">
        <f t="shared" si="12"/>
        <v>8.7902888237756382E-3</v>
      </c>
      <c r="CB56" s="573">
        <f t="shared" si="12"/>
        <v>0</v>
      </c>
      <c r="CC56" s="573">
        <f t="shared" si="12"/>
        <v>0</v>
      </c>
      <c r="CD56" s="573">
        <f t="shared" ref="CD56:CX56" si="13">CD55/CD44</f>
        <v>0</v>
      </c>
      <c r="CE56" s="573">
        <f t="shared" si="13"/>
        <v>0</v>
      </c>
      <c r="CF56" s="573">
        <f t="shared" si="13"/>
        <v>0.12525190074525105</v>
      </c>
      <c r="CG56" s="573">
        <f t="shared" si="13"/>
        <v>0</v>
      </c>
      <c r="CH56" s="573">
        <f t="shared" si="13"/>
        <v>0</v>
      </c>
      <c r="CI56" s="573">
        <f t="shared" si="13"/>
        <v>0.10838996766336705</v>
      </c>
      <c r="CJ56" s="573">
        <f t="shared" si="13"/>
        <v>0.14204397434321028</v>
      </c>
      <c r="CK56" s="573">
        <f t="shared" si="13"/>
        <v>2.4338786564756215E-2</v>
      </c>
      <c r="CL56" s="573" t="e">
        <f t="shared" si="13"/>
        <v>#DIV/0!</v>
      </c>
      <c r="CM56" s="573">
        <f t="shared" si="13"/>
        <v>1.978733143289473E-3</v>
      </c>
      <c r="CN56" s="573">
        <f t="shared" si="13"/>
        <v>2.4168297128886532E-3</v>
      </c>
      <c r="CO56" s="573">
        <f t="shared" si="13"/>
        <v>6.5731793258621213E-3</v>
      </c>
      <c r="CP56" s="573">
        <f t="shared" si="13"/>
        <v>0</v>
      </c>
      <c r="CQ56" s="573" t="e">
        <f t="shared" si="13"/>
        <v>#DIV/0!</v>
      </c>
      <c r="CR56" s="573">
        <f t="shared" si="13"/>
        <v>4.8760931350805073E-3</v>
      </c>
      <c r="CS56" s="573">
        <f t="shared" si="13"/>
        <v>5.4048562793099228E-3</v>
      </c>
      <c r="CT56" s="573">
        <f t="shared" si="13"/>
        <v>4.6662954972510259E-2</v>
      </c>
      <c r="CU56" s="573">
        <f t="shared" si="13"/>
        <v>0.12208462956608372</v>
      </c>
      <c r="CV56" s="573">
        <f t="shared" si="13"/>
        <v>0</v>
      </c>
      <c r="CW56" s="573">
        <f t="shared" si="13"/>
        <v>0</v>
      </c>
      <c r="CX56" s="573">
        <f t="shared" si="13"/>
        <v>0</v>
      </c>
    </row>
    <row r="57" spans="1:102" ht="85" x14ac:dyDescent="0.2">
      <c r="A57" s="1238" t="s">
        <v>8902</v>
      </c>
      <c r="B57" s="1237" t="s">
        <v>8994</v>
      </c>
      <c r="C57" s="97" t="s">
        <v>8886</v>
      </c>
      <c r="D57" s="97">
        <v>36</v>
      </c>
      <c r="E57" s="502" t="s">
        <v>8995</v>
      </c>
      <c r="F57" s="97" t="s">
        <v>9573</v>
      </c>
      <c r="G57" s="513" t="s">
        <v>8974</v>
      </c>
      <c r="H57" s="513" t="s">
        <v>8895</v>
      </c>
      <c r="I57" s="97"/>
      <c r="J57" s="97"/>
      <c r="K57" s="97" t="s">
        <v>479</v>
      </c>
      <c r="L57" s="97">
        <v>1129.2392339999999</v>
      </c>
      <c r="M57" s="97">
        <v>1943.0827900599993</v>
      </c>
      <c r="N57" s="99">
        <v>2180.4039977400002</v>
      </c>
      <c r="O57" s="510">
        <v>2013.9450096</v>
      </c>
      <c r="P57" s="594">
        <v>2833.9857608899997</v>
      </c>
      <c r="Q57" s="94">
        <f>Q51+Q55+Q53</f>
        <v>3050.8285143792073</v>
      </c>
      <c r="R57" s="94">
        <f t="shared" ref="R57:CC57" si="14">R51+R55+R53</f>
        <v>2.6669999999999998</v>
      </c>
      <c r="S57" s="94">
        <f t="shared" si="14"/>
        <v>4.7070000000000007</v>
      </c>
      <c r="T57" s="94">
        <f t="shared" si="14"/>
        <v>57.275360990000003</v>
      </c>
      <c r="U57" s="94">
        <f t="shared" si="14"/>
        <v>11.145</v>
      </c>
      <c r="V57" s="94">
        <f t="shared" si="14"/>
        <v>4.1429999999999998</v>
      </c>
      <c r="W57" s="94">
        <f t="shared" si="14"/>
        <v>0.93200000000000005</v>
      </c>
      <c r="X57" s="94">
        <f t="shared" si="14"/>
        <v>147.80425499999998</v>
      </c>
      <c r="Y57" s="94">
        <f t="shared" si="14"/>
        <v>0.606958</v>
      </c>
      <c r="Z57" s="94">
        <f t="shared" si="14"/>
        <v>8.337606000000001</v>
      </c>
      <c r="AA57" s="94">
        <f t="shared" si="14"/>
        <v>0</v>
      </c>
      <c r="AB57" s="94">
        <f t="shared" si="14"/>
        <v>118.43014499999998</v>
      </c>
      <c r="AC57" s="94">
        <f t="shared" si="14"/>
        <v>0</v>
      </c>
      <c r="AD57" s="94">
        <f t="shared" si="14"/>
        <v>56.833999999999996</v>
      </c>
      <c r="AE57" s="94">
        <f t="shared" si="14"/>
        <v>47.463999999999999</v>
      </c>
      <c r="AF57" s="94">
        <f t="shared" si="14"/>
        <v>172.85400000000001</v>
      </c>
      <c r="AG57" s="94">
        <f t="shared" si="14"/>
        <v>0</v>
      </c>
      <c r="AH57" s="94">
        <f t="shared" si="14"/>
        <v>0.33789999999999998</v>
      </c>
      <c r="AI57" s="94">
        <f t="shared" si="14"/>
        <v>7.2729999999999997</v>
      </c>
      <c r="AJ57" s="94">
        <f t="shared" si="14"/>
        <v>0</v>
      </c>
      <c r="AK57" s="94">
        <f t="shared" si="14"/>
        <v>0</v>
      </c>
      <c r="AL57" s="94">
        <f t="shared" si="14"/>
        <v>0</v>
      </c>
      <c r="AM57" s="94">
        <f t="shared" si="14"/>
        <v>16.256118909999998</v>
      </c>
      <c r="AN57" s="94">
        <f t="shared" si="14"/>
        <v>2.1360000000000001</v>
      </c>
      <c r="AO57" s="94">
        <f t="shared" si="14"/>
        <v>18.548000000000002</v>
      </c>
      <c r="AP57" s="94">
        <f t="shared" si="14"/>
        <v>0</v>
      </c>
      <c r="AQ57" s="94">
        <f t="shared" si="14"/>
        <v>0</v>
      </c>
      <c r="AR57" s="94">
        <f t="shared" si="14"/>
        <v>35.975999999999999</v>
      </c>
      <c r="AS57" s="94">
        <f t="shared" si="14"/>
        <v>20.408000000000001</v>
      </c>
      <c r="AT57" s="94">
        <f t="shared" si="14"/>
        <v>62.699999999999996</v>
      </c>
      <c r="AU57" s="94">
        <f t="shared" si="14"/>
        <v>26.419014000000001</v>
      </c>
      <c r="AV57" s="94">
        <f t="shared" si="14"/>
        <v>25.325899999999997</v>
      </c>
      <c r="AW57" s="94">
        <f t="shared" si="14"/>
        <v>353.09968399999997</v>
      </c>
      <c r="AX57" s="94">
        <f t="shared" si="14"/>
        <v>43.991</v>
      </c>
      <c r="AY57" s="94">
        <f t="shared" si="14"/>
        <v>0.85021234000000001</v>
      </c>
      <c r="AZ57" s="94">
        <f t="shared" si="14"/>
        <v>34.994</v>
      </c>
      <c r="BA57" s="94">
        <f t="shared" si="14"/>
        <v>12.574</v>
      </c>
      <c r="BB57" s="94">
        <f t="shared" si="14"/>
        <v>0.372</v>
      </c>
      <c r="BC57" s="94">
        <f t="shared" si="14"/>
        <v>3.9640740800000001</v>
      </c>
      <c r="BD57" s="94">
        <f t="shared" si="14"/>
        <v>0.27766800000000003</v>
      </c>
      <c r="BE57" s="94">
        <f t="shared" si="14"/>
        <v>6.5802238200000014</v>
      </c>
      <c r="BF57" s="94">
        <f t="shared" si="14"/>
        <v>0</v>
      </c>
      <c r="BG57" s="94">
        <f t="shared" si="14"/>
        <v>0</v>
      </c>
      <c r="BH57" s="94">
        <f t="shared" si="14"/>
        <v>10.984030000000001</v>
      </c>
      <c r="BI57" s="94">
        <f t="shared" si="14"/>
        <v>19.347999999999999</v>
      </c>
      <c r="BJ57" s="94">
        <f t="shared" si="14"/>
        <v>1.4689999999999999</v>
      </c>
      <c r="BK57" s="94">
        <f t="shared" si="14"/>
        <v>27.562017260000001</v>
      </c>
      <c r="BL57" s="94">
        <f t="shared" si="14"/>
        <v>25.284211169999999</v>
      </c>
      <c r="BM57" s="94">
        <f t="shared" si="14"/>
        <v>19.89</v>
      </c>
      <c r="BN57" s="94">
        <f t="shared" si="14"/>
        <v>25.972906369999997</v>
      </c>
      <c r="BO57" s="94">
        <f t="shared" si="14"/>
        <v>43.425245199999985</v>
      </c>
      <c r="BP57" s="94">
        <f t="shared" si="14"/>
        <v>4.9438907800000003</v>
      </c>
      <c r="BQ57" s="94">
        <f t="shared" si="14"/>
        <v>16.5</v>
      </c>
      <c r="BR57" s="94">
        <f t="shared" si="14"/>
        <v>72.728225519999995</v>
      </c>
      <c r="BS57" s="94">
        <f t="shared" si="14"/>
        <v>0.03</v>
      </c>
      <c r="BT57" s="94">
        <f t="shared" si="14"/>
        <v>1.1556599999999999</v>
      </c>
      <c r="BU57" s="94">
        <f t="shared" si="14"/>
        <v>74.277629999999988</v>
      </c>
      <c r="BV57" s="94">
        <f t="shared" si="14"/>
        <v>50.577364760000002</v>
      </c>
      <c r="BW57" s="94">
        <f t="shared" si="14"/>
        <v>79.044057620000018</v>
      </c>
      <c r="BX57" s="94">
        <f t="shared" si="14"/>
        <v>0</v>
      </c>
      <c r="BY57" s="94">
        <f t="shared" si="14"/>
        <v>65.004999999999995</v>
      </c>
      <c r="BZ57" s="94">
        <f t="shared" si="14"/>
        <v>82.6</v>
      </c>
      <c r="CA57" s="94">
        <f t="shared" si="14"/>
        <v>4.2</v>
      </c>
      <c r="CB57" s="94">
        <f t="shared" si="14"/>
        <v>65.713446179999991</v>
      </c>
      <c r="CC57" s="94">
        <f t="shared" si="14"/>
        <v>0</v>
      </c>
      <c r="CD57" s="94">
        <f t="shared" ref="CD57:CX57" si="15">CD51+CD55+CD53</f>
        <v>0.1</v>
      </c>
      <c r="CE57" s="94">
        <f t="shared" si="15"/>
        <v>0</v>
      </c>
      <c r="CF57" s="94">
        <f t="shared" si="15"/>
        <v>72.572430269999984</v>
      </c>
      <c r="CG57" s="94">
        <f t="shared" si="15"/>
        <v>9.3264009599999991</v>
      </c>
      <c r="CH57" s="94">
        <f t="shared" si="15"/>
        <v>355.267</v>
      </c>
      <c r="CI57" s="94">
        <f t="shared" si="15"/>
        <v>35.631999999999998</v>
      </c>
      <c r="CJ57" s="94">
        <f t="shared" si="15"/>
        <v>8.6064226500000007</v>
      </c>
      <c r="CK57" s="94">
        <f t="shared" si="15"/>
        <v>74.375</v>
      </c>
      <c r="CL57" s="94">
        <f t="shared" si="15"/>
        <v>0</v>
      </c>
      <c r="CM57" s="94">
        <f t="shared" si="15"/>
        <v>3.8855399999999998</v>
      </c>
      <c r="CN57" s="94">
        <f t="shared" si="15"/>
        <v>48.353729999999999</v>
      </c>
      <c r="CO57" s="94">
        <f t="shared" si="15"/>
        <v>17.178999999999998</v>
      </c>
      <c r="CP57" s="94">
        <f t="shared" si="15"/>
        <v>121.92881359920753</v>
      </c>
      <c r="CQ57" s="94">
        <f t="shared" si="15"/>
        <v>0</v>
      </c>
      <c r="CR57" s="94">
        <f t="shared" si="15"/>
        <v>16.47053326</v>
      </c>
      <c r="CS57" s="94">
        <f t="shared" si="15"/>
        <v>7.1833260000000001</v>
      </c>
      <c r="CT57" s="94">
        <f t="shared" si="15"/>
        <v>1.341</v>
      </c>
      <c r="CU57" s="94">
        <f t="shared" si="15"/>
        <v>269.35374225999999</v>
      </c>
      <c r="CV57" s="94">
        <f t="shared" si="15"/>
        <v>0.1</v>
      </c>
      <c r="CW57" s="94">
        <f t="shared" si="15"/>
        <v>5.3817703799999999</v>
      </c>
      <c r="CX57" s="94">
        <f t="shared" si="15"/>
        <v>7.7779999999999996</v>
      </c>
    </row>
    <row r="58" spans="1:102" ht="34" x14ac:dyDescent="0.2">
      <c r="A58" s="1237"/>
      <c r="B58" s="1237"/>
      <c r="C58" s="97" t="s">
        <v>8886</v>
      </c>
      <c r="D58" s="97">
        <v>37</v>
      </c>
      <c r="E58" s="502" t="s">
        <v>8996</v>
      </c>
      <c r="F58" s="97" t="s">
        <v>63</v>
      </c>
      <c r="G58" s="513" t="s">
        <v>64</v>
      </c>
      <c r="H58" s="513" t="s">
        <v>8980</v>
      </c>
      <c r="I58" s="97"/>
      <c r="J58" s="97"/>
      <c r="K58" s="97"/>
      <c r="L58" s="507">
        <v>7.7869258667379385E-2</v>
      </c>
      <c r="M58" s="507">
        <v>0.10060334720325231</v>
      </c>
      <c r="N58" s="572">
        <v>9.0607842556240437E-2</v>
      </c>
      <c r="O58" s="510">
        <v>6.3314726465133448</v>
      </c>
      <c r="P58" s="595">
        <v>7.1820749147733745E-2</v>
      </c>
      <c r="Q58" s="573">
        <f>Q57/Q44</f>
        <v>6.8299753251399045E-2</v>
      </c>
      <c r="R58" s="573">
        <f t="shared" ref="R58:CC58" si="16">R57/R44</f>
        <v>0.12458541598542534</v>
      </c>
      <c r="S58" s="573">
        <f t="shared" si="16"/>
        <v>6.7148425429653269E-2</v>
      </c>
      <c r="T58" s="573">
        <f t="shared" si="16"/>
        <v>0.10675215664834298</v>
      </c>
      <c r="U58" s="573">
        <f t="shared" si="16"/>
        <v>4.7134900126454327E-2</v>
      </c>
      <c r="V58" s="573">
        <f t="shared" si="16"/>
        <v>7.8081417263475297E-2</v>
      </c>
      <c r="W58" s="573">
        <f t="shared" si="16"/>
        <v>3.3672953248067058E-2</v>
      </c>
      <c r="X58" s="573">
        <f t="shared" si="16"/>
        <v>7.0944643087859707E-2</v>
      </c>
      <c r="Y58" s="573">
        <f t="shared" si="16"/>
        <v>2.6050731850631035E-4</v>
      </c>
      <c r="Z58" s="573">
        <f t="shared" si="16"/>
        <v>5.3299575425614788E-2</v>
      </c>
      <c r="AA58" s="573">
        <f t="shared" si="16"/>
        <v>0</v>
      </c>
      <c r="AB58" s="573">
        <f t="shared" si="16"/>
        <v>0.10741196481247765</v>
      </c>
      <c r="AC58" s="573" t="e">
        <f t="shared" si="16"/>
        <v>#DIV/0!</v>
      </c>
      <c r="AD58" s="573">
        <f t="shared" si="16"/>
        <v>6.3220116887248504E-2</v>
      </c>
      <c r="AE58" s="573">
        <f t="shared" si="16"/>
        <v>8.1995080018795422E-2</v>
      </c>
      <c r="AF58" s="573">
        <f t="shared" si="16"/>
        <v>0.18186715429995129</v>
      </c>
      <c r="AG58" s="573" t="e">
        <f t="shared" si="16"/>
        <v>#DIV/0!</v>
      </c>
      <c r="AH58" s="573">
        <f t="shared" si="16"/>
        <v>2.5123515169232753E-4</v>
      </c>
      <c r="AI58" s="573">
        <f t="shared" si="16"/>
        <v>5.8966413548086856E-2</v>
      </c>
      <c r="AJ58" s="573" t="e">
        <f t="shared" si="16"/>
        <v>#DIV/0!</v>
      </c>
      <c r="AK58" s="573">
        <f t="shared" si="16"/>
        <v>0</v>
      </c>
      <c r="AL58" s="573" t="e">
        <f t="shared" si="16"/>
        <v>#DIV/0!</v>
      </c>
      <c r="AM58" s="573">
        <f t="shared" si="16"/>
        <v>1.2022522583579479E-2</v>
      </c>
      <c r="AN58" s="573">
        <f t="shared" si="16"/>
        <v>0.11689377770481038</v>
      </c>
      <c r="AO58" s="573">
        <f t="shared" si="16"/>
        <v>6.1149134259076116E-2</v>
      </c>
      <c r="AP58" s="573" t="e">
        <f t="shared" si="16"/>
        <v>#DIV/0!</v>
      </c>
      <c r="AQ58" s="573" t="e">
        <f t="shared" si="16"/>
        <v>#DIV/0!</v>
      </c>
      <c r="AR58" s="573">
        <f t="shared" si="16"/>
        <v>8.515210974908341E-2</v>
      </c>
      <c r="AS58" s="573">
        <f t="shared" si="16"/>
        <v>9.8388317592552427E-2</v>
      </c>
      <c r="AT58" s="573">
        <f t="shared" si="16"/>
        <v>0.16031787429237684</v>
      </c>
      <c r="AU58" s="573">
        <f t="shared" si="16"/>
        <v>5.7718698454391759E-2</v>
      </c>
      <c r="AV58" s="573">
        <f t="shared" si="16"/>
        <v>4.3489672942630522E-2</v>
      </c>
      <c r="AW58" s="573">
        <f t="shared" si="16"/>
        <v>0.20264543267466326</v>
      </c>
      <c r="AX58" s="573">
        <f t="shared" si="16"/>
        <v>0.1212447771395813</v>
      </c>
      <c r="AY58" s="573">
        <f t="shared" si="16"/>
        <v>2.7996896658793258E-3</v>
      </c>
      <c r="AZ58" s="573">
        <f t="shared" si="16"/>
        <v>4.4575788649058333E-2</v>
      </c>
      <c r="BA58" s="573">
        <f t="shared" si="16"/>
        <v>0.1545590874449935</v>
      </c>
      <c r="BB58" s="573">
        <f t="shared" si="16"/>
        <v>6.3068271403794599E-4</v>
      </c>
      <c r="BC58" s="573">
        <f t="shared" si="16"/>
        <v>5.9586996840616066E-2</v>
      </c>
      <c r="BD58" s="573">
        <f t="shared" si="16"/>
        <v>2.6695781272803875E-2</v>
      </c>
      <c r="BE58" s="573">
        <f t="shared" si="16"/>
        <v>2.8317566643512457E-2</v>
      </c>
      <c r="BF58" s="573" t="e">
        <f t="shared" si="16"/>
        <v>#DIV/0!</v>
      </c>
      <c r="BG58" s="573" t="e">
        <f t="shared" si="16"/>
        <v>#DIV/0!</v>
      </c>
      <c r="BH58" s="573">
        <f t="shared" si="16"/>
        <v>1.6664676641069427E-2</v>
      </c>
      <c r="BI58" s="573">
        <f t="shared" si="16"/>
        <v>0.20916982886301475</v>
      </c>
      <c r="BJ58" s="573">
        <f t="shared" si="16"/>
        <v>4.6713517982637447E-2</v>
      </c>
      <c r="BK58" s="573">
        <f t="shared" si="16"/>
        <v>2.3767632007075448E-2</v>
      </c>
      <c r="BL58" s="573">
        <f t="shared" si="16"/>
        <v>2.8106427383277219E-2</v>
      </c>
      <c r="BM58" s="573">
        <f t="shared" si="16"/>
        <v>7.6265044995993125E-2</v>
      </c>
      <c r="BN58" s="573">
        <f t="shared" si="16"/>
        <v>2.6176578681495012E-2</v>
      </c>
      <c r="BO58" s="573">
        <f t="shared" si="16"/>
        <v>0.16612480891891046</v>
      </c>
      <c r="BP58" s="573">
        <f t="shared" si="16"/>
        <v>8.0588748397872785E-3</v>
      </c>
      <c r="BQ58" s="573">
        <f t="shared" si="16"/>
        <v>0.49214066274942581</v>
      </c>
      <c r="BR58" s="573">
        <f t="shared" si="16"/>
        <v>0.20098190177964845</v>
      </c>
      <c r="BS58" s="573">
        <f t="shared" si="16"/>
        <v>1.2072882868685569E-4</v>
      </c>
      <c r="BT58" s="573">
        <f t="shared" si="16"/>
        <v>1.4617198778775957E-2</v>
      </c>
      <c r="BU58" s="573">
        <f t="shared" si="16"/>
        <v>0.10312249409237667</v>
      </c>
      <c r="BV58" s="573">
        <f t="shared" si="16"/>
        <v>7.1649149263783019E-2</v>
      </c>
      <c r="BW58" s="573">
        <f t="shared" si="16"/>
        <v>0.17193312528784016</v>
      </c>
      <c r="BX58" s="573">
        <f t="shared" si="16"/>
        <v>0</v>
      </c>
      <c r="BY58" s="573">
        <f t="shared" si="16"/>
        <v>4.9822729036246544E-2</v>
      </c>
      <c r="BZ58" s="573">
        <f t="shared" si="16"/>
        <v>0.10343100425745053</v>
      </c>
      <c r="CA58" s="573">
        <f t="shared" si="16"/>
        <v>8.7902888237756382E-3</v>
      </c>
      <c r="CB58" s="573">
        <f t="shared" si="16"/>
        <v>3.3494604651800507E-2</v>
      </c>
      <c r="CC58" s="573">
        <f t="shared" si="16"/>
        <v>0</v>
      </c>
      <c r="CD58" s="573">
        <f t="shared" ref="CD58:CX58" si="17">CD57/CD44</f>
        <v>3.3333333333333333E-2</v>
      </c>
      <c r="CE58" s="573">
        <f t="shared" si="17"/>
        <v>0</v>
      </c>
      <c r="CF58" s="573">
        <f t="shared" si="17"/>
        <v>0.12525190074525105</v>
      </c>
      <c r="CG58" s="573">
        <f t="shared" si="17"/>
        <v>7.2925509274067157E-3</v>
      </c>
      <c r="CH58" s="573">
        <f t="shared" si="17"/>
        <v>0.20808338165439602</v>
      </c>
      <c r="CI58" s="573">
        <f t="shared" si="17"/>
        <v>0.11374322861967588</v>
      </c>
      <c r="CJ58" s="573">
        <f t="shared" si="17"/>
        <v>0.14204397434321028</v>
      </c>
      <c r="CK58" s="573">
        <f t="shared" si="17"/>
        <v>0.10859011702182023</v>
      </c>
      <c r="CL58" s="573" t="e">
        <f t="shared" si="17"/>
        <v>#DIV/0!</v>
      </c>
      <c r="CM58" s="573">
        <f t="shared" si="17"/>
        <v>5.9878868984244386E-3</v>
      </c>
      <c r="CN58" s="573">
        <f t="shared" si="17"/>
        <v>0.17762183118720143</v>
      </c>
      <c r="CO58" s="573">
        <f t="shared" si="17"/>
        <v>1.4148684079562131E-2</v>
      </c>
      <c r="CP58" s="573">
        <f t="shared" si="17"/>
        <v>0.15621213588982716</v>
      </c>
      <c r="CQ58" s="573" t="e">
        <f t="shared" si="17"/>
        <v>#DIV/0!</v>
      </c>
      <c r="CR58" s="573">
        <f t="shared" si="17"/>
        <v>1.2217549050273413E-2</v>
      </c>
      <c r="CS58" s="573">
        <f t="shared" si="17"/>
        <v>5.4048562793099228E-3</v>
      </c>
      <c r="CT58" s="573">
        <f t="shared" si="17"/>
        <v>4.6662954972510259E-2</v>
      </c>
      <c r="CU58" s="573">
        <f t="shared" si="17"/>
        <v>0.22883872822761597</v>
      </c>
      <c r="CV58" s="573">
        <f t="shared" si="17"/>
        <v>1.3774104683195595E-3</v>
      </c>
      <c r="CW58" s="573">
        <f t="shared" si="17"/>
        <v>1.1471939344510197E-2</v>
      </c>
      <c r="CX58" s="573">
        <f t="shared" si="17"/>
        <v>9.9900715796720392E-3</v>
      </c>
    </row>
    <row r="59" spans="1:102" ht="85" x14ac:dyDescent="0.2">
      <c r="A59" s="199" t="s">
        <v>8902</v>
      </c>
      <c r="B59" s="97" t="s">
        <v>8997</v>
      </c>
      <c r="C59" s="97" t="s">
        <v>8886</v>
      </c>
      <c r="D59" s="97">
        <v>38</v>
      </c>
      <c r="E59" s="502" t="s">
        <v>8998</v>
      </c>
      <c r="F59" s="97" t="s">
        <v>8999</v>
      </c>
      <c r="G59" s="513" t="s">
        <v>9000</v>
      </c>
      <c r="H59" s="513" t="s">
        <v>8890</v>
      </c>
      <c r="I59" s="97"/>
      <c r="J59" s="97"/>
      <c r="K59" s="97"/>
      <c r="L59" s="516">
        <v>0.14705625103452222</v>
      </c>
      <c r="M59" s="516">
        <v>0.18506759603608039</v>
      </c>
      <c r="N59" s="605">
        <v>0.16630738598124598</v>
      </c>
      <c r="O59" s="510">
        <v>0.11962207025512282</v>
      </c>
      <c r="P59" s="597">
        <v>0.13429438598248744</v>
      </c>
      <c r="Q59" s="597">
        <f>Q57/Q47</f>
        <v>0.12768198068007727</v>
      </c>
      <c r="R59" s="94">
        <f>R57/R47</f>
        <v>0.19977528089887639</v>
      </c>
      <c r="S59" s="94">
        <f t="shared" ref="S59:CD59" si="18">S57/S47</f>
        <v>1.4521315254662963</v>
      </c>
      <c r="T59" s="94">
        <f t="shared" si="18"/>
        <v>0.14391850287504604</v>
      </c>
      <c r="U59" s="94">
        <f t="shared" si="18"/>
        <v>5.5951042210530537E-2</v>
      </c>
      <c r="V59" s="94">
        <f t="shared" si="18"/>
        <v>0.1381</v>
      </c>
      <c r="W59" s="94">
        <f t="shared" si="18"/>
        <v>3.7254666826557946E-2</v>
      </c>
      <c r="X59" s="94">
        <f t="shared" si="18"/>
        <v>8.4977255727606865E-2</v>
      </c>
      <c r="Y59" s="94">
        <f t="shared" si="18"/>
        <v>2.7912672816464006E-4</v>
      </c>
      <c r="Z59" s="94">
        <f t="shared" si="18"/>
        <v>6.0681266375545856E-2</v>
      </c>
      <c r="AA59" s="94">
        <f t="shared" si="18"/>
        <v>0</v>
      </c>
      <c r="AB59" s="94">
        <f t="shared" si="18"/>
        <v>0.32500075466603146</v>
      </c>
      <c r="AC59" s="94" t="e">
        <f t="shared" si="18"/>
        <v>#DIV/0!</v>
      </c>
      <c r="AD59" s="94">
        <f t="shared" si="18"/>
        <v>0.14399509493430351</v>
      </c>
      <c r="AE59" s="94">
        <f t="shared" si="18"/>
        <v>0.10528814266161786</v>
      </c>
      <c r="AF59" s="94">
        <f t="shared" si="18"/>
        <v>0.26222221547993063</v>
      </c>
      <c r="AG59" s="94" t="e">
        <f t="shared" si="18"/>
        <v>#DIV/0!</v>
      </c>
      <c r="AH59" s="94">
        <f t="shared" si="18"/>
        <v>2.2230678037399282E-2</v>
      </c>
      <c r="AI59" s="94">
        <f t="shared" si="18"/>
        <v>7.4644405056483634E-2</v>
      </c>
      <c r="AJ59" s="94" t="e">
        <f t="shared" si="18"/>
        <v>#DIV/0!</v>
      </c>
      <c r="AK59" s="94">
        <f t="shared" si="18"/>
        <v>0</v>
      </c>
      <c r="AL59" s="94" t="e">
        <f t="shared" si="18"/>
        <v>#DIV/0!</v>
      </c>
      <c r="AM59" s="94">
        <f t="shared" si="18"/>
        <v>1.820409950658293E-2</v>
      </c>
      <c r="AN59" s="94">
        <f t="shared" si="18"/>
        <v>0.15551510738987989</v>
      </c>
      <c r="AO59" s="94">
        <f t="shared" si="18"/>
        <v>8.9011743138638147E-2</v>
      </c>
      <c r="AP59" s="94" t="e">
        <f t="shared" si="18"/>
        <v>#DIV/0!</v>
      </c>
      <c r="AQ59" s="94" t="e">
        <f t="shared" si="18"/>
        <v>#DIV/0!</v>
      </c>
      <c r="AR59" s="94">
        <f t="shared" si="18"/>
        <v>0.1045820033837406</v>
      </c>
      <c r="AS59" s="94">
        <f t="shared" si="18"/>
        <v>0.16955235784786149</v>
      </c>
      <c r="AT59" s="94">
        <f t="shared" si="18"/>
        <v>0.25164552897736392</v>
      </c>
      <c r="AU59" s="94">
        <f t="shared" si="18"/>
        <v>8.6085953509139099E-2</v>
      </c>
      <c r="AV59" s="94">
        <f t="shared" si="18"/>
        <v>0.16670550289626118</v>
      </c>
      <c r="AW59" s="94">
        <f t="shared" si="18"/>
        <v>1.1769989466666666</v>
      </c>
      <c r="AX59" s="94">
        <f t="shared" si="18"/>
        <v>0.17934647450924435</v>
      </c>
      <c r="AY59" s="94">
        <f t="shared" si="18"/>
        <v>3.0126074124940963E-2</v>
      </c>
      <c r="AZ59" s="94">
        <f t="shared" si="18"/>
        <v>9.1385803001102037E-2</v>
      </c>
      <c r="BA59" s="94">
        <f t="shared" si="18"/>
        <v>0.24042065009560232</v>
      </c>
      <c r="BB59" s="94">
        <f t="shared" si="18"/>
        <v>8.1365007360033597E-4</v>
      </c>
      <c r="BC59" s="94">
        <f t="shared" si="18"/>
        <v>6.9652326122824057E-2</v>
      </c>
      <c r="BD59" s="94">
        <f t="shared" si="18"/>
        <v>3.2225381300254236E-2</v>
      </c>
      <c r="BE59" s="94">
        <f t="shared" si="18"/>
        <v>0.2397425276442734</v>
      </c>
      <c r="BF59" s="94" t="e">
        <f t="shared" si="18"/>
        <v>#DIV/0!</v>
      </c>
      <c r="BG59" s="94" t="e">
        <f t="shared" si="18"/>
        <v>#DIV/0!</v>
      </c>
      <c r="BH59" s="94">
        <f t="shared" si="18"/>
        <v>2.2235103594165934E-2</v>
      </c>
      <c r="BI59" s="94">
        <f t="shared" si="18"/>
        <v>0.46396968897628349</v>
      </c>
      <c r="BJ59" s="94">
        <f t="shared" si="18"/>
        <v>6.6772727272727261E-2</v>
      </c>
      <c r="BK59" s="94">
        <f t="shared" si="18"/>
        <v>3.7757791440458432E-2</v>
      </c>
      <c r="BL59" s="94">
        <f t="shared" si="18"/>
        <v>5.3048665000443418E-2</v>
      </c>
      <c r="BM59" s="94">
        <f t="shared" si="18"/>
        <v>0.1118546845124283</v>
      </c>
      <c r="BN59" s="94">
        <f t="shared" si="18"/>
        <v>7.7032079870688358E-2</v>
      </c>
      <c r="BO59" s="94">
        <f t="shared" si="18"/>
        <v>0.33095836159578557</v>
      </c>
      <c r="BP59" s="94">
        <f t="shared" si="18"/>
        <v>2.3851629872089088E-2</v>
      </c>
      <c r="BQ59" s="94" t="e">
        <f t="shared" si="18"/>
        <v>#DIV/0!</v>
      </c>
      <c r="BR59" s="94">
        <f t="shared" si="18"/>
        <v>0.30321815608794617</v>
      </c>
      <c r="BS59" s="94">
        <f t="shared" si="18"/>
        <v>1.4257877477306212E-4</v>
      </c>
      <c r="BT59" s="94">
        <f t="shared" si="18"/>
        <v>1.7858787532258811E-2</v>
      </c>
      <c r="BU59" s="94">
        <f t="shared" si="18"/>
        <v>0.26766713513513507</v>
      </c>
      <c r="BV59" s="94">
        <f t="shared" si="18"/>
        <v>0.17286868838421687</v>
      </c>
      <c r="BW59" s="94">
        <f t="shared" si="18"/>
        <v>0.31809254839915652</v>
      </c>
      <c r="BX59" s="94">
        <f t="shared" si="18"/>
        <v>0</v>
      </c>
      <c r="BY59" s="94">
        <f t="shared" si="18"/>
        <v>0.42639426760282523</v>
      </c>
      <c r="BZ59" s="94">
        <f t="shared" si="18"/>
        <v>0.16519999999999999</v>
      </c>
      <c r="CA59" s="94">
        <f t="shared" si="18"/>
        <v>9.0303160610621363E-3</v>
      </c>
      <c r="CB59" s="94">
        <f t="shared" si="18"/>
        <v>0.43065751284212433</v>
      </c>
      <c r="CC59" s="94">
        <f t="shared" si="18"/>
        <v>0</v>
      </c>
      <c r="CD59" s="94">
        <f t="shared" si="18"/>
        <v>3.7037037037037035E-2</v>
      </c>
      <c r="CE59" s="94">
        <f t="shared" ref="CE59:CX59" si="19">CE57/CE47</f>
        <v>0</v>
      </c>
      <c r="CF59" s="94">
        <f t="shared" si="19"/>
        <v>0.2966620212974696</v>
      </c>
      <c r="CG59" s="94">
        <f t="shared" si="19"/>
        <v>2.5134877063040455E-2</v>
      </c>
      <c r="CH59" s="94">
        <f t="shared" si="19"/>
        <v>0.26275920574706946</v>
      </c>
      <c r="CI59" s="94">
        <f t="shared" si="19"/>
        <v>0.17626078998788058</v>
      </c>
      <c r="CJ59" s="94">
        <f t="shared" si="19"/>
        <v>0.22035218181747726</v>
      </c>
      <c r="CK59" s="94">
        <f t="shared" si="19"/>
        <v>0.15465793304221254</v>
      </c>
      <c r="CL59" s="94" t="e">
        <f t="shared" si="19"/>
        <v>#DIV/0!</v>
      </c>
      <c r="CM59" s="94">
        <f t="shared" si="19"/>
        <v>9.3829915949593806E-3</v>
      </c>
      <c r="CN59" s="94">
        <f t="shared" si="19"/>
        <v>0.25443439414030439</v>
      </c>
      <c r="CO59" s="94">
        <f t="shared" si="19"/>
        <v>5.6537280843411315E-2</v>
      </c>
      <c r="CP59" s="94">
        <f t="shared" si="19"/>
        <v>0.48640344327035817</v>
      </c>
      <c r="CQ59" s="94" t="e">
        <f t="shared" si="19"/>
        <v>#DIV/0!</v>
      </c>
      <c r="CR59" s="94">
        <f t="shared" si="19"/>
        <v>2.5101283156776594E-2</v>
      </c>
      <c r="CS59" s="94">
        <f t="shared" si="19"/>
        <v>5.439663593695335E-3</v>
      </c>
      <c r="CT59" s="94">
        <f t="shared" si="19"/>
        <v>4.9853154392356588E-2</v>
      </c>
      <c r="CU59" s="94">
        <f t="shared" si="19"/>
        <v>0.39106542579587639</v>
      </c>
      <c r="CV59" s="94">
        <f t="shared" si="19"/>
        <v>2E-3</v>
      </c>
      <c r="CW59" s="94" t="e">
        <f t="shared" si="19"/>
        <v>#DIV/0!</v>
      </c>
      <c r="CX59" s="94">
        <f t="shared" si="19"/>
        <v>3.087292010669376E-2</v>
      </c>
    </row>
    <row r="60" spans="1:102" ht="85" x14ac:dyDescent="0.2">
      <c r="A60" s="1238" t="s">
        <v>8897</v>
      </c>
      <c r="B60" s="1237" t="s">
        <v>9001</v>
      </c>
      <c r="C60" s="97" t="s">
        <v>8886</v>
      </c>
      <c r="D60" s="97">
        <v>39</v>
      </c>
      <c r="E60" s="502" t="s">
        <v>9002</v>
      </c>
      <c r="F60" s="97" t="s">
        <v>9574</v>
      </c>
      <c r="G60" s="513" t="s">
        <v>8974</v>
      </c>
      <c r="H60" s="513" t="s">
        <v>8895</v>
      </c>
      <c r="I60" s="97"/>
      <c r="J60" s="97"/>
      <c r="K60" s="97" t="s">
        <v>479</v>
      </c>
      <c r="L60" s="97">
        <v>3782.6800000000007</v>
      </c>
      <c r="M60" s="97">
        <v>3907.3331850799996</v>
      </c>
      <c r="N60" s="99">
        <v>4835.6631719199995</v>
      </c>
      <c r="O60" s="510">
        <v>7944.0801941</v>
      </c>
      <c r="P60" s="594">
        <v>8763.8037385299976</v>
      </c>
      <c r="Q60" s="94">
        <f>SUM(R60:CX60)</f>
        <v>9963.2831509050138</v>
      </c>
      <c r="R60" s="94">
        <f>SUMIFS(Свод!$AZ$6:$AZ$455,Свод!$G$6:$G$455,Расчеты!R$1)</f>
        <v>0</v>
      </c>
      <c r="S60" s="94">
        <f>SUMIFS(Свод!$AZ$6:$AZ$455,Свод!$G$6:$G$455,Расчеты!S$1)</f>
        <v>59.616</v>
      </c>
      <c r="T60" s="94">
        <f>SUMIFS(Свод!$AZ$6:$AZ$455,Свод!$G$6:$G$455,Расчеты!T$1)</f>
        <v>0</v>
      </c>
      <c r="U60" s="94">
        <f>SUMIFS(Свод!$AZ$6:$AZ$455,Свод!$G$6:$G$455,Расчеты!U$1)</f>
        <v>0</v>
      </c>
      <c r="V60" s="94">
        <f>SUMIFS(Свод!$AZ$6:$AZ$455,Свод!$G$6:$G$455,Расчеты!V$1)</f>
        <v>0</v>
      </c>
      <c r="W60" s="94">
        <f>SUMIFS(Свод!$AZ$6:$AZ$455,Свод!$G$6:$G$455,Расчеты!W$1)</f>
        <v>0</v>
      </c>
      <c r="X60" s="94">
        <f>SUMIFS(Свод!$AZ$6:$AZ$455,Свод!$G$6:$G$455,Расчеты!X$1)</f>
        <v>0</v>
      </c>
      <c r="Y60" s="94">
        <f>SUMIFS(Свод!$AZ$6:$AZ$455,Свод!$G$6:$G$455,Расчеты!Y$1)</f>
        <v>0</v>
      </c>
      <c r="Z60" s="94">
        <f>SUMIFS(Свод!$AZ$6:$AZ$455,Свод!$G$6:$G$455,Расчеты!Z$1)</f>
        <v>0</v>
      </c>
      <c r="AA60" s="94">
        <f>SUMIFS(Свод!$AZ$6:$AZ$455,Свод!$G$6:$G$455,Расчеты!AA$1)</f>
        <v>0</v>
      </c>
      <c r="AB60" s="94">
        <f>SUMIFS(Свод!$AZ$6:$AZ$455,Свод!$G$6:$G$455,Расчеты!AB$1)</f>
        <v>563.46800000000007</v>
      </c>
      <c r="AC60" s="94">
        <f>SUMIFS(Свод!$AZ$6:$AZ$455,Свод!$G$6:$G$455,Расчеты!AC$1)</f>
        <v>0</v>
      </c>
      <c r="AD60" s="94">
        <f>SUMIFS(Свод!$AZ$6:$AZ$455,Свод!$G$6:$G$455,Расчеты!AD$1)</f>
        <v>0</v>
      </c>
      <c r="AE60" s="94">
        <f>SUMIFS(Свод!$AZ$6:$AZ$455,Свод!$G$6:$G$455,Расчеты!AE$1)</f>
        <v>0</v>
      </c>
      <c r="AF60" s="94">
        <f>SUMIFS(Свод!$AZ$6:$AZ$455,Свод!$G$6:$G$455,Расчеты!AF$1)</f>
        <v>8.4169999999999998</v>
      </c>
      <c r="AG60" s="94">
        <f>SUMIFS(Свод!$AZ$6:$AZ$455,Свод!$G$6:$G$455,Расчеты!AG$1)</f>
        <v>0</v>
      </c>
      <c r="AH60" s="94">
        <f>SUMIFS(Свод!$AZ$6:$AZ$455,Свод!$G$6:$G$455,Расчеты!AH$1)</f>
        <v>1304.1480999999999</v>
      </c>
      <c r="AI60" s="94">
        <f>SUMIFS(Свод!$AZ$6:$AZ$455,Свод!$G$6:$G$455,Расчеты!AI$1)</f>
        <v>0</v>
      </c>
      <c r="AJ60" s="94">
        <f>SUMIFS(Свод!$AZ$6:$AZ$455,Свод!$G$6:$G$455,Расчеты!AJ$1)</f>
        <v>0</v>
      </c>
      <c r="AK60" s="94">
        <f>SUMIFS(Свод!$AZ$6:$AZ$455,Свод!$G$6:$G$455,Расчеты!AK$1)</f>
        <v>0</v>
      </c>
      <c r="AL60" s="94">
        <f>SUMIFS(Свод!$AZ$6:$AZ$455,Свод!$G$6:$G$455,Расчеты!AL$1)</f>
        <v>0</v>
      </c>
      <c r="AM60" s="94">
        <f>SUMIFS(Свод!$AZ$6:$AZ$455,Свод!$G$6:$G$455,Расчеты!AM$1)</f>
        <v>275.93740000000003</v>
      </c>
      <c r="AN60" s="94">
        <f>SUMIFS(Свод!$AZ$6:$AZ$455,Свод!$G$6:$G$455,Расчеты!AN$1)</f>
        <v>0</v>
      </c>
      <c r="AO60" s="94">
        <f>SUMIFS(Свод!$AZ$6:$AZ$455,Свод!$G$6:$G$455,Расчеты!AO$1)</f>
        <v>0</v>
      </c>
      <c r="AP60" s="94">
        <f>SUMIFS(Свод!$AZ$6:$AZ$455,Свод!$G$6:$G$455,Расчеты!AP$1)</f>
        <v>0</v>
      </c>
      <c r="AQ60" s="94">
        <f>SUMIFS(Свод!$AZ$6:$AZ$455,Свод!$G$6:$G$455,Расчеты!AQ$1)</f>
        <v>0</v>
      </c>
      <c r="AR60" s="94">
        <f>SUMIFS(Свод!$AZ$6:$AZ$455,Свод!$G$6:$G$455,Расчеты!AR$1)</f>
        <v>0</v>
      </c>
      <c r="AS60" s="94">
        <f>SUMIFS(Свод!$AZ$6:$AZ$455,Свод!$G$6:$G$455,Расчеты!AS$1)</f>
        <v>0</v>
      </c>
      <c r="AT60" s="94">
        <f>SUMIFS(Свод!$AZ$6:$AZ$455,Свод!$G$6:$G$455,Расчеты!AT$1)</f>
        <v>0</v>
      </c>
      <c r="AU60" s="94">
        <f>SUMIFS(Свод!$AZ$6:$AZ$455,Свод!$G$6:$G$455,Расчеты!AU$1)</f>
        <v>0</v>
      </c>
      <c r="AV60" s="94">
        <f>SUMIFS(Свод!$AZ$6:$AZ$455,Свод!$G$6:$G$455,Расчеты!AV$1)</f>
        <v>190.15440000000001</v>
      </c>
      <c r="AW60" s="94">
        <f>SUMIFS(Свод!$AZ$6:$AZ$455,Свод!$G$6:$G$455,Расчеты!AW$1)</f>
        <v>0</v>
      </c>
      <c r="AX60" s="94">
        <f>SUMIFS(Свод!$AZ$6:$AZ$455,Свод!$G$6:$G$455,Расчеты!AX$1)</f>
        <v>0</v>
      </c>
      <c r="AY60" s="94">
        <f>SUMIFS(Свод!$AZ$6:$AZ$455,Свод!$G$6:$G$455,Расчеты!AY$1)</f>
        <v>245.84190000000001</v>
      </c>
      <c r="AZ60" s="94">
        <f>SUMIFS(Свод!$AZ$6:$AZ$455,Свод!$G$6:$G$455,Расчеты!AZ$1)</f>
        <v>0</v>
      </c>
      <c r="BA60" s="94">
        <f>SUMIFS(Свод!$AZ$6:$AZ$455,Свод!$G$6:$G$455,Расчеты!BA$1)</f>
        <v>0</v>
      </c>
      <c r="BB60" s="94">
        <f>SUMIFS(Свод!$AZ$6:$AZ$455,Свод!$G$6:$G$455,Расчеты!BB$1)</f>
        <v>0</v>
      </c>
      <c r="BC60" s="94">
        <f>SUMIFS(Свод!$AZ$6:$AZ$455,Свод!$G$6:$G$455,Расчеты!BC$1)</f>
        <v>0</v>
      </c>
      <c r="BD60" s="94">
        <f>SUMIFS(Свод!$AZ$6:$AZ$455,Свод!$G$6:$G$455,Расчеты!BD$1)</f>
        <v>0</v>
      </c>
      <c r="BE60" s="94">
        <f>SUMIFS(Свод!$AZ$6:$AZ$455,Свод!$G$6:$G$455,Расчеты!BE$1)</f>
        <v>178.8571</v>
      </c>
      <c r="BF60" s="94">
        <f>SUMIFS(Свод!$AZ$6:$AZ$455,Свод!$G$6:$G$455,Расчеты!BF$1)</f>
        <v>0</v>
      </c>
      <c r="BG60" s="94">
        <f>SUMIFS(Свод!$AZ$6:$AZ$455,Свод!$G$6:$G$455,Расчеты!BG$1)</f>
        <v>0</v>
      </c>
      <c r="BH60" s="94">
        <f>SUMIFS(Свод!$AZ$6:$AZ$455,Свод!$G$6:$G$455,Расчеты!BH$1)</f>
        <v>0</v>
      </c>
      <c r="BI60" s="94">
        <f>SUMIFS(Свод!$AZ$6:$AZ$455,Свод!$G$6:$G$455,Расчеты!BI$1)</f>
        <v>0</v>
      </c>
      <c r="BJ60" s="94">
        <f>SUMIFS(Свод!$AZ$6:$AZ$455,Свод!$G$6:$G$455,Расчеты!BJ$1)</f>
        <v>0</v>
      </c>
      <c r="BK60" s="94">
        <f>SUMIFS(Свод!$AZ$6:$AZ$455,Свод!$G$6:$G$455,Расчеты!BK$1)</f>
        <v>0</v>
      </c>
      <c r="BL60" s="94">
        <f>SUMIFS(Свод!$AZ$6:$AZ$455,Свод!$G$6:$G$455,Расчеты!BL$1)</f>
        <v>265.67700000000002</v>
      </c>
      <c r="BM60" s="94">
        <f>SUMIFS(Свод!$AZ$6:$AZ$455,Свод!$G$6:$G$455,Расчеты!BM$1)</f>
        <v>0</v>
      </c>
      <c r="BN60" s="94">
        <f>SUMIFS(Свод!$AZ$6:$AZ$455,Свод!$G$6:$G$455,Расчеты!BN$1)</f>
        <v>495.64749999999998</v>
      </c>
      <c r="BO60" s="94">
        <f>SUMIFS(Свод!$AZ$6:$AZ$455,Свод!$G$6:$G$455,Расчеты!BO$1)</f>
        <v>0</v>
      </c>
      <c r="BP60" s="94">
        <f>SUMIFS(Свод!$AZ$6:$AZ$455,Свод!$G$6:$G$455,Расчеты!BP$1)</f>
        <v>381.15974980000004</v>
      </c>
      <c r="BQ60" s="94">
        <f>SUMIFS(Свод!$AZ$6:$AZ$455,Свод!$G$6:$G$455,Расчеты!BQ$1)</f>
        <v>0</v>
      </c>
      <c r="BR60" s="94">
        <f>SUMIFS(Свод!$AZ$6:$AZ$455,Свод!$G$6:$G$455,Расчеты!BR$1)</f>
        <v>0</v>
      </c>
      <c r="BS60" s="94">
        <f>SUMIFS(Свод!$AZ$6:$AZ$455,Свод!$G$6:$G$455,Расчеты!BS$1)</f>
        <v>0</v>
      </c>
      <c r="BT60" s="94">
        <f>SUMIFS(Свод!$AZ$6:$AZ$455,Свод!$G$6:$G$455,Расчеты!BT$1)</f>
        <v>0</v>
      </c>
      <c r="BU60" s="94">
        <f>SUMIFS(Свод!$AZ$6:$AZ$455,Свод!$G$6:$G$455,Расчеты!BU$1)</f>
        <v>0</v>
      </c>
      <c r="BV60" s="94">
        <f>SUMIFS(Свод!$AZ$6:$AZ$455,Свод!$G$6:$G$455,Расчеты!BV$1)</f>
        <v>287.54478145000002</v>
      </c>
      <c r="BW60" s="94">
        <f>SUMIFS(Свод!$AZ$6:$AZ$455,Свод!$G$6:$G$455,Расчеты!BW$1)</f>
        <v>33.228400000000001</v>
      </c>
      <c r="BX60" s="94">
        <f>SUMIFS(Свод!$AZ$6:$AZ$455,Свод!$G$6:$G$455,Расчеты!BX$1)</f>
        <v>0</v>
      </c>
      <c r="BY60" s="94">
        <f>SUMIFS(Свод!$AZ$6:$AZ$455,Свод!$G$6:$G$455,Расчеты!BY$1)</f>
        <v>1051.9079999999999</v>
      </c>
      <c r="BZ60" s="94">
        <f>SUMIFS(Свод!$AZ$6:$AZ$455,Свод!$G$6:$G$455,Расчеты!BZ$1)</f>
        <v>0</v>
      </c>
      <c r="CA60" s="94">
        <f>SUMIFS(Свод!$AZ$6:$AZ$455,Свод!$G$6:$G$455,Расчеты!CA$1)</f>
        <v>0</v>
      </c>
      <c r="CB60" s="94">
        <f>SUMIFS(Свод!$AZ$6:$AZ$455,Свод!$G$6:$G$455,Расчеты!CB$1)</f>
        <v>1533.2060371</v>
      </c>
      <c r="CC60" s="94">
        <f>SUMIFS(Свод!$AZ$6:$AZ$455,Свод!$G$6:$G$455,Расчеты!CC$1)</f>
        <v>0</v>
      </c>
      <c r="CD60" s="94">
        <f>SUMIFS(Свод!$AZ$6:$AZ$455,Свод!$G$6:$G$455,Расчеты!CD$1)</f>
        <v>0</v>
      </c>
      <c r="CE60" s="94">
        <f>SUMIFS(Свод!$AZ$6:$AZ$455,Свод!$G$6:$G$455,Расчеты!CE$1)</f>
        <v>0</v>
      </c>
      <c r="CF60" s="94">
        <f>SUMIFS(Свод!$AZ$6:$AZ$455,Свод!$G$6:$G$455,Расчеты!CF$1)</f>
        <v>0</v>
      </c>
      <c r="CG60" s="94">
        <f>SUMIFS(Свод!$AZ$6:$AZ$455,Свод!$G$6:$G$455,Расчеты!CG$1)</f>
        <v>891.45649999999989</v>
      </c>
      <c r="CH60" s="94">
        <f>SUMIFS(Свод!$AZ$6:$AZ$455,Свод!$G$6:$G$455,Расчеты!CH$1)</f>
        <v>0</v>
      </c>
      <c r="CI60" s="94">
        <f>SUMIFS(Свод!$AZ$6:$AZ$455,Свод!$G$6:$G$455,Расчеты!CI$1)</f>
        <v>0</v>
      </c>
      <c r="CJ60" s="94">
        <f>SUMIFS(Свод!$AZ$6:$AZ$455,Свод!$G$6:$G$455,Расчеты!CJ$1)</f>
        <v>0</v>
      </c>
      <c r="CK60" s="94">
        <f>SUMIFS(Свод!$AZ$6:$AZ$455,Свод!$G$6:$G$455,Расчеты!CK$1)</f>
        <v>0</v>
      </c>
      <c r="CL60" s="94">
        <f>SUMIFS(Свод!$AZ$6:$AZ$455,Свод!$G$6:$G$455,Расчеты!CL$1)</f>
        <v>0</v>
      </c>
      <c r="CM60" s="94">
        <f>SUMIFS(Свод!$AZ$6:$AZ$455,Свод!$G$6:$G$455,Расчеты!CM$1)</f>
        <v>202.78952999999998</v>
      </c>
      <c r="CN60" s="94">
        <f>SUMIFS(Свод!$AZ$6:$AZ$455,Свод!$G$6:$G$455,Расчеты!CN$1)</f>
        <v>0</v>
      </c>
      <c r="CO60" s="94">
        <f>SUMIFS(Свод!$AZ$6:$AZ$455,Свод!$G$6:$G$455,Расчеты!CO$1)</f>
        <v>852.77729999999997</v>
      </c>
      <c r="CP60" s="94">
        <f>SUMIFS(Свод!$AZ$6:$AZ$455,Свод!$G$6:$G$455,Расчеты!CP$1)</f>
        <v>338.95445255501096</v>
      </c>
      <c r="CQ60" s="94">
        <f>SUMIFS(Свод!$AZ$6:$AZ$455,Свод!$G$6:$G$455,Расчеты!CQ$1)</f>
        <v>0</v>
      </c>
      <c r="CR60" s="94">
        <f>SUMIFS(Свод!$AZ$6:$AZ$455,Свод!$G$6:$G$455,Расчеты!CR$1)</f>
        <v>357</v>
      </c>
      <c r="CS60" s="94">
        <f>SUMIFS(Свод!$AZ$6:$AZ$455,Свод!$G$6:$G$455,Расчеты!CS$1)</f>
        <v>0</v>
      </c>
      <c r="CT60" s="94">
        <f>SUMIFS(Свод!$AZ$6:$AZ$455,Свод!$G$6:$G$455,Расчеты!CT$1)</f>
        <v>0</v>
      </c>
      <c r="CU60" s="94">
        <f>SUMIFS(Свод!$AZ$6:$AZ$455,Свод!$G$6:$G$455,Расчеты!CU$1)</f>
        <v>0</v>
      </c>
      <c r="CV60" s="94">
        <f>SUMIFS(Свод!$AZ$6:$AZ$455,Свод!$G$6:$G$455,Расчеты!CV$1)</f>
        <v>0</v>
      </c>
      <c r="CW60" s="94">
        <f>SUMIFS(Свод!$AZ$6:$AZ$455,Свод!$G$6:$G$455,Расчеты!CW$1)</f>
        <v>0</v>
      </c>
      <c r="CX60" s="94">
        <f>SUMIFS(Свод!$AZ$6:$AZ$455,Свод!$G$6:$G$455,Расчеты!CX$1)</f>
        <v>445.49400000000003</v>
      </c>
    </row>
    <row r="61" spans="1:102" ht="34" x14ac:dyDescent="0.2">
      <c r="A61" s="1237"/>
      <c r="B61" s="1237"/>
      <c r="C61" s="97" t="s">
        <v>8886</v>
      </c>
      <c r="D61" s="97">
        <v>40</v>
      </c>
      <c r="E61" s="502" t="s">
        <v>9003</v>
      </c>
      <c r="F61" s="97" t="s">
        <v>63</v>
      </c>
      <c r="G61" s="513" t="s">
        <v>64</v>
      </c>
      <c r="H61" s="513" t="s">
        <v>8980</v>
      </c>
      <c r="I61" s="97"/>
      <c r="J61" s="97"/>
      <c r="K61" s="97"/>
      <c r="L61" s="97">
        <v>0.2608432991940508</v>
      </c>
      <c r="M61" s="97">
        <v>0.20230264972150513</v>
      </c>
      <c r="N61" s="572">
        <v>0.20094854338484114</v>
      </c>
      <c r="O61" s="510">
        <v>24.974726822676484</v>
      </c>
      <c r="P61" s="595">
        <v>0.22209813421478408</v>
      </c>
      <c r="Q61" s="573">
        <f>Q60/Q44</f>
        <v>0.22305081310645294</v>
      </c>
      <c r="R61" s="573">
        <f t="shared" ref="R61:CC61" si="20">R60/R44</f>
        <v>0</v>
      </c>
      <c r="S61" s="573">
        <f t="shared" si="20"/>
        <v>0.85046112819507302</v>
      </c>
      <c r="T61" s="573">
        <f t="shared" si="20"/>
        <v>0</v>
      </c>
      <c r="U61" s="573">
        <f t="shared" si="20"/>
        <v>0</v>
      </c>
      <c r="V61" s="573">
        <f t="shared" si="20"/>
        <v>0</v>
      </c>
      <c r="W61" s="573">
        <f t="shared" si="20"/>
        <v>0</v>
      </c>
      <c r="X61" s="573">
        <f t="shared" si="20"/>
        <v>0</v>
      </c>
      <c r="Y61" s="573">
        <f t="shared" si="20"/>
        <v>0</v>
      </c>
      <c r="Z61" s="573">
        <f t="shared" si="20"/>
        <v>0</v>
      </c>
      <c r="AA61" s="573">
        <f t="shared" si="20"/>
        <v>0</v>
      </c>
      <c r="AB61" s="573">
        <f t="shared" si="20"/>
        <v>0.51104560404749289</v>
      </c>
      <c r="AC61" s="573" t="e">
        <f t="shared" si="20"/>
        <v>#DIV/0!</v>
      </c>
      <c r="AD61" s="573">
        <f t="shared" si="20"/>
        <v>0</v>
      </c>
      <c r="AE61" s="573">
        <f t="shared" si="20"/>
        <v>0</v>
      </c>
      <c r="AF61" s="573">
        <f t="shared" si="20"/>
        <v>8.8558890031048745E-3</v>
      </c>
      <c r="AG61" s="573" t="e">
        <f t="shared" si="20"/>
        <v>#DIV/0!</v>
      </c>
      <c r="AH61" s="573">
        <f t="shared" si="20"/>
        <v>0.96965920607505396</v>
      </c>
      <c r="AI61" s="573">
        <f t="shared" si="20"/>
        <v>0</v>
      </c>
      <c r="AJ61" s="573" t="e">
        <f t="shared" si="20"/>
        <v>#DIV/0!</v>
      </c>
      <c r="AK61" s="573">
        <f t="shared" si="20"/>
        <v>0</v>
      </c>
      <c r="AL61" s="573" t="e">
        <f t="shared" si="20"/>
        <v>#DIV/0!</v>
      </c>
      <c r="AM61" s="573">
        <f t="shared" si="20"/>
        <v>0.20407476357185458</v>
      </c>
      <c r="AN61" s="573">
        <f t="shared" si="20"/>
        <v>0</v>
      </c>
      <c r="AO61" s="573">
        <f t="shared" si="20"/>
        <v>0</v>
      </c>
      <c r="AP61" s="573" t="e">
        <f t="shared" si="20"/>
        <v>#DIV/0!</v>
      </c>
      <c r="AQ61" s="573" t="e">
        <f t="shared" si="20"/>
        <v>#DIV/0!</v>
      </c>
      <c r="AR61" s="573">
        <f t="shared" si="20"/>
        <v>0</v>
      </c>
      <c r="AS61" s="573">
        <f t="shared" si="20"/>
        <v>0</v>
      </c>
      <c r="AT61" s="573">
        <f t="shared" si="20"/>
        <v>0</v>
      </c>
      <c r="AU61" s="573">
        <f t="shared" si="20"/>
        <v>0</v>
      </c>
      <c r="AV61" s="573">
        <f t="shared" si="20"/>
        <v>0.32653341696058746</v>
      </c>
      <c r="AW61" s="573">
        <f t="shared" si="20"/>
        <v>0</v>
      </c>
      <c r="AX61" s="573">
        <f t="shared" si="20"/>
        <v>0</v>
      </c>
      <c r="AY61" s="573">
        <f t="shared" si="20"/>
        <v>0.80954015189915807</v>
      </c>
      <c r="AZ61" s="573">
        <f t="shared" si="20"/>
        <v>0</v>
      </c>
      <c r="BA61" s="573">
        <f t="shared" si="20"/>
        <v>0</v>
      </c>
      <c r="BB61" s="573">
        <f t="shared" si="20"/>
        <v>0</v>
      </c>
      <c r="BC61" s="573">
        <f t="shared" si="20"/>
        <v>0</v>
      </c>
      <c r="BD61" s="573">
        <f t="shared" si="20"/>
        <v>0</v>
      </c>
      <c r="BE61" s="573">
        <f t="shared" si="20"/>
        <v>0.76969993536106973</v>
      </c>
      <c r="BF61" s="573" t="e">
        <f t="shared" si="20"/>
        <v>#DIV/0!</v>
      </c>
      <c r="BG61" s="573" t="e">
        <f t="shared" si="20"/>
        <v>#DIV/0!</v>
      </c>
      <c r="BH61" s="573">
        <f t="shared" si="20"/>
        <v>0</v>
      </c>
      <c r="BI61" s="573">
        <f t="shared" si="20"/>
        <v>0</v>
      </c>
      <c r="BJ61" s="573">
        <f t="shared" si="20"/>
        <v>0</v>
      </c>
      <c r="BK61" s="573">
        <f t="shared" si="20"/>
        <v>0</v>
      </c>
      <c r="BL61" s="573">
        <f t="shared" si="20"/>
        <v>0.29533178858935083</v>
      </c>
      <c r="BM61" s="573">
        <f t="shared" si="20"/>
        <v>0</v>
      </c>
      <c r="BN61" s="573">
        <f t="shared" si="20"/>
        <v>0.49953422990899188</v>
      </c>
      <c r="BO61" s="573">
        <f t="shared" si="20"/>
        <v>0</v>
      </c>
      <c r="BP61" s="573">
        <f t="shared" si="20"/>
        <v>0.62131605536860868</v>
      </c>
      <c r="BQ61" s="573">
        <f t="shared" si="20"/>
        <v>0</v>
      </c>
      <c r="BR61" s="573">
        <f t="shared" si="20"/>
        <v>0</v>
      </c>
      <c r="BS61" s="573">
        <f t="shared" si="20"/>
        <v>0</v>
      </c>
      <c r="BT61" s="573">
        <f t="shared" si="20"/>
        <v>0</v>
      </c>
      <c r="BU61" s="573">
        <f t="shared" si="20"/>
        <v>0</v>
      </c>
      <c r="BV61" s="573">
        <f t="shared" si="20"/>
        <v>0.40734306866115411</v>
      </c>
      <c r="BW61" s="573">
        <f t="shared" si="20"/>
        <v>7.2276940637077416E-2</v>
      </c>
      <c r="BX61" s="573">
        <f t="shared" si="20"/>
        <v>0</v>
      </c>
      <c r="BY61" s="573">
        <f t="shared" si="20"/>
        <v>0.80622917091085344</v>
      </c>
      <c r="BZ61" s="573">
        <f t="shared" si="20"/>
        <v>0</v>
      </c>
      <c r="CA61" s="573">
        <f t="shared" si="20"/>
        <v>0</v>
      </c>
      <c r="CB61" s="573">
        <f t="shared" si="20"/>
        <v>0.78148587614399079</v>
      </c>
      <c r="CC61" s="573">
        <f t="shared" si="20"/>
        <v>0</v>
      </c>
      <c r="CD61" s="573">
        <f t="shared" ref="CD61:CX61" si="21">CD60/CD44</f>
        <v>0</v>
      </c>
      <c r="CE61" s="573">
        <f t="shared" si="21"/>
        <v>0</v>
      </c>
      <c r="CF61" s="573">
        <f t="shared" si="21"/>
        <v>0</v>
      </c>
      <c r="CG61" s="573">
        <f t="shared" si="21"/>
        <v>0.69705258799185754</v>
      </c>
      <c r="CH61" s="573">
        <f t="shared" si="21"/>
        <v>0</v>
      </c>
      <c r="CI61" s="573">
        <f t="shared" si="21"/>
        <v>0</v>
      </c>
      <c r="CJ61" s="573">
        <f t="shared" si="21"/>
        <v>0</v>
      </c>
      <c r="CK61" s="573">
        <f t="shared" si="21"/>
        <v>0</v>
      </c>
      <c r="CL61" s="573" t="e">
        <f t="shared" si="21"/>
        <v>#DIV/0!</v>
      </c>
      <c r="CM61" s="573">
        <f t="shared" si="21"/>
        <v>0.31251274464415491</v>
      </c>
      <c r="CN61" s="573">
        <f t="shared" si="21"/>
        <v>0</v>
      </c>
      <c r="CO61" s="573">
        <f t="shared" si="21"/>
        <v>0.70235034681424879</v>
      </c>
      <c r="CP61" s="573">
        <f t="shared" si="21"/>
        <v>0.43425993774558863</v>
      </c>
      <c r="CQ61" s="573" t="e">
        <f t="shared" si="21"/>
        <v>#DIV/0!</v>
      </c>
      <c r="CR61" s="573">
        <f t="shared" si="21"/>
        <v>0.26481625956460431</v>
      </c>
      <c r="CS61" s="573">
        <f t="shared" si="21"/>
        <v>0</v>
      </c>
      <c r="CT61" s="573">
        <f t="shared" si="21"/>
        <v>0</v>
      </c>
      <c r="CU61" s="573">
        <f t="shared" si="21"/>
        <v>0</v>
      </c>
      <c r="CV61" s="573">
        <f t="shared" si="21"/>
        <v>0</v>
      </c>
      <c r="CW61" s="573">
        <f t="shared" si="21"/>
        <v>0</v>
      </c>
      <c r="CX61" s="573">
        <f t="shared" si="21"/>
        <v>0.57219297355546617</v>
      </c>
    </row>
    <row r="62" spans="1:102" ht="119" x14ac:dyDescent="0.2">
      <c r="A62" s="199" t="s">
        <v>8897</v>
      </c>
      <c r="B62" s="97" t="s">
        <v>9004</v>
      </c>
      <c r="C62" s="97" t="s">
        <v>8886</v>
      </c>
      <c r="D62" s="97">
        <v>41</v>
      </c>
      <c r="E62" s="502" t="s">
        <v>9005</v>
      </c>
      <c r="F62" s="97" t="s">
        <v>9006</v>
      </c>
      <c r="G62" s="513" t="s">
        <v>64</v>
      </c>
      <c r="H62" s="513" t="s">
        <v>8895</v>
      </c>
      <c r="I62" s="97"/>
      <c r="J62" s="97"/>
      <c r="K62" s="97"/>
      <c r="L62" s="97" t="s">
        <v>9007</v>
      </c>
      <c r="M62" s="97" t="s">
        <v>9007</v>
      </c>
      <c r="N62" s="97" t="s">
        <v>9007</v>
      </c>
      <c r="O62" s="599" t="s">
        <v>8992</v>
      </c>
      <c r="P62" s="599" t="s">
        <v>8992</v>
      </c>
      <c r="R62" s="573" cm="1">
        <f t="array" ref="R62:CX62">SUMIFS(Свод!$AP$6:$AP$455,Свод!$G$6:$G$455,Расчеты!$R$1:$CX$1)</f>
        <v>2.9999999999999997E-4</v>
      </c>
      <c r="S62" s="573">
        <v>1.035263911042915E-4</v>
      </c>
      <c r="T62" s="573">
        <v>2.2045699999999999E-3</v>
      </c>
      <c r="U62" s="573">
        <v>1.6999999999999999E-3</v>
      </c>
      <c r="V62" s="573">
        <v>2.0919072476218502E-4</v>
      </c>
      <c r="W62" s="573">
        <v>2.9999999999999997E-4</v>
      </c>
      <c r="X62" s="573">
        <v>5.8902520258822567E-3</v>
      </c>
      <c r="Y62" s="573">
        <v>1.3149548345095088E-2</v>
      </c>
      <c r="Z62" s="573">
        <v>1.5E-3</v>
      </c>
      <c r="AA62" s="573">
        <v>5.9999999999999995E-4</v>
      </c>
      <c r="AB62" s="573">
        <v>3.3E-3</v>
      </c>
      <c r="AC62" s="573">
        <v>0</v>
      </c>
      <c r="AD62" s="573">
        <v>3.2027024176023914E-3</v>
      </c>
      <c r="AE62" s="573">
        <v>1.7757614961966099E-3</v>
      </c>
      <c r="AF62" s="573">
        <v>0</v>
      </c>
      <c r="AG62" s="573">
        <v>0</v>
      </c>
      <c r="AH62" s="573">
        <v>1.4000000000000001E-4</v>
      </c>
      <c r="AI62" s="573">
        <v>1.5E-3</v>
      </c>
      <c r="AJ62" s="573">
        <v>0</v>
      </c>
      <c r="AK62" s="573">
        <v>3.0999999999999999E-3</v>
      </c>
      <c r="AL62" s="573">
        <v>0</v>
      </c>
      <c r="AM62" s="573">
        <v>7.6000629997106332E-3</v>
      </c>
      <c r="AN62" s="573">
        <v>5.5068419554400857E-4</v>
      </c>
      <c r="AO62" s="573">
        <v>2.2000000000000001E-3</v>
      </c>
      <c r="AP62" s="573">
        <v>0</v>
      </c>
      <c r="AQ62" s="573">
        <v>0</v>
      </c>
      <c r="AR62" s="573">
        <v>4.1999999999999997E-3</v>
      </c>
      <c r="AS62" s="573">
        <v>7.3246321549624816E-4</v>
      </c>
      <c r="AT62" s="573">
        <v>2.5999999999999999E-3</v>
      </c>
      <c r="AU62" s="573">
        <v>2.3999999999999998E-3</v>
      </c>
      <c r="AV62" s="573">
        <v>2.9010874685892166E-3</v>
      </c>
      <c r="AW62" s="573">
        <v>6.9999999999999999E-4</v>
      </c>
      <c r="AX62" s="573">
        <v>6.5195220580733463E-4</v>
      </c>
      <c r="AY62" s="573">
        <v>9.808305577209268E-3</v>
      </c>
      <c r="AZ62" s="573">
        <v>3.5999999999999999E-3</v>
      </c>
      <c r="BA62" s="573">
        <v>2.009267988711218E-4</v>
      </c>
      <c r="BB62" s="573">
        <v>2.3234726132517506E-3</v>
      </c>
      <c r="BC62" s="573">
        <v>5.3266587222074613E-2</v>
      </c>
      <c r="BD62" s="573">
        <v>0</v>
      </c>
      <c r="BE62" s="573">
        <v>5.8896593948529587E-4</v>
      </c>
      <c r="BF62" s="573">
        <v>0</v>
      </c>
      <c r="BG62" s="573">
        <v>0</v>
      </c>
      <c r="BH62" s="573">
        <v>5.0000000000000001E-4</v>
      </c>
      <c r="BI62" s="573">
        <v>2.9999999999999997E-4</v>
      </c>
      <c r="BJ62" s="573">
        <v>6.9999999999999999E-4</v>
      </c>
      <c r="BK62" s="573">
        <v>2.3999999999999998E-3</v>
      </c>
      <c r="BL62" s="573">
        <v>7.9910960759999993E-3</v>
      </c>
      <c r="BM62" s="573">
        <v>5.9999999999999995E-4</v>
      </c>
      <c r="BN62" s="573">
        <v>2.3720105584455948E-3</v>
      </c>
      <c r="BO62" s="573">
        <v>9.4333243019425865E-4</v>
      </c>
      <c r="BP62" s="573">
        <v>3.9324123599994978E-3</v>
      </c>
      <c r="BQ62" s="573">
        <v>0</v>
      </c>
      <c r="BR62" s="573">
        <v>1.356036500873436E-3</v>
      </c>
      <c r="BS62" s="573">
        <v>1.047132039662521E-3</v>
      </c>
      <c r="BT62" s="573">
        <v>1.1299999999999999E-3</v>
      </c>
      <c r="BU62" s="573">
        <v>1.2999999999999999E-3</v>
      </c>
      <c r="BV62" s="573">
        <v>6.8038725899999992E-3</v>
      </c>
      <c r="BW62" s="573">
        <v>7.4689633635516154E-4</v>
      </c>
      <c r="BX62" s="573">
        <v>8.020472862611404E-4</v>
      </c>
      <c r="BY62" s="573">
        <v>8.8000000000000003E-4</v>
      </c>
      <c r="BZ62" s="573">
        <v>1.6000000000000001E-3</v>
      </c>
      <c r="CA62" s="573">
        <v>2.3E-3</v>
      </c>
      <c r="CB62" s="573">
        <v>3.9493400358134691E-4</v>
      </c>
      <c r="CC62" s="573">
        <v>5.0000000000000001E-4</v>
      </c>
      <c r="CD62" s="573">
        <v>9.1212210274548757E-3</v>
      </c>
      <c r="CE62" s="573">
        <v>6.9999999999999994E-5</v>
      </c>
      <c r="CF62" s="573">
        <v>1.366588297910427E-3</v>
      </c>
      <c r="CG62" s="573">
        <v>5.4000000000000003E-3</v>
      </c>
      <c r="CH62" s="573">
        <v>2.8999999999999998E-3</v>
      </c>
      <c r="CI62" s="573">
        <v>1.982526572933897E-3</v>
      </c>
      <c r="CJ62" s="573">
        <v>4.1844587102287951E-4</v>
      </c>
      <c r="CK62" s="573">
        <v>3.8999999999999998E-3</v>
      </c>
      <c r="CL62" s="573">
        <v>0</v>
      </c>
      <c r="CM62" s="573">
        <v>1.4088832555354445E-3</v>
      </c>
      <c r="CN62" s="573">
        <v>2.9999999999999997E-4</v>
      </c>
      <c r="CO62" s="573">
        <v>6.7999999999999996E-3</v>
      </c>
      <c r="CP62" s="573">
        <v>1.56E-3</v>
      </c>
      <c r="CQ62" s="573">
        <v>0</v>
      </c>
      <c r="CR62" s="573">
        <v>4.0000000000000001E-3</v>
      </c>
      <c r="CS62" s="573">
        <v>4.5999999999999999E-3</v>
      </c>
      <c r="CT62" s="573">
        <v>0</v>
      </c>
      <c r="CU62" s="573">
        <v>8.5638311566825307E-3</v>
      </c>
      <c r="CV62" s="573">
        <v>1.1999999999999999E-3</v>
      </c>
      <c r="CW62" s="573">
        <v>0</v>
      </c>
      <c r="CX62" s="573">
        <v>2.3999999999999998E-3</v>
      </c>
    </row>
    <row r="63" spans="1:102" ht="85" x14ac:dyDescent="0.2">
      <c r="A63" s="199" t="s">
        <v>8897</v>
      </c>
      <c r="B63" s="97" t="s">
        <v>9008</v>
      </c>
      <c r="C63" s="97" t="s">
        <v>8886</v>
      </c>
      <c r="D63" s="97">
        <v>42</v>
      </c>
      <c r="E63" s="502" t="s">
        <v>9009</v>
      </c>
      <c r="F63" s="97" t="s">
        <v>9575</v>
      </c>
      <c r="G63" s="513" t="s">
        <v>9000</v>
      </c>
      <c r="H63" s="513" t="s">
        <v>8890</v>
      </c>
      <c r="I63" s="97"/>
      <c r="J63" s="97"/>
      <c r="K63" s="97"/>
      <c r="L63" s="97">
        <v>151.49940797452095</v>
      </c>
      <c r="M63" s="97">
        <v>161.83562221886461</v>
      </c>
      <c r="N63" s="99">
        <v>196.03077949056186</v>
      </c>
      <c r="O63" s="510">
        <v>248.5341706500453</v>
      </c>
      <c r="P63" s="510">
        <v>317.43743618007261</v>
      </c>
      <c r="Q63" s="597">
        <f>Q44/Q130*1000</f>
        <v>352.17884993799566</v>
      </c>
      <c r="R63" s="94">
        <f>R$44/R$130*1000</f>
        <v>45.72289027958734</v>
      </c>
      <c r="S63" s="94">
        <f t="shared" ref="S63:CD63" si="22">S$44/S$130*1000</f>
        <v>316.38724637681162</v>
      </c>
      <c r="T63" s="94">
        <f t="shared" si="22"/>
        <v>236.54504346879145</v>
      </c>
      <c r="U63" s="94">
        <f t="shared" si="22"/>
        <v>306.08284789644011</v>
      </c>
      <c r="V63" s="94">
        <f t="shared" si="22"/>
        <v>55.034015087161393</v>
      </c>
      <c r="W63" s="94">
        <f t="shared" si="22"/>
        <v>27.973681816803619</v>
      </c>
      <c r="X63" s="94">
        <f t="shared" si="22"/>
        <v>509.18069513280926</v>
      </c>
      <c r="Y63" s="94">
        <f t="shared" si="22"/>
        <v>1516.4069182136147</v>
      </c>
      <c r="Z63" s="94">
        <f t="shared" si="22"/>
        <v>133.92904623287674</v>
      </c>
      <c r="AA63" s="94">
        <f t="shared" si="22"/>
        <v>71.239568491756572</v>
      </c>
      <c r="AB63" s="94">
        <f t="shared" si="22"/>
        <v>832.9779077541873</v>
      </c>
      <c r="AD63" s="94">
        <f t="shared" si="22"/>
        <v>789.67590282706635</v>
      </c>
      <c r="AE63" s="94">
        <f t="shared" si="22"/>
        <v>253.03561078088788</v>
      </c>
      <c r="AF63" s="94">
        <f t="shared" si="22"/>
        <v>301.35830508485327</v>
      </c>
      <c r="AH63" s="94">
        <f t="shared" si="22"/>
        <v>1288.8884577866395</v>
      </c>
      <c r="AI63" s="94">
        <f t="shared" si="22"/>
        <v>126.25563250958626</v>
      </c>
      <c r="AK63" s="94">
        <f t="shared" si="22"/>
        <v>401.33484137940394</v>
      </c>
      <c r="AM63" s="94">
        <f t="shared" si="22"/>
        <v>1309.7766643063399</v>
      </c>
      <c r="AN63" s="94">
        <f t="shared" si="22"/>
        <v>68.244969300407845</v>
      </c>
      <c r="AO63" s="94">
        <f t="shared" si="22"/>
        <v>299.47751085063442</v>
      </c>
      <c r="AR63" s="94">
        <f t="shared" si="22"/>
        <v>800.35424717738874</v>
      </c>
      <c r="AS63" s="94">
        <f t="shared" si="22"/>
        <v>79.647210429632551</v>
      </c>
      <c r="AT63" s="94">
        <f t="shared" si="22"/>
        <v>316.73496493302451</v>
      </c>
      <c r="AU63" s="94">
        <f t="shared" si="22"/>
        <v>623.28875029106848</v>
      </c>
      <c r="AV63" s="94">
        <f t="shared" si="22"/>
        <v>938.08853435055482</v>
      </c>
      <c r="AW63" s="94">
        <f t="shared" si="22"/>
        <v>306.37153700703561</v>
      </c>
      <c r="AX63" s="94">
        <f t="shared" si="22"/>
        <v>127.34520135520216</v>
      </c>
      <c r="AY63" s="94">
        <f t="shared" si="22"/>
        <v>377.00921457479825</v>
      </c>
      <c r="AZ63" s="94">
        <f t="shared" si="22"/>
        <v>724.48928740180725</v>
      </c>
      <c r="BA63" s="94">
        <f t="shared" si="22"/>
        <v>42.899335738952843</v>
      </c>
      <c r="BB63" s="94">
        <f t="shared" si="22"/>
        <v>308.55896621967315</v>
      </c>
      <c r="BC63" s="94">
        <f t="shared" si="22"/>
        <v>59.735134203721003</v>
      </c>
      <c r="BD63" s="94">
        <f t="shared" si="22"/>
        <v>75.498443023365539</v>
      </c>
      <c r="BE63" s="94">
        <f t="shared" si="22"/>
        <v>346.0730835275632</v>
      </c>
      <c r="BH63" s="94">
        <f t="shared" si="22"/>
        <v>76.71563697953475</v>
      </c>
      <c r="BI63" s="94">
        <f t="shared" si="22"/>
        <v>127.68133706580973</v>
      </c>
      <c r="BJ63" s="94">
        <f t="shared" si="22"/>
        <v>706.03951504265842</v>
      </c>
      <c r="BK63" s="94">
        <f t="shared" si="22"/>
        <v>368.81405543254459</v>
      </c>
      <c r="BL63" s="94">
        <f t="shared" si="22"/>
        <v>1534.7956281808272</v>
      </c>
      <c r="BM63" s="94">
        <f t="shared" si="22"/>
        <v>273.74934396977005</v>
      </c>
      <c r="BN63" s="94">
        <f t="shared" si="22"/>
        <v>535.90023880097226</v>
      </c>
      <c r="BO63" s="94">
        <f t="shared" si="22"/>
        <v>141.95969929025944</v>
      </c>
      <c r="BP63" s="94">
        <f t="shared" si="22"/>
        <v>864.01650691070927</v>
      </c>
      <c r="BQ63" s="94">
        <f t="shared" si="22"/>
        <v>135.9520536557871</v>
      </c>
      <c r="BR63" s="94">
        <f t="shared" si="22"/>
        <v>141.52737443152753</v>
      </c>
      <c r="BS63" s="94">
        <f t="shared" si="22"/>
        <v>134.90269994571119</v>
      </c>
      <c r="BT63" s="94">
        <f t="shared" si="22"/>
        <v>128.9043199812175</v>
      </c>
      <c r="BU63" s="94">
        <f t="shared" si="22"/>
        <v>173.40551928456199</v>
      </c>
      <c r="BV63" s="94">
        <f t="shared" si="22"/>
        <v>650.51090925510903</v>
      </c>
      <c r="BW63" s="94">
        <f t="shared" si="22"/>
        <v>145.28490326711304</v>
      </c>
      <c r="BX63" s="94">
        <f t="shared" si="22"/>
        <v>57.991445043704665</v>
      </c>
      <c r="BY63" s="94">
        <f t="shared" si="22"/>
        <v>536.70068267865395</v>
      </c>
      <c r="BZ63" s="94">
        <f t="shared" si="22"/>
        <v>800.3343244811507</v>
      </c>
      <c r="CA63" s="94">
        <f t="shared" si="22"/>
        <v>986.82919676068866</v>
      </c>
      <c r="CB63" s="94">
        <f t="shared" si="22"/>
        <v>461.47137086003613</v>
      </c>
      <c r="CC63" s="94">
        <f t="shared" si="22"/>
        <v>81.560059533729074</v>
      </c>
      <c r="CD63" s="94">
        <f t="shared" si="22"/>
        <v>4.2746795059040448</v>
      </c>
      <c r="CE63" s="94">
        <f t="shared" ref="CE63:CX63" si="23">CE$44/CE$130*1000</f>
        <v>6.4153008827770543</v>
      </c>
      <c r="CF63" s="94">
        <f t="shared" si="23"/>
        <v>199.62817960312898</v>
      </c>
      <c r="CG63" s="94">
        <f t="shared" si="23"/>
        <v>1306.0989173086209</v>
      </c>
      <c r="CH63" s="94">
        <f t="shared" si="23"/>
        <v>439.30943715191074</v>
      </c>
      <c r="CI63" s="94">
        <f t="shared" si="23"/>
        <v>254.64721183547385</v>
      </c>
      <c r="CJ63" s="94">
        <f t="shared" si="23"/>
        <v>56.715922471506232</v>
      </c>
      <c r="CK63" s="94">
        <f t="shared" si="23"/>
        <v>478.10229168557208</v>
      </c>
      <c r="CM63" s="94">
        <f t="shared" si="23"/>
        <v>418.06582361991263</v>
      </c>
      <c r="CN63" s="94">
        <f t="shared" si="23"/>
        <v>183.38556107944976</v>
      </c>
      <c r="CO63" s="94">
        <f t="shared" si="23"/>
        <v>1028.0866651989916</v>
      </c>
      <c r="CP63" s="94">
        <f t="shared" si="23"/>
        <v>600.88281246426584</v>
      </c>
      <c r="CR63" s="94">
        <f t="shared" si="23"/>
        <v>791.95914398674699</v>
      </c>
      <c r="CS63" s="94">
        <f t="shared" si="23"/>
        <v>388.77035219095541</v>
      </c>
      <c r="CT63" s="94">
        <f t="shared" si="23"/>
        <v>19.184245660881174</v>
      </c>
      <c r="CU63" s="94">
        <f t="shared" si="23"/>
        <v>982.1575931990966</v>
      </c>
      <c r="CV63" s="94">
        <f t="shared" si="23"/>
        <v>1450.8393285371701</v>
      </c>
      <c r="CW63" s="94">
        <f t="shared" si="23"/>
        <v>915.56718673580713</v>
      </c>
      <c r="CX63" s="94">
        <f t="shared" si="23"/>
        <v>634.33581856682065</v>
      </c>
    </row>
    <row r="64" spans="1:102" ht="51" x14ac:dyDescent="0.2">
      <c r="A64" s="199"/>
      <c r="B64" s="97"/>
      <c r="C64" s="97"/>
      <c r="D64" s="97"/>
      <c r="E64" s="502"/>
      <c r="F64" s="97" t="s">
        <v>9010</v>
      </c>
      <c r="G64" s="513"/>
      <c r="H64" s="513"/>
      <c r="I64" s="97"/>
      <c r="J64" s="97"/>
      <c r="K64" s="97"/>
      <c r="L64" s="97"/>
      <c r="M64" s="97"/>
      <c r="N64" s="99"/>
      <c r="O64" s="510">
        <v>131.54656994638097</v>
      </c>
      <c r="P64" s="574">
        <v>169.76580448390274</v>
      </c>
      <c r="Q64" s="597">
        <f>Q47/Q130*1000</f>
        <v>188.38780870259316</v>
      </c>
      <c r="R64" s="94">
        <f>R47/R130*1000</f>
        <v>28.514064802751019</v>
      </c>
      <c r="S64" s="94">
        <f t="shared" ref="S64:CD64" si="24">S47/S130*1000</f>
        <v>14.630152329627775</v>
      </c>
      <c r="T64" s="94">
        <f t="shared" si="24"/>
        <v>175.45828389205613</v>
      </c>
      <c r="U64" s="94">
        <f t="shared" si="24"/>
        <v>257.85372168284795</v>
      </c>
      <c r="V64" s="94">
        <f t="shared" si="24"/>
        <v>31.11610351705318</v>
      </c>
      <c r="W64" s="94">
        <f t="shared" si="24"/>
        <v>25.284254570813498</v>
      </c>
      <c r="X64" s="94">
        <f t="shared" si="24"/>
        <v>425.09777909537559</v>
      </c>
      <c r="Y64" s="94">
        <f t="shared" si="24"/>
        <v>1415.2535754126679</v>
      </c>
      <c r="Z64" s="94">
        <f t="shared" si="24"/>
        <v>117.63698630136987</v>
      </c>
      <c r="AA64" s="94">
        <f t="shared" si="24"/>
        <v>71.239568491756572</v>
      </c>
      <c r="AB64" s="94">
        <f t="shared" si="24"/>
        <v>275.29718756870159</v>
      </c>
      <c r="AD64" s="94">
        <f t="shared" si="24"/>
        <v>346.70210747489517</v>
      </c>
      <c r="AE64" s="94">
        <f t="shared" si="24"/>
        <v>197.05614164231159</v>
      </c>
      <c r="AF64" s="94">
        <f t="shared" si="24"/>
        <v>209.01042754950527</v>
      </c>
      <c r="AH64" s="94">
        <f t="shared" si="24"/>
        <v>14.566091356356972</v>
      </c>
      <c r="AI64" s="94">
        <f t="shared" si="24"/>
        <v>99.737439580394678</v>
      </c>
      <c r="AK64" s="94">
        <f t="shared" si="24"/>
        <v>360.60741561574349</v>
      </c>
      <c r="AM64" s="94">
        <f t="shared" si="24"/>
        <v>865.01502149963721</v>
      </c>
      <c r="AN64" s="94">
        <f t="shared" si="24"/>
        <v>51.296702968374191</v>
      </c>
      <c r="AO64" s="94">
        <f t="shared" si="24"/>
        <v>205.73454549762846</v>
      </c>
      <c r="AR64" s="94">
        <f t="shared" si="24"/>
        <v>651.6594680609229</v>
      </c>
      <c r="AS64" s="94">
        <f t="shared" si="24"/>
        <v>46.217906578114736</v>
      </c>
      <c r="AT64" s="94">
        <f t="shared" si="24"/>
        <v>201.78493334845078</v>
      </c>
      <c r="AU64" s="94">
        <f t="shared" si="24"/>
        <v>417.90110885216166</v>
      </c>
      <c r="AV64" s="94">
        <f t="shared" si="24"/>
        <v>244.72595590035698</v>
      </c>
      <c r="AW64" s="94">
        <f t="shared" si="24"/>
        <v>52.748384229077089</v>
      </c>
      <c r="AX64" s="94">
        <f t="shared" si="24"/>
        <v>86.090014316455083</v>
      </c>
      <c r="AY64" s="94">
        <f t="shared" si="24"/>
        <v>35.036387337057725</v>
      </c>
      <c r="AZ64" s="94">
        <f t="shared" si="24"/>
        <v>353.3883852105605</v>
      </c>
      <c r="BA64" s="94">
        <f t="shared" si="24"/>
        <v>27.578671720471441</v>
      </c>
      <c r="BB64" s="94">
        <f t="shared" si="24"/>
        <v>239.1726032728844</v>
      </c>
      <c r="BC64" s="94">
        <f t="shared" si="24"/>
        <v>51.102920048847061</v>
      </c>
      <c r="BD64" s="94">
        <f t="shared" si="24"/>
        <v>62.54355542328716</v>
      </c>
      <c r="BE64" s="94">
        <f t="shared" si="24"/>
        <v>40.876967898072095</v>
      </c>
      <c r="BH64" s="94">
        <f t="shared" si="24"/>
        <v>57.496529222964952</v>
      </c>
      <c r="BI64" s="94">
        <f t="shared" si="24"/>
        <v>57.562129720119479</v>
      </c>
      <c r="BJ64" s="94">
        <f t="shared" si="24"/>
        <v>493.9380332285586</v>
      </c>
      <c r="BK64" s="94">
        <f t="shared" si="24"/>
        <v>232.15967921166677</v>
      </c>
      <c r="BL64" s="94">
        <f t="shared" si="24"/>
        <v>813.17073429228026</v>
      </c>
      <c r="BM64" s="94">
        <f t="shared" si="24"/>
        <v>186.64847276162482</v>
      </c>
      <c r="BN64" s="94">
        <f t="shared" si="24"/>
        <v>182.10640021604104</v>
      </c>
      <c r="BO64" s="94">
        <f t="shared" si="24"/>
        <v>71.256782288472166</v>
      </c>
      <c r="BP64" s="94">
        <f t="shared" si="24"/>
        <v>291.92977276792442</v>
      </c>
      <c r="BR64" s="94">
        <f t="shared" si="24"/>
        <v>93.808501555819419</v>
      </c>
      <c r="BS64" s="94">
        <f t="shared" si="24"/>
        <v>114.22909880564603</v>
      </c>
      <c r="BT64" s="94">
        <f t="shared" si="24"/>
        <v>105.50660649301524</v>
      </c>
      <c r="BU64" s="94">
        <f t="shared" si="24"/>
        <v>66.806892930578854</v>
      </c>
      <c r="BV64" s="94">
        <f t="shared" si="24"/>
        <v>269.61824995945267</v>
      </c>
      <c r="BW64" s="94">
        <f t="shared" si="24"/>
        <v>78.528364155551287</v>
      </c>
      <c r="BX64" s="94">
        <f t="shared" si="24"/>
        <v>57.991445043704665</v>
      </c>
      <c r="BY64" s="94">
        <f t="shared" si="24"/>
        <v>62.711660822735546</v>
      </c>
      <c r="BZ64" s="94">
        <f t="shared" si="24"/>
        <v>501.08585304354534</v>
      </c>
      <c r="CA64" s="94">
        <f t="shared" si="24"/>
        <v>960.59911974339957</v>
      </c>
      <c r="CB64" s="94">
        <f t="shared" si="24"/>
        <v>35.89116795635158</v>
      </c>
      <c r="CC64" s="94">
        <f t="shared" si="24"/>
        <v>81.560059533729074</v>
      </c>
      <c r="CD64" s="94">
        <f t="shared" si="24"/>
        <v>3.8472115553136406</v>
      </c>
      <c r="CE64" s="94">
        <f t="shared" ref="CE64:CX64" si="25">CE47/CE130*1000</f>
        <v>4.9458375830900714</v>
      </c>
      <c r="CF64" s="94">
        <f t="shared" si="25"/>
        <v>84.283821799132113</v>
      </c>
      <c r="CG64" s="94">
        <f t="shared" si="25"/>
        <v>378.94726307253791</v>
      </c>
      <c r="CH64" s="94">
        <f t="shared" si="25"/>
        <v>347.8964438766518</v>
      </c>
      <c r="CI64" s="94">
        <f t="shared" si="25"/>
        <v>164.32693870915296</v>
      </c>
      <c r="CJ64" s="94">
        <f t="shared" si="25"/>
        <v>36.560359738426513</v>
      </c>
      <c r="CK64" s="94">
        <f t="shared" si="25"/>
        <v>335.69040256322552</v>
      </c>
      <c r="CM64" s="94">
        <f t="shared" si="25"/>
        <v>266.79453376868702</v>
      </c>
      <c r="CN64" s="94">
        <f t="shared" si="25"/>
        <v>128.02231114344607</v>
      </c>
      <c r="CO64" s="94">
        <f t="shared" si="25"/>
        <v>257.28286212771144</v>
      </c>
      <c r="CP64" s="94">
        <f t="shared" si="25"/>
        <v>192.97804909320149</v>
      </c>
      <c r="CR64" s="94">
        <f t="shared" si="25"/>
        <v>385.47032145878376</v>
      </c>
      <c r="CS64" s="94">
        <f t="shared" si="25"/>
        <v>386.2826888199848</v>
      </c>
      <c r="CT64" s="94">
        <f t="shared" si="25"/>
        <v>17.956608811749</v>
      </c>
      <c r="CU64" s="94">
        <f t="shared" si="25"/>
        <v>574.72657954705699</v>
      </c>
      <c r="CV64" s="94">
        <f t="shared" si="25"/>
        <v>999.20063948840937</v>
      </c>
      <c r="CX64" s="94">
        <f t="shared" si="25"/>
        <v>205.262741947705</v>
      </c>
    </row>
    <row r="65" spans="1:102" ht="68" x14ac:dyDescent="0.2">
      <c r="A65" s="199" t="s">
        <v>8902</v>
      </c>
      <c r="B65" s="97" t="s">
        <v>9011</v>
      </c>
      <c r="C65" s="97" t="s">
        <v>8886</v>
      </c>
      <c r="D65" s="97">
        <v>43</v>
      </c>
      <c r="E65" s="502" t="s">
        <v>9012</v>
      </c>
      <c r="F65" s="97" t="s">
        <v>9576</v>
      </c>
      <c r="G65" s="513" t="s">
        <v>9000</v>
      </c>
      <c r="H65" s="513" t="s">
        <v>8890</v>
      </c>
      <c r="I65" s="97"/>
      <c r="J65" s="97"/>
      <c r="K65" s="97"/>
      <c r="L65" s="97">
        <v>98.757125077537196</v>
      </c>
      <c r="M65" s="97">
        <v>131.54137349457784</v>
      </c>
      <c r="N65" s="605">
        <v>163.96445204242127</v>
      </c>
      <c r="O65" s="510">
        <v>216.75577743758009</v>
      </c>
      <c r="P65" s="600">
        <v>270.5199666549596</v>
      </c>
      <c r="Q65" s="597">
        <f>Q44/Q131*1000</f>
        <v>307.04430793781836</v>
      </c>
    </row>
    <row r="66" spans="1:102" ht="85" x14ac:dyDescent="0.2">
      <c r="A66" s="1238" t="s">
        <v>8897</v>
      </c>
      <c r="B66" s="1237" t="s">
        <v>9013</v>
      </c>
      <c r="C66" s="97" t="s">
        <v>8886</v>
      </c>
      <c r="D66" s="97">
        <v>44</v>
      </c>
      <c r="E66" s="502" t="s">
        <v>9014</v>
      </c>
      <c r="F66" s="97" t="s">
        <v>9541</v>
      </c>
      <c r="G66" s="513" t="s">
        <v>8974</v>
      </c>
      <c r="H66" s="513" t="s">
        <v>8895</v>
      </c>
      <c r="I66" s="97"/>
      <c r="J66" s="97"/>
      <c r="K66" s="97"/>
      <c r="L66" s="97">
        <v>14479.747054480002</v>
      </c>
      <c r="M66" s="97">
        <v>13878.172658840002</v>
      </c>
      <c r="N66" s="99">
        <v>16507.709297650003</v>
      </c>
      <c r="O66" s="97">
        <v>20243.888999999999</v>
      </c>
      <c r="P66" s="601">
        <v>29255.950294619994</v>
      </c>
    </row>
    <row r="67" spans="1:102" ht="68" x14ac:dyDescent="0.2">
      <c r="A67" s="1237"/>
      <c r="B67" s="1237"/>
      <c r="C67" s="97" t="s">
        <v>8886</v>
      </c>
      <c r="D67" s="97">
        <v>45</v>
      </c>
      <c r="E67" s="502" t="s">
        <v>9015</v>
      </c>
      <c r="F67" s="97" t="s">
        <v>9016</v>
      </c>
      <c r="G67" s="513" t="s">
        <v>64</v>
      </c>
      <c r="H67" s="513" t="s">
        <v>8895</v>
      </c>
      <c r="I67" s="97"/>
      <c r="J67" s="97"/>
      <c r="K67" s="97"/>
      <c r="L67" s="97" t="s">
        <v>4906</v>
      </c>
      <c r="M67" s="97" t="s">
        <v>4906</v>
      </c>
      <c r="N67" s="97" t="s">
        <v>4906</v>
      </c>
      <c r="O67" s="97" t="s">
        <v>4906</v>
      </c>
    </row>
    <row r="68" spans="1:102" ht="85" x14ac:dyDescent="0.2">
      <c r="A68" s="97"/>
      <c r="B68" s="97"/>
      <c r="C68" s="97" t="s">
        <v>8886</v>
      </c>
      <c r="D68" s="97">
        <v>33</v>
      </c>
      <c r="E68" s="502" t="s">
        <v>9017</v>
      </c>
      <c r="F68" s="97" t="s">
        <v>9577</v>
      </c>
      <c r="G68" s="513" t="s">
        <v>9018</v>
      </c>
      <c r="H68" s="513" t="s">
        <v>8895</v>
      </c>
      <c r="I68" s="97"/>
      <c r="J68" s="97"/>
      <c r="K68" s="97"/>
      <c r="L68" s="97" t="s">
        <v>4906</v>
      </c>
      <c r="M68" s="97" t="s">
        <v>4906</v>
      </c>
      <c r="N68" s="97" t="s">
        <v>4906</v>
      </c>
      <c r="O68" s="97" t="s">
        <v>4906</v>
      </c>
    </row>
    <row r="69" spans="1:102" ht="34" x14ac:dyDescent="0.2">
      <c r="A69" s="1238" t="s">
        <v>8897</v>
      </c>
      <c r="B69" s="1237" t="s">
        <v>9019</v>
      </c>
      <c r="C69" s="97" t="s">
        <v>8886</v>
      </c>
      <c r="D69" s="97">
        <v>52</v>
      </c>
      <c r="E69" s="502" t="s">
        <v>9020</v>
      </c>
      <c r="F69" s="1237" t="s">
        <v>9021</v>
      </c>
      <c r="G69" s="513" t="s">
        <v>9022</v>
      </c>
      <c r="H69" s="513" t="s">
        <v>8895</v>
      </c>
      <c r="I69" s="97"/>
      <c r="J69" s="97"/>
      <c r="K69" s="97"/>
      <c r="L69" s="97">
        <v>1554</v>
      </c>
      <c r="M69" s="97">
        <v>1605</v>
      </c>
      <c r="N69" s="99">
        <v>1551</v>
      </c>
      <c r="O69" s="94">
        <v>1188</v>
      </c>
      <c r="P69" s="94">
        <v>2116</v>
      </c>
      <c r="Q69" s="94">
        <f>SUM(R69:CX69)</f>
        <v>1981</v>
      </c>
      <c r="R69" s="94">
        <f>SUMIFS(Свод!$BN$6:$BN$455,Свод!$G$6:$G$455,Расчеты!R$1)</f>
        <v>0</v>
      </c>
      <c r="S69" s="94">
        <f>SUMIFS(Свод!$BN$6:$BN$455,Свод!$G$6:$G$455,Расчеты!S$1)</f>
        <v>0</v>
      </c>
      <c r="T69" s="94">
        <f>SUMIFS(Свод!$BN$6:$BN$455,Свод!$G$6:$G$455,Расчеты!T$1)</f>
        <v>23</v>
      </c>
      <c r="U69" s="94">
        <f>SUMIFS(Свод!$BN$6:$BN$455,Свод!$G$6:$G$455,Расчеты!U$1)</f>
        <v>2</v>
      </c>
      <c r="V69" s="94">
        <f>SUMIFS(Свод!$BN$6:$BN$455,Свод!$G$6:$G$455,Расчеты!V$1)</f>
        <v>1</v>
      </c>
      <c r="W69" s="94">
        <f>SUMIFS(Свод!$BN$6:$BN$455,Свод!$G$6:$G$455,Расчеты!W$1)</f>
        <v>0</v>
      </c>
      <c r="X69" s="94">
        <f>SUMIFS(Свод!$BN$6:$BN$455,Свод!$G$6:$G$455,Расчеты!X$1)</f>
        <v>41</v>
      </c>
      <c r="Y69" s="94">
        <f>SUMIFS(Свод!$BN$6:$BN$455,Свод!$G$6:$G$455,Расчеты!Y$1)</f>
        <v>20</v>
      </c>
      <c r="Z69" s="94">
        <f>SUMIFS(Свод!$BN$6:$BN$455,Свод!$G$6:$G$455,Расчеты!Z$1)</f>
        <v>0</v>
      </c>
      <c r="AA69" s="94">
        <f>SUMIFS(Свод!$BN$6:$BN$455,Свод!$G$6:$G$455,Расчеты!AA$1)</f>
        <v>0</v>
      </c>
      <c r="AB69" s="94">
        <f>SUMIFS(Свод!$BN$6:$BN$455,Свод!$G$6:$G$455,Расчеты!AB$1)</f>
        <v>19</v>
      </c>
      <c r="AC69" s="94">
        <f>SUMIFS(Свод!$BN$6:$BN$455,Свод!$G$6:$G$455,Расчеты!AC$1)</f>
        <v>0</v>
      </c>
      <c r="AD69" s="94">
        <f>SUMIFS(Свод!$BN$6:$BN$455,Свод!$G$6:$G$455,Расчеты!AD$1)</f>
        <v>230</v>
      </c>
      <c r="AE69" s="94">
        <f>SUMIFS(Свод!$BN$6:$BN$455,Свод!$G$6:$G$455,Расчеты!AE$1)</f>
        <v>43</v>
      </c>
      <c r="AF69" s="94">
        <f>SUMIFS(Свод!$BN$6:$BN$455,Свод!$G$6:$G$455,Расчеты!AF$1)</f>
        <v>14</v>
      </c>
      <c r="AG69" s="94">
        <f>SUMIFS(Свод!$BN$6:$BN$455,Свод!$G$6:$G$455,Расчеты!AG$1)</f>
        <v>0</v>
      </c>
      <c r="AH69" s="94">
        <f>SUMIFS(Свод!$BN$6:$BN$455,Свод!$G$6:$G$455,Расчеты!AH$1)</f>
        <v>0</v>
      </c>
      <c r="AI69" s="94">
        <f>SUMIFS(Свод!$BN$6:$BN$455,Свод!$G$6:$G$455,Расчеты!AI$1)</f>
        <v>0</v>
      </c>
      <c r="AJ69" s="94">
        <f>SUMIFS(Свод!$BN$6:$BN$455,Свод!$G$6:$G$455,Расчеты!AJ$1)</f>
        <v>0</v>
      </c>
      <c r="AK69" s="94">
        <f>SUMIFS(Свод!$BN$6:$BN$455,Свод!$G$6:$G$455,Расчеты!AK$1)</f>
        <v>113</v>
      </c>
      <c r="AL69" s="94">
        <f>SUMIFS(Свод!$BN$6:$BN$455,Свод!$G$6:$G$455,Расчеты!AL$1)</f>
        <v>0</v>
      </c>
      <c r="AM69" s="94">
        <f>SUMIFS(Свод!$BN$6:$BN$455,Свод!$G$6:$G$455,Расчеты!AM$1)</f>
        <v>72</v>
      </c>
      <c r="AN69" s="94">
        <f>SUMIFS(Свод!$BN$6:$BN$455,Свод!$G$6:$G$455,Расчеты!AN$1)</f>
        <v>1</v>
      </c>
      <c r="AO69" s="94">
        <f>SUMIFS(Свод!$BN$6:$BN$455,Свод!$G$6:$G$455,Расчеты!AO$1)</f>
        <v>8</v>
      </c>
      <c r="AP69" s="94">
        <f>SUMIFS(Свод!$BN$6:$BN$455,Свод!$G$6:$G$455,Расчеты!AP$1)</f>
        <v>0</v>
      </c>
      <c r="AQ69" s="94">
        <f>SUMIFS(Свод!$BN$6:$BN$455,Свод!$G$6:$G$455,Расчеты!AQ$1)</f>
        <v>0</v>
      </c>
      <c r="AR69" s="94">
        <f>SUMIFS(Свод!$BN$6:$BN$455,Свод!$G$6:$G$455,Расчеты!AR$1)</f>
        <v>22</v>
      </c>
      <c r="AS69" s="94">
        <f>SUMIFS(Свод!$BN$6:$BN$455,Свод!$G$6:$G$455,Расчеты!AS$1)</f>
        <v>0</v>
      </c>
      <c r="AT69" s="94">
        <f>SUMIFS(Свод!$BN$6:$BN$455,Свод!$G$6:$G$455,Расчеты!AT$1)</f>
        <v>11</v>
      </c>
      <c r="AU69" s="94">
        <f>SUMIFS(Свод!$BN$6:$BN$455,Свод!$G$6:$G$455,Расчеты!AU$1)</f>
        <v>45</v>
      </c>
      <c r="AV69" s="94">
        <f>SUMIFS(Свод!$BN$6:$BN$455,Свод!$G$6:$G$455,Расчеты!AV$1)</f>
        <v>44</v>
      </c>
      <c r="AW69" s="94">
        <f>SUMIFS(Свод!$BN$6:$BN$455,Свод!$G$6:$G$455,Расчеты!AW$1)</f>
        <v>9</v>
      </c>
      <c r="AX69" s="94">
        <f>SUMIFS(Свод!$BN$6:$BN$455,Свод!$G$6:$G$455,Расчеты!AX$1)</f>
        <v>23</v>
      </c>
      <c r="AY69" s="94">
        <f>SUMIFS(Свод!$BN$6:$BN$455,Свод!$G$6:$G$455,Расчеты!AY$1)</f>
        <v>12</v>
      </c>
      <c r="AZ69" s="94">
        <f>SUMIFS(Свод!$BN$6:$BN$455,Свод!$G$6:$G$455,Расчеты!AZ$1)</f>
        <v>21</v>
      </c>
      <c r="BA69" s="94">
        <f>SUMIFS(Свод!$BN$6:$BN$455,Свод!$G$6:$G$455,Расчеты!BA$1)</f>
        <v>0</v>
      </c>
      <c r="BB69" s="94">
        <f>SUMIFS(Свод!$BN$6:$BN$455,Свод!$G$6:$G$455,Расчеты!BB$1)</f>
        <v>6</v>
      </c>
      <c r="BC69" s="94">
        <f>SUMIFS(Свод!$BN$6:$BN$455,Свод!$G$6:$G$455,Расчеты!BC$1)</f>
        <v>0</v>
      </c>
      <c r="BD69" s="94">
        <f>SUMIFS(Свод!$BN$6:$BN$455,Свод!$G$6:$G$455,Расчеты!BD$1)</f>
        <v>0</v>
      </c>
      <c r="BE69" s="94">
        <f>SUMIFS(Свод!$BN$6:$BN$455,Свод!$G$6:$G$455,Расчеты!BE$1)</f>
        <v>0</v>
      </c>
      <c r="BF69" s="94">
        <f>SUMIFS(Свод!$BN$6:$BN$455,Свод!$G$6:$G$455,Расчеты!BF$1)</f>
        <v>0</v>
      </c>
      <c r="BG69" s="94">
        <f>SUMIFS(Свод!$BN$6:$BN$455,Свод!$G$6:$G$455,Расчеты!BG$1)</f>
        <v>0</v>
      </c>
      <c r="BH69" s="94">
        <f>SUMIFS(Свод!$BN$6:$BN$455,Свод!$G$6:$G$455,Расчеты!BH$1)</f>
        <v>2</v>
      </c>
      <c r="BI69" s="94">
        <f>SUMIFS(Свод!$BN$6:$BN$455,Свод!$G$6:$G$455,Расчеты!BI$1)</f>
        <v>0</v>
      </c>
      <c r="BJ69" s="94">
        <f>SUMIFS(Свод!$BN$6:$BN$455,Свод!$G$6:$G$455,Расчеты!BJ$1)</f>
        <v>0</v>
      </c>
      <c r="BK69" s="94">
        <f>SUMIFS(Свод!$BN$6:$BN$455,Свод!$G$6:$G$455,Расчеты!BK$1)</f>
        <v>42</v>
      </c>
      <c r="BL69" s="94">
        <f>SUMIFS(Свод!$BN$6:$BN$455,Свод!$G$6:$G$455,Расчеты!BL$1)</f>
        <v>1</v>
      </c>
      <c r="BM69" s="94">
        <f>SUMIFS(Свод!$BN$6:$BN$455,Свод!$G$6:$G$455,Расчеты!BM$1)</f>
        <v>2</v>
      </c>
      <c r="BN69" s="94">
        <f>SUMIFS(Свод!$BN$6:$BN$455,Свод!$G$6:$G$455,Расчеты!BN$1)</f>
        <v>0</v>
      </c>
      <c r="BO69" s="94">
        <f>SUMIFS(Свод!$BN$6:$BN$455,Свод!$G$6:$G$455,Расчеты!BO$1)</f>
        <v>32</v>
      </c>
      <c r="BP69" s="94">
        <f>SUMIFS(Свод!$BN$6:$BN$455,Свод!$G$6:$G$455,Расчеты!BP$1)</f>
        <v>1</v>
      </c>
      <c r="BQ69" s="94">
        <f>SUMIFS(Свод!$BN$6:$BN$455,Свод!$G$6:$G$455,Расчеты!BQ$1)</f>
        <v>3</v>
      </c>
      <c r="BR69" s="94">
        <f>SUMIFS(Свод!$BN$6:$BN$455,Свод!$G$6:$G$455,Расчеты!BR$1)</f>
        <v>8</v>
      </c>
      <c r="BS69" s="94">
        <f>SUMIFS(Свод!$BN$6:$BN$455,Свод!$G$6:$G$455,Расчеты!BS$1)</f>
        <v>1</v>
      </c>
      <c r="BT69" s="94">
        <f>SUMIFS(Свод!$BN$6:$BN$455,Свод!$G$6:$G$455,Расчеты!BT$1)</f>
        <v>13</v>
      </c>
      <c r="BU69" s="94">
        <f>SUMIFS(Свод!$BN$6:$BN$455,Свод!$G$6:$G$455,Расчеты!BU$1)</f>
        <v>6</v>
      </c>
      <c r="BV69" s="94">
        <f>SUMIFS(Свод!$BN$6:$BN$455,Свод!$G$6:$G$455,Расчеты!BV$1)</f>
        <v>12</v>
      </c>
      <c r="BW69" s="94">
        <f>SUMIFS(Свод!$BN$6:$BN$455,Свод!$G$6:$G$455,Расчеты!BW$1)</f>
        <v>27</v>
      </c>
      <c r="BX69" s="94">
        <f>SUMIFS(Свод!$BN$6:$BN$455,Свод!$G$6:$G$455,Расчеты!BX$1)</f>
        <v>0</v>
      </c>
      <c r="BY69" s="94">
        <f>SUMIFS(Свод!$BN$6:$BN$455,Свод!$G$6:$G$455,Расчеты!BY$1)</f>
        <v>48</v>
      </c>
      <c r="BZ69" s="94">
        <f>SUMIFS(Свод!$BN$6:$BN$455,Свод!$G$6:$G$455,Расчеты!BZ$1)</f>
        <v>58</v>
      </c>
      <c r="CA69" s="94">
        <f>SUMIFS(Свод!$BN$6:$BN$455,Свод!$G$6:$G$455,Расчеты!CA$1)</f>
        <v>1</v>
      </c>
      <c r="CB69" s="94">
        <f>SUMIFS(Свод!$BN$6:$BN$455,Свод!$G$6:$G$455,Расчеты!CB$1)</f>
        <v>0</v>
      </c>
      <c r="CC69" s="94">
        <f>SUMIFS(Свод!$BN$6:$BN$455,Свод!$G$6:$G$455,Расчеты!CC$1)</f>
        <v>0</v>
      </c>
      <c r="CD69" s="94">
        <f>SUMIFS(Свод!$BN$6:$BN$455,Свод!$G$6:$G$455,Расчеты!CD$1)</f>
        <v>0</v>
      </c>
      <c r="CE69" s="94">
        <f>SUMIFS(Свод!$BN$6:$BN$455,Свод!$G$6:$G$455,Расчеты!CE$1)</f>
        <v>0</v>
      </c>
      <c r="CF69" s="94">
        <f>SUMIFS(Свод!$BN$6:$BN$455,Свод!$G$6:$G$455,Расчеты!CF$1)</f>
        <v>0</v>
      </c>
      <c r="CG69" s="94">
        <f>SUMIFS(Свод!$BN$6:$BN$455,Свод!$G$6:$G$455,Расчеты!CG$1)</f>
        <v>110</v>
      </c>
      <c r="CH69" s="94">
        <f>SUMIFS(Свод!$BN$6:$BN$455,Свод!$G$6:$G$455,Расчеты!CH$1)</f>
        <v>555</v>
      </c>
      <c r="CI69" s="94">
        <f>SUMIFS(Свод!$BN$6:$BN$455,Свод!$G$6:$G$455,Расчеты!CI$1)</f>
        <v>40</v>
      </c>
      <c r="CJ69" s="94">
        <f>SUMIFS(Свод!$BN$6:$BN$455,Свод!$G$6:$G$455,Расчеты!CJ$1)</f>
        <v>14</v>
      </c>
      <c r="CK69" s="94">
        <f>SUMIFS(Свод!$BN$6:$BN$455,Свод!$G$6:$G$455,Расчеты!CK$1)</f>
        <v>25</v>
      </c>
      <c r="CL69" s="94">
        <f>SUMIFS(Свод!$BN$6:$BN$455,Свод!$G$6:$G$455,Расчеты!CL$1)</f>
        <v>0</v>
      </c>
      <c r="CM69" s="94">
        <f>SUMIFS(Свод!$BN$6:$BN$455,Свод!$G$6:$G$455,Расчеты!CM$1)</f>
        <v>0</v>
      </c>
      <c r="CN69" s="94">
        <f>SUMIFS(Свод!$BN$6:$BN$455,Свод!$G$6:$G$455,Расчеты!CN$1)</f>
        <v>4</v>
      </c>
      <c r="CO69" s="94">
        <f>SUMIFS(Свод!$BN$6:$BN$455,Свод!$G$6:$G$455,Расчеты!CO$1)</f>
        <v>7</v>
      </c>
      <c r="CP69" s="94">
        <f>SUMIFS(Свод!$BN$6:$BN$455,Свод!$G$6:$G$455,Расчеты!CP$1)</f>
        <v>7</v>
      </c>
      <c r="CQ69" s="94">
        <f>SUMIFS(Свод!$BN$6:$BN$455,Свод!$G$6:$G$455,Расчеты!CQ$1)</f>
        <v>0</v>
      </c>
      <c r="CR69" s="94">
        <f>SUMIFS(Свод!$BN$6:$BN$455,Свод!$G$6:$G$455,Расчеты!CR$1)</f>
        <v>2</v>
      </c>
      <c r="CS69" s="94">
        <f>SUMIFS(Свод!$BN$6:$BN$455,Свод!$G$6:$G$455,Расчеты!CS$1)</f>
        <v>16</v>
      </c>
      <c r="CT69" s="94">
        <f>SUMIFS(Свод!$BN$6:$BN$455,Свод!$G$6:$G$455,Расчеты!CT$1)</f>
        <v>0</v>
      </c>
      <c r="CU69" s="94">
        <f>SUMIFS(Свод!$BN$6:$BN$455,Свод!$G$6:$G$455,Расчеты!CU$1)</f>
        <v>151</v>
      </c>
      <c r="CV69" s="94">
        <f>SUMIFS(Свод!$BN$6:$BN$455,Свод!$G$6:$G$455,Расчеты!CV$1)</f>
        <v>0</v>
      </c>
      <c r="CW69" s="94">
        <f>SUMIFS(Свод!$BN$6:$BN$455,Свод!$G$6:$G$455,Расчеты!CW$1)</f>
        <v>0</v>
      </c>
      <c r="CX69" s="94">
        <f>SUMIFS(Свод!$BN$6:$BN$455,Свод!$G$6:$G$455,Расчеты!CX$1)</f>
        <v>13</v>
      </c>
    </row>
    <row r="70" spans="1:102" ht="17" x14ac:dyDescent="0.2">
      <c r="A70" s="1238"/>
      <c r="B70" s="1237"/>
      <c r="C70" s="97" t="s">
        <v>8886</v>
      </c>
      <c r="D70" s="97">
        <v>53</v>
      </c>
      <c r="E70" s="502" t="s">
        <v>9023</v>
      </c>
      <c r="F70" s="1237"/>
      <c r="G70" s="513" t="s">
        <v>64</v>
      </c>
      <c r="H70" s="513"/>
      <c r="I70" s="97"/>
      <c r="J70" s="97"/>
      <c r="K70" s="97" t="s">
        <v>479</v>
      </c>
      <c r="L70" s="97">
        <v>9.7478359051561908E-2</v>
      </c>
      <c r="M70" s="97">
        <v>8.5105254785513548E-2</v>
      </c>
      <c r="N70" s="572">
        <v>7.1013231994872028E-2</v>
      </c>
      <c r="P70" s="573">
        <v>7.2679810400494607E-2</v>
      </c>
      <c r="Q70" s="94">
        <f>Q69/Q117</f>
        <v>6.7447482210343537E-2</v>
      </c>
    </row>
    <row r="71" spans="1:102" ht="34" x14ac:dyDescent="0.2">
      <c r="A71" s="1238"/>
      <c r="B71" s="1237"/>
      <c r="C71" s="97" t="s">
        <v>8886</v>
      </c>
      <c r="D71" s="97">
        <v>54</v>
      </c>
      <c r="E71" s="502" t="s">
        <v>9024</v>
      </c>
      <c r="F71" s="1237" t="s">
        <v>9025</v>
      </c>
      <c r="G71" s="513" t="s">
        <v>9022</v>
      </c>
      <c r="H71" s="513"/>
      <c r="I71" s="97"/>
      <c r="J71" s="97"/>
      <c r="K71" s="97"/>
      <c r="L71" s="97">
        <v>2079</v>
      </c>
      <c r="M71" s="97">
        <v>2853</v>
      </c>
      <c r="N71" s="99">
        <v>3288</v>
      </c>
      <c r="O71" s="94">
        <v>2790</v>
      </c>
      <c r="P71" s="94">
        <v>4803</v>
      </c>
      <c r="Q71" s="94">
        <f t="shared" ref="Q71:Q117" si="26">SUM(R71:CX71)</f>
        <v>4630</v>
      </c>
      <c r="R71" s="94">
        <f>SUMIFS(Свод!$BO$6:$BO$455,Свод!$G$6:$G$455,Расчеты!R$1)</f>
        <v>6</v>
      </c>
      <c r="S71" s="94">
        <f>SUMIFS(Свод!$BO$6:$BO$455,Свод!$G$6:$G$455,Расчеты!S$1)</f>
        <v>0</v>
      </c>
      <c r="T71" s="94">
        <f>SUMIFS(Свод!$BO$6:$BO$455,Свод!$G$6:$G$455,Расчеты!T$1)</f>
        <v>85</v>
      </c>
      <c r="U71" s="94">
        <f>SUMIFS(Свод!$BO$6:$BO$455,Свод!$G$6:$G$455,Расчеты!U$1)</f>
        <v>0</v>
      </c>
      <c r="V71" s="94">
        <f>SUMIFS(Свод!$BO$6:$BO$455,Свод!$G$6:$G$455,Расчеты!V$1)</f>
        <v>9</v>
      </c>
      <c r="W71" s="94">
        <f>SUMIFS(Свод!$BO$6:$BO$455,Свод!$G$6:$G$455,Расчеты!W$1)</f>
        <v>5</v>
      </c>
      <c r="X71" s="94">
        <f>SUMIFS(Свод!$BO$6:$BO$455,Свод!$G$6:$G$455,Расчеты!X$1)</f>
        <v>102</v>
      </c>
      <c r="Y71" s="94">
        <f>SUMIFS(Свод!$BO$6:$BO$455,Свод!$G$6:$G$455,Расчеты!Y$1)</f>
        <v>231</v>
      </c>
      <c r="Z71" s="94">
        <f>SUMIFS(Свод!$BO$6:$BO$455,Свод!$G$6:$G$455,Расчеты!Z$1)</f>
        <v>0</v>
      </c>
      <c r="AA71" s="94">
        <f>SUMIFS(Свод!$BO$6:$BO$455,Свод!$G$6:$G$455,Расчеты!AA$1)</f>
        <v>0</v>
      </c>
      <c r="AB71" s="94">
        <f>SUMIFS(Свод!$BO$6:$BO$455,Свод!$G$6:$G$455,Расчеты!AB$1)</f>
        <v>54</v>
      </c>
      <c r="AC71" s="94">
        <f>SUMIFS(Свод!$BO$6:$BO$455,Свод!$G$6:$G$455,Расчеты!AC$1)</f>
        <v>0</v>
      </c>
      <c r="AD71" s="94">
        <f>SUMIFS(Свод!$BO$6:$BO$455,Свод!$G$6:$G$455,Расчеты!AD$1)</f>
        <v>0</v>
      </c>
      <c r="AE71" s="94">
        <f>SUMIFS(Свод!$BO$6:$BO$455,Свод!$G$6:$G$455,Расчеты!AE$1)</f>
        <v>36</v>
      </c>
      <c r="AF71" s="94">
        <f>SUMIFS(Свод!$BO$6:$BO$455,Свод!$G$6:$G$455,Расчеты!AF$1)</f>
        <v>50</v>
      </c>
      <c r="AG71" s="94">
        <f>SUMIFS(Свод!$BO$6:$BO$455,Свод!$G$6:$G$455,Расчеты!AG$1)</f>
        <v>0</v>
      </c>
      <c r="AH71" s="94">
        <f>SUMIFS(Свод!$BO$6:$BO$455,Свод!$G$6:$G$455,Расчеты!AH$1)</f>
        <v>0</v>
      </c>
      <c r="AI71" s="94">
        <f>SUMIFS(Свод!$BO$6:$BO$455,Свод!$G$6:$G$455,Расчеты!AI$1)</f>
        <v>1</v>
      </c>
      <c r="AJ71" s="94">
        <f>SUMIFS(Свод!$BO$6:$BO$455,Свод!$G$6:$G$455,Расчеты!AJ$1)</f>
        <v>0</v>
      </c>
      <c r="AK71" s="94">
        <f>SUMIFS(Свод!$BO$6:$BO$455,Свод!$G$6:$G$455,Расчеты!AK$1)</f>
        <v>84</v>
      </c>
      <c r="AL71" s="94">
        <f>SUMIFS(Свод!$BO$6:$BO$455,Свод!$G$6:$G$455,Расчеты!AL$1)</f>
        <v>0</v>
      </c>
      <c r="AM71" s="94">
        <f>SUMIFS(Свод!$BO$6:$BO$455,Свод!$G$6:$G$455,Расчеты!AM$1)</f>
        <v>42</v>
      </c>
      <c r="AN71" s="94">
        <f>SUMIFS(Свод!$BO$6:$BO$455,Свод!$G$6:$G$455,Расчеты!AN$1)</f>
        <v>5</v>
      </c>
      <c r="AO71" s="94">
        <f>SUMIFS(Свод!$BO$6:$BO$455,Свод!$G$6:$G$455,Расчеты!AO$1)</f>
        <v>31</v>
      </c>
      <c r="AP71" s="94">
        <f>SUMIFS(Свод!$BO$6:$BO$455,Свод!$G$6:$G$455,Расчеты!AP$1)</f>
        <v>0</v>
      </c>
      <c r="AQ71" s="94">
        <f>SUMIFS(Свод!$BO$6:$BO$455,Свод!$G$6:$G$455,Расчеты!AQ$1)</f>
        <v>0</v>
      </c>
      <c r="AR71" s="94">
        <f>SUMIFS(Свод!$BO$6:$BO$455,Свод!$G$6:$G$455,Расчеты!AR$1)</f>
        <v>44</v>
      </c>
      <c r="AS71" s="94">
        <f>SUMIFS(Свод!$BO$6:$BO$455,Свод!$G$6:$G$455,Расчеты!AS$1)</f>
        <v>0</v>
      </c>
      <c r="AT71" s="94">
        <f>SUMIFS(Свод!$BO$6:$BO$455,Свод!$G$6:$G$455,Расчеты!AT$1)</f>
        <v>99</v>
      </c>
      <c r="AU71" s="94">
        <f>SUMIFS(Свод!$BO$6:$BO$455,Свод!$G$6:$G$455,Расчеты!AU$1)</f>
        <v>117</v>
      </c>
      <c r="AV71" s="94">
        <f>SUMIFS(Свод!$BO$6:$BO$455,Свод!$G$6:$G$455,Расчеты!AV$1)</f>
        <v>72</v>
      </c>
      <c r="AW71" s="94">
        <f>SUMIFS(Свод!$BO$6:$BO$455,Свод!$G$6:$G$455,Расчеты!AW$1)</f>
        <v>244</v>
      </c>
      <c r="AX71" s="94">
        <f>SUMIFS(Свод!$BO$6:$BO$455,Свод!$G$6:$G$455,Расчеты!AX$1)</f>
        <v>2</v>
      </c>
      <c r="AY71" s="94">
        <f>SUMIFS(Свод!$BO$6:$BO$455,Свод!$G$6:$G$455,Расчеты!AY$1)</f>
        <v>0</v>
      </c>
      <c r="AZ71" s="94">
        <f>SUMIFS(Свод!$BO$6:$BO$455,Свод!$G$6:$G$455,Расчеты!AZ$1)</f>
        <v>53</v>
      </c>
      <c r="BA71" s="94">
        <f>SUMIFS(Свод!$BO$6:$BO$455,Свод!$G$6:$G$455,Расчеты!BA$1)</f>
        <v>1</v>
      </c>
      <c r="BB71" s="94">
        <f>SUMIFS(Свод!$BO$6:$BO$455,Свод!$G$6:$G$455,Расчеты!BB$1)</f>
        <v>140</v>
      </c>
      <c r="BC71" s="94">
        <f>SUMIFS(Свод!$BO$6:$BO$455,Свод!$G$6:$G$455,Расчеты!BC$1)</f>
        <v>0</v>
      </c>
      <c r="BD71" s="94">
        <f>SUMIFS(Свод!$BO$6:$BO$455,Свод!$G$6:$G$455,Расчеты!BD$1)</f>
        <v>2</v>
      </c>
      <c r="BE71" s="94">
        <f>SUMIFS(Свод!$BO$6:$BO$455,Свод!$G$6:$G$455,Расчеты!BE$1)</f>
        <v>25</v>
      </c>
      <c r="BF71" s="94">
        <f>SUMIFS(Свод!$BO$6:$BO$455,Свод!$G$6:$G$455,Расчеты!BF$1)</f>
        <v>0</v>
      </c>
      <c r="BG71" s="94">
        <f>SUMIFS(Свод!$BO$6:$BO$455,Свод!$G$6:$G$455,Расчеты!BG$1)</f>
        <v>0</v>
      </c>
      <c r="BH71" s="94">
        <f>SUMIFS(Свод!$BO$6:$BO$455,Свод!$G$6:$G$455,Расчеты!BH$1)</f>
        <v>15</v>
      </c>
      <c r="BI71" s="94">
        <f>SUMIFS(Свод!$BO$6:$BO$455,Свод!$G$6:$G$455,Расчеты!BI$1)</f>
        <v>3</v>
      </c>
      <c r="BJ71" s="94">
        <f>SUMIFS(Свод!$BO$6:$BO$455,Свод!$G$6:$G$455,Расчеты!BJ$1)</f>
        <v>4</v>
      </c>
      <c r="BK71" s="94">
        <f>SUMIFS(Свод!$BO$6:$BO$455,Свод!$G$6:$G$455,Расчеты!BK$1)</f>
        <v>276</v>
      </c>
      <c r="BL71" s="94">
        <f>SUMIFS(Свод!$BO$6:$BO$455,Свод!$G$6:$G$455,Расчеты!BL$1)</f>
        <v>271</v>
      </c>
      <c r="BM71" s="94">
        <f>SUMIFS(Свод!$BO$6:$BO$455,Свод!$G$6:$G$455,Расчеты!BM$1)</f>
        <v>24</v>
      </c>
      <c r="BN71" s="94">
        <f>SUMIFS(Свод!$BO$6:$BO$455,Свод!$G$6:$G$455,Расчеты!BN$1)</f>
        <v>0</v>
      </c>
      <c r="BO71" s="94">
        <f>SUMIFS(Свод!$BO$6:$BO$455,Свод!$G$6:$G$455,Расчеты!BO$1)</f>
        <v>70</v>
      </c>
      <c r="BP71" s="94">
        <f>SUMIFS(Свод!$BO$6:$BO$455,Свод!$G$6:$G$455,Расчеты!BP$1)</f>
        <v>1</v>
      </c>
      <c r="BQ71" s="94">
        <f>SUMIFS(Свод!$BO$6:$BO$455,Свод!$G$6:$G$455,Расчеты!BQ$1)</f>
        <v>2</v>
      </c>
      <c r="BR71" s="94">
        <f>SUMIFS(Свод!$BO$6:$BO$455,Свод!$G$6:$G$455,Расчеты!BR$1)</f>
        <v>12</v>
      </c>
      <c r="BS71" s="94">
        <f>SUMIFS(Свод!$BO$6:$BO$455,Свод!$G$6:$G$455,Расчеты!BS$1)</f>
        <v>4</v>
      </c>
      <c r="BT71" s="94">
        <f>SUMIFS(Свод!$BO$6:$BO$455,Свод!$G$6:$G$455,Расчеты!BT$1)</f>
        <v>6</v>
      </c>
      <c r="BU71" s="94">
        <f>SUMIFS(Свод!$BO$6:$BO$455,Свод!$G$6:$G$455,Расчеты!BU$1)</f>
        <v>40</v>
      </c>
      <c r="BV71" s="94">
        <f>SUMIFS(Свод!$BO$6:$BO$455,Свод!$G$6:$G$455,Расчеты!BV$1)</f>
        <v>21</v>
      </c>
      <c r="BW71" s="94">
        <f>SUMIFS(Свод!$BO$6:$BO$455,Свод!$G$6:$G$455,Расчеты!BW$1)</f>
        <v>49</v>
      </c>
      <c r="BX71" s="94">
        <f>SUMIFS(Свод!$BO$6:$BO$455,Свод!$G$6:$G$455,Расчеты!BX$1)</f>
        <v>4</v>
      </c>
      <c r="BY71" s="94">
        <f>SUMIFS(Свод!$BO$6:$BO$455,Свод!$G$6:$G$455,Расчеты!BY$1)</f>
        <v>18</v>
      </c>
      <c r="BZ71" s="94">
        <f>SUMIFS(Свод!$BO$6:$BO$455,Свод!$G$6:$G$455,Расчеты!BZ$1)</f>
        <v>61</v>
      </c>
      <c r="CA71" s="94">
        <f>SUMIFS(Свод!$BO$6:$BO$455,Свод!$G$6:$G$455,Расчеты!CA$1)</f>
        <v>13</v>
      </c>
      <c r="CB71" s="94">
        <f>SUMIFS(Свод!$BO$6:$BO$455,Свод!$G$6:$G$455,Расчеты!CB$1)</f>
        <v>0</v>
      </c>
      <c r="CC71" s="94">
        <f>SUMIFS(Свод!$BO$6:$BO$455,Свод!$G$6:$G$455,Расчеты!CC$1)</f>
        <v>10</v>
      </c>
      <c r="CD71" s="94">
        <f>SUMIFS(Свод!$BO$6:$BO$455,Свод!$G$6:$G$455,Расчеты!CD$1)</f>
        <v>0</v>
      </c>
      <c r="CE71" s="94">
        <f>SUMIFS(Свод!$BO$6:$BO$455,Свод!$G$6:$G$455,Расчеты!CE$1)</f>
        <v>0</v>
      </c>
      <c r="CF71" s="94">
        <f>SUMIFS(Свод!$BO$6:$BO$455,Свод!$G$6:$G$455,Расчеты!CF$1)</f>
        <v>64</v>
      </c>
      <c r="CG71" s="94">
        <f>SUMIFS(Свод!$BO$6:$BO$455,Свод!$G$6:$G$455,Расчеты!CG$1)</f>
        <v>219</v>
      </c>
      <c r="CH71" s="94">
        <f>SUMIFS(Свод!$BO$6:$BO$455,Свод!$G$6:$G$455,Расчеты!CH$1)</f>
        <v>1154</v>
      </c>
      <c r="CI71" s="94">
        <f>SUMIFS(Свод!$BO$6:$BO$455,Свод!$G$6:$G$455,Расчеты!CI$1)</f>
        <v>24</v>
      </c>
      <c r="CJ71" s="94">
        <f>SUMIFS(Свод!$BO$6:$BO$455,Свод!$G$6:$G$455,Расчеты!CJ$1)</f>
        <v>4</v>
      </c>
      <c r="CK71" s="94">
        <f>SUMIFS(Свод!$BO$6:$BO$455,Свод!$G$6:$G$455,Расчеты!CK$1)</f>
        <v>83</v>
      </c>
      <c r="CL71" s="94">
        <f>SUMIFS(Свод!$BO$6:$BO$455,Свод!$G$6:$G$455,Расчеты!CL$1)</f>
        <v>0</v>
      </c>
      <c r="CM71" s="94">
        <f>SUMIFS(Свод!$BO$6:$BO$455,Свод!$G$6:$G$455,Расчеты!CM$1)</f>
        <v>1</v>
      </c>
      <c r="CN71" s="94">
        <f>SUMIFS(Свод!$BO$6:$BO$455,Свод!$G$6:$G$455,Расчеты!CN$1)</f>
        <v>43</v>
      </c>
      <c r="CO71" s="94">
        <f>SUMIFS(Свод!$BO$6:$BO$455,Свод!$G$6:$G$455,Расчеты!CO$1)</f>
        <v>12</v>
      </c>
      <c r="CP71" s="94">
        <f>SUMIFS(Свод!$BO$6:$BO$455,Свод!$G$6:$G$455,Расчеты!CP$1)</f>
        <v>65</v>
      </c>
      <c r="CQ71" s="94">
        <f>SUMIFS(Свод!$BO$6:$BO$455,Свод!$G$6:$G$455,Расчеты!CQ$1)</f>
        <v>0</v>
      </c>
      <c r="CR71" s="94">
        <f>SUMIFS(Свод!$BO$6:$BO$455,Свод!$G$6:$G$455,Расчеты!CR$1)</f>
        <v>17</v>
      </c>
      <c r="CS71" s="94">
        <f>SUMIFS(Свод!$BO$6:$BO$455,Свод!$G$6:$G$455,Расчеты!CS$1)</f>
        <v>97</v>
      </c>
      <c r="CT71" s="94">
        <f>SUMIFS(Свод!$BO$6:$BO$455,Свод!$G$6:$G$455,Расчеты!CT$1)</f>
        <v>2</v>
      </c>
      <c r="CU71" s="94">
        <f>SUMIFS(Свод!$BO$6:$BO$455,Свод!$G$6:$G$455,Расчеты!CU$1)</f>
        <v>385</v>
      </c>
      <c r="CV71" s="94">
        <f>SUMIFS(Свод!$BO$6:$BO$455,Свод!$G$6:$G$455,Расчеты!CV$1)</f>
        <v>1</v>
      </c>
      <c r="CW71" s="94">
        <f>SUMIFS(Свод!$BO$6:$BO$455,Свод!$G$6:$G$455,Расчеты!CW$1)</f>
        <v>15</v>
      </c>
      <c r="CX71" s="94">
        <f>SUMIFS(Свод!$BO$6:$BO$455,Свод!$G$6:$G$455,Расчеты!CX$1)</f>
        <v>0</v>
      </c>
    </row>
    <row r="72" spans="1:102" ht="17" x14ac:dyDescent="0.2">
      <c r="A72" s="1238"/>
      <c r="B72" s="1237"/>
      <c r="C72" s="97" t="s">
        <v>8886</v>
      </c>
      <c r="D72" s="97">
        <v>55</v>
      </c>
      <c r="E72" s="502" t="s">
        <v>9026</v>
      </c>
      <c r="F72" s="1237"/>
      <c r="G72" s="513" t="s">
        <v>64</v>
      </c>
      <c r="H72" s="513"/>
      <c r="I72" s="97"/>
      <c r="J72" s="97"/>
      <c r="K72" s="97" t="s">
        <v>479</v>
      </c>
      <c r="L72" s="97">
        <v>0.13041023710952201</v>
      </c>
      <c r="M72" s="97">
        <v>0.15128055570284746</v>
      </c>
      <c r="N72" s="572">
        <v>0.1505425575752026</v>
      </c>
      <c r="P72" s="573">
        <v>0.16497217833344782</v>
      </c>
      <c r="Q72" s="94">
        <f>Q71/Q117</f>
        <v>0.15763848694290286</v>
      </c>
    </row>
    <row r="73" spans="1:102" ht="34" x14ac:dyDescent="0.2">
      <c r="A73" s="1238"/>
      <c r="B73" s="1237"/>
      <c r="C73" s="97" t="s">
        <v>8886</v>
      </c>
      <c r="D73" s="97">
        <v>56</v>
      </c>
      <c r="E73" s="502" t="s">
        <v>9027</v>
      </c>
      <c r="F73" s="1237" t="s">
        <v>9028</v>
      </c>
      <c r="G73" s="513" t="s">
        <v>9022</v>
      </c>
      <c r="H73" s="513"/>
      <c r="I73" s="97"/>
      <c r="J73" s="97"/>
      <c r="K73" s="97"/>
      <c r="L73" s="97">
        <v>1145</v>
      </c>
      <c r="M73" s="97">
        <v>1576</v>
      </c>
      <c r="N73" s="99">
        <v>1318</v>
      </c>
      <c r="O73" s="94">
        <v>1120</v>
      </c>
      <c r="P73" s="94">
        <v>1666</v>
      </c>
      <c r="Q73" s="94">
        <f t="shared" si="26"/>
        <v>1581</v>
      </c>
      <c r="R73" s="94">
        <f>SUMIFS(Свод!$BP$6:$BP$455,Свод!$G$6:$G$455,Расчеты!R$1)</f>
        <v>0</v>
      </c>
      <c r="S73" s="94">
        <f>SUMIFS(Свод!$BP$6:$BP$455,Свод!$G$6:$G$455,Расчеты!S$1)</f>
        <v>1</v>
      </c>
      <c r="T73" s="94">
        <f>SUMIFS(Свод!$BP$6:$BP$455,Свод!$G$6:$G$455,Расчеты!T$1)</f>
        <v>52</v>
      </c>
      <c r="U73" s="94">
        <f>SUMIFS(Свод!$BP$6:$BP$455,Свод!$G$6:$G$455,Расчеты!U$1)</f>
        <v>14</v>
      </c>
      <c r="V73" s="94">
        <f>SUMIFS(Свод!$BP$6:$BP$455,Свод!$G$6:$G$455,Расчеты!V$1)</f>
        <v>3</v>
      </c>
      <c r="W73" s="94">
        <f>SUMIFS(Свод!$BP$6:$BP$455,Свод!$G$6:$G$455,Расчеты!W$1)</f>
        <v>1</v>
      </c>
      <c r="X73" s="94">
        <f>SUMIFS(Свод!$BP$6:$BP$455,Свод!$G$6:$G$455,Расчеты!X$1)</f>
        <v>112</v>
      </c>
      <c r="Y73" s="94">
        <f>SUMIFS(Свод!$BP$6:$BP$455,Свод!$G$6:$G$455,Расчеты!Y$1)</f>
        <v>63</v>
      </c>
      <c r="Z73" s="94">
        <f>SUMIFS(Свод!$BP$6:$BP$455,Свод!$G$6:$G$455,Расчеты!Z$1)</f>
        <v>11</v>
      </c>
      <c r="AA73" s="94">
        <f>SUMIFS(Свод!$BP$6:$BP$455,Свод!$G$6:$G$455,Расчеты!AA$1)</f>
        <v>9</v>
      </c>
      <c r="AB73" s="94">
        <f>SUMIFS(Свод!$BP$6:$BP$455,Свод!$G$6:$G$455,Расчеты!AB$1)</f>
        <v>22</v>
      </c>
      <c r="AC73" s="94">
        <f>SUMIFS(Свод!$BP$6:$BP$455,Свод!$G$6:$G$455,Расчеты!AC$1)</f>
        <v>0</v>
      </c>
      <c r="AD73" s="94">
        <f>SUMIFS(Свод!$BP$6:$BP$455,Свод!$G$6:$G$455,Расчеты!AD$1)</f>
        <v>99</v>
      </c>
      <c r="AE73" s="94">
        <f>SUMIFS(Свод!$BP$6:$BP$455,Свод!$G$6:$G$455,Расчеты!AE$1)</f>
        <v>8</v>
      </c>
      <c r="AF73" s="94">
        <f>SUMIFS(Свод!$BP$6:$BP$455,Свод!$G$6:$G$455,Расчеты!AF$1)</f>
        <v>7</v>
      </c>
      <c r="AG73" s="94">
        <f>SUMIFS(Свод!$BP$6:$BP$455,Свод!$G$6:$G$455,Расчеты!AG$1)</f>
        <v>0</v>
      </c>
      <c r="AH73" s="94">
        <f>SUMIFS(Свод!$BP$6:$BP$455,Свод!$G$6:$G$455,Расчеты!AH$1)</f>
        <v>0</v>
      </c>
      <c r="AI73" s="94">
        <f>SUMIFS(Свод!$BP$6:$BP$455,Свод!$G$6:$G$455,Расчеты!AI$1)</f>
        <v>0</v>
      </c>
      <c r="AJ73" s="94">
        <f>SUMIFS(Свод!$BP$6:$BP$455,Свод!$G$6:$G$455,Расчеты!AJ$1)</f>
        <v>0</v>
      </c>
      <c r="AK73" s="94">
        <f>SUMIFS(Свод!$BP$6:$BP$455,Свод!$G$6:$G$455,Расчеты!AK$1)</f>
        <v>89</v>
      </c>
      <c r="AL73" s="94">
        <f>SUMIFS(Свод!$BP$6:$BP$455,Свод!$G$6:$G$455,Расчеты!AL$1)</f>
        <v>0</v>
      </c>
      <c r="AM73" s="94">
        <f>SUMIFS(Свод!$BP$6:$BP$455,Свод!$G$6:$G$455,Расчеты!AM$1)</f>
        <v>60</v>
      </c>
      <c r="AN73" s="94">
        <f>SUMIFS(Свод!$BP$6:$BP$455,Свод!$G$6:$G$455,Расчеты!AN$1)</f>
        <v>0</v>
      </c>
      <c r="AO73" s="94">
        <f>SUMIFS(Свод!$BP$6:$BP$455,Свод!$G$6:$G$455,Расчеты!AO$1)</f>
        <v>41</v>
      </c>
      <c r="AP73" s="94">
        <f>SUMIFS(Свод!$BP$6:$BP$455,Свод!$G$6:$G$455,Расчеты!AP$1)</f>
        <v>0</v>
      </c>
      <c r="AQ73" s="94">
        <f>SUMIFS(Свод!$BP$6:$BP$455,Свод!$G$6:$G$455,Расчеты!AQ$1)</f>
        <v>0</v>
      </c>
      <c r="AR73" s="94">
        <f>SUMIFS(Свод!$BP$6:$BP$455,Свод!$G$6:$G$455,Расчеты!AR$1)</f>
        <v>19</v>
      </c>
      <c r="AS73" s="94">
        <f>SUMIFS(Свод!$BP$6:$BP$455,Свод!$G$6:$G$455,Расчеты!AS$1)</f>
        <v>0</v>
      </c>
      <c r="AT73" s="94">
        <f>SUMIFS(Свод!$BP$6:$BP$455,Свод!$G$6:$G$455,Расчеты!AT$1)</f>
        <v>19</v>
      </c>
      <c r="AU73" s="94">
        <f>SUMIFS(Свод!$BP$6:$BP$455,Свод!$G$6:$G$455,Расчеты!AU$1)</f>
        <v>36</v>
      </c>
      <c r="AV73" s="94">
        <f>SUMIFS(Свод!$BP$6:$BP$455,Свод!$G$6:$G$455,Расчеты!AV$1)</f>
        <v>2</v>
      </c>
      <c r="AW73" s="94">
        <f>SUMIFS(Свод!$BP$6:$BP$455,Свод!$G$6:$G$455,Расчеты!AW$1)</f>
        <v>49</v>
      </c>
      <c r="AX73" s="94">
        <f>SUMIFS(Свод!$BP$6:$BP$455,Свод!$G$6:$G$455,Расчеты!AX$1)</f>
        <v>34</v>
      </c>
      <c r="AY73" s="94">
        <f>SUMIFS(Свод!$BP$6:$BP$455,Свод!$G$6:$G$455,Расчеты!AY$1)</f>
        <v>0</v>
      </c>
      <c r="AZ73" s="94">
        <f>SUMIFS(Свод!$BP$6:$BP$455,Свод!$G$6:$G$455,Расчеты!AZ$1)</f>
        <v>3</v>
      </c>
      <c r="BA73" s="94">
        <f>SUMIFS(Свод!$BP$6:$BP$455,Свод!$G$6:$G$455,Расчеты!BA$1)</f>
        <v>23</v>
      </c>
      <c r="BB73" s="94">
        <f>SUMIFS(Свод!$BP$6:$BP$455,Свод!$G$6:$G$455,Расчеты!BB$1)</f>
        <v>48</v>
      </c>
      <c r="BC73" s="94">
        <f>SUMIFS(Свод!$BP$6:$BP$455,Свод!$G$6:$G$455,Расчеты!BC$1)</f>
        <v>0</v>
      </c>
      <c r="BD73" s="94">
        <f>SUMIFS(Свод!$BP$6:$BP$455,Свод!$G$6:$G$455,Расчеты!BD$1)</f>
        <v>0</v>
      </c>
      <c r="BE73" s="94">
        <f>SUMIFS(Свод!$BP$6:$BP$455,Свод!$G$6:$G$455,Расчеты!BE$1)</f>
        <v>25</v>
      </c>
      <c r="BF73" s="94">
        <f>SUMIFS(Свод!$BP$6:$BP$455,Свод!$G$6:$G$455,Расчеты!BF$1)</f>
        <v>0</v>
      </c>
      <c r="BG73" s="94">
        <f>SUMIFS(Свод!$BP$6:$BP$455,Свод!$G$6:$G$455,Расчеты!BG$1)</f>
        <v>0</v>
      </c>
      <c r="BH73" s="94">
        <f>SUMIFS(Свод!$BP$6:$BP$455,Свод!$G$6:$G$455,Расчеты!BH$1)</f>
        <v>5</v>
      </c>
      <c r="BI73" s="94">
        <f>SUMIFS(Свод!$BP$6:$BP$455,Свод!$G$6:$G$455,Расчеты!BI$1)</f>
        <v>1</v>
      </c>
      <c r="BJ73" s="94">
        <f>SUMIFS(Свод!$BP$6:$BP$455,Свод!$G$6:$G$455,Расчеты!BJ$1)</f>
        <v>0</v>
      </c>
      <c r="BK73" s="94">
        <f>SUMIFS(Свод!$BP$6:$BP$455,Свод!$G$6:$G$455,Расчеты!BK$1)</f>
        <v>13</v>
      </c>
      <c r="BL73" s="94">
        <f>SUMIFS(Свод!$BP$6:$BP$455,Свод!$G$6:$G$455,Расчеты!BL$1)</f>
        <v>14</v>
      </c>
      <c r="BM73" s="94">
        <f>SUMIFS(Свод!$BP$6:$BP$455,Свод!$G$6:$G$455,Расчеты!BM$1)</f>
        <v>12</v>
      </c>
      <c r="BN73" s="94">
        <f>SUMIFS(Свод!$BP$6:$BP$455,Свод!$G$6:$G$455,Расчеты!BN$1)</f>
        <v>0</v>
      </c>
      <c r="BO73" s="94">
        <f>SUMIFS(Свод!$BP$6:$BP$455,Свод!$G$6:$G$455,Расчеты!BO$1)</f>
        <v>8</v>
      </c>
      <c r="BP73" s="94">
        <f>SUMIFS(Свод!$BP$6:$BP$455,Свод!$G$6:$G$455,Расчеты!BP$1)</f>
        <v>0</v>
      </c>
      <c r="BQ73" s="94">
        <f>SUMIFS(Свод!$BP$6:$BP$455,Свод!$G$6:$G$455,Расчеты!BQ$1)</f>
        <v>0</v>
      </c>
      <c r="BR73" s="94">
        <f>SUMIFS(Свод!$BP$6:$BP$455,Свод!$G$6:$G$455,Расчеты!BR$1)</f>
        <v>1</v>
      </c>
      <c r="BS73" s="94">
        <f>SUMIFS(Свод!$BP$6:$BP$455,Свод!$G$6:$G$455,Расчеты!BS$1)</f>
        <v>7</v>
      </c>
      <c r="BT73" s="94">
        <f>SUMIFS(Свод!$BP$6:$BP$455,Свод!$G$6:$G$455,Расчеты!BT$1)</f>
        <v>16</v>
      </c>
      <c r="BU73" s="94">
        <f>SUMIFS(Свод!$BP$6:$BP$455,Свод!$G$6:$G$455,Расчеты!BU$1)</f>
        <v>4</v>
      </c>
      <c r="BV73" s="94">
        <f>SUMIFS(Свод!$BP$6:$BP$455,Свод!$G$6:$G$455,Расчеты!BV$1)</f>
        <v>3</v>
      </c>
      <c r="BW73" s="94">
        <f>SUMIFS(Свод!$BP$6:$BP$455,Свод!$G$6:$G$455,Расчеты!BW$1)</f>
        <v>7</v>
      </c>
      <c r="BX73" s="94">
        <f>SUMIFS(Свод!$BP$6:$BP$455,Свод!$G$6:$G$455,Расчеты!BX$1)</f>
        <v>0</v>
      </c>
      <c r="BY73" s="94">
        <f>SUMIFS(Свод!$BP$6:$BP$455,Свод!$G$6:$G$455,Расчеты!BY$1)</f>
        <v>14</v>
      </c>
      <c r="BZ73" s="94">
        <f>SUMIFS(Свод!$BP$6:$BP$455,Свод!$G$6:$G$455,Расчеты!BZ$1)</f>
        <v>32</v>
      </c>
      <c r="CA73" s="94">
        <f>SUMIFS(Свод!$BP$6:$BP$455,Свод!$G$6:$G$455,Расчеты!CA$1)</f>
        <v>5</v>
      </c>
      <c r="CB73" s="94">
        <f>SUMIFS(Свод!$BP$6:$BP$455,Свод!$G$6:$G$455,Расчеты!CB$1)</f>
        <v>0</v>
      </c>
      <c r="CC73" s="94">
        <f>SUMIFS(Свод!$BP$6:$BP$455,Свод!$G$6:$G$455,Расчеты!CC$1)</f>
        <v>0</v>
      </c>
      <c r="CD73" s="94">
        <f>SUMIFS(Свод!$BP$6:$BP$455,Свод!$G$6:$G$455,Расчеты!CD$1)</f>
        <v>0</v>
      </c>
      <c r="CE73" s="94">
        <f>SUMIFS(Свод!$BP$6:$BP$455,Свод!$G$6:$G$455,Расчеты!CE$1)</f>
        <v>1</v>
      </c>
      <c r="CF73" s="94">
        <f>SUMIFS(Свод!$BP$6:$BP$455,Свод!$G$6:$G$455,Расчеты!CF$1)</f>
        <v>9</v>
      </c>
      <c r="CG73" s="94">
        <f>SUMIFS(Свод!$BP$6:$BP$455,Свод!$G$6:$G$455,Расчеты!CG$1)</f>
        <v>50</v>
      </c>
      <c r="CH73" s="94">
        <f>SUMIFS(Свод!$BP$6:$BP$455,Свод!$G$6:$G$455,Расчеты!CH$1)</f>
        <v>400</v>
      </c>
      <c r="CI73" s="94">
        <f>SUMIFS(Свод!$BP$6:$BP$455,Свод!$G$6:$G$455,Расчеты!CI$1)</f>
        <v>21</v>
      </c>
      <c r="CJ73" s="94">
        <f>SUMIFS(Свод!$BP$6:$BP$455,Свод!$G$6:$G$455,Расчеты!CJ$1)</f>
        <v>5</v>
      </c>
      <c r="CK73" s="94">
        <f>SUMIFS(Свод!$BP$6:$BP$455,Свод!$G$6:$G$455,Расчеты!CK$1)</f>
        <v>3</v>
      </c>
      <c r="CL73" s="94">
        <f>SUMIFS(Свод!$BP$6:$BP$455,Свод!$G$6:$G$455,Расчеты!CL$1)</f>
        <v>0</v>
      </c>
      <c r="CM73" s="94">
        <f>SUMIFS(Свод!$BP$6:$BP$455,Свод!$G$6:$G$455,Расчеты!CM$1)</f>
        <v>0</v>
      </c>
      <c r="CN73" s="94">
        <f>SUMIFS(Свод!$BP$6:$BP$455,Свод!$G$6:$G$455,Расчеты!CN$1)</f>
        <v>3</v>
      </c>
      <c r="CO73" s="94">
        <f>SUMIFS(Свод!$BP$6:$BP$455,Свод!$G$6:$G$455,Расчеты!CO$1)</f>
        <v>20</v>
      </c>
      <c r="CP73" s="94">
        <f>SUMIFS(Свод!$BP$6:$BP$455,Свод!$G$6:$G$455,Расчеты!CP$1)</f>
        <v>46</v>
      </c>
      <c r="CQ73" s="94">
        <f>SUMIFS(Свод!$BP$6:$BP$455,Свод!$G$6:$G$455,Расчеты!CQ$1)</f>
        <v>0</v>
      </c>
      <c r="CR73" s="94">
        <f>SUMIFS(Свод!$BP$6:$BP$455,Свод!$G$6:$G$455,Расчеты!CR$1)</f>
        <v>4</v>
      </c>
      <c r="CS73" s="94">
        <f>SUMIFS(Свод!$BP$6:$BP$455,Свод!$G$6:$G$455,Расчеты!CS$1)</f>
        <v>20</v>
      </c>
      <c r="CT73" s="94">
        <f>SUMIFS(Свод!$BP$6:$BP$455,Свод!$G$6:$G$455,Расчеты!CT$1)</f>
        <v>0</v>
      </c>
      <c r="CU73" s="94">
        <f>SUMIFS(Свод!$BP$6:$BP$455,Свод!$G$6:$G$455,Расчеты!CU$1)</f>
        <v>1</v>
      </c>
      <c r="CV73" s="94">
        <f>SUMIFS(Свод!$BP$6:$BP$455,Свод!$G$6:$G$455,Расчеты!CV$1)</f>
        <v>1</v>
      </c>
      <c r="CW73" s="94">
        <f>SUMIFS(Свод!$BP$6:$BP$455,Свод!$G$6:$G$455,Расчеты!CW$1)</f>
        <v>0</v>
      </c>
      <c r="CX73" s="94">
        <f>SUMIFS(Свод!$BP$6:$BP$455,Свод!$G$6:$G$455,Расчеты!CX$1)</f>
        <v>5</v>
      </c>
    </row>
    <row r="74" spans="1:102" ht="17" x14ac:dyDescent="0.2">
      <c r="A74" s="1238"/>
      <c r="B74" s="1237"/>
      <c r="C74" s="97" t="s">
        <v>8886</v>
      </c>
      <c r="D74" s="97">
        <v>57</v>
      </c>
      <c r="E74" s="502" t="s">
        <v>9029</v>
      </c>
      <c r="F74" s="1237"/>
      <c r="G74" s="513" t="s">
        <v>64</v>
      </c>
      <c r="H74" s="513"/>
      <c r="I74" s="97"/>
      <c r="J74" s="97"/>
      <c r="K74" s="97" t="s">
        <v>479</v>
      </c>
      <c r="L74" s="97">
        <v>7.182285785974156E-2</v>
      </c>
      <c r="M74" s="97">
        <v>8.356752744047935E-2</v>
      </c>
      <c r="N74" s="572">
        <v>6.0345222288356759E-2</v>
      </c>
      <c r="P74" s="573">
        <v>5.7223328982620045E-2</v>
      </c>
      <c r="Q74" s="94">
        <f>Q73/Q117</f>
        <v>5.3828606448537673E-2</v>
      </c>
    </row>
    <row r="75" spans="1:102" ht="34" x14ac:dyDescent="0.2">
      <c r="A75" s="1238"/>
      <c r="B75" s="1237"/>
      <c r="C75" s="97" t="s">
        <v>8886</v>
      </c>
      <c r="D75" s="97">
        <v>58</v>
      </c>
      <c r="E75" s="502" t="s">
        <v>9030</v>
      </c>
      <c r="F75" s="1237" t="s">
        <v>9031</v>
      </c>
      <c r="G75" s="513" t="s">
        <v>9022</v>
      </c>
      <c r="H75" s="513"/>
      <c r="I75" s="97"/>
      <c r="J75" s="97"/>
      <c r="K75" s="97"/>
      <c r="L75" s="97">
        <v>436</v>
      </c>
      <c r="M75" s="97">
        <v>503</v>
      </c>
      <c r="N75" s="99">
        <v>570</v>
      </c>
      <c r="O75" s="94">
        <v>466</v>
      </c>
      <c r="P75" s="94">
        <v>622</v>
      </c>
      <c r="Q75" s="94">
        <f t="shared" si="26"/>
        <v>627</v>
      </c>
      <c r="R75" s="94">
        <f>SUMIFS(Свод!$BQ$6:$BQ$455,Свод!$G$6:$G$455,Расчеты!R$1)</f>
        <v>0</v>
      </c>
      <c r="S75" s="94">
        <f>SUMIFS(Свод!$BQ$6:$BQ$455,Свод!$G$6:$G$455,Расчеты!S$1)</f>
        <v>0</v>
      </c>
      <c r="T75" s="94">
        <f>SUMIFS(Свод!$BQ$6:$BQ$455,Свод!$G$6:$G$455,Расчеты!T$1)</f>
        <v>0</v>
      </c>
      <c r="U75" s="94">
        <f>SUMIFS(Свод!$BQ$6:$BQ$455,Свод!$G$6:$G$455,Расчеты!U$1)</f>
        <v>0</v>
      </c>
      <c r="V75" s="94">
        <f>SUMIFS(Свод!$BQ$6:$BQ$455,Свод!$G$6:$G$455,Расчеты!V$1)</f>
        <v>0</v>
      </c>
      <c r="W75" s="94">
        <f>SUMIFS(Свод!$BQ$6:$BQ$455,Свод!$G$6:$G$455,Расчеты!W$1)</f>
        <v>1</v>
      </c>
      <c r="X75" s="94">
        <f>SUMIFS(Свод!$BQ$6:$BQ$455,Свод!$G$6:$G$455,Расчеты!X$1)</f>
        <v>47</v>
      </c>
      <c r="Y75" s="94">
        <f>SUMIFS(Свод!$BQ$6:$BQ$455,Свод!$G$6:$G$455,Расчеты!Y$1)</f>
        <v>2</v>
      </c>
      <c r="Z75" s="94">
        <f>SUMIFS(Свод!$BQ$6:$BQ$455,Свод!$G$6:$G$455,Расчеты!Z$1)</f>
        <v>0</v>
      </c>
      <c r="AA75" s="94">
        <f>SUMIFS(Свод!$BQ$6:$BQ$455,Свод!$G$6:$G$455,Расчеты!AA$1)</f>
        <v>0</v>
      </c>
      <c r="AB75" s="94">
        <f>SUMIFS(Свод!$BQ$6:$BQ$455,Свод!$G$6:$G$455,Расчеты!AB$1)</f>
        <v>0</v>
      </c>
      <c r="AC75" s="94">
        <f>SUMIFS(Свод!$BQ$6:$BQ$455,Свод!$G$6:$G$455,Расчеты!AC$1)</f>
        <v>0</v>
      </c>
      <c r="AD75" s="94">
        <f>SUMIFS(Свод!$BQ$6:$BQ$455,Свод!$G$6:$G$455,Расчеты!AD$1)</f>
        <v>2</v>
      </c>
      <c r="AE75" s="94">
        <f>SUMIFS(Свод!$BQ$6:$BQ$455,Свод!$G$6:$G$455,Расчеты!AE$1)</f>
        <v>0</v>
      </c>
      <c r="AF75" s="94">
        <f>SUMIFS(Свод!$BQ$6:$BQ$455,Свод!$G$6:$G$455,Расчеты!AF$1)</f>
        <v>3</v>
      </c>
      <c r="AG75" s="94">
        <f>SUMIFS(Свод!$BQ$6:$BQ$455,Свод!$G$6:$G$455,Расчеты!AG$1)</f>
        <v>0</v>
      </c>
      <c r="AH75" s="94">
        <f>SUMIFS(Свод!$BQ$6:$BQ$455,Свод!$G$6:$G$455,Расчеты!AH$1)</f>
        <v>2</v>
      </c>
      <c r="AI75" s="94">
        <f>SUMIFS(Свод!$BQ$6:$BQ$455,Свод!$G$6:$G$455,Расчеты!AI$1)</f>
        <v>0</v>
      </c>
      <c r="AJ75" s="94">
        <f>SUMIFS(Свод!$BQ$6:$BQ$455,Свод!$G$6:$G$455,Расчеты!AJ$1)</f>
        <v>0</v>
      </c>
      <c r="AK75" s="94">
        <f>SUMIFS(Свод!$BQ$6:$BQ$455,Свод!$G$6:$G$455,Расчеты!AK$1)</f>
        <v>59</v>
      </c>
      <c r="AL75" s="94">
        <f>SUMIFS(Свод!$BQ$6:$BQ$455,Свод!$G$6:$G$455,Расчеты!AL$1)</f>
        <v>0</v>
      </c>
      <c r="AM75" s="94">
        <f>SUMIFS(Свод!$BQ$6:$BQ$455,Свод!$G$6:$G$455,Расчеты!AM$1)</f>
        <v>8</v>
      </c>
      <c r="AN75" s="94">
        <f>SUMIFS(Свод!$BQ$6:$BQ$455,Свод!$G$6:$G$455,Расчеты!AN$1)</f>
        <v>0</v>
      </c>
      <c r="AO75" s="94">
        <f>SUMIFS(Свод!$BQ$6:$BQ$455,Свод!$G$6:$G$455,Расчеты!AO$1)</f>
        <v>0</v>
      </c>
      <c r="AP75" s="94">
        <f>SUMIFS(Свод!$BQ$6:$BQ$455,Свод!$G$6:$G$455,Расчеты!AP$1)</f>
        <v>0</v>
      </c>
      <c r="AQ75" s="94">
        <f>SUMIFS(Свод!$BQ$6:$BQ$455,Свод!$G$6:$G$455,Расчеты!AQ$1)</f>
        <v>0</v>
      </c>
      <c r="AR75" s="94">
        <f>SUMIFS(Свод!$BQ$6:$BQ$455,Свод!$G$6:$G$455,Расчеты!AR$1)</f>
        <v>6</v>
      </c>
      <c r="AS75" s="94">
        <f>SUMIFS(Свод!$BQ$6:$BQ$455,Свод!$G$6:$G$455,Расчеты!AS$1)</f>
        <v>0</v>
      </c>
      <c r="AT75" s="94">
        <f>SUMIFS(Свод!$BQ$6:$BQ$455,Свод!$G$6:$G$455,Расчеты!AT$1)</f>
        <v>8</v>
      </c>
      <c r="AU75" s="94">
        <f>SUMIFS(Свод!$BQ$6:$BQ$455,Свод!$G$6:$G$455,Расчеты!AU$1)</f>
        <v>17</v>
      </c>
      <c r="AV75" s="94">
        <f>SUMIFS(Свод!$BQ$6:$BQ$455,Свод!$G$6:$G$455,Расчеты!AV$1)</f>
        <v>0</v>
      </c>
      <c r="AW75" s="94">
        <f>SUMIFS(Свод!$BQ$6:$BQ$455,Свод!$G$6:$G$455,Расчеты!AW$1)</f>
        <v>3</v>
      </c>
      <c r="AX75" s="94">
        <f>SUMIFS(Свод!$BQ$6:$BQ$455,Свод!$G$6:$G$455,Расчеты!AX$1)</f>
        <v>2</v>
      </c>
      <c r="AY75" s="94">
        <f>SUMIFS(Свод!$BQ$6:$BQ$455,Свод!$G$6:$G$455,Расчеты!AY$1)</f>
        <v>0</v>
      </c>
      <c r="AZ75" s="94">
        <f>SUMIFS(Свод!$BQ$6:$BQ$455,Свод!$G$6:$G$455,Расчеты!AZ$1)</f>
        <v>0</v>
      </c>
      <c r="BA75" s="94">
        <f>SUMIFS(Свод!$BQ$6:$BQ$455,Свод!$G$6:$G$455,Расчеты!BA$1)</f>
        <v>0</v>
      </c>
      <c r="BB75" s="94">
        <f>SUMIFS(Свод!$BQ$6:$BQ$455,Свод!$G$6:$G$455,Расчеты!BB$1)</f>
        <v>34</v>
      </c>
      <c r="BC75" s="94">
        <f>SUMIFS(Свод!$BQ$6:$BQ$455,Свод!$G$6:$G$455,Расчеты!BC$1)</f>
        <v>0</v>
      </c>
      <c r="BD75" s="94">
        <f>SUMIFS(Свод!$BQ$6:$BQ$455,Свод!$G$6:$G$455,Расчеты!BD$1)</f>
        <v>0</v>
      </c>
      <c r="BE75" s="94">
        <f>SUMIFS(Свод!$BQ$6:$BQ$455,Свод!$G$6:$G$455,Расчеты!BE$1)</f>
        <v>5</v>
      </c>
      <c r="BF75" s="94">
        <f>SUMIFS(Свод!$BQ$6:$BQ$455,Свод!$G$6:$G$455,Расчеты!BF$1)</f>
        <v>0</v>
      </c>
      <c r="BG75" s="94">
        <f>SUMIFS(Свод!$BQ$6:$BQ$455,Свод!$G$6:$G$455,Расчеты!BG$1)</f>
        <v>0</v>
      </c>
      <c r="BH75" s="94">
        <f>SUMIFS(Свод!$BQ$6:$BQ$455,Свод!$G$6:$G$455,Расчеты!BH$1)</f>
        <v>8</v>
      </c>
      <c r="BI75" s="94">
        <f>SUMIFS(Свод!$BQ$6:$BQ$455,Свод!$G$6:$G$455,Расчеты!BI$1)</f>
        <v>0</v>
      </c>
      <c r="BJ75" s="94">
        <f>SUMIFS(Свод!$BQ$6:$BQ$455,Свод!$G$6:$G$455,Расчеты!BJ$1)</f>
        <v>0</v>
      </c>
      <c r="BK75" s="94">
        <f>SUMIFS(Свод!$BQ$6:$BQ$455,Свод!$G$6:$G$455,Расчеты!BK$1)</f>
        <v>1</v>
      </c>
      <c r="BL75" s="94">
        <f>SUMIFS(Свод!$BQ$6:$BQ$455,Свод!$G$6:$G$455,Расчеты!BL$1)</f>
        <v>7</v>
      </c>
      <c r="BM75" s="94">
        <f>SUMIFS(Свод!$BQ$6:$BQ$455,Свод!$G$6:$G$455,Расчеты!BM$1)</f>
        <v>3</v>
      </c>
      <c r="BN75" s="94">
        <f>SUMIFS(Свод!$BQ$6:$BQ$455,Свод!$G$6:$G$455,Расчеты!BN$1)</f>
        <v>0</v>
      </c>
      <c r="BO75" s="94">
        <f>SUMIFS(Свод!$BQ$6:$BQ$455,Свод!$G$6:$G$455,Расчеты!BO$1)</f>
        <v>2</v>
      </c>
      <c r="BP75" s="94">
        <f>SUMIFS(Свод!$BQ$6:$BQ$455,Свод!$G$6:$G$455,Расчеты!BP$1)</f>
        <v>0</v>
      </c>
      <c r="BQ75" s="94">
        <f>SUMIFS(Свод!$BQ$6:$BQ$455,Свод!$G$6:$G$455,Расчеты!BQ$1)</f>
        <v>0</v>
      </c>
      <c r="BR75" s="94">
        <f>SUMIFS(Свод!$BQ$6:$BQ$455,Свод!$G$6:$G$455,Расчеты!BR$1)</f>
        <v>0</v>
      </c>
      <c r="BS75" s="94">
        <f>SUMIFS(Свод!$BQ$6:$BQ$455,Свод!$G$6:$G$455,Расчеты!BS$1)</f>
        <v>0</v>
      </c>
      <c r="BT75" s="94">
        <f>SUMIFS(Свод!$BQ$6:$BQ$455,Свод!$G$6:$G$455,Расчеты!BT$1)</f>
        <v>2</v>
      </c>
      <c r="BU75" s="94">
        <f>SUMIFS(Свод!$BQ$6:$BQ$455,Свод!$G$6:$G$455,Расчеты!BU$1)</f>
        <v>1</v>
      </c>
      <c r="BV75" s="94">
        <f>SUMIFS(Свод!$BQ$6:$BQ$455,Свод!$G$6:$G$455,Расчеты!BV$1)</f>
        <v>2</v>
      </c>
      <c r="BW75" s="94">
        <f>SUMIFS(Свод!$BQ$6:$BQ$455,Свод!$G$6:$G$455,Расчеты!BW$1)</f>
        <v>1</v>
      </c>
      <c r="BX75" s="94">
        <f>SUMIFS(Свод!$BQ$6:$BQ$455,Свод!$G$6:$G$455,Расчеты!BX$1)</f>
        <v>0</v>
      </c>
      <c r="BY75" s="94">
        <f>SUMIFS(Свод!$BQ$6:$BQ$455,Свод!$G$6:$G$455,Расчеты!BY$1)</f>
        <v>3</v>
      </c>
      <c r="BZ75" s="94">
        <f>SUMIFS(Свод!$BQ$6:$BQ$455,Свод!$G$6:$G$455,Расчеты!BZ$1)</f>
        <v>54</v>
      </c>
      <c r="CA75" s="94">
        <f>SUMIFS(Свод!$BQ$6:$BQ$455,Свод!$G$6:$G$455,Расчеты!CA$1)</f>
        <v>0</v>
      </c>
      <c r="CB75" s="94">
        <f>SUMIFS(Свод!$BQ$6:$BQ$455,Свод!$G$6:$G$455,Расчеты!CB$1)</f>
        <v>0</v>
      </c>
      <c r="CC75" s="94">
        <f>SUMIFS(Свод!$BQ$6:$BQ$455,Свод!$G$6:$G$455,Расчеты!CC$1)</f>
        <v>0</v>
      </c>
      <c r="CD75" s="94">
        <f>SUMIFS(Свод!$BQ$6:$BQ$455,Свод!$G$6:$G$455,Расчеты!CD$1)</f>
        <v>0</v>
      </c>
      <c r="CE75" s="94">
        <f>SUMIFS(Свод!$BQ$6:$BQ$455,Свод!$G$6:$G$455,Расчеты!CE$1)</f>
        <v>0</v>
      </c>
      <c r="CF75" s="94">
        <f>SUMIFS(Свод!$BQ$6:$BQ$455,Свод!$G$6:$G$455,Расчеты!CF$1)</f>
        <v>1</v>
      </c>
      <c r="CG75" s="94">
        <f>SUMIFS(Свод!$BQ$6:$BQ$455,Свод!$G$6:$G$455,Расчеты!CG$1)</f>
        <v>0</v>
      </c>
      <c r="CH75" s="94">
        <f>SUMIFS(Свод!$BQ$6:$BQ$455,Свод!$G$6:$G$455,Расчеты!CH$1)</f>
        <v>240</v>
      </c>
      <c r="CI75" s="94">
        <f>SUMIFS(Свод!$BQ$6:$BQ$455,Свод!$G$6:$G$455,Расчеты!CI$1)</f>
        <v>1</v>
      </c>
      <c r="CJ75" s="94">
        <f>SUMIFS(Свод!$BQ$6:$BQ$455,Свод!$G$6:$G$455,Расчеты!CJ$1)</f>
        <v>0</v>
      </c>
      <c r="CK75" s="94">
        <f>SUMIFS(Свод!$BQ$6:$BQ$455,Свод!$G$6:$G$455,Расчеты!CK$1)</f>
        <v>0</v>
      </c>
      <c r="CL75" s="94">
        <f>SUMIFS(Свод!$BQ$6:$BQ$455,Свод!$G$6:$G$455,Расчеты!CL$1)</f>
        <v>0</v>
      </c>
      <c r="CM75" s="94">
        <f>SUMIFS(Свод!$BQ$6:$BQ$455,Свод!$G$6:$G$455,Расчеты!CM$1)</f>
        <v>0</v>
      </c>
      <c r="CN75" s="94">
        <f>SUMIFS(Свод!$BQ$6:$BQ$455,Свод!$G$6:$G$455,Расчеты!CN$1)</f>
        <v>0</v>
      </c>
      <c r="CO75" s="94">
        <f>SUMIFS(Свод!$BQ$6:$BQ$455,Свод!$G$6:$G$455,Расчеты!CO$1)</f>
        <v>0</v>
      </c>
      <c r="CP75" s="94">
        <f>SUMIFS(Свод!$BQ$6:$BQ$455,Свод!$G$6:$G$455,Расчеты!CP$1)</f>
        <v>0</v>
      </c>
      <c r="CQ75" s="94">
        <f>SUMIFS(Свод!$BQ$6:$BQ$455,Свод!$G$6:$G$455,Расчеты!CQ$1)</f>
        <v>0</v>
      </c>
      <c r="CR75" s="94">
        <f>SUMIFS(Свод!$BQ$6:$BQ$455,Свод!$G$6:$G$455,Расчеты!CR$1)</f>
        <v>2</v>
      </c>
      <c r="CS75" s="94">
        <f>SUMIFS(Свод!$BQ$6:$BQ$455,Свод!$G$6:$G$455,Расчеты!CS$1)</f>
        <v>8</v>
      </c>
      <c r="CT75" s="94">
        <f>SUMIFS(Свод!$BQ$6:$BQ$455,Свод!$G$6:$G$455,Расчеты!CT$1)</f>
        <v>0</v>
      </c>
      <c r="CU75" s="94">
        <f>SUMIFS(Свод!$BQ$6:$BQ$455,Свод!$G$6:$G$455,Расчеты!CU$1)</f>
        <v>87</v>
      </c>
      <c r="CV75" s="94">
        <f>SUMIFS(Свод!$BQ$6:$BQ$455,Свод!$G$6:$G$455,Расчеты!CV$1)</f>
        <v>0</v>
      </c>
      <c r="CW75" s="94">
        <f>SUMIFS(Свод!$BQ$6:$BQ$455,Свод!$G$6:$G$455,Расчеты!CW$1)</f>
        <v>0</v>
      </c>
      <c r="CX75" s="94">
        <f>SUMIFS(Свод!$BQ$6:$BQ$455,Свод!$G$6:$G$455,Расчеты!CX$1)</f>
        <v>5</v>
      </c>
    </row>
    <row r="76" spans="1:102" ht="17" x14ac:dyDescent="0.2">
      <c r="A76" s="1238"/>
      <c r="B76" s="1237"/>
      <c r="C76" s="97" t="s">
        <v>8886</v>
      </c>
      <c r="D76" s="97">
        <v>59</v>
      </c>
      <c r="E76" s="502" t="s">
        <v>9032</v>
      </c>
      <c r="F76" s="1237"/>
      <c r="G76" s="513" t="s">
        <v>64</v>
      </c>
      <c r="H76" s="513"/>
      <c r="I76" s="97"/>
      <c r="J76" s="97"/>
      <c r="K76" s="97" t="s">
        <v>479</v>
      </c>
      <c r="L76" s="97">
        <v>2.7349140634801154E-2</v>
      </c>
      <c r="M76" s="97">
        <v>2.6671615674213903E-2</v>
      </c>
      <c r="N76" s="572">
        <v>2.6097706148985853E-2</v>
      </c>
      <c r="P76" s="573">
        <v>2.136429209315106E-2</v>
      </c>
      <c r="Q76" s="94">
        <f>Q75/Q117</f>
        <v>2.134758775663069E-2</v>
      </c>
    </row>
    <row r="77" spans="1:102" ht="34" x14ac:dyDescent="0.2">
      <c r="A77" s="1238"/>
      <c r="B77" s="1237"/>
      <c r="C77" s="97" t="s">
        <v>8886</v>
      </c>
      <c r="D77" s="97">
        <v>60</v>
      </c>
      <c r="E77" s="502" t="s">
        <v>9033</v>
      </c>
      <c r="F77" s="1237" t="s">
        <v>9034</v>
      </c>
      <c r="G77" s="513" t="s">
        <v>9022</v>
      </c>
      <c r="H77" s="513"/>
      <c r="I77" s="97"/>
      <c r="J77" s="97"/>
      <c r="K77" s="97"/>
      <c r="L77" s="97">
        <v>36</v>
      </c>
      <c r="M77" s="97">
        <v>18</v>
      </c>
      <c r="N77" s="99">
        <v>15</v>
      </c>
      <c r="O77" s="94">
        <v>31</v>
      </c>
      <c r="P77" s="94">
        <v>45</v>
      </c>
      <c r="Q77" s="94">
        <f t="shared" si="26"/>
        <v>37</v>
      </c>
      <c r="R77" s="94">
        <f>SUMIFS(Свод!$BR$6:$BR$455,Свод!$G$6:$G$455,Расчеты!R$1)</f>
        <v>0</v>
      </c>
      <c r="S77" s="94">
        <f>SUMIFS(Свод!$BR$6:$BR$455,Свод!$G$6:$G$455,Расчеты!S$1)</f>
        <v>0</v>
      </c>
      <c r="T77" s="94">
        <f>SUMIFS(Свод!$BR$6:$BR$455,Свод!$G$6:$G$455,Расчеты!T$1)</f>
        <v>0</v>
      </c>
      <c r="U77" s="94">
        <f>SUMIFS(Свод!$BR$6:$BR$455,Свод!$G$6:$G$455,Расчеты!U$1)</f>
        <v>0</v>
      </c>
      <c r="V77" s="94">
        <f>SUMIFS(Свод!$BR$6:$BR$455,Свод!$G$6:$G$455,Расчеты!V$1)</f>
        <v>0</v>
      </c>
      <c r="W77" s="94">
        <f>SUMIFS(Свод!$BR$6:$BR$455,Свод!$G$6:$G$455,Расчеты!W$1)</f>
        <v>0</v>
      </c>
      <c r="X77" s="94">
        <f>SUMIFS(Свод!$BR$6:$BR$455,Свод!$G$6:$G$455,Расчеты!X$1)</f>
        <v>1</v>
      </c>
      <c r="Y77" s="94">
        <f>SUMIFS(Свод!$BR$6:$BR$455,Свод!$G$6:$G$455,Расчеты!Y$1)</f>
        <v>5</v>
      </c>
      <c r="Z77" s="94">
        <f>SUMIFS(Свод!$BR$6:$BR$455,Свод!$G$6:$G$455,Расчеты!Z$1)</f>
        <v>0</v>
      </c>
      <c r="AA77" s="94">
        <f>SUMIFS(Свод!$BR$6:$BR$455,Свод!$G$6:$G$455,Расчеты!AA$1)</f>
        <v>0</v>
      </c>
      <c r="AB77" s="94">
        <f>SUMIFS(Свод!$BR$6:$BR$455,Свод!$G$6:$G$455,Расчеты!AB$1)</f>
        <v>0</v>
      </c>
      <c r="AC77" s="94">
        <f>SUMIFS(Свод!$BR$6:$BR$455,Свод!$G$6:$G$455,Расчеты!AC$1)</f>
        <v>0</v>
      </c>
      <c r="AD77" s="94">
        <f>SUMIFS(Свод!$BR$6:$BR$455,Свод!$G$6:$G$455,Расчеты!AD$1)</f>
        <v>2</v>
      </c>
      <c r="AE77" s="94">
        <f>SUMIFS(Свод!$BR$6:$BR$455,Свод!$G$6:$G$455,Расчеты!AE$1)</f>
        <v>0</v>
      </c>
      <c r="AF77" s="94">
        <f>SUMIFS(Свод!$BR$6:$BR$455,Свод!$G$6:$G$455,Расчеты!AF$1)</f>
        <v>2</v>
      </c>
      <c r="AG77" s="94">
        <f>SUMIFS(Свод!$BR$6:$BR$455,Свод!$G$6:$G$455,Расчеты!AG$1)</f>
        <v>0</v>
      </c>
      <c r="AH77" s="94">
        <f>SUMIFS(Свод!$BR$6:$BR$455,Свод!$G$6:$G$455,Расчеты!AH$1)</f>
        <v>0</v>
      </c>
      <c r="AI77" s="94">
        <f>SUMIFS(Свод!$BR$6:$BR$455,Свод!$G$6:$G$455,Расчеты!AI$1)</f>
        <v>0</v>
      </c>
      <c r="AJ77" s="94">
        <f>SUMIFS(Свод!$BR$6:$BR$455,Свод!$G$6:$G$455,Расчеты!AJ$1)</f>
        <v>0</v>
      </c>
      <c r="AK77" s="94">
        <f>SUMIFS(Свод!$BR$6:$BR$455,Свод!$G$6:$G$455,Расчеты!AK$1)</f>
        <v>0</v>
      </c>
      <c r="AL77" s="94">
        <f>SUMIFS(Свод!$BR$6:$BR$455,Свод!$G$6:$G$455,Расчеты!AL$1)</f>
        <v>0</v>
      </c>
      <c r="AM77" s="94">
        <f>SUMIFS(Свод!$BR$6:$BR$455,Свод!$G$6:$G$455,Расчеты!AM$1)</f>
        <v>0</v>
      </c>
      <c r="AN77" s="94">
        <f>SUMIFS(Свод!$BR$6:$BR$455,Свод!$G$6:$G$455,Расчеты!AN$1)</f>
        <v>0</v>
      </c>
      <c r="AO77" s="94">
        <f>SUMIFS(Свод!$BR$6:$BR$455,Свод!$G$6:$G$455,Расчеты!AO$1)</f>
        <v>0</v>
      </c>
      <c r="AP77" s="94">
        <f>SUMIFS(Свод!$BR$6:$BR$455,Свод!$G$6:$G$455,Расчеты!AP$1)</f>
        <v>0</v>
      </c>
      <c r="AQ77" s="94">
        <f>SUMIFS(Свод!$BR$6:$BR$455,Свод!$G$6:$G$455,Расчеты!AQ$1)</f>
        <v>0</v>
      </c>
      <c r="AR77" s="94">
        <f>SUMIFS(Свод!$BR$6:$BR$455,Свод!$G$6:$G$455,Расчеты!AR$1)</f>
        <v>0</v>
      </c>
      <c r="AS77" s="94">
        <f>SUMIFS(Свод!$BR$6:$BR$455,Свод!$G$6:$G$455,Расчеты!AS$1)</f>
        <v>0</v>
      </c>
      <c r="AT77" s="94">
        <f>SUMIFS(Свод!$BR$6:$BR$455,Свод!$G$6:$G$455,Расчеты!AT$1)</f>
        <v>0</v>
      </c>
      <c r="AU77" s="94">
        <f>SUMIFS(Свод!$BR$6:$BR$455,Свод!$G$6:$G$455,Расчеты!AU$1)</f>
        <v>4</v>
      </c>
      <c r="AV77" s="94">
        <f>SUMIFS(Свод!$BR$6:$BR$455,Свод!$G$6:$G$455,Расчеты!AV$1)</f>
        <v>0</v>
      </c>
      <c r="AW77" s="94">
        <f>SUMIFS(Свод!$BR$6:$BR$455,Свод!$G$6:$G$455,Расчеты!AW$1)</f>
        <v>0</v>
      </c>
      <c r="AX77" s="94">
        <f>SUMIFS(Свод!$BR$6:$BR$455,Свод!$G$6:$G$455,Расчеты!AX$1)</f>
        <v>0</v>
      </c>
      <c r="AY77" s="94">
        <f>SUMIFS(Свод!$BR$6:$BR$455,Свод!$G$6:$G$455,Расчеты!AY$1)</f>
        <v>0</v>
      </c>
      <c r="AZ77" s="94">
        <f>SUMIFS(Свод!$BR$6:$BR$455,Свод!$G$6:$G$455,Расчеты!AZ$1)</f>
        <v>0</v>
      </c>
      <c r="BA77" s="94">
        <f>SUMIFS(Свод!$BR$6:$BR$455,Свод!$G$6:$G$455,Расчеты!BA$1)</f>
        <v>0</v>
      </c>
      <c r="BB77" s="94">
        <f>SUMIFS(Свод!$BR$6:$BR$455,Свод!$G$6:$G$455,Расчеты!BB$1)</f>
        <v>5</v>
      </c>
      <c r="BC77" s="94">
        <f>SUMIFS(Свод!$BR$6:$BR$455,Свод!$G$6:$G$455,Расчеты!BC$1)</f>
        <v>0</v>
      </c>
      <c r="BD77" s="94">
        <f>SUMIFS(Свод!$BR$6:$BR$455,Свод!$G$6:$G$455,Расчеты!BD$1)</f>
        <v>0</v>
      </c>
      <c r="BE77" s="94">
        <f>SUMIFS(Свод!$BR$6:$BR$455,Свод!$G$6:$G$455,Расчеты!BE$1)</f>
        <v>0</v>
      </c>
      <c r="BF77" s="94">
        <f>SUMIFS(Свод!$BR$6:$BR$455,Свод!$G$6:$G$455,Расчеты!BF$1)</f>
        <v>0</v>
      </c>
      <c r="BG77" s="94">
        <f>SUMIFS(Свод!$BR$6:$BR$455,Свод!$G$6:$G$455,Расчеты!BG$1)</f>
        <v>0</v>
      </c>
      <c r="BH77" s="94">
        <f>SUMIFS(Свод!$BR$6:$BR$455,Свод!$G$6:$G$455,Расчеты!BH$1)</f>
        <v>1</v>
      </c>
      <c r="BI77" s="94">
        <f>SUMIFS(Свод!$BR$6:$BR$455,Свод!$G$6:$G$455,Расчеты!BI$1)</f>
        <v>0</v>
      </c>
      <c r="BJ77" s="94">
        <f>SUMIFS(Свод!$BR$6:$BR$455,Свод!$G$6:$G$455,Расчеты!BJ$1)</f>
        <v>0</v>
      </c>
      <c r="BK77" s="94">
        <f>SUMIFS(Свод!$BR$6:$BR$455,Свод!$G$6:$G$455,Расчеты!BK$1)</f>
        <v>0</v>
      </c>
      <c r="BL77" s="94">
        <f>SUMIFS(Свод!$BR$6:$BR$455,Свод!$G$6:$G$455,Расчеты!BL$1)</f>
        <v>3</v>
      </c>
      <c r="BM77" s="94">
        <f>SUMIFS(Свод!$BR$6:$BR$455,Свод!$G$6:$G$455,Расчеты!BM$1)</f>
        <v>1</v>
      </c>
      <c r="BN77" s="94">
        <f>SUMIFS(Свод!$BR$6:$BR$455,Свод!$G$6:$G$455,Расчеты!BN$1)</f>
        <v>0</v>
      </c>
      <c r="BO77" s="94">
        <f>SUMIFS(Свод!$BR$6:$BR$455,Свод!$G$6:$G$455,Расчеты!BO$1)</f>
        <v>0</v>
      </c>
      <c r="BP77" s="94">
        <f>SUMIFS(Свод!$BR$6:$BR$455,Свод!$G$6:$G$455,Расчеты!BP$1)</f>
        <v>0</v>
      </c>
      <c r="BQ77" s="94">
        <f>SUMIFS(Свод!$BR$6:$BR$455,Свод!$G$6:$G$455,Расчеты!BQ$1)</f>
        <v>0</v>
      </c>
      <c r="BR77" s="94">
        <f>SUMIFS(Свод!$BR$6:$BR$455,Свод!$G$6:$G$455,Расчеты!BR$1)</f>
        <v>0</v>
      </c>
      <c r="BS77" s="94">
        <f>SUMIFS(Свод!$BR$6:$BR$455,Свод!$G$6:$G$455,Расчеты!BS$1)</f>
        <v>0</v>
      </c>
      <c r="BT77" s="94">
        <f>SUMIFS(Свод!$BR$6:$BR$455,Свод!$G$6:$G$455,Расчеты!BT$1)</f>
        <v>0</v>
      </c>
      <c r="BU77" s="94">
        <f>SUMIFS(Свод!$BR$6:$BR$455,Свод!$G$6:$G$455,Расчеты!BU$1)</f>
        <v>0</v>
      </c>
      <c r="BV77" s="94">
        <f>SUMIFS(Свод!$BR$6:$BR$455,Свод!$G$6:$G$455,Расчеты!BV$1)</f>
        <v>0</v>
      </c>
      <c r="BW77" s="94">
        <f>SUMIFS(Свод!$BR$6:$BR$455,Свод!$G$6:$G$455,Расчеты!BW$1)</f>
        <v>1</v>
      </c>
      <c r="BX77" s="94">
        <f>SUMIFS(Свод!$BR$6:$BR$455,Свод!$G$6:$G$455,Расчеты!BX$1)</f>
        <v>0</v>
      </c>
      <c r="BY77" s="94">
        <f>SUMIFS(Свод!$BR$6:$BR$455,Свод!$G$6:$G$455,Расчеты!BY$1)</f>
        <v>0</v>
      </c>
      <c r="BZ77" s="94">
        <f>SUMIFS(Свод!$BR$6:$BR$455,Свод!$G$6:$G$455,Расчеты!BZ$1)</f>
        <v>1</v>
      </c>
      <c r="CA77" s="94">
        <f>SUMIFS(Свод!$BR$6:$BR$455,Свод!$G$6:$G$455,Расчеты!CA$1)</f>
        <v>0</v>
      </c>
      <c r="CB77" s="94">
        <f>SUMIFS(Свод!$BR$6:$BR$455,Свод!$G$6:$G$455,Расчеты!CB$1)</f>
        <v>0</v>
      </c>
      <c r="CC77" s="94">
        <f>SUMIFS(Свод!$BR$6:$BR$455,Свод!$G$6:$G$455,Расчеты!CC$1)</f>
        <v>0</v>
      </c>
      <c r="CD77" s="94">
        <f>SUMIFS(Свод!$BR$6:$BR$455,Свод!$G$6:$G$455,Расчеты!CD$1)</f>
        <v>0</v>
      </c>
      <c r="CE77" s="94">
        <f>SUMIFS(Свод!$BR$6:$BR$455,Свод!$G$6:$G$455,Расчеты!CE$1)</f>
        <v>0</v>
      </c>
      <c r="CF77" s="94">
        <f>SUMIFS(Свод!$BR$6:$BR$455,Свод!$G$6:$G$455,Расчеты!CF$1)</f>
        <v>3</v>
      </c>
      <c r="CG77" s="94">
        <f>SUMIFS(Свод!$BR$6:$BR$455,Свод!$G$6:$G$455,Расчеты!CG$1)</f>
        <v>0</v>
      </c>
      <c r="CH77" s="94">
        <f>SUMIFS(Свод!$BR$6:$BR$455,Свод!$G$6:$G$455,Расчеты!CH$1)</f>
        <v>0</v>
      </c>
      <c r="CI77" s="94">
        <f>SUMIFS(Свод!$BR$6:$BR$455,Свод!$G$6:$G$455,Расчеты!CI$1)</f>
        <v>1</v>
      </c>
      <c r="CJ77" s="94">
        <f>SUMIFS(Свод!$BR$6:$BR$455,Свод!$G$6:$G$455,Расчеты!CJ$1)</f>
        <v>0</v>
      </c>
      <c r="CK77" s="94">
        <f>SUMIFS(Свод!$BR$6:$BR$455,Свод!$G$6:$G$455,Расчеты!CK$1)</f>
        <v>0</v>
      </c>
      <c r="CL77" s="94">
        <f>SUMIFS(Свод!$BR$6:$BR$455,Свод!$G$6:$G$455,Расчеты!CL$1)</f>
        <v>0</v>
      </c>
      <c r="CM77" s="94">
        <f>SUMIFS(Свод!$BR$6:$BR$455,Свод!$G$6:$G$455,Расчеты!CM$1)</f>
        <v>0</v>
      </c>
      <c r="CN77" s="94">
        <f>SUMIFS(Свод!$BR$6:$BR$455,Свод!$G$6:$G$455,Расчеты!CN$1)</f>
        <v>0</v>
      </c>
      <c r="CO77" s="94">
        <f>SUMIFS(Свод!$BR$6:$BR$455,Свод!$G$6:$G$455,Расчеты!CO$1)</f>
        <v>0</v>
      </c>
      <c r="CP77" s="94">
        <f>SUMIFS(Свод!$BR$6:$BR$455,Свод!$G$6:$G$455,Расчеты!CP$1)</f>
        <v>0</v>
      </c>
      <c r="CQ77" s="94">
        <f>SUMIFS(Свод!$BR$6:$BR$455,Свод!$G$6:$G$455,Расчеты!CQ$1)</f>
        <v>0</v>
      </c>
      <c r="CR77" s="94">
        <f>SUMIFS(Свод!$BR$6:$BR$455,Свод!$G$6:$G$455,Расчеты!CR$1)</f>
        <v>0</v>
      </c>
      <c r="CS77" s="94">
        <f>SUMIFS(Свод!$BR$6:$BR$455,Свод!$G$6:$G$455,Расчеты!CS$1)</f>
        <v>7</v>
      </c>
      <c r="CT77" s="94">
        <f>SUMIFS(Свод!$BR$6:$BR$455,Свод!$G$6:$G$455,Расчеты!CT$1)</f>
        <v>0</v>
      </c>
      <c r="CU77" s="94">
        <f>SUMIFS(Свод!$BR$6:$BR$455,Свод!$G$6:$G$455,Расчеты!CU$1)</f>
        <v>0</v>
      </c>
      <c r="CV77" s="94">
        <f>SUMIFS(Свод!$BR$6:$BR$455,Свод!$G$6:$G$455,Расчеты!CV$1)</f>
        <v>0</v>
      </c>
      <c r="CW77" s="94">
        <f>SUMIFS(Свод!$BR$6:$BR$455,Свод!$G$6:$G$455,Расчеты!CW$1)</f>
        <v>0</v>
      </c>
      <c r="CX77" s="94">
        <f>SUMIFS(Свод!$BR$6:$BR$455,Свод!$G$6:$G$455,Расчеты!CX$1)</f>
        <v>0</v>
      </c>
    </row>
    <row r="78" spans="1:102" ht="17" x14ac:dyDescent="0.2">
      <c r="A78" s="1238"/>
      <c r="B78" s="1237"/>
      <c r="C78" s="97" t="s">
        <v>8886</v>
      </c>
      <c r="D78" s="97">
        <v>61</v>
      </c>
      <c r="E78" s="502" t="s">
        <v>9035</v>
      </c>
      <c r="F78" s="1237"/>
      <c r="G78" s="513" t="s">
        <v>64</v>
      </c>
      <c r="H78" s="513"/>
      <c r="I78" s="97"/>
      <c r="J78" s="97"/>
      <c r="K78" s="97" t="s">
        <v>479</v>
      </c>
      <c r="L78" s="97">
        <v>2.2581859239744072E-3</v>
      </c>
      <c r="M78" s="97">
        <v>9.5445145553846973E-4</v>
      </c>
      <c r="N78" s="572">
        <v>6.8678174076278555E-4</v>
      </c>
      <c r="P78" s="573">
        <v>1.5456481417874563E-3</v>
      </c>
      <c r="Q78" s="94">
        <f>Q77/Q117</f>
        <v>1.2597460079670423E-3</v>
      </c>
    </row>
    <row r="79" spans="1:102" ht="34" x14ac:dyDescent="0.2">
      <c r="A79" s="1238"/>
      <c r="B79" s="1237"/>
      <c r="C79" s="97" t="s">
        <v>8886</v>
      </c>
      <c r="D79" s="97">
        <v>62</v>
      </c>
      <c r="E79" s="502" t="s">
        <v>9036</v>
      </c>
      <c r="F79" s="1237" t="s">
        <v>9037</v>
      </c>
      <c r="G79" s="513" t="s">
        <v>9022</v>
      </c>
      <c r="H79" s="513"/>
      <c r="I79" s="97"/>
      <c r="J79" s="97"/>
      <c r="K79" s="97"/>
      <c r="L79" s="97">
        <v>352</v>
      </c>
      <c r="M79" s="97">
        <v>412</v>
      </c>
      <c r="N79" s="99">
        <v>625</v>
      </c>
      <c r="O79" s="94">
        <v>894</v>
      </c>
      <c r="P79" s="94">
        <v>684</v>
      </c>
      <c r="Q79" s="94">
        <f t="shared" si="26"/>
        <v>633</v>
      </c>
      <c r="R79" s="94">
        <f>SUMIFS(Свод!$BS$6:$BS$455,Свод!$G$6:$G$455,Расчеты!R$1)</f>
        <v>3</v>
      </c>
      <c r="S79" s="94">
        <f>SUMIFS(Свод!$BS$6:$BS$455,Свод!$G$6:$G$455,Расчеты!S$1)</f>
        <v>3</v>
      </c>
      <c r="T79" s="94">
        <f>SUMIFS(Свод!$BS$6:$BS$455,Свод!$G$6:$G$455,Расчеты!T$1)</f>
        <v>10</v>
      </c>
      <c r="U79" s="94">
        <f>SUMIFS(Свод!$BS$6:$BS$455,Свод!$G$6:$G$455,Расчеты!U$1)</f>
        <v>9</v>
      </c>
      <c r="V79" s="94">
        <f>SUMIFS(Свод!$BS$6:$BS$455,Свод!$G$6:$G$455,Расчеты!V$1)</f>
        <v>3</v>
      </c>
      <c r="W79" s="94">
        <f>SUMIFS(Свод!$BS$6:$BS$455,Свод!$G$6:$G$455,Расчеты!W$1)</f>
        <v>1</v>
      </c>
      <c r="X79" s="94">
        <f>SUMIFS(Свод!$BS$6:$BS$455,Свод!$G$6:$G$455,Расчеты!X$1)</f>
        <v>80</v>
      </c>
      <c r="Y79" s="94">
        <f>SUMIFS(Свод!$BS$6:$BS$455,Свод!$G$6:$G$455,Расчеты!Y$1)</f>
        <v>42</v>
      </c>
      <c r="Z79" s="94">
        <f>SUMIFS(Свод!$BS$6:$BS$455,Свод!$G$6:$G$455,Расчеты!Z$1)</f>
        <v>44</v>
      </c>
      <c r="AA79" s="94">
        <f>SUMIFS(Свод!$BS$6:$BS$455,Свод!$G$6:$G$455,Расчеты!AA$1)</f>
        <v>0</v>
      </c>
      <c r="AB79" s="94">
        <f>SUMIFS(Свод!$BS$6:$BS$455,Свод!$G$6:$G$455,Расчеты!AB$1)</f>
        <v>13</v>
      </c>
      <c r="AC79" s="94">
        <f>SUMIFS(Свод!$BS$6:$BS$455,Свод!$G$6:$G$455,Расчеты!AC$1)</f>
        <v>0</v>
      </c>
      <c r="AD79" s="94">
        <f>SUMIFS(Свод!$BS$6:$BS$455,Свод!$G$6:$G$455,Расчеты!AD$1)</f>
        <v>37</v>
      </c>
      <c r="AE79" s="94">
        <f>SUMIFS(Свод!$BS$6:$BS$455,Свод!$G$6:$G$455,Расчеты!AE$1)</f>
        <v>20</v>
      </c>
      <c r="AF79" s="94">
        <f>SUMIFS(Свод!$BS$6:$BS$455,Свод!$G$6:$G$455,Расчеты!AF$1)</f>
        <v>3</v>
      </c>
      <c r="AG79" s="94">
        <f>SUMIFS(Свод!$BS$6:$BS$455,Свод!$G$6:$G$455,Расчеты!AG$1)</f>
        <v>0</v>
      </c>
      <c r="AH79" s="94">
        <f>SUMIFS(Свод!$BS$6:$BS$455,Свод!$G$6:$G$455,Расчеты!AH$1)</f>
        <v>8</v>
      </c>
      <c r="AI79" s="94">
        <f>SUMIFS(Свод!$BS$6:$BS$455,Свод!$G$6:$G$455,Расчеты!AI$1)</f>
        <v>5</v>
      </c>
      <c r="AJ79" s="94">
        <f>SUMIFS(Свод!$BS$6:$BS$455,Свод!$G$6:$G$455,Расчеты!AJ$1)</f>
        <v>0</v>
      </c>
      <c r="AK79" s="94">
        <f>SUMIFS(Свод!$BS$6:$BS$455,Свод!$G$6:$G$455,Расчеты!AK$1)</f>
        <v>33</v>
      </c>
      <c r="AL79" s="94">
        <f>SUMIFS(Свод!$BS$6:$BS$455,Свод!$G$6:$G$455,Расчеты!AL$1)</f>
        <v>0</v>
      </c>
      <c r="AM79" s="94">
        <f>SUMIFS(Свод!$BS$6:$BS$455,Свод!$G$6:$G$455,Расчеты!AM$1)</f>
        <v>0</v>
      </c>
      <c r="AN79" s="94">
        <f>SUMIFS(Свод!$BS$6:$BS$455,Свод!$G$6:$G$455,Расчеты!AN$1)</f>
        <v>0</v>
      </c>
      <c r="AO79" s="94">
        <f>SUMIFS(Свод!$BS$6:$BS$455,Свод!$G$6:$G$455,Расчеты!AO$1)</f>
        <v>0</v>
      </c>
      <c r="AP79" s="94">
        <f>SUMIFS(Свод!$BS$6:$BS$455,Свод!$G$6:$G$455,Расчеты!AP$1)</f>
        <v>0</v>
      </c>
      <c r="AQ79" s="94">
        <f>SUMIFS(Свод!$BS$6:$BS$455,Свод!$G$6:$G$455,Расчеты!AQ$1)</f>
        <v>0</v>
      </c>
      <c r="AR79" s="94">
        <f>SUMIFS(Свод!$BS$6:$BS$455,Свод!$G$6:$G$455,Расчеты!AR$1)</f>
        <v>18</v>
      </c>
      <c r="AS79" s="94">
        <f>SUMIFS(Свод!$BS$6:$BS$455,Свод!$G$6:$G$455,Расчеты!AS$1)</f>
        <v>14</v>
      </c>
      <c r="AT79" s="94">
        <f>SUMIFS(Свод!$BS$6:$BS$455,Свод!$G$6:$G$455,Расчеты!AT$1)</f>
        <v>0</v>
      </c>
      <c r="AU79" s="94">
        <f>SUMIFS(Свод!$BS$6:$BS$455,Свод!$G$6:$G$455,Расчеты!AU$1)</f>
        <v>21</v>
      </c>
      <c r="AV79" s="94">
        <f>SUMIFS(Свод!$BS$6:$BS$455,Свод!$G$6:$G$455,Расчеты!AV$1)</f>
        <v>0</v>
      </c>
      <c r="AW79" s="94">
        <f>SUMIFS(Свод!$BS$6:$BS$455,Свод!$G$6:$G$455,Расчеты!AW$1)</f>
        <v>10</v>
      </c>
      <c r="AX79" s="94">
        <f>SUMIFS(Свод!$BS$6:$BS$455,Свод!$G$6:$G$455,Расчеты!AX$1)</f>
        <v>0</v>
      </c>
      <c r="AY79" s="94">
        <f>SUMIFS(Свод!$BS$6:$BS$455,Свод!$G$6:$G$455,Расчеты!AY$1)</f>
        <v>0</v>
      </c>
      <c r="AZ79" s="94">
        <f>SUMIFS(Свод!$BS$6:$BS$455,Свод!$G$6:$G$455,Расчеты!AZ$1)</f>
        <v>0</v>
      </c>
      <c r="BA79" s="94">
        <f>SUMIFS(Свод!$BS$6:$BS$455,Свод!$G$6:$G$455,Расчеты!BA$1)</f>
        <v>0</v>
      </c>
      <c r="BB79" s="94">
        <f>SUMIFS(Свод!$BS$6:$BS$455,Свод!$G$6:$G$455,Расчеты!BB$1)</f>
        <v>0</v>
      </c>
      <c r="BC79" s="94">
        <f>SUMIFS(Свод!$BS$6:$BS$455,Свод!$G$6:$G$455,Расчеты!BC$1)</f>
        <v>0</v>
      </c>
      <c r="BD79" s="94">
        <f>SUMIFS(Свод!$BS$6:$BS$455,Свод!$G$6:$G$455,Расчеты!BD$1)</f>
        <v>0</v>
      </c>
      <c r="BE79" s="94">
        <f>SUMIFS(Свод!$BS$6:$BS$455,Свод!$G$6:$G$455,Расчеты!BE$1)</f>
        <v>12</v>
      </c>
      <c r="BF79" s="94">
        <f>SUMIFS(Свод!$BS$6:$BS$455,Свод!$G$6:$G$455,Расчеты!BF$1)</f>
        <v>0</v>
      </c>
      <c r="BG79" s="94">
        <f>SUMIFS(Свод!$BS$6:$BS$455,Свод!$G$6:$G$455,Расчеты!BG$1)</f>
        <v>0</v>
      </c>
      <c r="BH79" s="94">
        <f>SUMIFS(Свод!$BS$6:$BS$455,Свод!$G$6:$G$455,Расчеты!BH$1)</f>
        <v>11</v>
      </c>
      <c r="BI79" s="94">
        <f>SUMIFS(Свод!$BS$6:$BS$455,Свод!$G$6:$G$455,Расчеты!BI$1)</f>
        <v>2</v>
      </c>
      <c r="BJ79" s="94">
        <f>SUMIFS(Свод!$BS$6:$BS$455,Свод!$G$6:$G$455,Расчеты!BJ$1)</f>
        <v>1</v>
      </c>
      <c r="BK79" s="94">
        <f>SUMIFS(Свод!$BS$6:$BS$455,Свод!$G$6:$G$455,Расчеты!BK$1)</f>
        <v>0</v>
      </c>
      <c r="BL79" s="94">
        <f>SUMIFS(Свод!$BS$6:$BS$455,Свод!$G$6:$G$455,Расчеты!BL$1)</f>
        <v>0</v>
      </c>
      <c r="BM79" s="94">
        <f>SUMIFS(Свод!$BS$6:$BS$455,Свод!$G$6:$G$455,Расчеты!BM$1)</f>
        <v>26</v>
      </c>
      <c r="BN79" s="94">
        <f>SUMIFS(Свод!$BS$6:$BS$455,Свод!$G$6:$G$455,Расчеты!BN$1)</f>
        <v>0</v>
      </c>
      <c r="BO79" s="94">
        <f>SUMIFS(Свод!$BS$6:$BS$455,Свод!$G$6:$G$455,Расчеты!BO$1)</f>
        <v>7</v>
      </c>
      <c r="BP79" s="94">
        <f>SUMIFS(Свод!$BS$6:$BS$455,Свод!$G$6:$G$455,Расчеты!BP$1)</f>
        <v>0</v>
      </c>
      <c r="BQ79" s="94">
        <f>SUMIFS(Свод!$BS$6:$BS$455,Свод!$G$6:$G$455,Расчеты!BQ$1)</f>
        <v>0</v>
      </c>
      <c r="BR79" s="94">
        <f>SUMIFS(Свод!$BS$6:$BS$455,Свод!$G$6:$G$455,Расчеты!BR$1)</f>
        <v>30</v>
      </c>
      <c r="BS79" s="94">
        <f>SUMIFS(Свод!$BS$6:$BS$455,Свод!$G$6:$G$455,Расчеты!BS$1)</f>
        <v>9</v>
      </c>
      <c r="BT79" s="94">
        <f>SUMIFS(Свод!$BS$6:$BS$455,Свод!$G$6:$G$455,Расчеты!BT$1)</f>
        <v>13</v>
      </c>
      <c r="BU79" s="94">
        <f>SUMIFS(Свод!$BS$6:$BS$455,Свод!$G$6:$G$455,Расчеты!BU$1)</f>
        <v>10</v>
      </c>
      <c r="BV79" s="94">
        <f>SUMIFS(Свод!$BS$6:$BS$455,Свод!$G$6:$G$455,Расчеты!BV$1)</f>
        <v>0</v>
      </c>
      <c r="BW79" s="94">
        <f>SUMIFS(Свод!$BS$6:$BS$455,Свод!$G$6:$G$455,Расчеты!BW$1)</f>
        <v>17</v>
      </c>
      <c r="BX79" s="94">
        <f>SUMIFS(Свод!$BS$6:$BS$455,Свод!$G$6:$G$455,Расчеты!BX$1)</f>
        <v>0</v>
      </c>
      <c r="BY79" s="94">
        <f>SUMIFS(Свод!$BS$6:$BS$455,Свод!$G$6:$G$455,Расчеты!BY$1)</f>
        <v>0</v>
      </c>
      <c r="BZ79" s="94">
        <f>SUMIFS(Свод!$BS$6:$BS$455,Свод!$G$6:$G$455,Расчеты!BZ$1)</f>
        <v>3</v>
      </c>
      <c r="CA79" s="94">
        <f>SUMIFS(Свод!$BS$6:$BS$455,Свод!$G$6:$G$455,Расчеты!CA$1)</f>
        <v>0</v>
      </c>
      <c r="CB79" s="94">
        <f>SUMIFS(Свод!$BS$6:$BS$455,Свод!$G$6:$G$455,Расчеты!CB$1)</f>
        <v>2</v>
      </c>
      <c r="CC79" s="94">
        <f>SUMIFS(Свод!$BS$6:$BS$455,Свод!$G$6:$G$455,Расчеты!CC$1)</f>
        <v>0</v>
      </c>
      <c r="CD79" s="94">
        <f>SUMIFS(Свод!$BS$6:$BS$455,Свод!$G$6:$G$455,Расчеты!CD$1)</f>
        <v>0</v>
      </c>
      <c r="CE79" s="94">
        <f>SUMIFS(Свод!$BS$6:$BS$455,Свод!$G$6:$G$455,Расчеты!CE$1)</f>
        <v>0</v>
      </c>
      <c r="CF79" s="94">
        <f>SUMIFS(Свод!$BS$6:$BS$455,Свод!$G$6:$G$455,Расчеты!CF$1)</f>
        <v>1</v>
      </c>
      <c r="CG79" s="94">
        <f>SUMIFS(Свод!$BS$6:$BS$455,Свод!$G$6:$G$455,Расчеты!CG$1)</f>
        <v>12</v>
      </c>
      <c r="CH79" s="94">
        <f>SUMIFS(Свод!$BS$6:$BS$455,Свод!$G$6:$G$455,Расчеты!CH$1)</f>
        <v>15</v>
      </c>
      <c r="CI79" s="94">
        <f>SUMIFS(Свод!$BS$6:$BS$455,Свод!$G$6:$G$455,Расчеты!CI$1)</f>
        <v>0</v>
      </c>
      <c r="CJ79" s="94">
        <f>SUMIFS(Свод!$BS$6:$BS$455,Свод!$G$6:$G$455,Расчеты!CJ$1)</f>
        <v>4</v>
      </c>
      <c r="CK79" s="94">
        <f>SUMIFS(Свод!$BS$6:$BS$455,Свод!$G$6:$G$455,Расчеты!CK$1)</f>
        <v>1</v>
      </c>
      <c r="CL79" s="94">
        <f>SUMIFS(Свод!$BS$6:$BS$455,Свод!$G$6:$G$455,Расчеты!CL$1)</f>
        <v>0</v>
      </c>
      <c r="CM79" s="94">
        <f>SUMIFS(Свод!$BS$6:$BS$455,Свод!$G$6:$G$455,Расчеты!CM$1)</f>
        <v>8</v>
      </c>
      <c r="CN79" s="94">
        <f>SUMIFS(Свод!$BS$6:$BS$455,Свод!$G$6:$G$455,Расчеты!CN$1)</f>
        <v>3</v>
      </c>
      <c r="CO79" s="94">
        <f>SUMIFS(Свод!$BS$6:$BS$455,Свод!$G$6:$G$455,Расчеты!CO$1)</f>
        <v>6</v>
      </c>
      <c r="CP79" s="94">
        <f>SUMIFS(Свод!$BS$6:$BS$455,Свод!$G$6:$G$455,Расчеты!CP$1)</f>
        <v>10</v>
      </c>
      <c r="CQ79" s="94">
        <f>SUMIFS(Свод!$BS$6:$BS$455,Свод!$G$6:$G$455,Расчеты!CQ$1)</f>
        <v>0</v>
      </c>
      <c r="CR79" s="94">
        <f>SUMIFS(Свод!$BS$6:$BS$455,Свод!$G$6:$G$455,Расчеты!CR$1)</f>
        <v>10</v>
      </c>
      <c r="CS79" s="94">
        <f>SUMIFS(Свод!$BS$6:$BS$455,Свод!$G$6:$G$455,Расчеты!CS$1)</f>
        <v>10</v>
      </c>
      <c r="CT79" s="94">
        <f>SUMIFS(Свод!$BS$6:$BS$455,Свод!$G$6:$G$455,Расчеты!CT$1)</f>
        <v>0</v>
      </c>
      <c r="CU79" s="94">
        <f>SUMIFS(Свод!$BS$6:$BS$455,Свод!$G$6:$G$455,Расчеты!CU$1)</f>
        <v>25</v>
      </c>
      <c r="CV79" s="94">
        <f>SUMIFS(Свод!$BS$6:$BS$455,Свод!$G$6:$G$455,Расчеты!CV$1)</f>
        <v>0</v>
      </c>
      <c r="CW79" s="94">
        <f>SUMIFS(Свод!$BS$6:$BS$455,Свод!$G$6:$G$455,Расчеты!CW$1)</f>
        <v>3</v>
      </c>
      <c r="CX79" s="94">
        <f>SUMIFS(Свод!$BS$6:$BS$455,Свод!$G$6:$G$455,Расчеты!CX$1)</f>
        <v>5</v>
      </c>
    </row>
    <row r="80" spans="1:102" ht="17" x14ac:dyDescent="0.2">
      <c r="A80" s="1238"/>
      <c r="B80" s="1237"/>
      <c r="C80" s="97" t="s">
        <v>8886</v>
      </c>
      <c r="D80" s="97">
        <v>63</v>
      </c>
      <c r="E80" s="502" t="s">
        <v>9038</v>
      </c>
      <c r="F80" s="1237"/>
      <c r="G80" s="513" t="s">
        <v>64</v>
      </c>
      <c r="H80" s="513"/>
      <c r="I80" s="97"/>
      <c r="J80" s="97"/>
      <c r="K80" s="97" t="s">
        <v>479</v>
      </c>
      <c r="L80" s="97">
        <v>2.2080040145527537E-2</v>
      </c>
      <c r="M80" s="97">
        <v>2.1846333315658308E-2</v>
      </c>
      <c r="N80" s="572">
        <v>2.8615905865116066E-2</v>
      </c>
      <c r="P80" s="573">
        <v>2.3493851755169333E-2</v>
      </c>
      <c r="Q80" s="94">
        <f>Q79/Q117</f>
        <v>2.1551870893057778E-2</v>
      </c>
    </row>
    <row r="81" spans="1:102" ht="34" x14ac:dyDescent="0.2">
      <c r="A81" s="1238"/>
      <c r="B81" s="1237"/>
      <c r="C81" s="97" t="s">
        <v>8886</v>
      </c>
      <c r="D81" s="97">
        <v>64</v>
      </c>
      <c r="E81" s="502" t="s">
        <v>9039</v>
      </c>
      <c r="F81" s="1237" t="s">
        <v>9040</v>
      </c>
      <c r="G81" s="513" t="s">
        <v>9022</v>
      </c>
      <c r="H81" s="513"/>
      <c r="I81" s="97"/>
      <c r="J81" s="97"/>
      <c r="K81" s="97"/>
      <c r="L81" s="97">
        <v>1618</v>
      </c>
      <c r="M81" s="97">
        <v>1051</v>
      </c>
      <c r="N81" s="99">
        <v>1573</v>
      </c>
      <c r="O81" s="94">
        <v>1964</v>
      </c>
      <c r="P81" s="94">
        <v>1707</v>
      </c>
      <c r="Q81" s="94">
        <f t="shared" si="26"/>
        <v>1612</v>
      </c>
      <c r="R81" s="94">
        <f>SUMIFS(Свод!$BT$6:$BT$455,Свод!$G$6:$G$455,Расчеты!R$1)</f>
        <v>0</v>
      </c>
      <c r="S81" s="94">
        <f>SUMIFS(Свод!$BT$6:$BT$455,Свод!$G$6:$G$455,Расчеты!S$1)</f>
        <v>0</v>
      </c>
      <c r="T81" s="94">
        <f>SUMIFS(Свод!$BT$6:$BT$455,Свод!$G$6:$G$455,Расчеты!T$1)</f>
        <v>0</v>
      </c>
      <c r="U81" s="94">
        <f>SUMIFS(Свод!$BT$6:$BT$455,Свод!$G$6:$G$455,Расчеты!U$1)</f>
        <v>0</v>
      </c>
      <c r="V81" s="94">
        <f>SUMIFS(Свод!$BT$6:$BT$455,Свод!$G$6:$G$455,Расчеты!V$1)</f>
        <v>2</v>
      </c>
      <c r="W81" s="94">
        <f>SUMIFS(Свод!$BT$6:$BT$455,Свод!$G$6:$G$455,Расчеты!W$1)</f>
        <v>0</v>
      </c>
      <c r="X81" s="94">
        <f>SUMIFS(Свод!$BT$6:$BT$455,Свод!$G$6:$G$455,Расчеты!X$1)</f>
        <v>244</v>
      </c>
      <c r="Y81" s="94">
        <f>SUMIFS(Свод!$BT$6:$BT$455,Свод!$G$6:$G$455,Расчеты!Y$1)</f>
        <v>0</v>
      </c>
      <c r="Z81" s="94">
        <f>SUMIFS(Свод!$BT$6:$BT$455,Свод!$G$6:$G$455,Расчеты!Z$1)</f>
        <v>0</v>
      </c>
      <c r="AA81" s="94">
        <f>SUMIFS(Свод!$BT$6:$BT$455,Свод!$G$6:$G$455,Расчеты!AA$1)</f>
        <v>0</v>
      </c>
      <c r="AB81" s="94">
        <f>SUMIFS(Свод!$BT$6:$BT$455,Свод!$G$6:$G$455,Расчеты!AB$1)</f>
        <v>0</v>
      </c>
      <c r="AC81" s="94">
        <f>SUMIFS(Свод!$BT$6:$BT$455,Свод!$G$6:$G$455,Расчеты!AC$1)</f>
        <v>0</v>
      </c>
      <c r="AD81" s="94">
        <f>SUMIFS(Свод!$BT$6:$BT$455,Свод!$G$6:$G$455,Расчеты!AD$1)</f>
        <v>0</v>
      </c>
      <c r="AE81" s="94">
        <f>SUMIFS(Свод!$BT$6:$BT$455,Свод!$G$6:$G$455,Расчеты!AE$1)</f>
        <v>0</v>
      </c>
      <c r="AF81" s="94">
        <f>SUMIFS(Свод!$BT$6:$BT$455,Свод!$G$6:$G$455,Расчеты!AF$1)</f>
        <v>0</v>
      </c>
      <c r="AG81" s="94">
        <f>SUMIFS(Свод!$BT$6:$BT$455,Свод!$G$6:$G$455,Расчеты!AG$1)</f>
        <v>0</v>
      </c>
      <c r="AH81" s="94">
        <f>SUMIFS(Свод!$BT$6:$BT$455,Свод!$G$6:$G$455,Расчеты!AH$1)</f>
        <v>0</v>
      </c>
      <c r="AI81" s="94">
        <f>SUMIFS(Свод!$BT$6:$BT$455,Свод!$G$6:$G$455,Расчеты!AI$1)</f>
        <v>0</v>
      </c>
      <c r="AJ81" s="94">
        <f>SUMIFS(Свод!$BT$6:$BT$455,Свод!$G$6:$G$455,Расчеты!AJ$1)</f>
        <v>0</v>
      </c>
      <c r="AK81" s="94">
        <f>SUMIFS(Свод!$BT$6:$BT$455,Свод!$G$6:$G$455,Расчеты!AK$1)</f>
        <v>80</v>
      </c>
      <c r="AL81" s="94">
        <f>SUMIFS(Свод!$BT$6:$BT$455,Свод!$G$6:$G$455,Расчеты!AL$1)</f>
        <v>0</v>
      </c>
      <c r="AM81" s="94">
        <f>SUMIFS(Свод!$BT$6:$BT$455,Свод!$G$6:$G$455,Расчеты!AM$1)</f>
        <v>1</v>
      </c>
      <c r="AN81" s="94">
        <f>SUMIFS(Свод!$BT$6:$BT$455,Свод!$G$6:$G$455,Расчеты!AN$1)</f>
        <v>0</v>
      </c>
      <c r="AO81" s="94">
        <f>SUMIFS(Свод!$BT$6:$BT$455,Свод!$G$6:$G$455,Расчеты!AO$1)</f>
        <v>2</v>
      </c>
      <c r="AP81" s="94">
        <f>SUMIFS(Свод!$BT$6:$BT$455,Свод!$G$6:$G$455,Расчеты!AP$1)</f>
        <v>0</v>
      </c>
      <c r="AQ81" s="94">
        <f>SUMIFS(Свод!$BT$6:$BT$455,Свод!$G$6:$G$455,Расчеты!AQ$1)</f>
        <v>0</v>
      </c>
      <c r="AR81" s="94">
        <f>SUMIFS(Свод!$BT$6:$BT$455,Свод!$G$6:$G$455,Расчеты!AR$1)</f>
        <v>6</v>
      </c>
      <c r="AS81" s="94">
        <f>SUMIFS(Свод!$BT$6:$BT$455,Свод!$G$6:$G$455,Расчеты!AS$1)</f>
        <v>10</v>
      </c>
      <c r="AT81" s="94">
        <f>SUMIFS(Свод!$BT$6:$BT$455,Свод!$G$6:$G$455,Расчеты!AT$1)</f>
        <v>12</v>
      </c>
      <c r="AU81" s="94">
        <f>SUMIFS(Свод!$BT$6:$BT$455,Свод!$G$6:$G$455,Расчеты!AU$1)</f>
        <v>83</v>
      </c>
      <c r="AV81" s="94">
        <f>SUMIFS(Свод!$BT$6:$BT$455,Свод!$G$6:$G$455,Расчеты!AV$1)</f>
        <v>26</v>
      </c>
      <c r="AW81" s="94">
        <f>SUMIFS(Свод!$BT$6:$BT$455,Свод!$G$6:$G$455,Расчеты!AW$1)</f>
        <v>21</v>
      </c>
      <c r="AX81" s="94">
        <f>SUMIFS(Свод!$BT$6:$BT$455,Свод!$G$6:$G$455,Расчеты!AX$1)</f>
        <v>4</v>
      </c>
      <c r="AY81" s="94">
        <f>SUMIFS(Свод!$BT$6:$BT$455,Свод!$G$6:$G$455,Расчеты!AY$1)</f>
        <v>0</v>
      </c>
      <c r="AZ81" s="94">
        <f>SUMIFS(Свод!$BT$6:$BT$455,Свод!$G$6:$G$455,Расчеты!AZ$1)</f>
        <v>141</v>
      </c>
      <c r="BA81" s="94">
        <f>SUMIFS(Свод!$BT$6:$BT$455,Свод!$G$6:$G$455,Расчеты!BA$1)</f>
        <v>0</v>
      </c>
      <c r="BB81" s="94">
        <f>SUMIFS(Свод!$BT$6:$BT$455,Свод!$G$6:$G$455,Расчеты!BB$1)</f>
        <v>3</v>
      </c>
      <c r="BC81" s="94">
        <f>SUMIFS(Свод!$BT$6:$BT$455,Свод!$G$6:$G$455,Расчеты!BC$1)</f>
        <v>0</v>
      </c>
      <c r="BD81" s="94">
        <f>SUMIFS(Свод!$BT$6:$BT$455,Свод!$G$6:$G$455,Расчеты!BD$1)</f>
        <v>0</v>
      </c>
      <c r="BE81" s="94">
        <f>SUMIFS(Свод!$BT$6:$BT$455,Свод!$G$6:$G$455,Расчеты!BE$1)</f>
        <v>0</v>
      </c>
      <c r="BF81" s="94">
        <f>SUMIFS(Свод!$BT$6:$BT$455,Свод!$G$6:$G$455,Расчеты!BF$1)</f>
        <v>0</v>
      </c>
      <c r="BG81" s="94">
        <f>SUMIFS(Свод!$BT$6:$BT$455,Свод!$G$6:$G$455,Расчеты!BG$1)</f>
        <v>0</v>
      </c>
      <c r="BH81" s="94">
        <f>SUMIFS(Свод!$BT$6:$BT$455,Свод!$G$6:$G$455,Расчеты!BH$1)</f>
        <v>310</v>
      </c>
      <c r="BI81" s="94">
        <f>SUMIFS(Свод!$BT$6:$BT$455,Свод!$G$6:$G$455,Расчеты!BI$1)</f>
        <v>5</v>
      </c>
      <c r="BJ81" s="94">
        <f>SUMIFS(Свод!$BT$6:$BT$455,Свод!$G$6:$G$455,Расчеты!BJ$1)</f>
        <v>0</v>
      </c>
      <c r="BK81" s="94">
        <f>SUMIFS(Свод!$BT$6:$BT$455,Свод!$G$6:$G$455,Расчеты!BK$1)</f>
        <v>0</v>
      </c>
      <c r="BL81" s="94">
        <f>SUMIFS(Свод!$BT$6:$BT$455,Свод!$G$6:$G$455,Расчеты!BL$1)</f>
        <v>11</v>
      </c>
      <c r="BM81" s="94">
        <f>SUMIFS(Свод!$BT$6:$BT$455,Свод!$G$6:$G$455,Расчеты!BM$1)</f>
        <v>0</v>
      </c>
      <c r="BN81" s="94">
        <f>SUMIFS(Свод!$BT$6:$BT$455,Свод!$G$6:$G$455,Расчеты!BN$1)</f>
        <v>2</v>
      </c>
      <c r="BO81" s="94">
        <f>SUMIFS(Свод!$BT$6:$BT$455,Свод!$G$6:$G$455,Расчеты!BO$1)</f>
        <v>3</v>
      </c>
      <c r="BP81" s="94">
        <f>SUMIFS(Свод!$BT$6:$BT$455,Свод!$G$6:$G$455,Расчеты!BP$1)</f>
        <v>3</v>
      </c>
      <c r="BQ81" s="94">
        <f>SUMIFS(Свод!$BT$6:$BT$455,Свод!$G$6:$G$455,Расчеты!BQ$1)</f>
        <v>0</v>
      </c>
      <c r="BR81" s="94">
        <f>SUMIFS(Свод!$BT$6:$BT$455,Свод!$G$6:$G$455,Расчеты!BR$1)</f>
        <v>2</v>
      </c>
      <c r="BS81" s="94">
        <f>SUMIFS(Свод!$BT$6:$BT$455,Свод!$G$6:$G$455,Расчеты!BS$1)</f>
        <v>2</v>
      </c>
      <c r="BT81" s="94">
        <f>SUMIFS(Свод!$BT$6:$BT$455,Свод!$G$6:$G$455,Расчеты!BT$1)</f>
        <v>3</v>
      </c>
      <c r="BU81" s="94">
        <f>SUMIFS(Свод!$BT$6:$BT$455,Свод!$G$6:$G$455,Расчеты!BU$1)</f>
        <v>40</v>
      </c>
      <c r="BV81" s="94">
        <f>SUMIFS(Свод!$BT$6:$BT$455,Свод!$G$6:$G$455,Расчеты!BV$1)</f>
        <v>0</v>
      </c>
      <c r="BW81" s="94">
        <f>SUMIFS(Свод!$BT$6:$BT$455,Свод!$G$6:$G$455,Расчеты!BW$1)</f>
        <v>0</v>
      </c>
      <c r="BX81" s="94">
        <f>SUMIFS(Свод!$BT$6:$BT$455,Свод!$G$6:$G$455,Расчеты!BX$1)</f>
        <v>1</v>
      </c>
      <c r="BY81" s="94">
        <f>SUMIFS(Свод!$BT$6:$BT$455,Свод!$G$6:$G$455,Расчеты!BY$1)</f>
        <v>0</v>
      </c>
      <c r="BZ81" s="94">
        <f>SUMIFS(Свод!$BT$6:$BT$455,Свод!$G$6:$G$455,Расчеты!BZ$1)</f>
        <v>17</v>
      </c>
      <c r="CA81" s="94">
        <f>SUMIFS(Свод!$BT$6:$BT$455,Свод!$G$6:$G$455,Расчеты!CA$1)</f>
        <v>0</v>
      </c>
      <c r="CB81" s="94">
        <f>SUMIFS(Свод!$BT$6:$BT$455,Свод!$G$6:$G$455,Расчеты!CB$1)</f>
        <v>63</v>
      </c>
      <c r="CC81" s="94">
        <f>SUMIFS(Свод!$BT$6:$BT$455,Свод!$G$6:$G$455,Расчеты!CC$1)</f>
        <v>0</v>
      </c>
      <c r="CD81" s="94">
        <f>SUMIFS(Свод!$BT$6:$BT$455,Свод!$G$6:$G$455,Расчеты!CD$1)</f>
        <v>0</v>
      </c>
      <c r="CE81" s="94">
        <f>SUMIFS(Свод!$BT$6:$BT$455,Свод!$G$6:$G$455,Расчеты!CE$1)</f>
        <v>0</v>
      </c>
      <c r="CF81" s="94">
        <f>SUMIFS(Свод!$BT$6:$BT$455,Свод!$G$6:$G$455,Расчеты!CF$1)</f>
        <v>7</v>
      </c>
      <c r="CG81" s="94">
        <f>SUMIFS(Свод!$BT$6:$BT$455,Свод!$G$6:$G$455,Расчеты!CG$1)</f>
        <v>3</v>
      </c>
      <c r="CH81" s="94">
        <f>SUMIFS(Свод!$BT$6:$BT$455,Свод!$G$6:$G$455,Расчеты!CH$1)</f>
        <v>0</v>
      </c>
      <c r="CI81" s="94">
        <f>SUMIFS(Свод!$BT$6:$BT$455,Свод!$G$6:$G$455,Расчеты!CI$1)</f>
        <v>0</v>
      </c>
      <c r="CJ81" s="94">
        <f>SUMIFS(Свод!$BT$6:$BT$455,Свод!$G$6:$G$455,Расчеты!CJ$1)</f>
        <v>1</v>
      </c>
      <c r="CK81" s="94">
        <f>SUMIFS(Свод!$BT$6:$BT$455,Свод!$G$6:$G$455,Расчеты!CK$1)</f>
        <v>62</v>
      </c>
      <c r="CL81" s="94">
        <f>SUMIFS(Свод!$BT$6:$BT$455,Свод!$G$6:$G$455,Расчеты!CL$1)</f>
        <v>0</v>
      </c>
      <c r="CM81" s="94">
        <f>SUMIFS(Свод!$BT$6:$BT$455,Свод!$G$6:$G$455,Расчеты!CM$1)</f>
        <v>3</v>
      </c>
      <c r="CN81" s="94">
        <f>SUMIFS(Свод!$BT$6:$BT$455,Свод!$G$6:$G$455,Расчеты!CN$1)</f>
        <v>64</v>
      </c>
      <c r="CO81" s="94">
        <f>SUMIFS(Свод!$BT$6:$BT$455,Свод!$G$6:$G$455,Расчеты!CO$1)</f>
        <v>6</v>
      </c>
      <c r="CP81" s="94">
        <f>SUMIFS(Свод!$BT$6:$BT$455,Свод!$G$6:$G$455,Расчеты!CP$1)</f>
        <v>0</v>
      </c>
      <c r="CQ81" s="94">
        <f>SUMIFS(Свод!$BT$6:$BT$455,Свод!$G$6:$G$455,Расчеты!CQ$1)</f>
        <v>0</v>
      </c>
      <c r="CR81" s="94">
        <f>SUMIFS(Свод!$BT$6:$BT$455,Свод!$G$6:$G$455,Расчеты!CR$1)</f>
        <v>14</v>
      </c>
      <c r="CS81" s="94">
        <f>SUMIFS(Свод!$BT$6:$BT$455,Свод!$G$6:$G$455,Расчеты!CS$1)</f>
        <v>124</v>
      </c>
      <c r="CT81" s="94">
        <f>SUMIFS(Свод!$BT$6:$BT$455,Свод!$G$6:$G$455,Расчеты!CT$1)</f>
        <v>0</v>
      </c>
      <c r="CU81" s="94">
        <f>SUMIFS(Свод!$BT$6:$BT$455,Свод!$G$6:$G$455,Расчеты!CU$1)</f>
        <v>31</v>
      </c>
      <c r="CV81" s="94">
        <f>SUMIFS(Свод!$BT$6:$BT$455,Свод!$G$6:$G$455,Расчеты!CV$1)</f>
        <v>0</v>
      </c>
      <c r="CW81" s="94">
        <f>SUMIFS(Свод!$BT$6:$BT$455,Свод!$G$6:$G$455,Расчеты!CW$1)</f>
        <v>7</v>
      </c>
      <c r="CX81" s="94">
        <f>SUMIFS(Свод!$BT$6:$BT$455,Свод!$G$6:$G$455,Расчеты!CX$1)</f>
        <v>193</v>
      </c>
    </row>
    <row r="82" spans="1:102" ht="17" x14ac:dyDescent="0.2">
      <c r="A82" s="1238"/>
      <c r="B82" s="1237"/>
      <c r="C82" s="97" t="s">
        <v>8886</v>
      </c>
      <c r="D82" s="97">
        <v>65</v>
      </c>
      <c r="E82" s="502" t="s">
        <v>9041</v>
      </c>
      <c r="F82" s="1237"/>
      <c r="G82" s="513" t="s">
        <v>64</v>
      </c>
      <c r="H82" s="513"/>
      <c r="I82" s="97"/>
      <c r="J82" s="97"/>
      <c r="K82" s="97"/>
      <c r="L82" s="97">
        <v>0.1014929118052942</v>
      </c>
      <c r="M82" s="97">
        <v>5.5729359987273984E-2</v>
      </c>
      <c r="N82" s="572">
        <v>7.202051188132412E-2</v>
      </c>
      <c r="P82" s="573">
        <v>5.8631586178470842E-2</v>
      </c>
      <c r="Q82" s="94">
        <f>Q81/Q117</f>
        <v>5.4884069320077625E-2</v>
      </c>
    </row>
    <row r="83" spans="1:102" ht="34" x14ac:dyDescent="0.2">
      <c r="A83" s="1238"/>
      <c r="B83" s="1237"/>
      <c r="C83" s="97" t="s">
        <v>8886</v>
      </c>
      <c r="D83" s="97">
        <v>87</v>
      </c>
      <c r="E83" s="502" t="s">
        <v>9042</v>
      </c>
      <c r="F83" s="1237" t="s">
        <v>139</v>
      </c>
      <c r="G83" s="513" t="s">
        <v>9022</v>
      </c>
      <c r="H83" s="513"/>
      <c r="I83" s="97"/>
      <c r="J83" s="97"/>
      <c r="K83" s="97"/>
      <c r="L83" s="97" t="s">
        <v>4906</v>
      </c>
      <c r="M83" s="97">
        <v>1451</v>
      </c>
      <c r="N83" s="99">
        <v>1477</v>
      </c>
      <c r="O83" s="94">
        <v>1590</v>
      </c>
      <c r="P83" s="94">
        <v>1524</v>
      </c>
      <c r="Q83" s="94">
        <f t="shared" si="26"/>
        <v>1522</v>
      </c>
      <c r="R83" s="94">
        <f>SUMIFS(Свод!$BU$6:$BU$455,Свод!$G$6:$G$455,Расчеты!R$1)</f>
        <v>1</v>
      </c>
      <c r="S83" s="94">
        <f>SUMIFS(Свод!$BU$6:$BU$455,Свод!$G$6:$G$455,Расчеты!S$1)</f>
        <v>0</v>
      </c>
      <c r="T83" s="94">
        <f>SUMIFS(Свод!$BU$6:$BU$455,Свод!$G$6:$G$455,Расчеты!T$1)</f>
        <v>30</v>
      </c>
      <c r="U83" s="94">
        <f>SUMIFS(Свод!$BU$6:$BU$455,Свод!$G$6:$G$455,Расчеты!U$1)</f>
        <v>24</v>
      </c>
      <c r="V83" s="94">
        <f>SUMIFS(Свод!$BU$6:$BU$455,Свод!$G$6:$G$455,Расчеты!V$1)</f>
        <v>1</v>
      </c>
      <c r="W83" s="94">
        <f>SUMIFS(Свод!$BU$6:$BU$455,Свод!$G$6:$G$455,Расчеты!W$1)</f>
        <v>5</v>
      </c>
      <c r="X83" s="94">
        <f>SUMIFS(Свод!$BU$6:$BU$455,Свод!$G$6:$G$455,Расчеты!X$1)</f>
        <v>244</v>
      </c>
      <c r="Y83" s="94">
        <f>SUMIFS(Свод!$BU$6:$BU$455,Свод!$G$6:$G$455,Расчеты!Y$1)</f>
        <v>13</v>
      </c>
      <c r="Z83" s="94">
        <f>SUMIFS(Свод!$BU$6:$BU$455,Свод!$G$6:$G$455,Расчеты!Z$1)</f>
        <v>1</v>
      </c>
      <c r="AA83" s="94">
        <f>SUMIFS(Свод!$BU$6:$BU$455,Свод!$G$6:$G$455,Расчеты!AA$1)</f>
        <v>0</v>
      </c>
      <c r="AB83" s="94">
        <f>SUMIFS(Свод!$BU$6:$BU$455,Свод!$G$6:$G$455,Расчеты!AB$1)</f>
        <v>0</v>
      </c>
      <c r="AC83" s="94">
        <f>SUMIFS(Свод!$BU$6:$BU$455,Свод!$G$6:$G$455,Расчеты!AC$1)</f>
        <v>0</v>
      </c>
      <c r="AD83" s="94">
        <f>SUMIFS(Свод!$BU$6:$BU$455,Свод!$G$6:$G$455,Расчеты!AD$1)</f>
        <v>104</v>
      </c>
      <c r="AE83" s="94">
        <f>SUMIFS(Свод!$BU$6:$BU$455,Свод!$G$6:$G$455,Расчеты!AE$1)</f>
        <v>2</v>
      </c>
      <c r="AF83" s="94">
        <f>SUMIFS(Свод!$BU$6:$BU$455,Свод!$G$6:$G$455,Расчеты!AF$1)</f>
        <v>7</v>
      </c>
      <c r="AG83" s="94">
        <f>SUMIFS(Свод!$BU$6:$BU$455,Свод!$G$6:$G$455,Расчеты!AG$1)</f>
        <v>0</v>
      </c>
      <c r="AH83" s="94">
        <f>SUMIFS(Свод!$BU$6:$BU$455,Свод!$G$6:$G$455,Расчеты!AH$1)</f>
        <v>4</v>
      </c>
      <c r="AI83" s="94">
        <f>SUMIFS(Свод!$BU$6:$BU$455,Свод!$G$6:$G$455,Расчеты!AI$1)</f>
        <v>0</v>
      </c>
      <c r="AJ83" s="94">
        <f>SUMIFS(Свод!$BU$6:$BU$455,Свод!$G$6:$G$455,Расчеты!AJ$1)</f>
        <v>0</v>
      </c>
      <c r="AK83" s="94">
        <f>SUMIFS(Свод!$BU$6:$BU$455,Свод!$G$6:$G$455,Расчеты!AK$1)</f>
        <v>196</v>
      </c>
      <c r="AL83" s="94">
        <f>SUMIFS(Свод!$BU$6:$BU$455,Свод!$G$6:$G$455,Расчеты!AL$1)</f>
        <v>0</v>
      </c>
      <c r="AM83" s="94">
        <f>SUMIFS(Свод!$BU$6:$BU$455,Свод!$G$6:$G$455,Расчеты!AM$1)</f>
        <v>0</v>
      </c>
      <c r="AN83" s="94">
        <f>SUMIFS(Свод!$BU$6:$BU$455,Свод!$G$6:$G$455,Расчеты!AN$1)</f>
        <v>0</v>
      </c>
      <c r="AO83" s="94">
        <f>SUMIFS(Свод!$BU$6:$BU$455,Свод!$G$6:$G$455,Расчеты!AO$1)</f>
        <v>19</v>
      </c>
      <c r="AP83" s="94">
        <f>SUMIFS(Свод!$BU$6:$BU$455,Свод!$G$6:$G$455,Расчеты!AP$1)</f>
        <v>0</v>
      </c>
      <c r="AQ83" s="94">
        <f>SUMIFS(Свод!$BU$6:$BU$455,Свод!$G$6:$G$455,Расчеты!AQ$1)</f>
        <v>0</v>
      </c>
      <c r="AR83" s="94">
        <f>SUMIFS(Свод!$BU$6:$BU$455,Свод!$G$6:$G$455,Расчеты!AR$1)</f>
        <v>1</v>
      </c>
      <c r="AS83" s="94">
        <f>SUMIFS(Свод!$BU$6:$BU$455,Свод!$G$6:$G$455,Расчеты!AS$1)</f>
        <v>5</v>
      </c>
      <c r="AT83" s="94">
        <f>SUMIFS(Свод!$BU$6:$BU$455,Свод!$G$6:$G$455,Расчеты!AT$1)</f>
        <v>28</v>
      </c>
      <c r="AU83" s="94">
        <f>SUMIFS(Свод!$BU$6:$BU$455,Свод!$G$6:$G$455,Расчеты!AU$1)</f>
        <v>67</v>
      </c>
      <c r="AV83" s="94">
        <f>SUMIFS(Свод!$BU$6:$BU$455,Свод!$G$6:$G$455,Расчеты!AV$1)</f>
        <v>27</v>
      </c>
      <c r="AW83" s="94">
        <f>SUMIFS(Свод!$BU$6:$BU$455,Свод!$G$6:$G$455,Расчеты!AW$1)</f>
        <v>22</v>
      </c>
      <c r="AX83" s="94">
        <f>SUMIFS(Свод!$BU$6:$BU$455,Свод!$G$6:$G$455,Расчеты!AX$1)</f>
        <v>27</v>
      </c>
      <c r="AY83" s="94">
        <f>SUMIFS(Свод!$BU$6:$BU$455,Свод!$G$6:$G$455,Расчеты!AY$1)</f>
        <v>0</v>
      </c>
      <c r="AZ83" s="94">
        <f>SUMIFS(Свод!$BU$6:$BU$455,Свод!$G$6:$G$455,Расчеты!AZ$1)</f>
        <v>23</v>
      </c>
      <c r="BA83" s="94">
        <f>SUMIFS(Свод!$BU$6:$BU$455,Свод!$G$6:$G$455,Расчеты!BA$1)</f>
        <v>0</v>
      </c>
      <c r="BB83" s="94">
        <f>SUMIFS(Свод!$BU$6:$BU$455,Свод!$G$6:$G$455,Расчеты!BB$1)</f>
        <v>0</v>
      </c>
      <c r="BC83" s="94">
        <f>SUMIFS(Свод!$BU$6:$BU$455,Свод!$G$6:$G$455,Расчеты!BC$1)</f>
        <v>0</v>
      </c>
      <c r="BD83" s="94">
        <f>SUMIFS(Свод!$BU$6:$BU$455,Свод!$G$6:$G$455,Расчеты!BD$1)</f>
        <v>0</v>
      </c>
      <c r="BE83" s="94">
        <f>SUMIFS(Свод!$BU$6:$BU$455,Свод!$G$6:$G$455,Расчеты!BE$1)</f>
        <v>1</v>
      </c>
      <c r="BF83" s="94">
        <f>SUMIFS(Свод!$BU$6:$BU$455,Свод!$G$6:$G$455,Расчеты!BF$1)</f>
        <v>0</v>
      </c>
      <c r="BG83" s="94">
        <f>SUMIFS(Свод!$BU$6:$BU$455,Свод!$G$6:$G$455,Расчеты!BG$1)</f>
        <v>0</v>
      </c>
      <c r="BH83" s="94">
        <f>SUMIFS(Свод!$BU$6:$BU$455,Свод!$G$6:$G$455,Расчеты!BH$1)</f>
        <v>159</v>
      </c>
      <c r="BI83" s="94">
        <f>SUMIFS(Свод!$BU$6:$BU$455,Свод!$G$6:$G$455,Расчеты!BI$1)</f>
        <v>4</v>
      </c>
      <c r="BJ83" s="94">
        <f>SUMIFS(Свод!$BU$6:$BU$455,Свод!$G$6:$G$455,Расчеты!BJ$1)</f>
        <v>0</v>
      </c>
      <c r="BK83" s="94">
        <f>SUMIFS(Свод!$BU$6:$BU$455,Свод!$G$6:$G$455,Расчеты!BK$1)</f>
        <v>2</v>
      </c>
      <c r="BL83" s="94">
        <f>SUMIFS(Свод!$BU$6:$BU$455,Свод!$G$6:$G$455,Расчеты!BL$1)</f>
        <v>16</v>
      </c>
      <c r="BM83" s="94">
        <f>SUMIFS(Свод!$BU$6:$BU$455,Свод!$G$6:$G$455,Расчеты!BM$1)</f>
        <v>27</v>
      </c>
      <c r="BN83" s="94">
        <f>SUMIFS(Свод!$BU$6:$BU$455,Свод!$G$6:$G$455,Расчеты!BN$1)</f>
        <v>13</v>
      </c>
      <c r="BO83" s="94">
        <f>SUMIFS(Свод!$BU$6:$BU$455,Свод!$G$6:$G$455,Расчеты!BO$1)</f>
        <v>20</v>
      </c>
      <c r="BP83" s="94">
        <f>SUMIFS(Свод!$BU$6:$BU$455,Свод!$G$6:$G$455,Расчеты!BP$1)</f>
        <v>0</v>
      </c>
      <c r="BQ83" s="94">
        <f>SUMIFS(Свод!$BU$6:$BU$455,Свод!$G$6:$G$455,Расчеты!BQ$1)</f>
        <v>0</v>
      </c>
      <c r="BR83" s="94">
        <f>SUMIFS(Свод!$BU$6:$BU$455,Свод!$G$6:$G$455,Расчеты!BR$1)</f>
        <v>19</v>
      </c>
      <c r="BS83" s="94">
        <f>SUMIFS(Свод!$BU$6:$BU$455,Свод!$G$6:$G$455,Расчеты!BS$1)</f>
        <v>1</v>
      </c>
      <c r="BT83" s="94">
        <f>SUMIFS(Свод!$BU$6:$BU$455,Свод!$G$6:$G$455,Расчеты!BT$1)</f>
        <v>15</v>
      </c>
      <c r="BU83" s="94">
        <f>SUMIFS(Свод!$BU$6:$BU$455,Свод!$G$6:$G$455,Расчеты!BU$1)</f>
        <v>44</v>
      </c>
      <c r="BV83" s="94">
        <f>SUMIFS(Свод!$BU$6:$BU$455,Свод!$G$6:$G$455,Расчеты!BV$1)</f>
        <v>8</v>
      </c>
      <c r="BW83" s="94">
        <f>SUMIFS(Свод!$BU$6:$BU$455,Свод!$G$6:$G$455,Расчеты!BW$1)</f>
        <v>12</v>
      </c>
      <c r="BX83" s="94">
        <f>SUMIFS(Свод!$BU$6:$BU$455,Свод!$G$6:$G$455,Расчеты!BX$1)</f>
        <v>1</v>
      </c>
      <c r="BY83" s="94">
        <f>SUMIFS(Свод!$BU$6:$BU$455,Свод!$G$6:$G$455,Расчеты!BY$1)</f>
        <v>3</v>
      </c>
      <c r="BZ83" s="94">
        <f>SUMIFS(Свод!$BU$6:$BU$455,Свод!$G$6:$G$455,Расчеты!BZ$1)</f>
        <v>9</v>
      </c>
      <c r="CA83" s="94">
        <f>SUMIFS(Свод!$BU$6:$BU$455,Свод!$G$6:$G$455,Расчеты!CA$1)</f>
        <v>3</v>
      </c>
      <c r="CB83" s="94">
        <f>SUMIFS(Свод!$BU$6:$BU$455,Свод!$G$6:$G$455,Расчеты!CB$1)</f>
        <v>26</v>
      </c>
      <c r="CC83" s="94">
        <f>SUMIFS(Свод!$BU$6:$BU$455,Свод!$G$6:$G$455,Расчеты!CC$1)</f>
        <v>0</v>
      </c>
      <c r="CD83" s="94">
        <f>SUMIFS(Свод!$BU$6:$BU$455,Свод!$G$6:$G$455,Расчеты!CD$1)</f>
        <v>0</v>
      </c>
      <c r="CE83" s="94">
        <f>SUMIFS(Свод!$BU$6:$BU$455,Свод!$G$6:$G$455,Расчеты!CE$1)</f>
        <v>0</v>
      </c>
      <c r="CF83" s="94">
        <f>SUMIFS(Свод!$BU$6:$BU$455,Свод!$G$6:$G$455,Расчеты!CF$1)</f>
        <v>17</v>
      </c>
      <c r="CG83" s="94">
        <f>SUMIFS(Свод!$BU$6:$BU$455,Свод!$G$6:$G$455,Расчеты!CG$1)</f>
        <v>7</v>
      </c>
      <c r="CH83" s="94">
        <f>SUMIFS(Свод!$BU$6:$BU$455,Свод!$G$6:$G$455,Расчеты!CH$1)</f>
        <v>94</v>
      </c>
      <c r="CI83" s="94">
        <f>SUMIFS(Свод!$BU$6:$BU$455,Свод!$G$6:$G$455,Расчеты!CI$1)</f>
        <v>6</v>
      </c>
      <c r="CJ83" s="94">
        <f>SUMIFS(Свод!$BU$6:$BU$455,Свод!$G$6:$G$455,Расчеты!CJ$1)</f>
        <v>4</v>
      </c>
      <c r="CK83" s="94">
        <f>SUMIFS(Свод!$BU$6:$BU$455,Свод!$G$6:$G$455,Расчеты!CK$1)</f>
        <v>3</v>
      </c>
      <c r="CL83" s="94">
        <f>SUMIFS(Свод!$BU$6:$BU$455,Свод!$G$6:$G$455,Расчеты!CL$1)</f>
        <v>0</v>
      </c>
      <c r="CM83" s="94">
        <f>SUMIFS(Свод!$BU$6:$BU$455,Свод!$G$6:$G$455,Расчеты!CM$1)</f>
        <v>3</v>
      </c>
      <c r="CN83" s="94">
        <f>SUMIFS(Свод!$BU$6:$BU$455,Свод!$G$6:$G$455,Расчеты!CN$1)</f>
        <v>19</v>
      </c>
      <c r="CO83" s="94">
        <f>SUMIFS(Свод!$BU$6:$BU$455,Свод!$G$6:$G$455,Расчеты!CO$1)</f>
        <v>10</v>
      </c>
      <c r="CP83" s="94">
        <f>SUMIFS(Свод!$BU$6:$BU$455,Свод!$G$6:$G$455,Расчеты!CP$1)</f>
        <v>4</v>
      </c>
      <c r="CQ83" s="94">
        <f>SUMIFS(Свод!$BU$6:$BU$455,Свод!$G$6:$G$455,Расчеты!CQ$1)</f>
        <v>0</v>
      </c>
      <c r="CR83" s="94">
        <f>SUMIFS(Свод!$BU$6:$BU$455,Свод!$G$6:$G$455,Расчеты!CR$1)</f>
        <v>5</v>
      </c>
      <c r="CS83" s="94">
        <f>SUMIFS(Свод!$BU$6:$BU$455,Свод!$G$6:$G$455,Расчеты!CS$1)</f>
        <v>41</v>
      </c>
      <c r="CT83" s="94">
        <f>SUMIFS(Свод!$BU$6:$BU$455,Свод!$G$6:$G$455,Расчеты!CT$1)</f>
        <v>0</v>
      </c>
      <c r="CU83" s="94">
        <f>SUMIFS(Свод!$BU$6:$BU$455,Свод!$G$6:$G$455,Расчеты!CU$1)</f>
        <v>36</v>
      </c>
      <c r="CV83" s="94">
        <f>SUMIFS(Свод!$BU$6:$BU$455,Свод!$G$6:$G$455,Расчеты!CV$1)</f>
        <v>0</v>
      </c>
      <c r="CW83" s="94">
        <f>SUMIFS(Свод!$BU$6:$BU$455,Свод!$G$6:$G$455,Расчеты!CW$1)</f>
        <v>7</v>
      </c>
      <c r="CX83" s="94">
        <f>SUMIFS(Свод!$BU$6:$BU$455,Свод!$G$6:$G$455,Расчеты!CX$1)</f>
        <v>32</v>
      </c>
    </row>
    <row r="84" spans="1:102" ht="17" x14ac:dyDescent="0.2">
      <c r="A84" s="1238"/>
      <c r="B84" s="1237"/>
      <c r="C84" s="97" t="s">
        <v>8886</v>
      </c>
      <c r="D84" s="97">
        <v>88</v>
      </c>
      <c r="E84" s="502" t="s">
        <v>9043</v>
      </c>
      <c r="F84" s="1237"/>
      <c r="G84" s="513" t="s">
        <v>64</v>
      </c>
      <c r="H84" s="513"/>
      <c r="I84" s="97"/>
      <c r="J84" s="97"/>
      <c r="K84" s="97" t="s">
        <v>479</v>
      </c>
      <c r="L84" s="97" t="s">
        <v>4906</v>
      </c>
      <c r="M84" s="97">
        <v>7.6939392332573311E-2</v>
      </c>
      <c r="N84" s="572">
        <v>6.7625108740442294E-2</v>
      </c>
      <c r="P84" s="573">
        <v>5.234595040186852E-2</v>
      </c>
      <c r="Q84" s="94">
        <f>Q83/Q117</f>
        <v>5.1819822273671309E-2</v>
      </c>
    </row>
    <row r="85" spans="1:102" ht="34" x14ac:dyDescent="0.2">
      <c r="A85" s="1238"/>
      <c r="B85" s="1237"/>
      <c r="C85" s="97" t="s">
        <v>8886</v>
      </c>
      <c r="D85" s="97">
        <v>66</v>
      </c>
      <c r="E85" s="502" t="s">
        <v>9044</v>
      </c>
      <c r="F85" s="1237" t="s">
        <v>9045</v>
      </c>
      <c r="G85" s="513" t="s">
        <v>9022</v>
      </c>
      <c r="H85" s="513"/>
      <c r="I85" s="97"/>
      <c r="J85" s="97"/>
      <c r="K85" s="97"/>
      <c r="L85" s="97">
        <v>733</v>
      </c>
      <c r="M85" s="97">
        <v>1007</v>
      </c>
      <c r="N85" s="99">
        <v>1453</v>
      </c>
      <c r="O85" s="94">
        <v>1722</v>
      </c>
      <c r="P85" s="94">
        <v>1673</v>
      </c>
      <c r="Q85" s="94">
        <f t="shared" si="26"/>
        <v>2144</v>
      </c>
      <c r="R85" s="94">
        <f>SUMIFS(Свод!$BV$6:$BV$455,Свод!$G$6:$G$455,Расчеты!R$1)</f>
        <v>1</v>
      </c>
      <c r="S85" s="94">
        <f>SUMIFS(Свод!$BV$6:$BV$455,Свод!$G$6:$G$455,Расчеты!S$1)</f>
        <v>2</v>
      </c>
      <c r="T85" s="94">
        <f>SUMIFS(Свод!$BV$6:$BV$455,Свод!$G$6:$G$455,Расчеты!T$1)</f>
        <v>66</v>
      </c>
      <c r="U85" s="94">
        <f>SUMIFS(Свод!$BV$6:$BV$455,Свод!$G$6:$G$455,Расчеты!U$1)</f>
        <v>21</v>
      </c>
      <c r="V85" s="94">
        <f>SUMIFS(Свод!$BV$6:$BV$455,Свод!$G$6:$G$455,Расчеты!V$1)</f>
        <v>8</v>
      </c>
      <c r="W85" s="94">
        <f>SUMIFS(Свод!$BV$6:$BV$455,Свод!$G$6:$G$455,Расчеты!W$1)</f>
        <v>4</v>
      </c>
      <c r="X85" s="94">
        <f>SUMIFS(Свод!$BV$6:$BV$455,Свод!$G$6:$G$455,Расчеты!X$1)</f>
        <v>72</v>
      </c>
      <c r="Y85" s="94">
        <f>SUMIFS(Свод!$BV$6:$BV$455,Свод!$G$6:$G$455,Расчеты!Y$1)</f>
        <v>193</v>
      </c>
      <c r="Z85" s="94">
        <f>SUMIFS(Свод!$BV$6:$BV$455,Свод!$G$6:$G$455,Расчеты!Z$1)</f>
        <v>2</v>
      </c>
      <c r="AA85" s="94">
        <f>SUMIFS(Свод!$BV$6:$BV$455,Свод!$G$6:$G$455,Расчеты!AA$1)</f>
        <v>294</v>
      </c>
      <c r="AB85" s="94">
        <f>SUMIFS(Свод!$BV$6:$BV$455,Свод!$G$6:$G$455,Расчеты!AB$1)</f>
        <v>4</v>
      </c>
      <c r="AC85" s="94">
        <f>SUMIFS(Свод!$BV$6:$BV$455,Свод!$G$6:$G$455,Расчеты!AC$1)</f>
        <v>0</v>
      </c>
      <c r="AD85" s="94">
        <f>SUMIFS(Свод!$BV$6:$BV$455,Свод!$G$6:$G$455,Расчеты!AD$1)</f>
        <v>97</v>
      </c>
      <c r="AE85" s="94">
        <f>SUMIFS(Свод!$BV$6:$BV$455,Свод!$G$6:$G$455,Расчеты!AE$1)</f>
        <v>25</v>
      </c>
      <c r="AF85" s="94">
        <f>SUMIFS(Свод!$BV$6:$BV$455,Свод!$G$6:$G$455,Расчеты!AF$1)</f>
        <v>3</v>
      </c>
      <c r="AG85" s="94">
        <f>SUMIFS(Свод!$BV$6:$BV$455,Свод!$G$6:$G$455,Расчеты!AG$1)</f>
        <v>0</v>
      </c>
      <c r="AH85" s="94">
        <f>SUMIFS(Свод!$BV$6:$BV$455,Свод!$G$6:$G$455,Расчеты!AH$1)</f>
        <v>5</v>
      </c>
      <c r="AI85" s="94">
        <f>SUMIFS(Свод!$BV$6:$BV$455,Свод!$G$6:$G$455,Расчеты!AI$1)</f>
        <v>38</v>
      </c>
      <c r="AJ85" s="94">
        <f>SUMIFS(Свод!$BV$6:$BV$455,Свод!$G$6:$G$455,Расчеты!AJ$1)</f>
        <v>0</v>
      </c>
      <c r="AK85" s="94">
        <f>SUMIFS(Свод!$BV$6:$BV$455,Свод!$G$6:$G$455,Расчеты!AK$1)</f>
        <v>110</v>
      </c>
      <c r="AL85" s="94">
        <f>SUMIFS(Свод!$BV$6:$BV$455,Свод!$G$6:$G$455,Расчеты!AL$1)</f>
        <v>0</v>
      </c>
      <c r="AM85" s="94">
        <f>SUMIFS(Свод!$BV$6:$BV$455,Свод!$G$6:$G$455,Расчеты!AM$1)</f>
        <v>1</v>
      </c>
      <c r="AN85" s="94">
        <f>SUMIFS(Свод!$BV$6:$BV$455,Свод!$G$6:$G$455,Расчеты!AN$1)</f>
        <v>3</v>
      </c>
      <c r="AO85" s="94">
        <f>SUMIFS(Свод!$BV$6:$BV$455,Свод!$G$6:$G$455,Расчеты!AO$1)</f>
        <v>37</v>
      </c>
      <c r="AP85" s="94">
        <f>SUMIFS(Свод!$BV$6:$BV$455,Свод!$G$6:$G$455,Расчеты!AP$1)</f>
        <v>0</v>
      </c>
      <c r="AQ85" s="94">
        <f>SUMIFS(Свод!$BV$6:$BV$455,Свод!$G$6:$G$455,Расчеты!AQ$1)</f>
        <v>0</v>
      </c>
      <c r="AR85" s="94">
        <f>SUMIFS(Свод!$BV$6:$BV$455,Свод!$G$6:$G$455,Расчеты!AR$1)</f>
        <v>35</v>
      </c>
      <c r="AS85" s="94">
        <f>SUMIFS(Свод!$BV$6:$BV$455,Свод!$G$6:$G$455,Расчеты!AS$1)</f>
        <v>43</v>
      </c>
      <c r="AT85" s="94">
        <f>SUMIFS(Свод!$BV$6:$BV$455,Свод!$G$6:$G$455,Расчеты!AT$1)</f>
        <v>18</v>
      </c>
      <c r="AU85" s="94">
        <f>SUMIFS(Свод!$BV$6:$BV$455,Свод!$G$6:$G$455,Расчеты!AU$1)</f>
        <v>50</v>
      </c>
      <c r="AV85" s="94">
        <f>SUMIFS(Свод!$BV$6:$BV$455,Свод!$G$6:$G$455,Расчеты!AV$1)</f>
        <v>23</v>
      </c>
      <c r="AW85" s="94">
        <f>SUMIFS(Свод!$BV$6:$BV$455,Свод!$G$6:$G$455,Расчеты!AW$1)</f>
        <v>37</v>
      </c>
      <c r="AX85" s="94">
        <f>SUMIFS(Свод!$BV$6:$BV$455,Свод!$G$6:$G$455,Расчеты!AX$1)</f>
        <v>3</v>
      </c>
      <c r="AY85" s="94">
        <f>SUMIFS(Свод!$BV$6:$BV$455,Свод!$G$6:$G$455,Расчеты!AY$1)</f>
        <v>0</v>
      </c>
      <c r="AZ85" s="94">
        <f>SUMIFS(Свод!$BV$6:$BV$455,Свод!$G$6:$G$455,Расчеты!AZ$1)</f>
        <v>15</v>
      </c>
      <c r="BA85" s="94">
        <f>SUMIFS(Свод!$BV$6:$BV$455,Свод!$G$6:$G$455,Расчеты!BA$1)</f>
        <v>10</v>
      </c>
      <c r="BB85" s="94">
        <f>SUMIFS(Свод!$BV$6:$BV$455,Свод!$G$6:$G$455,Расчеты!BB$1)</f>
        <v>18</v>
      </c>
      <c r="BC85" s="94">
        <f>SUMIFS(Свод!$BV$6:$BV$455,Свод!$G$6:$G$455,Расчеты!BC$1)</f>
        <v>3</v>
      </c>
      <c r="BD85" s="94">
        <f>SUMIFS(Свод!$BV$6:$BV$455,Свод!$G$6:$G$455,Расчеты!BD$1)</f>
        <v>0</v>
      </c>
      <c r="BE85" s="94">
        <f>SUMIFS(Свод!$BV$6:$BV$455,Свод!$G$6:$G$455,Расчеты!BE$1)</f>
        <v>0</v>
      </c>
      <c r="BF85" s="94">
        <f>SUMIFS(Свод!$BV$6:$BV$455,Свод!$G$6:$G$455,Расчеты!BF$1)</f>
        <v>0</v>
      </c>
      <c r="BG85" s="94">
        <f>SUMIFS(Свод!$BV$6:$BV$455,Свод!$G$6:$G$455,Расчеты!BG$1)</f>
        <v>0</v>
      </c>
      <c r="BH85" s="94">
        <f>SUMIFS(Свод!$BV$6:$BV$455,Свод!$G$6:$G$455,Расчеты!BH$1)</f>
        <v>109</v>
      </c>
      <c r="BI85" s="94">
        <f>SUMIFS(Свод!$BV$6:$BV$455,Свод!$G$6:$G$455,Расчеты!BI$1)</f>
        <v>7</v>
      </c>
      <c r="BJ85" s="94">
        <f>SUMIFS(Свод!$BV$6:$BV$455,Свод!$G$6:$G$455,Расчеты!BJ$1)</f>
        <v>0</v>
      </c>
      <c r="BK85" s="94">
        <f>SUMIFS(Свод!$BV$6:$BV$455,Свод!$G$6:$G$455,Расчеты!BK$1)</f>
        <v>43</v>
      </c>
      <c r="BL85" s="94">
        <f>SUMIFS(Свод!$BV$6:$BV$455,Свод!$G$6:$G$455,Расчеты!BL$1)</f>
        <v>38</v>
      </c>
      <c r="BM85" s="94">
        <f>SUMIFS(Свод!$BV$6:$BV$455,Свод!$G$6:$G$455,Расчеты!BM$1)</f>
        <v>17</v>
      </c>
      <c r="BN85" s="94">
        <f>SUMIFS(Свод!$BV$6:$BV$455,Свод!$G$6:$G$455,Расчеты!BN$1)</f>
        <v>21</v>
      </c>
      <c r="BO85" s="94">
        <f>SUMIFS(Свод!$BV$6:$BV$455,Свод!$G$6:$G$455,Расчеты!BO$1)</f>
        <v>18</v>
      </c>
      <c r="BP85" s="94">
        <f>SUMIFS(Свод!$BV$6:$BV$455,Свод!$G$6:$G$455,Расчеты!BP$1)</f>
        <v>2</v>
      </c>
      <c r="BQ85" s="94">
        <f>SUMIFS(Свод!$BV$6:$BV$455,Свод!$G$6:$G$455,Расчеты!BQ$1)</f>
        <v>0</v>
      </c>
      <c r="BR85" s="94">
        <f>SUMIFS(Свод!$BV$6:$BV$455,Свод!$G$6:$G$455,Расчеты!BR$1)</f>
        <v>73</v>
      </c>
      <c r="BS85" s="94">
        <f>SUMIFS(Свод!$BV$6:$BV$455,Свод!$G$6:$G$455,Расчеты!BS$1)</f>
        <v>0</v>
      </c>
      <c r="BT85" s="94">
        <f>SUMIFS(Свод!$BV$6:$BV$455,Свод!$G$6:$G$455,Расчеты!BT$1)</f>
        <v>37</v>
      </c>
      <c r="BU85" s="94">
        <f>SUMIFS(Свод!$BV$6:$BV$455,Свод!$G$6:$G$455,Расчеты!BU$1)</f>
        <v>23</v>
      </c>
      <c r="BV85" s="94">
        <f>SUMIFS(Свод!$BV$6:$BV$455,Свод!$G$6:$G$455,Расчеты!BV$1)</f>
        <v>31</v>
      </c>
      <c r="BW85" s="94">
        <f>SUMIFS(Свод!$BV$6:$BV$455,Свод!$G$6:$G$455,Расчеты!BW$1)</f>
        <v>36</v>
      </c>
      <c r="BX85" s="94">
        <f>SUMIFS(Свод!$BV$6:$BV$455,Свод!$G$6:$G$455,Расчеты!BX$1)</f>
        <v>4</v>
      </c>
      <c r="BY85" s="94">
        <f>SUMIFS(Свод!$BV$6:$BV$455,Свод!$G$6:$G$455,Расчеты!BY$1)</f>
        <v>69</v>
      </c>
      <c r="BZ85" s="94">
        <f>SUMIFS(Свод!$BV$6:$BV$455,Свод!$G$6:$G$455,Расчеты!BZ$1)</f>
        <v>35</v>
      </c>
      <c r="CA85" s="94">
        <f>SUMIFS(Свод!$BV$6:$BV$455,Свод!$G$6:$G$455,Расчеты!CA$1)</f>
        <v>5</v>
      </c>
      <c r="CB85" s="94">
        <f>SUMIFS(Свод!$BV$6:$BV$455,Свод!$G$6:$G$455,Расчеты!CB$1)</f>
        <v>21</v>
      </c>
      <c r="CC85" s="94">
        <f>SUMIFS(Свод!$BV$6:$BV$455,Свод!$G$6:$G$455,Расчеты!CC$1)</f>
        <v>6</v>
      </c>
      <c r="CD85" s="94">
        <f>SUMIFS(Свод!$BV$6:$BV$455,Свод!$G$6:$G$455,Расчеты!CD$1)</f>
        <v>0</v>
      </c>
      <c r="CE85" s="94">
        <f>SUMIFS(Свод!$BV$6:$BV$455,Свод!$G$6:$G$455,Расчеты!CE$1)</f>
        <v>0</v>
      </c>
      <c r="CF85" s="94">
        <f>SUMIFS(Свод!$BV$6:$BV$455,Свод!$G$6:$G$455,Расчеты!CF$1)</f>
        <v>35</v>
      </c>
      <c r="CG85" s="94">
        <f>SUMIFS(Свод!$BV$6:$BV$455,Свод!$G$6:$G$455,Расчеты!CG$1)</f>
        <v>3</v>
      </c>
      <c r="CH85" s="94">
        <f>SUMIFS(Свод!$BV$6:$BV$455,Свод!$G$6:$G$455,Расчеты!CH$1)</f>
        <v>39</v>
      </c>
      <c r="CI85" s="94">
        <f>SUMIFS(Свод!$BV$6:$BV$455,Свод!$G$6:$G$455,Расчеты!CI$1)</f>
        <v>17</v>
      </c>
      <c r="CJ85" s="94">
        <f>SUMIFS(Свод!$BV$6:$BV$455,Свод!$G$6:$G$455,Расчеты!CJ$1)</f>
        <v>4</v>
      </c>
      <c r="CK85" s="94">
        <f>SUMIFS(Свод!$BV$6:$BV$455,Свод!$G$6:$G$455,Расчеты!CK$1)</f>
        <v>5</v>
      </c>
      <c r="CL85" s="94">
        <f>SUMIFS(Свод!$BV$6:$BV$455,Свод!$G$6:$G$455,Расчеты!CL$1)</f>
        <v>0</v>
      </c>
      <c r="CM85" s="94">
        <f>SUMIFS(Свод!$BV$6:$BV$455,Свод!$G$6:$G$455,Расчеты!CM$1)</f>
        <v>18</v>
      </c>
      <c r="CN85" s="94">
        <f>SUMIFS(Свод!$BV$6:$BV$455,Свод!$G$6:$G$455,Расчеты!CN$1)</f>
        <v>39</v>
      </c>
      <c r="CO85" s="94">
        <f>SUMIFS(Свод!$BV$6:$BV$455,Свод!$G$6:$G$455,Расчеты!CO$1)</f>
        <v>8</v>
      </c>
      <c r="CP85" s="94">
        <f>SUMIFS(Свод!$BV$6:$BV$455,Свод!$G$6:$G$455,Расчеты!CP$1)</f>
        <v>55</v>
      </c>
      <c r="CQ85" s="94">
        <f>SUMIFS(Свод!$BV$6:$BV$455,Свод!$G$6:$G$455,Расчеты!CQ$1)</f>
        <v>0</v>
      </c>
      <c r="CR85" s="94">
        <f>SUMIFS(Свод!$BV$6:$BV$455,Свод!$G$6:$G$455,Расчеты!CR$1)</f>
        <v>22</v>
      </c>
      <c r="CS85" s="94">
        <f>SUMIFS(Свод!$BV$6:$BV$455,Свод!$G$6:$G$455,Расчеты!CS$1)</f>
        <v>31</v>
      </c>
      <c r="CT85" s="94">
        <f>SUMIFS(Свод!$BV$6:$BV$455,Свод!$G$6:$G$455,Расчеты!CT$1)</f>
        <v>3</v>
      </c>
      <c r="CU85" s="94">
        <f>SUMIFS(Свод!$BV$6:$BV$455,Свод!$G$6:$G$455,Расчеты!CU$1)</f>
        <v>1</v>
      </c>
      <c r="CV85" s="94">
        <f>SUMIFS(Свод!$BV$6:$BV$455,Свод!$G$6:$G$455,Расчеты!CV$1)</f>
        <v>2</v>
      </c>
      <c r="CW85" s="94">
        <f>SUMIFS(Свод!$BV$6:$BV$455,Свод!$G$6:$G$455,Расчеты!CW$1)</f>
        <v>9</v>
      </c>
      <c r="CX85" s="94">
        <f>SUMIFS(Свод!$BV$6:$BV$455,Свод!$G$6:$G$455,Расчеты!CX$1)</f>
        <v>17</v>
      </c>
    </row>
    <row r="86" spans="1:102" ht="17" x14ac:dyDescent="0.2">
      <c r="A86" s="1238"/>
      <c r="B86" s="1237"/>
      <c r="C86" s="97" t="s">
        <v>8886</v>
      </c>
      <c r="D86" s="97">
        <v>67</v>
      </c>
      <c r="E86" s="502" t="s">
        <v>9046</v>
      </c>
      <c r="F86" s="1237"/>
      <c r="G86" s="513" t="s">
        <v>64</v>
      </c>
      <c r="H86" s="513"/>
      <c r="I86" s="97"/>
      <c r="J86" s="97"/>
      <c r="K86" s="97"/>
      <c r="L86" s="97">
        <v>4.5979174507590016E-2</v>
      </c>
      <c r="M86" s="97">
        <v>5.3396256429291057E-2</v>
      </c>
      <c r="N86" s="572">
        <v>6.6526257955221824E-2</v>
      </c>
      <c r="P86" s="573">
        <v>5.7463763138009202E-2</v>
      </c>
      <c r="Q86" s="94">
        <f>Q85/Q117</f>
        <v>7.2997174083279423E-2</v>
      </c>
    </row>
    <row r="87" spans="1:102" ht="34" x14ac:dyDescent="0.2">
      <c r="A87" s="1238"/>
      <c r="B87" s="1237"/>
      <c r="C87" s="97" t="s">
        <v>8886</v>
      </c>
      <c r="D87" s="97">
        <v>89</v>
      </c>
      <c r="E87" s="502" t="s">
        <v>9047</v>
      </c>
      <c r="F87" s="1237" t="s">
        <v>9048</v>
      </c>
      <c r="G87" s="513" t="s">
        <v>9022</v>
      </c>
      <c r="H87" s="513"/>
      <c r="I87" s="97"/>
      <c r="J87" s="97"/>
      <c r="K87" s="97"/>
      <c r="L87" s="97" t="s">
        <v>4906</v>
      </c>
      <c r="M87" s="97">
        <v>1578</v>
      </c>
      <c r="N87" s="99">
        <v>2440</v>
      </c>
      <c r="O87" s="94">
        <v>2490</v>
      </c>
      <c r="P87" s="94">
        <v>1675</v>
      </c>
      <c r="Q87" s="94">
        <f t="shared" si="26"/>
        <v>3315</v>
      </c>
      <c r="R87" s="94">
        <f>SUMIFS(Свод!$BW$6:$BW$455,Свод!$G$6:$G$455,Расчеты!R$1)</f>
        <v>1</v>
      </c>
      <c r="S87" s="94">
        <f>SUMIFS(Свод!$BW$6:$BW$455,Свод!$G$6:$G$455,Расчеты!S$1)</f>
        <v>6</v>
      </c>
      <c r="T87" s="94">
        <f>SUMIFS(Свод!$BW$6:$BW$455,Свод!$G$6:$G$455,Расчеты!T$1)</f>
        <v>0</v>
      </c>
      <c r="U87" s="94">
        <f>SUMIFS(Свод!$BW$6:$BW$455,Свод!$G$6:$G$455,Расчеты!U$1)</f>
        <v>0</v>
      </c>
      <c r="V87" s="94">
        <f>SUMIFS(Свод!$BW$6:$BW$455,Свод!$G$6:$G$455,Расчеты!V$1)</f>
        <v>0</v>
      </c>
      <c r="W87" s="94">
        <f>SUMIFS(Свод!$BW$6:$BW$455,Свод!$G$6:$G$455,Расчеты!W$1)</f>
        <v>0</v>
      </c>
      <c r="X87" s="94">
        <f>SUMIFS(Свод!$BW$6:$BW$455,Свод!$G$6:$G$455,Расчеты!X$1)</f>
        <v>366</v>
      </c>
      <c r="Y87" s="94">
        <f>SUMIFS(Свод!$BW$6:$BW$455,Свод!$G$6:$G$455,Расчеты!Y$1)</f>
        <v>66</v>
      </c>
      <c r="Z87" s="94">
        <f>SUMIFS(Свод!$BW$6:$BW$455,Свод!$G$6:$G$455,Расчеты!Z$1)</f>
        <v>0</v>
      </c>
      <c r="AA87" s="94">
        <f>SUMIFS(Свод!$BW$6:$BW$455,Свод!$G$6:$G$455,Расчеты!AA$1)</f>
        <v>625</v>
      </c>
      <c r="AB87" s="94">
        <f>SUMIFS(Свод!$BW$6:$BW$455,Свод!$G$6:$G$455,Расчеты!AB$1)</f>
        <v>89</v>
      </c>
      <c r="AC87" s="94">
        <f>SUMIFS(Свод!$BW$6:$BW$455,Свод!$G$6:$G$455,Расчеты!AC$1)</f>
        <v>0</v>
      </c>
      <c r="AD87" s="94">
        <f>SUMIFS(Свод!$BW$6:$BW$455,Свод!$G$6:$G$455,Расчеты!AD$1)</f>
        <v>19</v>
      </c>
      <c r="AE87" s="94">
        <f>SUMIFS(Свод!$BW$6:$BW$455,Свод!$G$6:$G$455,Расчеты!AE$1)</f>
        <v>0</v>
      </c>
      <c r="AF87" s="94">
        <f>SUMIFS(Свод!$BW$6:$BW$455,Свод!$G$6:$G$455,Расчеты!AF$1)</f>
        <v>2</v>
      </c>
      <c r="AG87" s="94">
        <f>SUMIFS(Свод!$BW$6:$BW$455,Свод!$G$6:$G$455,Расчеты!AG$1)</f>
        <v>0</v>
      </c>
      <c r="AH87" s="94">
        <f>SUMIFS(Свод!$BW$6:$BW$455,Свод!$G$6:$G$455,Расчеты!AH$1)</f>
        <v>196</v>
      </c>
      <c r="AI87" s="94">
        <f>SUMIFS(Свод!$BW$6:$BW$455,Свод!$G$6:$G$455,Расчеты!AI$1)</f>
        <v>27</v>
      </c>
      <c r="AJ87" s="94">
        <f>SUMIFS(Свод!$BW$6:$BW$455,Свод!$G$6:$G$455,Расчеты!AJ$1)</f>
        <v>0</v>
      </c>
      <c r="AK87" s="94">
        <f>SUMIFS(Свод!$BW$6:$BW$455,Свод!$G$6:$G$455,Расчеты!AK$1)</f>
        <v>0</v>
      </c>
      <c r="AL87" s="94">
        <f>SUMIFS(Свод!$BW$6:$BW$455,Свод!$G$6:$G$455,Расчеты!AL$1)</f>
        <v>0</v>
      </c>
      <c r="AM87" s="94">
        <f>SUMIFS(Свод!$BW$6:$BW$455,Свод!$G$6:$G$455,Расчеты!AM$1)</f>
        <v>42</v>
      </c>
      <c r="AN87" s="94">
        <f>SUMIFS(Свод!$BW$6:$BW$455,Свод!$G$6:$G$455,Расчеты!AN$1)</f>
        <v>0</v>
      </c>
      <c r="AO87" s="94">
        <f>SUMIFS(Свод!$BW$6:$BW$455,Свод!$G$6:$G$455,Расчеты!AO$1)</f>
        <v>0</v>
      </c>
      <c r="AP87" s="94">
        <f>SUMIFS(Свод!$BW$6:$BW$455,Свод!$G$6:$G$455,Расчеты!AP$1)</f>
        <v>0</v>
      </c>
      <c r="AQ87" s="94">
        <f>SUMIFS(Свод!$BW$6:$BW$455,Свод!$G$6:$G$455,Расчеты!AQ$1)</f>
        <v>0</v>
      </c>
      <c r="AR87" s="94">
        <f>SUMIFS(Свод!$BW$6:$BW$455,Свод!$G$6:$G$455,Расчеты!AR$1)</f>
        <v>61</v>
      </c>
      <c r="AS87" s="94">
        <f>SUMIFS(Свод!$BW$6:$BW$455,Свод!$G$6:$G$455,Расчеты!AS$1)</f>
        <v>0</v>
      </c>
      <c r="AT87" s="94">
        <f>SUMIFS(Свод!$BW$6:$BW$455,Свод!$G$6:$G$455,Расчеты!AT$1)</f>
        <v>91</v>
      </c>
      <c r="AU87" s="94">
        <f>SUMIFS(Свод!$BW$6:$BW$455,Свод!$G$6:$G$455,Расчеты!AU$1)</f>
        <v>9</v>
      </c>
      <c r="AV87" s="94">
        <f>SUMIFS(Свод!$BW$6:$BW$455,Свод!$G$6:$G$455,Расчеты!AV$1)</f>
        <v>107</v>
      </c>
      <c r="AW87" s="94">
        <f>SUMIFS(Свод!$BW$6:$BW$455,Свод!$G$6:$G$455,Расчеты!AW$1)</f>
        <v>30</v>
      </c>
      <c r="AX87" s="94">
        <f>SUMIFS(Свод!$BW$6:$BW$455,Свод!$G$6:$G$455,Расчеты!AX$1)</f>
        <v>12</v>
      </c>
      <c r="AY87" s="94">
        <f>SUMIFS(Свод!$BW$6:$BW$455,Свод!$G$6:$G$455,Расчеты!AY$1)</f>
        <v>0</v>
      </c>
      <c r="AZ87" s="94">
        <f>SUMIFS(Свод!$BW$6:$BW$455,Свод!$G$6:$G$455,Расчеты!AZ$1)</f>
        <v>2</v>
      </c>
      <c r="BA87" s="94">
        <f>SUMIFS(Свод!$BW$6:$BW$455,Свод!$G$6:$G$455,Расчеты!BA$1)</f>
        <v>6</v>
      </c>
      <c r="BB87" s="94">
        <f>SUMIFS(Свод!$BW$6:$BW$455,Свод!$G$6:$G$455,Расчеты!BB$1)</f>
        <v>128</v>
      </c>
      <c r="BC87" s="94">
        <f>SUMIFS(Свод!$BW$6:$BW$455,Свод!$G$6:$G$455,Расчеты!BC$1)</f>
        <v>0</v>
      </c>
      <c r="BD87" s="94">
        <f>SUMIFS(Свод!$BW$6:$BW$455,Свод!$G$6:$G$455,Расчеты!BD$1)</f>
        <v>0</v>
      </c>
      <c r="BE87" s="94">
        <f>SUMIFS(Свод!$BW$6:$BW$455,Свод!$G$6:$G$455,Расчеты!BE$1)</f>
        <v>39</v>
      </c>
      <c r="BF87" s="94">
        <f>SUMIFS(Свод!$BW$6:$BW$455,Свод!$G$6:$G$455,Расчеты!BF$1)</f>
        <v>0</v>
      </c>
      <c r="BG87" s="94">
        <f>SUMIFS(Свод!$BW$6:$BW$455,Свод!$G$6:$G$455,Расчеты!BG$1)</f>
        <v>0</v>
      </c>
      <c r="BH87" s="94">
        <f>SUMIFS(Свод!$BW$6:$BW$455,Свод!$G$6:$G$455,Расчеты!BH$1)</f>
        <v>134</v>
      </c>
      <c r="BI87" s="94">
        <f>SUMIFS(Свод!$BW$6:$BW$455,Свод!$G$6:$G$455,Расчеты!BI$1)</f>
        <v>0</v>
      </c>
      <c r="BJ87" s="94">
        <f>SUMIFS(Свод!$BW$6:$BW$455,Свод!$G$6:$G$455,Расчеты!BJ$1)</f>
        <v>2</v>
      </c>
      <c r="BK87" s="94">
        <f>SUMIFS(Свод!$BW$6:$BW$455,Свод!$G$6:$G$455,Расчеты!BK$1)</f>
        <v>11</v>
      </c>
      <c r="BL87" s="94">
        <f>SUMIFS(Свод!$BW$6:$BW$455,Свод!$G$6:$G$455,Расчеты!BL$1)</f>
        <v>50</v>
      </c>
      <c r="BM87" s="94">
        <f>SUMIFS(Свод!$BW$6:$BW$455,Свод!$G$6:$G$455,Расчеты!BM$1)</f>
        <v>1</v>
      </c>
      <c r="BN87" s="94">
        <f>SUMIFS(Свод!$BW$6:$BW$455,Свод!$G$6:$G$455,Расчеты!BN$1)</f>
        <v>79</v>
      </c>
      <c r="BO87" s="94">
        <f>SUMIFS(Свод!$BW$6:$BW$455,Свод!$G$6:$G$455,Расчеты!BO$1)</f>
        <v>1</v>
      </c>
      <c r="BP87" s="94">
        <f>SUMIFS(Свод!$BW$6:$BW$455,Свод!$G$6:$G$455,Расчеты!BP$1)</f>
        <v>121</v>
      </c>
      <c r="BQ87" s="94">
        <f>SUMIFS(Свод!$BW$6:$BW$455,Свод!$G$6:$G$455,Расчеты!BQ$1)</f>
        <v>1</v>
      </c>
      <c r="BR87" s="94">
        <f>SUMIFS(Свод!$BW$6:$BW$455,Свод!$G$6:$G$455,Расчеты!BR$1)</f>
        <v>0</v>
      </c>
      <c r="BS87" s="94">
        <f>SUMIFS(Свод!$BW$6:$BW$455,Свод!$G$6:$G$455,Расчеты!BS$1)</f>
        <v>36</v>
      </c>
      <c r="BT87" s="94">
        <f>SUMIFS(Свод!$BW$6:$BW$455,Свод!$G$6:$G$455,Расчеты!BT$1)</f>
        <v>6</v>
      </c>
      <c r="BU87" s="94">
        <f>SUMIFS(Свод!$BW$6:$BW$455,Свод!$G$6:$G$455,Расчеты!BU$1)</f>
        <v>41</v>
      </c>
      <c r="BV87" s="94">
        <f>SUMIFS(Свод!$BW$6:$BW$455,Свод!$G$6:$G$455,Расчеты!BV$1)</f>
        <v>16</v>
      </c>
      <c r="BW87" s="94">
        <f>SUMIFS(Свод!$BW$6:$BW$455,Свод!$G$6:$G$455,Расчеты!BW$1)</f>
        <v>34</v>
      </c>
      <c r="BX87" s="94">
        <f>SUMIFS(Свод!$BW$6:$BW$455,Свод!$G$6:$G$455,Расчеты!BX$1)</f>
        <v>0</v>
      </c>
      <c r="BY87" s="94">
        <f>SUMIFS(Свод!$BW$6:$BW$455,Свод!$G$6:$G$455,Расчеты!BY$1)</f>
        <v>89</v>
      </c>
      <c r="BZ87" s="94">
        <f>SUMIFS(Свод!$BW$6:$BW$455,Свод!$G$6:$G$455,Расчеты!BZ$1)</f>
        <v>42</v>
      </c>
      <c r="CA87" s="94">
        <f>SUMIFS(Свод!$BW$6:$BW$455,Свод!$G$6:$G$455,Расчеты!CA$1)</f>
        <v>0</v>
      </c>
      <c r="CB87" s="94">
        <f>SUMIFS(Свод!$BW$6:$BW$455,Свод!$G$6:$G$455,Расчеты!CB$1)</f>
        <v>18</v>
      </c>
      <c r="CC87" s="94">
        <f>SUMIFS(Свод!$BW$6:$BW$455,Свод!$G$6:$G$455,Расчеты!CC$1)</f>
        <v>25</v>
      </c>
      <c r="CD87" s="94">
        <f>SUMIFS(Свод!$BW$6:$BW$455,Свод!$G$6:$G$455,Расчеты!CD$1)</f>
        <v>0</v>
      </c>
      <c r="CE87" s="94">
        <f>SUMIFS(Свод!$BW$6:$BW$455,Свод!$G$6:$G$455,Расчеты!CE$1)</f>
        <v>1</v>
      </c>
      <c r="CF87" s="94">
        <f>SUMIFS(Свод!$BW$6:$BW$455,Свод!$G$6:$G$455,Расчеты!CF$1)</f>
        <v>3</v>
      </c>
      <c r="CG87" s="94">
        <f>SUMIFS(Свод!$BW$6:$BW$455,Свод!$G$6:$G$455,Расчеты!CG$1)</f>
        <v>129</v>
      </c>
      <c r="CH87" s="94">
        <f>SUMIFS(Свод!$BW$6:$BW$455,Свод!$G$6:$G$455,Расчеты!CH$1)</f>
        <v>0</v>
      </c>
      <c r="CI87" s="94">
        <f>SUMIFS(Свод!$BW$6:$BW$455,Свод!$G$6:$G$455,Расчеты!CI$1)</f>
        <v>17</v>
      </c>
      <c r="CJ87" s="94">
        <f>SUMIFS(Свод!$BW$6:$BW$455,Свод!$G$6:$G$455,Расчеты!CJ$1)</f>
        <v>0</v>
      </c>
      <c r="CK87" s="94">
        <f>SUMIFS(Свод!$BW$6:$BW$455,Свод!$G$6:$G$455,Расчеты!CK$1)</f>
        <v>19</v>
      </c>
      <c r="CL87" s="94">
        <f>SUMIFS(Свод!$BW$6:$BW$455,Свод!$G$6:$G$455,Расчеты!CL$1)</f>
        <v>0</v>
      </c>
      <c r="CM87" s="94">
        <f>SUMIFS(Свод!$BW$6:$BW$455,Свод!$G$6:$G$455,Расчеты!CM$1)</f>
        <v>14</v>
      </c>
      <c r="CN87" s="94">
        <f>SUMIFS(Свод!$BW$6:$BW$455,Свод!$G$6:$G$455,Расчеты!CN$1)</f>
        <v>0</v>
      </c>
      <c r="CO87" s="94">
        <f>SUMIFS(Свод!$BW$6:$BW$455,Свод!$G$6:$G$455,Расчеты!CO$1)</f>
        <v>151</v>
      </c>
      <c r="CP87" s="94">
        <f>SUMIFS(Свод!$BW$6:$BW$455,Свод!$G$6:$G$455,Расчеты!CP$1)</f>
        <v>132</v>
      </c>
      <c r="CQ87" s="94">
        <f>SUMIFS(Свод!$BW$6:$BW$455,Свод!$G$6:$G$455,Расчеты!CQ$1)</f>
        <v>0</v>
      </c>
      <c r="CR87" s="94">
        <f>SUMIFS(Свод!$BW$6:$BW$455,Свод!$G$6:$G$455,Расчеты!CR$1)</f>
        <v>38</v>
      </c>
      <c r="CS87" s="94">
        <f>SUMIFS(Свод!$BW$6:$BW$455,Свод!$G$6:$G$455,Расчеты!CS$1)</f>
        <v>71</v>
      </c>
      <c r="CT87" s="94">
        <f>SUMIFS(Свод!$BW$6:$BW$455,Свод!$G$6:$G$455,Расчеты!CT$1)</f>
        <v>1</v>
      </c>
      <c r="CU87" s="94">
        <f>SUMIFS(Свод!$BW$6:$BW$455,Свод!$G$6:$G$455,Расчеты!CU$1)</f>
        <v>0</v>
      </c>
      <c r="CV87" s="94">
        <f>SUMIFS(Свод!$BW$6:$BW$455,Свод!$G$6:$G$455,Расчеты!CV$1)</f>
        <v>4</v>
      </c>
      <c r="CW87" s="94">
        <f>SUMIFS(Свод!$BW$6:$BW$455,Свод!$G$6:$G$455,Расчеты!CW$1)</f>
        <v>10</v>
      </c>
      <c r="CX87" s="94">
        <f>SUMIFS(Свод!$BW$6:$BW$455,Свод!$G$6:$G$455,Расчеты!CX$1)</f>
        <v>94</v>
      </c>
    </row>
    <row r="88" spans="1:102" ht="17" x14ac:dyDescent="0.2">
      <c r="A88" s="1238"/>
      <c r="B88" s="1237"/>
      <c r="C88" s="97" t="s">
        <v>8886</v>
      </c>
      <c r="D88" s="97">
        <v>90</v>
      </c>
      <c r="E88" s="502" t="s">
        <v>9049</v>
      </c>
      <c r="F88" s="1237"/>
      <c r="G88" s="513" t="s">
        <v>64</v>
      </c>
      <c r="H88" s="513"/>
      <c r="I88" s="97"/>
      <c r="J88" s="97"/>
      <c r="K88" s="97" t="s">
        <v>479</v>
      </c>
      <c r="L88" s="97" t="s">
        <v>4906</v>
      </c>
      <c r="M88" s="97">
        <v>8.367357760220584E-2</v>
      </c>
      <c r="N88" s="572">
        <v>0.11171649649741312</v>
      </c>
      <c r="P88" s="573">
        <v>5.7532458610977534E-2</v>
      </c>
      <c r="Q88" s="94">
        <f>Q87/Q117</f>
        <v>0.11286643287596609</v>
      </c>
    </row>
    <row r="89" spans="1:102" ht="34" x14ac:dyDescent="0.2">
      <c r="A89" s="1238"/>
      <c r="B89" s="1237"/>
      <c r="C89" s="97" t="s">
        <v>8886</v>
      </c>
      <c r="D89" s="97">
        <v>68</v>
      </c>
      <c r="E89" s="502" t="s">
        <v>9050</v>
      </c>
      <c r="F89" s="1237" t="s">
        <v>9051</v>
      </c>
      <c r="G89" s="513" t="s">
        <v>9022</v>
      </c>
      <c r="H89" s="513"/>
      <c r="I89" s="97"/>
      <c r="J89" s="97"/>
      <c r="K89" s="97"/>
      <c r="L89" s="97">
        <v>1295</v>
      </c>
      <c r="M89" s="97">
        <v>1475</v>
      </c>
      <c r="N89" s="99">
        <v>1756</v>
      </c>
      <c r="O89" s="94">
        <v>2116</v>
      </c>
      <c r="P89" s="94">
        <v>3018</v>
      </c>
      <c r="Q89" s="94">
        <f t="shared" si="26"/>
        <v>2520</v>
      </c>
      <c r="R89" s="94">
        <f>SUMIFS(Свод!$BX$6:$BX$455,Свод!$G$6:$G$455,Расчеты!R$1)</f>
        <v>1</v>
      </c>
      <c r="S89" s="94">
        <f>SUMIFS(Свод!$BX$6:$BX$455,Свод!$G$6:$G$455,Расчеты!S$1)</f>
        <v>9</v>
      </c>
      <c r="T89" s="94">
        <f>SUMIFS(Свод!$BX$6:$BX$455,Свод!$G$6:$G$455,Расчеты!T$1)</f>
        <v>62</v>
      </c>
      <c r="U89" s="94">
        <f>SUMIFS(Свод!$BX$6:$BX$455,Свод!$G$6:$G$455,Расчеты!U$1)</f>
        <v>15</v>
      </c>
      <c r="V89" s="94">
        <f>SUMIFS(Свод!$BX$6:$BX$455,Свод!$G$6:$G$455,Расчеты!V$1)</f>
        <v>5</v>
      </c>
      <c r="W89" s="94">
        <f>SUMIFS(Свод!$BX$6:$BX$455,Свод!$G$6:$G$455,Расчеты!W$1)</f>
        <v>5</v>
      </c>
      <c r="X89" s="94">
        <f>SUMIFS(Свод!$BX$6:$BX$455,Свод!$G$6:$G$455,Расчеты!X$1)</f>
        <v>86</v>
      </c>
      <c r="Y89" s="94">
        <f>SUMIFS(Свод!$BX$6:$BX$455,Свод!$G$6:$G$455,Расчеты!Y$1)</f>
        <v>276</v>
      </c>
      <c r="Z89" s="94">
        <f>SUMIFS(Свод!$BX$6:$BX$455,Свод!$G$6:$G$455,Расчеты!Z$1)</f>
        <v>47</v>
      </c>
      <c r="AA89" s="94">
        <f>SUMIFS(Свод!$BX$6:$BX$455,Свод!$G$6:$G$455,Расчеты!AA$1)</f>
        <v>142</v>
      </c>
      <c r="AB89" s="94">
        <f>SUMIFS(Свод!$BX$6:$BX$455,Свод!$G$6:$G$455,Расчеты!AB$1)</f>
        <v>45</v>
      </c>
      <c r="AC89" s="94">
        <f>SUMIFS(Свод!$BX$6:$BX$455,Свод!$G$6:$G$455,Расчеты!AC$1)</f>
        <v>0</v>
      </c>
      <c r="AD89" s="94">
        <f>SUMIFS(Свод!$BX$6:$BX$455,Свод!$G$6:$G$455,Расчеты!AD$1)</f>
        <v>230</v>
      </c>
      <c r="AE89" s="94">
        <f>SUMIFS(Свод!$BX$6:$BX$455,Свод!$G$6:$G$455,Расчеты!AE$1)</f>
        <v>50</v>
      </c>
      <c r="AF89" s="94">
        <f>SUMIFS(Свод!$BX$6:$BX$455,Свод!$G$6:$G$455,Расчеты!AF$1)</f>
        <v>7</v>
      </c>
      <c r="AG89" s="94">
        <f>SUMIFS(Свод!$BX$6:$BX$455,Свод!$G$6:$G$455,Расчеты!AG$1)</f>
        <v>0</v>
      </c>
      <c r="AH89" s="94">
        <f>SUMIFS(Свод!$BX$6:$BX$455,Свод!$G$6:$G$455,Расчеты!AH$1)</f>
        <v>6</v>
      </c>
      <c r="AI89" s="94">
        <f>SUMIFS(Свод!$BX$6:$BX$455,Свод!$G$6:$G$455,Расчеты!AI$1)</f>
        <v>32</v>
      </c>
      <c r="AJ89" s="94">
        <f>SUMIFS(Свод!$BX$6:$BX$455,Свод!$G$6:$G$455,Расчеты!AJ$1)</f>
        <v>0</v>
      </c>
      <c r="AK89" s="94">
        <f>SUMIFS(Свод!$BX$6:$BX$455,Свод!$G$6:$G$455,Расчеты!AK$1)</f>
        <v>117</v>
      </c>
      <c r="AL89" s="94">
        <f>SUMIFS(Свод!$BX$6:$BX$455,Свод!$G$6:$G$455,Расчеты!AL$1)</f>
        <v>0</v>
      </c>
      <c r="AM89" s="94">
        <f>SUMIFS(Свод!$BX$6:$BX$455,Свод!$G$6:$G$455,Расчеты!AM$1)</f>
        <v>31</v>
      </c>
      <c r="AN89" s="94">
        <f>SUMIFS(Свод!$BX$6:$BX$455,Свод!$G$6:$G$455,Расчеты!AN$1)</f>
        <v>6</v>
      </c>
      <c r="AO89" s="94">
        <f>SUMIFS(Свод!$BX$6:$BX$455,Свод!$G$6:$G$455,Расчеты!AO$1)</f>
        <v>38</v>
      </c>
      <c r="AP89" s="94">
        <f>SUMIFS(Свод!$BX$6:$BX$455,Свод!$G$6:$G$455,Расчеты!AP$1)</f>
        <v>0</v>
      </c>
      <c r="AQ89" s="94">
        <f>SUMIFS(Свод!$BX$6:$BX$455,Свод!$G$6:$G$455,Расчеты!AQ$1)</f>
        <v>0</v>
      </c>
      <c r="AR89" s="94">
        <f>SUMIFS(Свод!$BX$6:$BX$455,Свод!$G$6:$G$455,Расчеты!AR$1)</f>
        <v>20</v>
      </c>
      <c r="AS89" s="94">
        <f>SUMIFS(Свод!$BX$6:$BX$455,Свод!$G$6:$G$455,Расчеты!AS$1)</f>
        <v>14</v>
      </c>
      <c r="AT89" s="94">
        <f>SUMIFS(Свод!$BX$6:$BX$455,Свод!$G$6:$G$455,Расчеты!AT$1)</f>
        <v>10</v>
      </c>
      <c r="AU89" s="94">
        <f>SUMIFS(Свод!$BX$6:$BX$455,Свод!$G$6:$G$455,Расчеты!AU$1)</f>
        <v>23</v>
      </c>
      <c r="AV89" s="94">
        <f>SUMIFS(Свод!$BX$6:$BX$455,Свод!$G$6:$G$455,Расчеты!AV$1)</f>
        <v>1</v>
      </c>
      <c r="AW89" s="94">
        <f>SUMIFS(Свод!$BX$6:$BX$455,Свод!$G$6:$G$455,Расчеты!AW$1)</f>
        <v>78</v>
      </c>
      <c r="AX89" s="94">
        <f>SUMIFS(Свод!$BX$6:$BX$455,Свод!$G$6:$G$455,Расчеты!AX$1)</f>
        <v>81</v>
      </c>
      <c r="AY89" s="94">
        <f>SUMIFS(Свод!$BX$6:$BX$455,Свод!$G$6:$G$455,Расчеты!AY$1)</f>
        <v>6</v>
      </c>
      <c r="AZ89" s="94">
        <f>SUMIFS(Свод!$BX$6:$BX$455,Свод!$G$6:$G$455,Расчеты!AZ$1)</f>
        <v>14</v>
      </c>
      <c r="BA89" s="94">
        <f>SUMIFS(Свод!$BX$6:$BX$455,Свод!$G$6:$G$455,Расчеты!BA$1)</f>
        <v>15</v>
      </c>
      <c r="BB89" s="94">
        <f>SUMIFS(Свод!$BX$6:$BX$455,Свод!$G$6:$G$455,Расчеты!BB$1)</f>
        <v>72</v>
      </c>
      <c r="BC89" s="94">
        <f>SUMIFS(Свод!$BX$6:$BX$455,Свод!$G$6:$G$455,Расчеты!BC$1)</f>
        <v>6</v>
      </c>
      <c r="BD89" s="94">
        <f>SUMIFS(Свод!$BX$6:$BX$455,Свод!$G$6:$G$455,Расчеты!BD$1)</f>
        <v>0</v>
      </c>
      <c r="BE89" s="94">
        <f>SUMIFS(Свод!$BX$6:$BX$455,Свод!$G$6:$G$455,Расчеты!BE$1)</f>
        <v>7</v>
      </c>
      <c r="BF89" s="94">
        <f>SUMIFS(Свод!$BX$6:$BX$455,Свод!$G$6:$G$455,Расчеты!BF$1)</f>
        <v>0</v>
      </c>
      <c r="BG89" s="94">
        <f>SUMIFS(Свод!$BX$6:$BX$455,Свод!$G$6:$G$455,Расчеты!BG$1)</f>
        <v>0</v>
      </c>
      <c r="BH89" s="94">
        <f>SUMIFS(Свод!$BX$6:$BX$455,Свод!$G$6:$G$455,Расчеты!BH$1)</f>
        <v>9</v>
      </c>
      <c r="BI89" s="94">
        <f>SUMIFS(Свод!$BX$6:$BX$455,Свод!$G$6:$G$455,Расчеты!BI$1)</f>
        <v>4</v>
      </c>
      <c r="BJ89" s="94">
        <f>SUMIFS(Свод!$BX$6:$BX$455,Свод!$G$6:$G$455,Расчеты!BJ$1)</f>
        <v>2</v>
      </c>
      <c r="BK89" s="94">
        <f>SUMIFS(Свод!$BX$6:$BX$455,Свод!$G$6:$G$455,Расчеты!BK$1)</f>
        <v>28</v>
      </c>
      <c r="BL89" s="94">
        <f>SUMIFS(Свод!$BX$6:$BX$455,Свод!$G$6:$G$455,Расчеты!BL$1)</f>
        <v>50</v>
      </c>
      <c r="BM89" s="94">
        <f>SUMIFS(Свод!$BX$6:$BX$455,Свод!$G$6:$G$455,Расчеты!BM$1)</f>
        <v>15</v>
      </c>
      <c r="BN89" s="94">
        <f>SUMIFS(Свод!$BX$6:$BX$455,Свод!$G$6:$G$455,Расчеты!BN$1)</f>
        <v>7</v>
      </c>
      <c r="BO89" s="94">
        <f>SUMIFS(Свод!$BX$6:$BX$455,Свод!$G$6:$G$455,Расчеты!BO$1)</f>
        <v>36</v>
      </c>
      <c r="BP89" s="94">
        <f>SUMIFS(Свод!$BX$6:$BX$455,Свод!$G$6:$G$455,Расчеты!BP$1)</f>
        <v>1</v>
      </c>
      <c r="BQ89" s="94">
        <f>SUMIFS(Свод!$BX$6:$BX$455,Свод!$G$6:$G$455,Расчеты!BQ$1)</f>
        <v>2</v>
      </c>
      <c r="BR89" s="94">
        <f>SUMIFS(Свод!$BX$6:$BX$455,Свод!$G$6:$G$455,Расчеты!BR$1)</f>
        <v>52</v>
      </c>
      <c r="BS89" s="94">
        <f>SUMIFS(Свод!$BX$6:$BX$455,Свод!$G$6:$G$455,Расчеты!BS$1)</f>
        <v>35</v>
      </c>
      <c r="BT89" s="94">
        <f>SUMIFS(Свод!$BX$6:$BX$455,Свод!$G$6:$G$455,Расчеты!BT$1)</f>
        <v>46</v>
      </c>
      <c r="BU89" s="94">
        <f>SUMIFS(Свод!$BX$6:$BX$455,Свод!$G$6:$G$455,Расчеты!BU$1)</f>
        <v>30</v>
      </c>
      <c r="BV89" s="94">
        <f>SUMIFS(Свод!$BX$6:$BX$455,Свод!$G$6:$G$455,Расчеты!BV$1)</f>
        <v>31</v>
      </c>
      <c r="BW89" s="94">
        <f>SUMIFS(Свод!$BX$6:$BX$455,Свод!$G$6:$G$455,Расчеты!BW$1)</f>
        <v>46</v>
      </c>
      <c r="BX89" s="94">
        <f>SUMIFS(Свод!$BX$6:$BX$455,Свод!$G$6:$G$455,Расчеты!BX$1)</f>
        <v>0</v>
      </c>
      <c r="BY89" s="94">
        <f>SUMIFS(Свод!$BX$6:$BX$455,Свод!$G$6:$G$455,Расчеты!BY$1)</f>
        <v>31</v>
      </c>
      <c r="BZ89" s="94">
        <f>SUMIFS(Свод!$BX$6:$BX$455,Свод!$G$6:$G$455,Расчеты!BZ$1)</f>
        <v>30</v>
      </c>
      <c r="CA89" s="94">
        <f>SUMIFS(Свод!$BX$6:$BX$455,Свод!$G$6:$G$455,Расчеты!CA$1)</f>
        <v>2</v>
      </c>
      <c r="CB89" s="94">
        <f>SUMIFS(Свод!$BX$6:$BX$455,Свод!$G$6:$G$455,Расчеты!CB$1)</f>
        <v>11</v>
      </c>
      <c r="CC89" s="94">
        <f>SUMIFS(Свод!$BX$6:$BX$455,Свод!$G$6:$G$455,Расчеты!CC$1)</f>
        <v>9</v>
      </c>
      <c r="CD89" s="94">
        <f>SUMIFS(Свод!$BX$6:$BX$455,Свод!$G$6:$G$455,Расчеты!CD$1)</f>
        <v>0</v>
      </c>
      <c r="CE89" s="94">
        <f>SUMIFS(Свод!$BX$6:$BX$455,Свод!$G$6:$G$455,Расчеты!CE$1)</f>
        <v>2</v>
      </c>
      <c r="CF89" s="94">
        <f>SUMIFS(Свод!$BX$6:$BX$455,Свод!$G$6:$G$455,Расчеты!CF$1)</f>
        <v>6</v>
      </c>
      <c r="CG89" s="94">
        <f>SUMIFS(Свод!$BX$6:$BX$455,Свод!$G$6:$G$455,Расчеты!CG$1)</f>
        <v>18</v>
      </c>
      <c r="CH89" s="94">
        <f>SUMIFS(Свод!$BX$6:$BX$455,Свод!$G$6:$G$455,Расчеты!CH$1)</f>
        <v>146</v>
      </c>
      <c r="CI89" s="94">
        <f>SUMIFS(Свод!$BX$6:$BX$455,Свод!$G$6:$G$455,Расчеты!CI$1)</f>
        <v>27</v>
      </c>
      <c r="CJ89" s="94">
        <f>SUMIFS(Свод!$BX$6:$BX$455,Свод!$G$6:$G$455,Расчеты!CJ$1)</f>
        <v>8</v>
      </c>
      <c r="CK89" s="94">
        <f>SUMIFS(Свод!$BX$6:$BX$455,Свод!$G$6:$G$455,Расчеты!CK$1)</f>
        <v>8</v>
      </c>
      <c r="CL89" s="94">
        <f>SUMIFS(Свод!$BX$6:$BX$455,Свод!$G$6:$G$455,Расчеты!CL$1)</f>
        <v>0</v>
      </c>
      <c r="CM89" s="94">
        <f>SUMIFS(Свод!$BX$6:$BX$455,Свод!$G$6:$G$455,Расчеты!CM$1)</f>
        <v>16</v>
      </c>
      <c r="CN89" s="94">
        <f>SUMIFS(Свод!$BX$6:$BX$455,Свод!$G$6:$G$455,Расчеты!CN$1)</f>
        <v>46</v>
      </c>
      <c r="CO89" s="94">
        <f>SUMIFS(Свод!$BX$6:$BX$455,Свод!$G$6:$G$455,Расчеты!CO$1)</f>
        <v>14</v>
      </c>
      <c r="CP89" s="94">
        <f>SUMIFS(Свод!$BX$6:$BX$455,Свод!$G$6:$G$455,Расчеты!CP$1)</f>
        <v>72</v>
      </c>
      <c r="CQ89" s="94">
        <f>SUMIFS(Свод!$BX$6:$BX$455,Свод!$G$6:$G$455,Расчеты!CQ$1)</f>
        <v>0</v>
      </c>
      <c r="CR89" s="94">
        <f>SUMIFS(Свод!$BX$6:$BX$455,Свод!$G$6:$G$455,Расчеты!CR$1)</f>
        <v>14</v>
      </c>
      <c r="CS89" s="94">
        <f>SUMIFS(Свод!$BX$6:$BX$455,Свод!$G$6:$G$455,Расчеты!CS$1)</f>
        <v>23</v>
      </c>
      <c r="CT89" s="94">
        <f>SUMIFS(Свод!$BX$6:$BX$455,Свод!$G$6:$G$455,Расчеты!CT$1)</f>
        <v>0</v>
      </c>
      <c r="CU89" s="94">
        <f>SUMIFS(Свод!$BX$6:$BX$455,Свод!$G$6:$G$455,Расчеты!CU$1)</f>
        <v>55</v>
      </c>
      <c r="CV89" s="94">
        <f>SUMIFS(Свод!$BX$6:$BX$455,Свод!$G$6:$G$455,Расчеты!CV$1)</f>
        <v>3</v>
      </c>
      <c r="CW89" s="94">
        <f>SUMIFS(Свод!$BX$6:$BX$455,Свод!$G$6:$G$455,Расчеты!CW$1)</f>
        <v>14</v>
      </c>
      <c r="CX89" s="94">
        <f>SUMIFS(Свод!$BX$6:$BX$455,Свод!$G$6:$G$455,Расчеты!CX$1)</f>
        <v>14</v>
      </c>
    </row>
    <row r="90" spans="1:102" ht="17" x14ac:dyDescent="0.2">
      <c r="A90" s="1238"/>
      <c r="B90" s="1237"/>
      <c r="C90" s="97" t="s">
        <v>8886</v>
      </c>
      <c r="D90" s="97">
        <v>69</v>
      </c>
      <c r="E90" s="502" t="s">
        <v>9052</v>
      </c>
      <c r="F90" s="1237"/>
      <c r="G90" s="513" t="s">
        <v>64</v>
      </c>
      <c r="H90" s="513"/>
      <c r="I90" s="97"/>
      <c r="J90" s="97"/>
      <c r="K90" s="97" t="s">
        <v>479</v>
      </c>
      <c r="L90" s="97">
        <v>8.123196587630159E-2</v>
      </c>
      <c r="M90" s="97">
        <v>7.8211994273291272E-2</v>
      </c>
      <c r="N90" s="572">
        <v>8.0399249118630098E-2</v>
      </c>
      <c r="P90" s="573">
        <v>0.10366146870921206</v>
      </c>
      <c r="Q90" s="94">
        <f>Q89/Q117</f>
        <v>8.5798917299376942E-2</v>
      </c>
    </row>
    <row r="91" spans="1:102" ht="34" x14ac:dyDescent="0.2">
      <c r="A91" s="1238"/>
      <c r="B91" s="1237"/>
      <c r="C91" s="97" t="s">
        <v>8886</v>
      </c>
      <c r="D91" s="97">
        <v>70</v>
      </c>
      <c r="E91" s="502" t="s">
        <v>9053</v>
      </c>
      <c r="F91" s="1237" t="s">
        <v>9054</v>
      </c>
      <c r="G91" s="513" t="s">
        <v>9022</v>
      </c>
      <c r="H91" s="513"/>
      <c r="I91" s="97"/>
      <c r="J91" s="97"/>
      <c r="K91" s="97"/>
      <c r="L91" s="97">
        <v>2854</v>
      </c>
      <c r="M91" s="97">
        <v>1779</v>
      </c>
      <c r="N91" s="99">
        <v>2336</v>
      </c>
      <c r="O91" s="94">
        <v>3161</v>
      </c>
      <c r="P91" s="94">
        <v>4282</v>
      </c>
      <c r="Q91" s="94">
        <f t="shared" si="26"/>
        <v>4135</v>
      </c>
      <c r="R91" s="94">
        <f>SUMIFS(Свод!$BY$6:$BY$455,Свод!$G$6:$G$455,Расчеты!R$1)</f>
        <v>2</v>
      </c>
      <c r="S91" s="94">
        <f>SUMIFS(Свод!$BY$6:$BY$455,Свод!$G$6:$G$455,Расчеты!S$1)</f>
        <v>7</v>
      </c>
      <c r="T91" s="94">
        <f>SUMIFS(Свод!$BY$6:$BY$455,Свод!$G$6:$G$455,Расчеты!T$1)</f>
        <v>28</v>
      </c>
      <c r="U91" s="94">
        <f>SUMIFS(Свод!$BY$6:$BY$455,Свод!$G$6:$G$455,Расчеты!U$1)</f>
        <v>33</v>
      </c>
      <c r="V91" s="94">
        <f>SUMIFS(Свод!$BY$6:$BY$455,Свод!$G$6:$G$455,Расчеты!V$1)</f>
        <v>12</v>
      </c>
      <c r="W91" s="94">
        <f>SUMIFS(Свод!$BY$6:$BY$455,Свод!$G$6:$G$455,Расчеты!W$1)</f>
        <v>4</v>
      </c>
      <c r="X91" s="94">
        <f>SUMIFS(Свод!$BY$6:$BY$455,Свод!$G$6:$G$455,Расчеты!X$1)</f>
        <v>12</v>
      </c>
      <c r="Y91" s="94">
        <f>SUMIFS(Свод!$BY$6:$BY$455,Свод!$G$6:$G$455,Расчеты!Y$1)</f>
        <v>209</v>
      </c>
      <c r="Z91" s="94">
        <f>SUMIFS(Свод!$BY$6:$BY$455,Свод!$G$6:$G$455,Расчеты!Z$1)</f>
        <v>21</v>
      </c>
      <c r="AA91" s="94">
        <f>SUMIFS(Свод!$BY$6:$BY$455,Свод!$G$6:$G$455,Расчеты!AA$1)</f>
        <v>0</v>
      </c>
      <c r="AB91" s="94">
        <f>SUMIFS(Свод!$BY$6:$BY$455,Свод!$G$6:$G$455,Расчеты!AB$1)</f>
        <v>109</v>
      </c>
      <c r="AC91" s="94">
        <f>SUMIFS(Свод!$BY$6:$BY$455,Свод!$G$6:$G$455,Расчеты!AC$1)</f>
        <v>0</v>
      </c>
      <c r="AD91" s="94">
        <f>SUMIFS(Свод!$BY$6:$BY$455,Свод!$G$6:$G$455,Расчеты!AD$1)</f>
        <v>337</v>
      </c>
      <c r="AE91" s="94">
        <f>SUMIFS(Свод!$BY$6:$BY$455,Свод!$G$6:$G$455,Расчеты!AE$1)</f>
        <v>63</v>
      </c>
      <c r="AF91" s="94">
        <f>SUMIFS(Свод!$BY$6:$BY$455,Свод!$G$6:$G$455,Расчеты!AF$1)</f>
        <v>34</v>
      </c>
      <c r="AG91" s="94">
        <f>SUMIFS(Свод!$BY$6:$BY$455,Свод!$G$6:$G$455,Расчеты!AG$1)</f>
        <v>0</v>
      </c>
      <c r="AH91" s="94">
        <f>SUMIFS(Свод!$BY$6:$BY$455,Свод!$G$6:$G$455,Расчеты!AH$1)</f>
        <v>49</v>
      </c>
      <c r="AI91" s="94">
        <f>SUMIFS(Свод!$BY$6:$BY$455,Свод!$G$6:$G$455,Расчеты!AI$1)</f>
        <v>25</v>
      </c>
      <c r="AJ91" s="94">
        <f>SUMIFS(Свод!$BY$6:$BY$455,Свод!$G$6:$G$455,Расчеты!AJ$1)</f>
        <v>0</v>
      </c>
      <c r="AK91" s="94">
        <f>SUMIFS(Свод!$BY$6:$BY$455,Свод!$G$6:$G$455,Расчеты!AK$1)</f>
        <v>60</v>
      </c>
      <c r="AL91" s="94">
        <f>SUMIFS(Свод!$BY$6:$BY$455,Свод!$G$6:$G$455,Расчеты!AL$1)</f>
        <v>0</v>
      </c>
      <c r="AM91" s="94">
        <f>SUMIFS(Свод!$BY$6:$BY$455,Свод!$G$6:$G$455,Расчеты!AM$1)</f>
        <v>22</v>
      </c>
      <c r="AN91" s="94">
        <f>SUMIFS(Свод!$BY$6:$BY$455,Свод!$G$6:$G$455,Расчеты!AN$1)</f>
        <v>3</v>
      </c>
      <c r="AO91" s="94">
        <f>SUMIFS(Свод!$BY$6:$BY$455,Свод!$G$6:$G$455,Расчеты!AO$1)</f>
        <v>26</v>
      </c>
      <c r="AP91" s="94">
        <f>SUMIFS(Свод!$BY$6:$BY$455,Свод!$G$6:$G$455,Расчеты!AP$1)</f>
        <v>0</v>
      </c>
      <c r="AQ91" s="94">
        <f>SUMIFS(Свод!$BY$6:$BY$455,Свод!$G$6:$G$455,Расчеты!AQ$1)</f>
        <v>0</v>
      </c>
      <c r="AR91" s="94">
        <f>SUMIFS(Свод!$BY$6:$BY$455,Свод!$G$6:$G$455,Расчеты!AR$1)</f>
        <v>16</v>
      </c>
      <c r="AS91" s="94">
        <f>SUMIFS(Свод!$BY$6:$BY$455,Свод!$G$6:$G$455,Расчеты!AS$1)</f>
        <v>17</v>
      </c>
      <c r="AT91" s="94">
        <f>SUMIFS(Свод!$BY$6:$BY$455,Свод!$G$6:$G$455,Расчеты!AT$1)</f>
        <v>17</v>
      </c>
      <c r="AU91" s="94">
        <f>SUMIFS(Свод!$BY$6:$BY$455,Свод!$G$6:$G$455,Расчеты!AU$1)</f>
        <v>19</v>
      </c>
      <c r="AV91" s="94">
        <f>SUMIFS(Свод!$BY$6:$BY$455,Свод!$G$6:$G$455,Расчеты!AV$1)</f>
        <v>26</v>
      </c>
      <c r="AW91" s="94">
        <f>SUMIFS(Свод!$BY$6:$BY$455,Свод!$G$6:$G$455,Расчеты!AW$1)</f>
        <v>138</v>
      </c>
      <c r="AX91" s="94">
        <f>SUMIFS(Свод!$BY$6:$BY$455,Свод!$G$6:$G$455,Расчеты!AX$1)</f>
        <v>58</v>
      </c>
      <c r="AY91" s="94">
        <f>SUMIFS(Свод!$BY$6:$BY$455,Свод!$G$6:$G$455,Расчеты!AY$1)</f>
        <v>112</v>
      </c>
      <c r="AZ91" s="94">
        <f>SUMIFS(Свод!$BY$6:$BY$455,Свод!$G$6:$G$455,Расчеты!AZ$1)</f>
        <v>16</v>
      </c>
      <c r="BA91" s="94">
        <f>SUMIFS(Свод!$BY$6:$BY$455,Свод!$G$6:$G$455,Расчеты!BA$1)</f>
        <v>8</v>
      </c>
      <c r="BB91" s="94">
        <f>SUMIFS(Свод!$BY$6:$BY$455,Свод!$G$6:$G$455,Расчеты!BB$1)</f>
        <v>4</v>
      </c>
      <c r="BC91" s="94">
        <f>SUMIFS(Свод!$BY$6:$BY$455,Свод!$G$6:$G$455,Расчеты!BC$1)</f>
        <v>8</v>
      </c>
      <c r="BD91" s="94">
        <f>SUMIFS(Свод!$BY$6:$BY$455,Свод!$G$6:$G$455,Расчеты!BD$1)</f>
        <v>2</v>
      </c>
      <c r="BE91" s="94">
        <f>SUMIFS(Свод!$BY$6:$BY$455,Свод!$G$6:$G$455,Расчеты!BE$1)</f>
        <v>21</v>
      </c>
      <c r="BF91" s="94">
        <f>SUMIFS(Свод!$BY$6:$BY$455,Свод!$G$6:$G$455,Расчеты!BF$1)</f>
        <v>0</v>
      </c>
      <c r="BG91" s="94">
        <f>SUMIFS(Свод!$BY$6:$BY$455,Свод!$G$6:$G$455,Расчеты!BG$1)</f>
        <v>0</v>
      </c>
      <c r="BH91" s="94">
        <f>SUMIFS(Свод!$BY$6:$BY$455,Свод!$G$6:$G$455,Расчеты!BH$1)</f>
        <v>13</v>
      </c>
      <c r="BI91" s="94">
        <f>SUMIFS(Свод!$BY$6:$BY$455,Свод!$G$6:$G$455,Расчеты!BI$1)</f>
        <v>10</v>
      </c>
      <c r="BJ91" s="94">
        <f>SUMIFS(Свод!$BY$6:$BY$455,Свод!$G$6:$G$455,Расчеты!BJ$1)</f>
        <v>5</v>
      </c>
      <c r="BK91" s="94">
        <f>SUMIFS(Свод!$BY$6:$BY$455,Свод!$G$6:$G$455,Расчеты!BK$1)</f>
        <v>32</v>
      </c>
      <c r="BL91" s="94">
        <f>SUMIFS(Свод!$BY$6:$BY$455,Свод!$G$6:$G$455,Расчеты!BL$1)</f>
        <v>119</v>
      </c>
      <c r="BM91" s="94">
        <f>SUMIFS(Свод!$BY$6:$BY$455,Свод!$G$6:$G$455,Расчеты!BM$1)</f>
        <v>25</v>
      </c>
      <c r="BN91" s="94">
        <f>SUMIFS(Свод!$BY$6:$BY$455,Свод!$G$6:$G$455,Расчеты!BN$1)</f>
        <v>102</v>
      </c>
      <c r="BO91" s="94">
        <f>SUMIFS(Свод!$BY$6:$BY$455,Свод!$G$6:$G$455,Расчеты!BO$1)</f>
        <v>14</v>
      </c>
      <c r="BP91" s="94">
        <f>SUMIFS(Свод!$BY$6:$BY$455,Свод!$G$6:$G$455,Расчеты!BP$1)</f>
        <v>52</v>
      </c>
      <c r="BQ91" s="94">
        <f>SUMIFS(Свод!$BY$6:$BY$455,Свод!$G$6:$G$455,Расчеты!BQ$1)</f>
        <v>0</v>
      </c>
      <c r="BR91" s="94">
        <f>SUMIFS(Свод!$BY$6:$BY$455,Свод!$G$6:$G$455,Расчеты!BR$1)</f>
        <v>27</v>
      </c>
      <c r="BS91" s="94">
        <f>SUMIFS(Свод!$BY$6:$BY$455,Свод!$G$6:$G$455,Расчеты!BS$1)</f>
        <v>0</v>
      </c>
      <c r="BT91" s="94">
        <f>SUMIFS(Свод!$BY$6:$BY$455,Свод!$G$6:$G$455,Расчеты!BT$1)</f>
        <v>35</v>
      </c>
      <c r="BU91" s="94">
        <f>SUMIFS(Свод!$BY$6:$BY$455,Свод!$G$6:$G$455,Расчеты!BU$1)</f>
        <v>42</v>
      </c>
      <c r="BV91" s="94">
        <f>SUMIFS(Свод!$BY$6:$BY$455,Свод!$G$6:$G$455,Расчеты!BV$1)</f>
        <v>100</v>
      </c>
      <c r="BW91" s="94">
        <f>SUMIFS(Свод!$BY$6:$BY$455,Свод!$G$6:$G$455,Расчеты!BW$1)</f>
        <v>62</v>
      </c>
      <c r="BX91" s="94">
        <f>SUMIFS(Свод!$BY$6:$BY$455,Свод!$G$6:$G$455,Расчеты!BX$1)</f>
        <v>3</v>
      </c>
      <c r="BY91" s="94">
        <f>SUMIFS(Свод!$BY$6:$BY$455,Свод!$G$6:$G$455,Расчеты!BY$1)</f>
        <v>141</v>
      </c>
      <c r="BZ91" s="94">
        <f>SUMIFS(Свод!$BY$6:$BY$455,Свод!$G$6:$G$455,Расчеты!BZ$1)</f>
        <v>48</v>
      </c>
      <c r="CA91" s="94">
        <f>SUMIFS(Свод!$BY$6:$BY$455,Свод!$G$6:$G$455,Расчеты!CA$1)</f>
        <v>12</v>
      </c>
      <c r="CB91" s="94">
        <f>SUMIFS(Свод!$BY$6:$BY$455,Свод!$G$6:$G$455,Расчеты!CB$1)</f>
        <v>57</v>
      </c>
      <c r="CC91" s="94">
        <f>SUMIFS(Свод!$BY$6:$BY$455,Свод!$G$6:$G$455,Расчеты!CC$1)</f>
        <v>0</v>
      </c>
      <c r="CD91" s="94">
        <f>SUMIFS(Свод!$BY$6:$BY$455,Свод!$G$6:$G$455,Расчеты!CD$1)</f>
        <v>1</v>
      </c>
      <c r="CE91" s="94">
        <f>SUMIFS(Свод!$BY$6:$BY$455,Свод!$G$6:$G$455,Расчеты!CE$1)</f>
        <v>0</v>
      </c>
      <c r="CF91" s="94">
        <f>SUMIFS(Свод!$BY$6:$BY$455,Свод!$G$6:$G$455,Расчеты!CF$1)</f>
        <v>131</v>
      </c>
      <c r="CG91" s="94">
        <f>SUMIFS(Свод!$BY$6:$BY$455,Свод!$G$6:$G$455,Расчеты!CG$1)</f>
        <v>20</v>
      </c>
      <c r="CH91" s="94">
        <f>SUMIFS(Свод!$BY$6:$BY$455,Свод!$G$6:$G$455,Расчеты!CH$1)</f>
        <v>1190</v>
      </c>
      <c r="CI91" s="94">
        <f>SUMIFS(Свод!$BY$6:$BY$455,Свод!$G$6:$G$455,Расчеты!CI$1)</f>
        <v>3</v>
      </c>
      <c r="CJ91" s="94">
        <f>SUMIFS(Свод!$BY$6:$BY$455,Свод!$G$6:$G$455,Расчеты!CJ$1)</f>
        <v>3</v>
      </c>
      <c r="CK91" s="94">
        <f>SUMIFS(Свод!$BY$6:$BY$455,Свод!$G$6:$G$455,Расчеты!CK$1)</f>
        <v>8</v>
      </c>
      <c r="CL91" s="94">
        <f>SUMIFS(Свод!$BY$6:$BY$455,Свод!$G$6:$G$455,Расчеты!CL$1)</f>
        <v>0</v>
      </c>
      <c r="CM91" s="94">
        <f>SUMIFS(Свод!$BY$6:$BY$455,Свод!$G$6:$G$455,Расчеты!CM$1)</f>
        <v>34</v>
      </c>
      <c r="CN91" s="94">
        <f>SUMIFS(Свод!$BY$6:$BY$455,Свод!$G$6:$G$455,Расчеты!CN$1)</f>
        <v>33</v>
      </c>
      <c r="CO91" s="94">
        <f>SUMIFS(Свод!$BY$6:$BY$455,Свод!$G$6:$G$455,Расчеты!CO$1)</f>
        <v>20</v>
      </c>
      <c r="CP91" s="94">
        <f>SUMIFS(Свод!$BY$6:$BY$455,Свод!$G$6:$G$455,Расчеты!CP$1)</f>
        <v>30</v>
      </c>
      <c r="CQ91" s="94">
        <f>SUMIFS(Свод!$BY$6:$BY$455,Свод!$G$6:$G$455,Расчеты!CQ$1)</f>
        <v>0</v>
      </c>
      <c r="CR91" s="94">
        <f>SUMIFS(Свод!$BY$6:$BY$455,Свод!$G$6:$G$455,Расчеты!CR$1)</f>
        <v>85</v>
      </c>
      <c r="CS91" s="94">
        <f>SUMIFS(Свод!$BY$6:$BY$455,Свод!$G$6:$G$455,Расчеты!CS$1)</f>
        <v>32</v>
      </c>
      <c r="CT91" s="94">
        <f>SUMIFS(Свод!$BY$6:$BY$455,Свод!$G$6:$G$455,Расчеты!CT$1)</f>
        <v>0</v>
      </c>
      <c r="CU91" s="94">
        <f>SUMIFS(Свод!$BY$6:$BY$455,Свод!$G$6:$G$455,Расчеты!CU$1)</f>
        <v>44</v>
      </c>
      <c r="CV91" s="94">
        <f>SUMIFS(Свод!$BY$6:$BY$455,Свод!$G$6:$G$455,Расчеты!CV$1)</f>
        <v>1</v>
      </c>
      <c r="CW91" s="94">
        <f>SUMIFS(Свод!$BY$6:$BY$455,Свод!$G$6:$G$455,Расчеты!CW$1)</f>
        <v>35</v>
      </c>
      <c r="CX91" s="94">
        <f>SUMIFS(Свод!$BY$6:$BY$455,Свод!$G$6:$G$455,Расчеты!CX$1)</f>
        <v>48</v>
      </c>
    </row>
    <row r="92" spans="1:102" ht="17" x14ac:dyDescent="0.2">
      <c r="A92" s="1238"/>
      <c r="B92" s="1237"/>
      <c r="C92" s="97" t="s">
        <v>8886</v>
      </c>
      <c r="D92" s="97">
        <v>71</v>
      </c>
      <c r="E92" s="502" t="s">
        <v>9055</v>
      </c>
      <c r="F92" s="1237"/>
      <c r="G92" s="513" t="s">
        <v>64</v>
      </c>
      <c r="H92" s="513"/>
      <c r="I92" s="97"/>
      <c r="J92" s="97"/>
      <c r="K92" s="97" t="s">
        <v>479</v>
      </c>
      <c r="L92" s="97">
        <v>0.17902396186174885</v>
      </c>
      <c r="M92" s="97">
        <v>9.4331618855718752E-2</v>
      </c>
      <c r="N92" s="572">
        <v>0.10695480976145781</v>
      </c>
      <c r="P92" s="573">
        <v>0.14707700762519749</v>
      </c>
      <c r="Q92" s="94">
        <f>Q91/Q117</f>
        <v>0.14078512818766811</v>
      </c>
    </row>
    <row r="93" spans="1:102" ht="34" x14ac:dyDescent="0.2">
      <c r="A93" s="1238"/>
      <c r="B93" s="1237"/>
      <c r="C93" s="97" t="s">
        <v>8886</v>
      </c>
      <c r="D93" s="97">
        <v>72</v>
      </c>
      <c r="E93" s="502" t="s">
        <v>9056</v>
      </c>
      <c r="F93" s="1237" t="s">
        <v>9057</v>
      </c>
      <c r="G93" s="513" t="s">
        <v>9022</v>
      </c>
      <c r="H93" s="513"/>
      <c r="I93" s="97"/>
      <c r="J93" s="97"/>
      <c r="K93" s="97"/>
      <c r="L93" s="97">
        <v>603</v>
      </c>
      <c r="M93" s="97">
        <v>919</v>
      </c>
      <c r="N93" s="99">
        <v>1072</v>
      </c>
      <c r="O93" s="94">
        <v>981</v>
      </c>
      <c r="P93" s="94">
        <v>1558</v>
      </c>
      <c r="Q93" s="94">
        <f t="shared" si="26"/>
        <v>1505</v>
      </c>
      <c r="R93" s="94">
        <f>SUMIFS(Свод!$BZ$6:$BZ$455,Свод!$G$6:$G$455,Расчеты!R$1)</f>
        <v>0</v>
      </c>
      <c r="S93" s="94">
        <f>SUMIFS(Свод!$BZ$6:$BZ$455,Свод!$G$6:$G$455,Расчеты!S$1)</f>
        <v>0</v>
      </c>
      <c r="T93" s="94">
        <f>SUMIFS(Свод!$BZ$6:$BZ$455,Свод!$G$6:$G$455,Расчеты!T$1)</f>
        <v>51</v>
      </c>
      <c r="U93" s="94">
        <f>SUMIFS(Свод!$BZ$6:$BZ$455,Свод!$G$6:$G$455,Расчеты!U$1)</f>
        <v>14</v>
      </c>
      <c r="V93" s="94">
        <f>SUMIFS(Свод!$BZ$6:$BZ$455,Свод!$G$6:$G$455,Расчеты!V$1)</f>
        <v>2</v>
      </c>
      <c r="W93" s="94">
        <f>SUMIFS(Свод!$BZ$6:$BZ$455,Свод!$G$6:$G$455,Расчеты!W$1)</f>
        <v>2</v>
      </c>
      <c r="X93" s="94">
        <f>SUMIFS(Свод!$BZ$6:$BZ$455,Свод!$G$6:$G$455,Расчеты!X$1)</f>
        <v>131</v>
      </c>
      <c r="Y93" s="94">
        <f>SUMIFS(Свод!$BZ$6:$BZ$455,Свод!$G$6:$G$455,Расчеты!Y$1)</f>
        <v>20</v>
      </c>
      <c r="Z93" s="94">
        <f>SUMIFS(Свод!$BZ$6:$BZ$455,Свод!$G$6:$G$455,Расчеты!Z$1)</f>
        <v>1</v>
      </c>
      <c r="AA93" s="94">
        <f>SUMIFS(Свод!$BZ$6:$BZ$455,Свод!$G$6:$G$455,Расчеты!AA$1)</f>
        <v>0</v>
      </c>
      <c r="AB93" s="94">
        <f>SUMIFS(Свод!$BZ$6:$BZ$455,Свод!$G$6:$G$455,Расчеты!AB$1)</f>
        <v>12</v>
      </c>
      <c r="AC93" s="94">
        <f>SUMIFS(Свод!$BZ$6:$BZ$455,Свод!$G$6:$G$455,Расчеты!AC$1)</f>
        <v>0</v>
      </c>
      <c r="AD93" s="94">
        <f>SUMIFS(Свод!$BZ$6:$BZ$455,Свод!$G$6:$G$455,Расчеты!AD$1)</f>
        <v>0</v>
      </c>
      <c r="AE93" s="94">
        <f>SUMIFS(Свод!$BZ$6:$BZ$455,Свод!$G$6:$G$455,Расчеты!AE$1)</f>
        <v>32</v>
      </c>
      <c r="AF93" s="94">
        <f>SUMIFS(Свод!$BZ$6:$BZ$455,Свод!$G$6:$G$455,Расчеты!AF$1)</f>
        <v>2</v>
      </c>
      <c r="AG93" s="94">
        <f>SUMIFS(Свод!$BZ$6:$BZ$455,Свод!$G$6:$G$455,Расчеты!AG$1)</f>
        <v>0</v>
      </c>
      <c r="AH93" s="94">
        <f>SUMIFS(Свод!$BZ$6:$BZ$455,Свод!$G$6:$G$455,Расчеты!AH$1)</f>
        <v>0</v>
      </c>
      <c r="AI93" s="94">
        <f>SUMIFS(Свод!$BZ$6:$BZ$455,Свод!$G$6:$G$455,Расчеты!AI$1)</f>
        <v>0</v>
      </c>
      <c r="AJ93" s="94">
        <f>SUMIFS(Свод!$BZ$6:$BZ$455,Свод!$G$6:$G$455,Расчеты!AJ$1)</f>
        <v>0</v>
      </c>
      <c r="AK93" s="94">
        <f>SUMIFS(Свод!$BZ$6:$BZ$455,Свод!$G$6:$G$455,Расчеты!AK$1)</f>
        <v>40</v>
      </c>
      <c r="AL93" s="94">
        <f>SUMIFS(Свод!$BZ$6:$BZ$455,Свод!$G$6:$G$455,Расчеты!AL$1)</f>
        <v>0</v>
      </c>
      <c r="AM93" s="94">
        <f>SUMIFS(Свод!$BZ$6:$BZ$455,Свод!$G$6:$G$455,Расчеты!AM$1)</f>
        <v>0</v>
      </c>
      <c r="AN93" s="94">
        <f>SUMIFS(Свод!$BZ$6:$BZ$455,Свод!$G$6:$G$455,Расчеты!AN$1)</f>
        <v>2</v>
      </c>
      <c r="AO93" s="94">
        <f>SUMIFS(Свод!$BZ$6:$BZ$455,Свод!$G$6:$G$455,Расчеты!AO$1)</f>
        <v>46</v>
      </c>
      <c r="AP93" s="94">
        <f>SUMIFS(Свод!$BZ$6:$BZ$455,Свод!$G$6:$G$455,Расчеты!AP$1)</f>
        <v>0</v>
      </c>
      <c r="AQ93" s="94">
        <f>SUMIFS(Свод!$BZ$6:$BZ$455,Свод!$G$6:$G$455,Расчеты!AQ$1)</f>
        <v>0</v>
      </c>
      <c r="AR93" s="94">
        <f>SUMIFS(Свод!$BZ$6:$BZ$455,Свод!$G$6:$G$455,Расчеты!AR$1)</f>
        <v>7</v>
      </c>
      <c r="AS93" s="94">
        <f>SUMIFS(Свод!$BZ$6:$BZ$455,Свод!$G$6:$G$455,Расчеты!AS$1)</f>
        <v>21</v>
      </c>
      <c r="AT93" s="94">
        <f>SUMIFS(Свод!$BZ$6:$BZ$455,Свод!$G$6:$G$455,Расчеты!AT$1)</f>
        <v>8</v>
      </c>
      <c r="AU93" s="94">
        <f>SUMIFS(Свод!$BZ$6:$BZ$455,Свод!$G$6:$G$455,Расчеты!AU$1)</f>
        <v>20</v>
      </c>
      <c r="AV93" s="94">
        <f>SUMIFS(Свод!$BZ$6:$BZ$455,Свод!$G$6:$G$455,Расчеты!AV$1)</f>
        <v>2</v>
      </c>
      <c r="AW93" s="94">
        <f>SUMIFS(Свод!$BZ$6:$BZ$455,Свод!$G$6:$G$455,Расчеты!AW$1)</f>
        <v>17</v>
      </c>
      <c r="AX93" s="94">
        <f>SUMIFS(Свод!$BZ$6:$BZ$455,Свод!$G$6:$G$455,Расчеты!AX$1)</f>
        <v>0</v>
      </c>
      <c r="AY93" s="94">
        <f>SUMIFS(Свод!$BZ$6:$BZ$455,Свод!$G$6:$G$455,Расчеты!AY$1)</f>
        <v>0</v>
      </c>
      <c r="AZ93" s="94">
        <f>SUMIFS(Свод!$BZ$6:$BZ$455,Свод!$G$6:$G$455,Расчеты!AZ$1)</f>
        <v>50</v>
      </c>
      <c r="BA93" s="94">
        <f>SUMIFS(Свод!$BZ$6:$BZ$455,Свод!$G$6:$G$455,Расчеты!BA$1)</f>
        <v>12</v>
      </c>
      <c r="BB93" s="94">
        <f>SUMIFS(Свод!$BZ$6:$BZ$455,Свод!$G$6:$G$455,Расчеты!BB$1)</f>
        <v>5</v>
      </c>
      <c r="BC93" s="94">
        <f>SUMIFS(Свод!$BZ$6:$BZ$455,Свод!$G$6:$G$455,Расчеты!BC$1)</f>
        <v>0</v>
      </c>
      <c r="BD93" s="94">
        <f>SUMIFS(Свод!$BZ$6:$BZ$455,Свод!$G$6:$G$455,Расчеты!BD$1)</f>
        <v>0</v>
      </c>
      <c r="BE93" s="94">
        <f>SUMIFS(Свод!$BZ$6:$BZ$455,Свод!$G$6:$G$455,Расчеты!BE$1)</f>
        <v>7</v>
      </c>
      <c r="BF93" s="94">
        <f>SUMIFS(Свод!$BZ$6:$BZ$455,Свод!$G$6:$G$455,Расчеты!BF$1)</f>
        <v>0</v>
      </c>
      <c r="BG93" s="94">
        <f>SUMIFS(Свод!$BZ$6:$BZ$455,Свод!$G$6:$G$455,Расчеты!BG$1)</f>
        <v>0</v>
      </c>
      <c r="BH93" s="94">
        <f>SUMIFS(Свод!$BZ$6:$BZ$455,Свод!$G$6:$G$455,Расчеты!BH$1)</f>
        <v>2</v>
      </c>
      <c r="BI93" s="94">
        <f>SUMIFS(Свод!$BZ$6:$BZ$455,Свод!$G$6:$G$455,Расчеты!BI$1)</f>
        <v>0</v>
      </c>
      <c r="BJ93" s="94">
        <f>SUMIFS(Свод!$BZ$6:$BZ$455,Свод!$G$6:$G$455,Расчеты!BJ$1)</f>
        <v>2</v>
      </c>
      <c r="BK93" s="94">
        <f>SUMIFS(Свод!$BZ$6:$BZ$455,Свод!$G$6:$G$455,Расчеты!BK$1)</f>
        <v>0</v>
      </c>
      <c r="BL93" s="94">
        <f>SUMIFS(Свод!$BZ$6:$BZ$455,Свод!$G$6:$G$455,Расчеты!BL$1)</f>
        <v>20</v>
      </c>
      <c r="BM93" s="94">
        <f>SUMIFS(Свод!$BZ$6:$BZ$455,Свод!$G$6:$G$455,Расчеты!BM$1)</f>
        <v>69</v>
      </c>
      <c r="BN93" s="94">
        <f>SUMIFS(Свод!$BZ$6:$BZ$455,Свод!$G$6:$G$455,Расчеты!BN$1)</f>
        <v>2</v>
      </c>
      <c r="BO93" s="94">
        <f>SUMIFS(Свод!$BZ$6:$BZ$455,Свод!$G$6:$G$455,Расчеты!BO$1)</f>
        <v>68</v>
      </c>
      <c r="BP93" s="94">
        <f>SUMIFS(Свод!$BZ$6:$BZ$455,Свод!$G$6:$G$455,Расчеты!BP$1)</f>
        <v>0</v>
      </c>
      <c r="BQ93" s="94">
        <f>SUMIFS(Свод!$BZ$6:$BZ$455,Свод!$G$6:$G$455,Расчеты!BQ$1)</f>
        <v>0</v>
      </c>
      <c r="BR93" s="94">
        <f>SUMIFS(Свод!$BZ$6:$BZ$455,Свод!$G$6:$G$455,Расчеты!BR$1)</f>
        <v>9</v>
      </c>
      <c r="BS93" s="94">
        <f>SUMIFS(Свод!$BZ$6:$BZ$455,Свод!$G$6:$G$455,Расчеты!BS$1)</f>
        <v>0</v>
      </c>
      <c r="BT93" s="94">
        <f>SUMIFS(Свод!$BZ$6:$BZ$455,Свод!$G$6:$G$455,Расчеты!BT$1)</f>
        <v>8</v>
      </c>
      <c r="BU93" s="94">
        <f>SUMIFS(Свод!$BZ$6:$BZ$455,Свод!$G$6:$G$455,Расчеты!BU$1)</f>
        <v>25</v>
      </c>
      <c r="BV93" s="94">
        <f>SUMIFS(Свод!$BZ$6:$BZ$455,Свод!$G$6:$G$455,Расчеты!BV$1)</f>
        <v>41</v>
      </c>
      <c r="BW93" s="94">
        <f>SUMIFS(Свод!$BZ$6:$BZ$455,Свод!$G$6:$G$455,Расчеты!BW$1)</f>
        <v>28</v>
      </c>
      <c r="BX93" s="94">
        <f>SUMIFS(Свод!$BZ$6:$BZ$455,Свод!$G$6:$G$455,Расчеты!BX$1)</f>
        <v>0</v>
      </c>
      <c r="BY93" s="94">
        <f>SUMIFS(Свод!$BZ$6:$BZ$455,Свод!$G$6:$G$455,Расчеты!BY$1)</f>
        <v>10</v>
      </c>
      <c r="BZ93" s="94">
        <f>SUMIFS(Свод!$BZ$6:$BZ$455,Свод!$G$6:$G$455,Расчеты!BZ$1)</f>
        <v>4</v>
      </c>
      <c r="CA93" s="94">
        <f>SUMIFS(Свод!$BZ$6:$BZ$455,Свод!$G$6:$G$455,Расчеты!CA$1)</f>
        <v>0</v>
      </c>
      <c r="CB93" s="94">
        <f>SUMIFS(Свод!$BZ$6:$BZ$455,Свод!$G$6:$G$455,Расчеты!CB$1)</f>
        <v>0</v>
      </c>
      <c r="CC93" s="94">
        <f>SUMIFS(Свод!$BZ$6:$BZ$455,Свод!$G$6:$G$455,Расчеты!CC$1)</f>
        <v>0</v>
      </c>
      <c r="CD93" s="94">
        <f>SUMIFS(Свод!$BZ$6:$BZ$455,Свод!$G$6:$G$455,Расчеты!CD$1)</f>
        <v>0</v>
      </c>
      <c r="CE93" s="94">
        <f>SUMIFS(Свод!$BZ$6:$BZ$455,Свод!$G$6:$G$455,Расчеты!CE$1)</f>
        <v>0</v>
      </c>
      <c r="CF93" s="94">
        <f>SUMIFS(Свод!$BZ$6:$BZ$455,Свод!$G$6:$G$455,Расчеты!CF$1)</f>
        <v>14</v>
      </c>
      <c r="CG93" s="94">
        <f>SUMIFS(Свод!$BZ$6:$BZ$455,Свод!$G$6:$G$455,Расчеты!CG$1)</f>
        <v>35</v>
      </c>
      <c r="CH93" s="94">
        <f>SUMIFS(Свод!$BZ$6:$BZ$455,Свод!$G$6:$G$455,Расчеты!CH$1)</f>
        <v>504</v>
      </c>
      <c r="CI93" s="94">
        <f>SUMIFS(Свод!$BZ$6:$BZ$455,Свод!$G$6:$G$455,Расчеты!CI$1)</f>
        <v>14</v>
      </c>
      <c r="CJ93" s="94">
        <f>SUMIFS(Свод!$BZ$6:$BZ$455,Свод!$G$6:$G$455,Расчеты!CJ$1)</f>
        <v>17</v>
      </c>
      <c r="CK93" s="94">
        <f>SUMIFS(Свод!$BZ$6:$BZ$455,Свод!$G$6:$G$455,Расчеты!CK$1)</f>
        <v>0</v>
      </c>
      <c r="CL93" s="94">
        <f>SUMIFS(Свод!$BZ$6:$BZ$455,Свод!$G$6:$G$455,Расчеты!CL$1)</f>
        <v>0</v>
      </c>
      <c r="CM93" s="94">
        <f>SUMIFS(Свод!$BZ$6:$BZ$455,Свод!$G$6:$G$455,Расчеты!CM$1)</f>
        <v>1</v>
      </c>
      <c r="CN93" s="94">
        <f>SUMIFS(Свод!$BZ$6:$BZ$455,Свод!$G$6:$G$455,Расчеты!CN$1)</f>
        <v>12</v>
      </c>
      <c r="CO93" s="94">
        <f>SUMIFS(Свод!$BZ$6:$BZ$455,Свод!$G$6:$G$455,Расчеты!CO$1)</f>
        <v>29</v>
      </c>
      <c r="CP93" s="94">
        <f>SUMIFS(Свод!$BZ$6:$BZ$455,Свод!$G$6:$G$455,Расчеты!CP$1)</f>
        <v>30</v>
      </c>
      <c r="CQ93" s="94">
        <f>SUMIFS(Свод!$BZ$6:$BZ$455,Свод!$G$6:$G$455,Расчеты!CQ$1)</f>
        <v>0</v>
      </c>
      <c r="CR93" s="94">
        <f>SUMIFS(Свод!$BZ$6:$BZ$455,Свод!$G$6:$G$455,Расчеты!CR$1)</f>
        <v>7</v>
      </c>
      <c r="CS93" s="94">
        <f>SUMIFS(Свод!$BZ$6:$BZ$455,Свод!$G$6:$G$455,Расчеты!CS$1)</f>
        <v>7</v>
      </c>
      <c r="CT93" s="94">
        <f>SUMIFS(Свод!$BZ$6:$BZ$455,Свод!$G$6:$G$455,Расчеты!CT$1)</f>
        <v>0</v>
      </c>
      <c r="CU93" s="94">
        <f>SUMIFS(Свод!$BZ$6:$BZ$455,Свод!$G$6:$G$455,Расчеты!CU$1)</f>
        <v>42</v>
      </c>
      <c r="CV93" s="94">
        <f>SUMIFS(Свод!$BZ$6:$BZ$455,Свод!$G$6:$G$455,Расчеты!CV$1)</f>
        <v>1</v>
      </c>
      <c r="CW93" s="94">
        <f>SUMIFS(Свод!$BZ$6:$BZ$455,Свод!$G$6:$G$455,Расчеты!CW$1)</f>
        <v>0</v>
      </c>
      <c r="CX93" s="94">
        <f>SUMIFS(Свод!$BZ$6:$BZ$455,Свод!$G$6:$G$455,Расчеты!CX$1)</f>
        <v>0</v>
      </c>
    </row>
    <row r="94" spans="1:102" ht="17" x14ac:dyDescent="0.2">
      <c r="A94" s="1238"/>
      <c r="B94" s="1237"/>
      <c r="C94" s="97" t="s">
        <v>8886</v>
      </c>
      <c r="D94" s="97">
        <v>73</v>
      </c>
      <c r="E94" s="502" t="s">
        <v>9058</v>
      </c>
      <c r="F94" s="1237"/>
      <c r="G94" s="513" t="s">
        <v>64</v>
      </c>
      <c r="H94" s="513"/>
      <c r="I94" s="97"/>
      <c r="J94" s="97"/>
      <c r="K94" s="97" t="s">
        <v>479</v>
      </c>
      <c r="L94" s="97">
        <v>3.7824614226571324E-2</v>
      </c>
      <c r="M94" s="97">
        <v>4.8730049313325204E-2</v>
      </c>
      <c r="N94" s="572">
        <v>4.908200173984708E-2</v>
      </c>
      <c r="P94" s="573">
        <v>5.3513773442330152E-2</v>
      </c>
      <c r="Q94" s="94">
        <f>Q93/Q117</f>
        <v>5.1241020053794557E-2</v>
      </c>
    </row>
    <row r="95" spans="1:102" ht="34" x14ac:dyDescent="0.2">
      <c r="A95" s="1238"/>
      <c r="B95" s="1237"/>
      <c r="C95" s="97" t="s">
        <v>8886</v>
      </c>
      <c r="D95" s="97">
        <v>74</v>
      </c>
      <c r="E95" s="502" t="s">
        <v>9059</v>
      </c>
      <c r="F95" s="1237" t="s">
        <v>9060</v>
      </c>
      <c r="G95" s="513" t="s">
        <v>9022</v>
      </c>
      <c r="H95" s="513"/>
      <c r="I95" s="97"/>
      <c r="J95" s="97"/>
      <c r="K95" s="97"/>
      <c r="L95" s="97">
        <v>476</v>
      </c>
      <c r="M95" s="97">
        <v>579</v>
      </c>
      <c r="N95" s="99">
        <v>756</v>
      </c>
      <c r="O95" s="94">
        <v>341</v>
      </c>
      <c r="P95" s="94">
        <v>886</v>
      </c>
      <c r="Q95" s="94">
        <f t="shared" si="26"/>
        <v>643</v>
      </c>
      <c r="R95" s="94">
        <f>SUMIFS(Свод!$CA$6:$CA$455,Свод!$G$6:$G$455,Расчеты!R$1)</f>
        <v>0</v>
      </c>
      <c r="S95" s="94">
        <f>SUMIFS(Свод!$CA$6:$CA$455,Свод!$G$6:$G$455,Расчеты!S$1)</f>
        <v>0</v>
      </c>
      <c r="T95" s="94">
        <f>SUMIFS(Свод!$CA$6:$CA$455,Свод!$G$6:$G$455,Расчеты!T$1)</f>
        <v>0</v>
      </c>
      <c r="U95" s="94">
        <f>SUMIFS(Свод!$CA$6:$CA$455,Свод!$G$6:$G$455,Расчеты!U$1)</f>
        <v>0</v>
      </c>
      <c r="V95" s="94">
        <f>SUMIFS(Свод!$CA$6:$CA$455,Свод!$G$6:$G$455,Расчеты!V$1)</f>
        <v>0</v>
      </c>
      <c r="W95" s="94">
        <f>SUMIFS(Свод!$CA$6:$CA$455,Свод!$G$6:$G$455,Расчеты!W$1)</f>
        <v>3</v>
      </c>
      <c r="X95" s="94">
        <f>SUMIFS(Свод!$CA$6:$CA$455,Свод!$G$6:$G$455,Расчеты!X$1)</f>
        <v>21</v>
      </c>
      <c r="Y95" s="94">
        <f>SUMIFS(Свод!$CA$6:$CA$455,Свод!$G$6:$G$455,Расчеты!Y$1)</f>
        <v>2</v>
      </c>
      <c r="Z95" s="94">
        <f>SUMIFS(Свод!$CA$6:$CA$455,Свод!$G$6:$G$455,Расчеты!Z$1)</f>
        <v>0</v>
      </c>
      <c r="AA95" s="94">
        <f>SUMIFS(Свод!$CA$6:$CA$455,Свод!$G$6:$G$455,Расчеты!AA$1)</f>
        <v>0</v>
      </c>
      <c r="AB95" s="94">
        <f>SUMIFS(Свод!$CA$6:$CA$455,Свод!$G$6:$G$455,Расчеты!AB$1)</f>
        <v>20</v>
      </c>
      <c r="AC95" s="94">
        <f>SUMIFS(Свод!$CA$6:$CA$455,Свод!$G$6:$G$455,Расчеты!AC$1)</f>
        <v>0</v>
      </c>
      <c r="AD95" s="94">
        <f>SUMIFS(Свод!$CA$6:$CA$455,Свод!$G$6:$G$455,Расчеты!AD$1)</f>
        <v>154</v>
      </c>
      <c r="AE95" s="94">
        <f>SUMIFS(Свод!$CA$6:$CA$455,Свод!$G$6:$G$455,Расчеты!AE$1)</f>
        <v>5</v>
      </c>
      <c r="AF95" s="94">
        <f>SUMIFS(Свод!$CA$6:$CA$455,Свод!$G$6:$G$455,Расчеты!AF$1)</f>
        <v>0</v>
      </c>
      <c r="AG95" s="94">
        <f>SUMIFS(Свод!$CA$6:$CA$455,Свод!$G$6:$G$455,Расчеты!AG$1)</f>
        <v>0</v>
      </c>
      <c r="AH95" s="94">
        <f>SUMIFS(Свод!$CA$6:$CA$455,Свод!$G$6:$G$455,Расчеты!AH$1)</f>
        <v>0</v>
      </c>
      <c r="AI95" s="94">
        <f>SUMIFS(Свод!$CA$6:$CA$455,Свод!$G$6:$G$455,Расчеты!AI$1)</f>
        <v>0</v>
      </c>
      <c r="AJ95" s="94">
        <f>SUMIFS(Свод!$CA$6:$CA$455,Свод!$G$6:$G$455,Расчеты!AJ$1)</f>
        <v>0</v>
      </c>
      <c r="AK95" s="94">
        <f>SUMIFS(Свод!$CA$6:$CA$455,Свод!$G$6:$G$455,Расчеты!AK$1)</f>
        <v>0</v>
      </c>
      <c r="AL95" s="94">
        <f>SUMIFS(Свод!$CA$6:$CA$455,Свод!$G$6:$G$455,Расчеты!AL$1)</f>
        <v>0</v>
      </c>
      <c r="AM95" s="94">
        <f>SUMIFS(Свод!$CA$6:$CA$455,Свод!$G$6:$G$455,Расчеты!AM$1)</f>
        <v>34</v>
      </c>
      <c r="AN95" s="94">
        <f>SUMIFS(Свод!$CA$6:$CA$455,Свод!$G$6:$G$455,Расчеты!AN$1)</f>
        <v>0</v>
      </c>
      <c r="AO95" s="94">
        <f>SUMIFS(Свод!$CA$6:$CA$455,Свод!$G$6:$G$455,Расчеты!AO$1)</f>
        <v>8</v>
      </c>
      <c r="AP95" s="94">
        <f>SUMIFS(Свод!$CA$6:$CA$455,Свод!$G$6:$G$455,Расчеты!AP$1)</f>
        <v>0</v>
      </c>
      <c r="AQ95" s="94">
        <f>SUMIFS(Свод!$CA$6:$CA$455,Свод!$G$6:$G$455,Расчеты!AQ$1)</f>
        <v>0</v>
      </c>
      <c r="AR95" s="94">
        <f>SUMIFS(Свод!$CA$6:$CA$455,Свод!$G$6:$G$455,Расчеты!AR$1)</f>
        <v>0</v>
      </c>
      <c r="AS95" s="94">
        <f>SUMIFS(Свод!$CA$6:$CA$455,Свод!$G$6:$G$455,Расчеты!AS$1)</f>
        <v>0</v>
      </c>
      <c r="AT95" s="94">
        <f>SUMIFS(Свод!$CA$6:$CA$455,Свод!$G$6:$G$455,Расчеты!AT$1)</f>
        <v>0</v>
      </c>
      <c r="AU95" s="94">
        <f>SUMIFS(Свод!$CA$6:$CA$455,Свод!$G$6:$G$455,Расчеты!AU$1)</f>
        <v>17</v>
      </c>
      <c r="AV95" s="94">
        <f>SUMIFS(Свод!$CA$6:$CA$455,Свод!$G$6:$G$455,Расчеты!AV$1)</f>
        <v>2</v>
      </c>
      <c r="AW95" s="94">
        <f>SUMIFS(Свод!$CA$6:$CA$455,Свод!$G$6:$G$455,Расчеты!AW$1)</f>
        <v>13</v>
      </c>
      <c r="AX95" s="94">
        <f>SUMIFS(Свод!$CA$6:$CA$455,Свод!$G$6:$G$455,Расчеты!AX$1)</f>
        <v>0</v>
      </c>
      <c r="AY95" s="94">
        <f>SUMIFS(Свод!$CA$6:$CA$455,Свод!$G$6:$G$455,Расчеты!AY$1)</f>
        <v>0</v>
      </c>
      <c r="AZ95" s="94">
        <f>SUMIFS(Свод!$CA$6:$CA$455,Свод!$G$6:$G$455,Расчеты!AZ$1)</f>
        <v>0</v>
      </c>
      <c r="BA95" s="94">
        <f>SUMIFS(Свод!$CA$6:$CA$455,Свод!$G$6:$G$455,Расчеты!BA$1)</f>
        <v>0</v>
      </c>
      <c r="BB95" s="94">
        <f>SUMIFS(Свод!$CA$6:$CA$455,Свод!$G$6:$G$455,Расчеты!BB$1)</f>
        <v>17</v>
      </c>
      <c r="BC95" s="94">
        <f>SUMIFS(Свод!$CA$6:$CA$455,Свод!$G$6:$G$455,Расчеты!BC$1)</f>
        <v>0</v>
      </c>
      <c r="BD95" s="94">
        <f>SUMIFS(Свод!$CA$6:$CA$455,Свод!$G$6:$G$455,Расчеты!BD$1)</f>
        <v>0</v>
      </c>
      <c r="BE95" s="94">
        <f>SUMIFS(Свод!$CA$6:$CA$455,Свод!$G$6:$G$455,Расчеты!BE$1)</f>
        <v>40</v>
      </c>
      <c r="BF95" s="94">
        <f>SUMIFS(Свод!$CA$6:$CA$455,Свод!$G$6:$G$455,Расчеты!BF$1)</f>
        <v>0</v>
      </c>
      <c r="BG95" s="94">
        <f>SUMIFS(Свод!$CA$6:$CA$455,Свод!$G$6:$G$455,Расчеты!BG$1)</f>
        <v>0</v>
      </c>
      <c r="BH95" s="94">
        <f>SUMIFS(Свод!$CA$6:$CA$455,Свод!$G$6:$G$455,Расчеты!BH$1)</f>
        <v>0</v>
      </c>
      <c r="BI95" s="94">
        <f>SUMIFS(Свод!$CA$6:$CA$455,Свод!$G$6:$G$455,Расчеты!BI$1)</f>
        <v>0</v>
      </c>
      <c r="BJ95" s="94">
        <f>SUMIFS(Свод!$CA$6:$CA$455,Свод!$G$6:$G$455,Расчеты!BJ$1)</f>
        <v>1</v>
      </c>
      <c r="BK95" s="94">
        <f>SUMIFS(Свод!$CA$6:$CA$455,Свод!$G$6:$G$455,Расчеты!BK$1)</f>
        <v>3</v>
      </c>
      <c r="BL95" s="94">
        <f>SUMIFS(Свод!$CA$6:$CA$455,Свод!$G$6:$G$455,Расчеты!BL$1)</f>
        <v>31</v>
      </c>
      <c r="BM95" s="94">
        <f>SUMIFS(Свод!$CA$6:$CA$455,Свод!$G$6:$G$455,Расчеты!BM$1)</f>
        <v>2</v>
      </c>
      <c r="BN95" s="94">
        <f>SUMIFS(Свод!$CA$6:$CA$455,Свод!$G$6:$G$455,Расчеты!BN$1)</f>
        <v>0</v>
      </c>
      <c r="BO95" s="94">
        <f>SUMIFS(Свод!$CA$6:$CA$455,Свод!$G$6:$G$455,Расчеты!BO$1)</f>
        <v>5</v>
      </c>
      <c r="BP95" s="94">
        <f>SUMIFS(Свод!$CA$6:$CA$455,Свод!$G$6:$G$455,Расчеты!BP$1)</f>
        <v>0</v>
      </c>
      <c r="BQ95" s="94">
        <f>SUMIFS(Свод!$CA$6:$CA$455,Свод!$G$6:$G$455,Расчеты!BQ$1)</f>
        <v>0</v>
      </c>
      <c r="BR95" s="94">
        <f>SUMIFS(Свод!$CA$6:$CA$455,Свод!$G$6:$G$455,Расчеты!BR$1)</f>
        <v>0</v>
      </c>
      <c r="BS95" s="94">
        <f>SUMIFS(Свод!$CA$6:$CA$455,Свод!$G$6:$G$455,Расчеты!BS$1)</f>
        <v>0</v>
      </c>
      <c r="BT95" s="94">
        <f>SUMIFS(Свод!$CA$6:$CA$455,Свод!$G$6:$G$455,Расчеты!BT$1)</f>
        <v>18</v>
      </c>
      <c r="BU95" s="94">
        <f>SUMIFS(Свод!$CA$6:$CA$455,Свод!$G$6:$G$455,Расчеты!BU$1)</f>
        <v>2</v>
      </c>
      <c r="BV95" s="94">
        <f>SUMIFS(Свод!$CA$6:$CA$455,Свод!$G$6:$G$455,Расчеты!BV$1)</f>
        <v>20</v>
      </c>
      <c r="BW95" s="94">
        <f>SUMIFS(Свод!$CA$6:$CA$455,Свод!$G$6:$G$455,Расчеты!BW$1)</f>
        <v>11</v>
      </c>
      <c r="BX95" s="94">
        <f>SUMIFS(Свод!$CA$6:$CA$455,Свод!$G$6:$G$455,Расчеты!BX$1)</f>
        <v>1</v>
      </c>
      <c r="BY95" s="94">
        <f>SUMIFS(Свод!$CA$6:$CA$455,Свод!$G$6:$G$455,Расчеты!BY$1)</f>
        <v>1</v>
      </c>
      <c r="BZ95" s="94">
        <f>SUMIFS(Свод!$CA$6:$CA$455,Свод!$G$6:$G$455,Расчеты!BZ$1)</f>
        <v>11</v>
      </c>
      <c r="CA95" s="94">
        <f>SUMIFS(Свод!$CA$6:$CA$455,Свод!$G$6:$G$455,Расчеты!CA$1)</f>
        <v>0</v>
      </c>
      <c r="CB95" s="94">
        <f>SUMIFS(Свод!$CA$6:$CA$455,Свод!$G$6:$G$455,Расчеты!CB$1)</f>
        <v>0</v>
      </c>
      <c r="CC95" s="94">
        <f>SUMIFS(Свод!$CA$6:$CA$455,Свод!$G$6:$G$455,Расчеты!CC$1)</f>
        <v>0</v>
      </c>
      <c r="CD95" s="94">
        <f>SUMIFS(Свод!$CA$6:$CA$455,Свод!$G$6:$G$455,Расчеты!CD$1)</f>
        <v>0</v>
      </c>
      <c r="CE95" s="94">
        <f>SUMIFS(Свод!$CA$6:$CA$455,Свод!$G$6:$G$455,Расчеты!CE$1)</f>
        <v>0</v>
      </c>
      <c r="CF95" s="94">
        <f>SUMIFS(Свод!$CA$6:$CA$455,Свод!$G$6:$G$455,Расчеты!CF$1)</f>
        <v>1</v>
      </c>
      <c r="CG95" s="94">
        <f>SUMIFS(Свод!$CA$6:$CA$455,Свод!$G$6:$G$455,Расчеты!CG$1)</f>
        <v>13</v>
      </c>
      <c r="CH95" s="94">
        <f>SUMIFS(Свод!$CA$6:$CA$455,Свод!$G$6:$G$455,Расчеты!CH$1)</f>
        <v>93</v>
      </c>
      <c r="CI95" s="94">
        <f>SUMIFS(Свод!$CA$6:$CA$455,Свод!$G$6:$G$455,Расчеты!CI$1)</f>
        <v>28</v>
      </c>
      <c r="CJ95" s="94">
        <f>SUMIFS(Свод!$CA$6:$CA$455,Свод!$G$6:$G$455,Расчеты!CJ$1)</f>
        <v>4</v>
      </c>
      <c r="CK95" s="94">
        <f>SUMIFS(Свод!$CA$6:$CA$455,Свод!$G$6:$G$455,Расчеты!CK$1)</f>
        <v>0</v>
      </c>
      <c r="CL95" s="94">
        <f>SUMIFS(Свод!$CA$6:$CA$455,Свод!$G$6:$G$455,Расчеты!CL$1)</f>
        <v>0</v>
      </c>
      <c r="CM95" s="94">
        <f>SUMIFS(Свод!$CA$6:$CA$455,Свод!$G$6:$G$455,Расчеты!CM$1)</f>
        <v>0</v>
      </c>
      <c r="CN95" s="94">
        <f>SUMIFS(Свод!$CA$6:$CA$455,Свод!$G$6:$G$455,Расчеты!CN$1)</f>
        <v>0</v>
      </c>
      <c r="CO95" s="94">
        <f>SUMIFS(Свод!$CA$6:$CA$455,Свод!$G$6:$G$455,Расчеты!CO$1)</f>
        <v>5</v>
      </c>
      <c r="CP95" s="94">
        <f>SUMIFS(Свод!$CA$6:$CA$455,Свод!$G$6:$G$455,Расчеты!CP$1)</f>
        <v>33</v>
      </c>
      <c r="CQ95" s="94">
        <f>SUMIFS(Свод!$CA$6:$CA$455,Свод!$G$6:$G$455,Расчеты!CQ$1)</f>
        <v>0</v>
      </c>
      <c r="CR95" s="94">
        <f>SUMIFS(Свод!$CA$6:$CA$455,Свод!$G$6:$G$455,Расчеты!CR$1)</f>
        <v>1</v>
      </c>
      <c r="CS95" s="94">
        <f>SUMIFS(Свод!$CA$6:$CA$455,Свод!$G$6:$G$455,Расчеты!CS$1)</f>
        <v>1</v>
      </c>
      <c r="CT95" s="94">
        <f>SUMIFS(Свод!$CA$6:$CA$455,Свод!$G$6:$G$455,Расчеты!CT$1)</f>
        <v>0</v>
      </c>
      <c r="CU95" s="94">
        <f>SUMIFS(Свод!$CA$6:$CA$455,Свод!$G$6:$G$455,Расчеты!CU$1)</f>
        <v>19</v>
      </c>
      <c r="CV95" s="94">
        <f>SUMIFS(Свод!$CA$6:$CA$455,Свод!$G$6:$G$455,Расчеты!CV$1)</f>
        <v>2</v>
      </c>
      <c r="CW95" s="94">
        <f>SUMIFS(Свод!$CA$6:$CA$455,Свод!$G$6:$G$455,Расчеты!CW$1)</f>
        <v>1</v>
      </c>
      <c r="CX95" s="94">
        <f>SUMIFS(Свод!$CA$6:$CA$455,Свод!$G$6:$G$455,Расчеты!CX$1)</f>
        <v>0</v>
      </c>
    </row>
    <row r="96" spans="1:102" ht="17" x14ac:dyDescent="0.2">
      <c r="A96" s="1238"/>
      <c r="B96" s="1237"/>
      <c r="C96" s="97" t="s">
        <v>8886</v>
      </c>
      <c r="D96" s="97">
        <v>75</v>
      </c>
      <c r="E96" s="502" t="s">
        <v>9061</v>
      </c>
      <c r="F96" s="1237"/>
      <c r="G96" s="513" t="s">
        <v>64</v>
      </c>
      <c r="H96" s="513"/>
      <c r="I96" s="97"/>
      <c r="J96" s="97"/>
      <c r="K96" s="97" t="s">
        <v>479</v>
      </c>
      <c r="L96" s="97">
        <v>2.9858236105883829E-2</v>
      </c>
      <c r="M96" s="97">
        <v>3.0701521819820776E-2</v>
      </c>
      <c r="N96" s="572">
        <v>3.4613799734444395E-2</v>
      </c>
      <c r="P96" s="573">
        <v>3.0432094524970803E-2</v>
      </c>
      <c r="Q96" s="94">
        <f>Q95/Q117</f>
        <v>2.1892342787102923E-2</v>
      </c>
    </row>
    <row r="97" spans="1:102" ht="34" x14ac:dyDescent="0.2">
      <c r="A97" s="1238"/>
      <c r="B97" s="1237"/>
      <c r="C97" s="97" t="s">
        <v>8886</v>
      </c>
      <c r="D97" s="97">
        <v>76</v>
      </c>
      <c r="E97" s="502" t="s">
        <v>9062</v>
      </c>
      <c r="F97" s="1237" t="s">
        <v>9063</v>
      </c>
      <c r="G97" s="513" t="s">
        <v>9022</v>
      </c>
      <c r="H97" s="513"/>
      <c r="I97" s="97"/>
      <c r="J97" s="97"/>
      <c r="K97" s="97"/>
      <c r="L97" s="97">
        <v>594</v>
      </c>
      <c r="M97" s="97">
        <v>561</v>
      </c>
      <c r="N97" s="99">
        <v>96</v>
      </c>
      <c r="O97" s="94">
        <v>115</v>
      </c>
      <c r="P97" s="94">
        <v>595</v>
      </c>
      <c r="Q97" s="94">
        <f t="shared" si="26"/>
        <v>139</v>
      </c>
      <c r="R97" s="94">
        <f>SUMIFS(Свод!$CB$6:$CB$455,Свод!$G$6:$G$455,Расчеты!R$1)</f>
        <v>0</v>
      </c>
      <c r="S97" s="94">
        <f>SUMIFS(Свод!$CB$6:$CB$455,Свод!$G$6:$G$455,Расчеты!S$1)</f>
        <v>0</v>
      </c>
      <c r="T97" s="94">
        <f>SUMIFS(Свод!$CB$6:$CB$455,Свод!$G$6:$G$455,Расчеты!T$1)</f>
        <v>0</v>
      </c>
      <c r="U97" s="94">
        <f>SUMIFS(Свод!$CB$6:$CB$455,Свод!$G$6:$G$455,Расчеты!U$1)</f>
        <v>0</v>
      </c>
      <c r="V97" s="94">
        <f>SUMIFS(Свод!$CB$6:$CB$455,Свод!$G$6:$G$455,Расчеты!V$1)</f>
        <v>0</v>
      </c>
      <c r="W97" s="94">
        <f>SUMIFS(Свод!$CB$6:$CB$455,Свод!$G$6:$G$455,Расчеты!W$1)</f>
        <v>0</v>
      </c>
      <c r="X97" s="94">
        <f>SUMIFS(Свод!$CB$6:$CB$455,Свод!$G$6:$G$455,Расчеты!X$1)</f>
        <v>7</v>
      </c>
      <c r="Y97" s="94">
        <f>SUMIFS(Свод!$CB$6:$CB$455,Свод!$G$6:$G$455,Расчеты!Y$1)</f>
        <v>1</v>
      </c>
      <c r="Z97" s="94">
        <f>SUMIFS(Свод!$CB$6:$CB$455,Свод!$G$6:$G$455,Расчеты!Z$1)</f>
        <v>0</v>
      </c>
      <c r="AA97" s="94">
        <f>SUMIFS(Свод!$CB$6:$CB$455,Свод!$G$6:$G$455,Расчеты!AA$1)</f>
        <v>0</v>
      </c>
      <c r="AB97" s="94">
        <f>SUMIFS(Свод!$CB$6:$CB$455,Свод!$G$6:$G$455,Расчеты!AB$1)</f>
        <v>0</v>
      </c>
      <c r="AC97" s="94">
        <f>SUMIFS(Свод!$CB$6:$CB$455,Свод!$G$6:$G$455,Расчеты!AC$1)</f>
        <v>0</v>
      </c>
      <c r="AD97" s="94">
        <f>SUMIFS(Свод!$CB$6:$CB$455,Свод!$G$6:$G$455,Расчеты!AD$1)</f>
        <v>0</v>
      </c>
      <c r="AE97" s="94">
        <f>SUMIFS(Свод!$CB$6:$CB$455,Свод!$G$6:$G$455,Расчеты!AE$1)</f>
        <v>0</v>
      </c>
      <c r="AF97" s="94">
        <f>SUMIFS(Свод!$CB$6:$CB$455,Свод!$G$6:$G$455,Расчеты!AF$1)</f>
        <v>0</v>
      </c>
      <c r="AG97" s="94">
        <f>SUMIFS(Свод!$CB$6:$CB$455,Свод!$G$6:$G$455,Расчеты!AG$1)</f>
        <v>0</v>
      </c>
      <c r="AH97" s="94">
        <f>SUMIFS(Свод!$CB$6:$CB$455,Свод!$G$6:$G$455,Расчеты!AH$1)</f>
        <v>0</v>
      </c>
      <c r="AI97" s="94">
        <f>SUMIFS(Свод!$CB$6:$CB$455,Свод!$G$6:$G$455,Расчеты!AI$1)</f>
        <v>0</v>
      </c>
      <c r="AJ97" s="94">
        <f>SUMIFS(Свод!$CB$6:$CB$455,Свод!$G$6:$G$455,Расчеты!AJ$1)</f>
        <v>0</v>
      </c>
      <c r="AK97" s="94">
        <f>SUMIFS(Свод!$CB$6:$CB$455,Свод!$G$6:$G$455,Расчеты!AK$1)</f>
        <v>0</v>
      </c>
      <c r="AL97" s="94">
        <f>SUMIFS(Свод!$CB$6:$CB$455,Свод!$G$6:$G$455,Расчеты!AL$1)</f>
        <v>0</v>
      </c>
      <c r="AM97" s="94">
        <f>SUMIFS(Свод!$CB$6:$CB$455,Свод!$G$6:$G$455,Расчеты!AM$1)</f>
        <v>1</v>
      </c>
      <c r="AN97" s="94">
        <f>SUMIFS(Свод!$CB$6:$CB$455,Свод!$G$6:$G$455,Расчеты!AN$1)</f>
        <v>0</v>
      </c>
      <c r="AO97" s="94">
        <f>SUMIFS(Свод!$CB$6:$CB$455,Свод!$G$6:$G$455,Расчеты!AO$1)</f>
        <v>0</v>
      </c>
      <c r="AP97" s="94">
        <f>SUMIFS(Свод!$CB$6:$CB$455,Свод!$G$6:$G$455,Расчеты!AP$1)</f>
        <v>0</v>
      </c>
      <c r="AQ97" s="94">
        <f>SUMIFS(Свод!$CB$6:$CB$455,Свод!$G$6:$G$455,Расчеты!AQ$1)</f>
        <v>0</v>
      </c>
      <c r="AR97" s="94">
        <f>SUMIFS(Свод!$CB$6:$CB$455,Свод!$G$6:$G$455,Расчеты!AR$1)</f>
        <v>19</v>
      </c>
      <c r="AS97" s="94">
        <f>SUMIFS(Свод!$CB$6:$CB$455,Свод!$G$6:$G$455,Расчеты!AS$1)</f>
        <v>0</v>
      </c>
      <c r="AT97" s="94">
        <f>SUMIFS(Свод!$CB$6:$CB$455,Свод!$G$6:$G$455,Расчеты!AT$1)</f>
        <v>15</v>
      </c>
      <c r="AU97" s="94">
        <f>SUMIFS(Свод!$CB$6:$CB$455,Свод!$G$6:$G$455,Расчеты!AU$1)</f>
        <v>18</v>
      </c>
      <c r="AV97" s="94">
        <f>SUMIFS(Свод!$CB$6:$CB$455,Свод!$G$6:$G$455,Расчеты!AV$1)</f>
        <v>0</v>
      </c>
      <c r="AW97" s="94">
        <f>SUMIFS(Свод!$CB$6:$CB$455,Свод!$G$6:$G$455,Расчеты!AW$1)</f>
        <v>9</v>
      </c>
      <c r="AX97" s="94">
        <f>SUMIFS(Свод!$CB$6:$CB$455,Свод!$G$6:$G$455,Расчеты!AX$1)</f>
        <v>0</v>
      </c>
      <c r="AY97" s="94">
        <f>SUMIFS(Свод!$CB$6:$CB$455,Свод!$G$6:$G$455,Расчеты!AY$1)</f>
        <v>0</v>
      </c>
      <c r="AZ97" s="94">
        <f>SUMIFS(Свод!$CB$6:$CB$455,Свод!$G$6:$G$455,Расчеты!AZ$1)</f>
        <v>0</v>
      </c>
      <c r="BA97" s="94">
        <f>SUMIFS(Свод!$CB$6:$CB$455,Свод!$G$6:$G$455,Расчеты!BA$1)</f>
        <v>0</v>
      </c>
      <c r="BB97" s="94">
        <f>SUMIFS(Свод!$CB$6:$CB$455,Свод!$G$6:$G$455,Расчеты!BB$1)</f>
        <v>0</v>
      </c>
      <c r="BC97" s="94">
        <f>SUMIFS(Свод!$CB$6:$CB$455,Свод!$G$6:$G$455,Расчеты!BC$1)</f>
        <v>0</v>
      </c>
      <c r="BD97" s="94">
        <f>SUMIFS(Свод!$CB$6:$CB$455,Свод!$G$6:$G$455,Расчеты!BD$1)</f>
        <v>0</v>
      </c>
      <c r="BE97" s="94">
        <f>SUMIFS(Свод!$CB$6:$CB$455,Свод!$G$6:$G$455,Расчеты!BE$1)</f>
        <v>0</v>
      </c>
      <c r="BF97" s="94">
        <f>SUMIFS(Свод!$CB$6:$CB$455,Свод!$G$6:$G$455,Расчеты!BF$1)</f>
        <v>0</v>
      </c>
      <c r="BG97" s="94">
        <f>SUMIFS(Свод!$CB$6:$CB$455,Свод!$G$6:$G$455,Расчеты!BG$1)</f>
        <v>0</v>
      </c>
      <c r="BH97" s="94">
        <f>SUMIFS(Свод!$CB$6:$CB$455,Свод!$G$6:$G$455,Расчеты!BH$1)</f>
        <v>14</v>
      </c>
      <c r="BI97" s="94">
        <f>SUMIFS(Свод!$CB$6:$CB$455,Свод!$G$6:$G$455,Расчеты!BI$1)</f>
        <v>0</v>
      </c>
      <c r="BJ97" s="94">
        <f>SUMIFS(Свод!$CB$6:$CB$455,Свод!$G$6:$G$455,Расчеты!BJ$1)</f>
        <v>0</v>
      </c>
      <c r="BK97" s="94">
        <f>SUMIFS(Свод!$CB$6:$CB$455,Свод!$G$6:$G$455,Расчеты!BK$1)</f>
        <v>0</v>
      </c>
      <c r="BL97" s="94">
        <f>SUMIFS(Свод!$CB$6:$CB$455,Свод!$G$6:$G$455,Расчеты!BL$1)</f>
        <v>0</v>
      </c>
      <c r="BM97" s="94">
        <f>SUMIFS(Свод!$CB$6:$CB$455,Свод!$G$6:$G$455,Расчеты!BM$1)</f>
        <v>0</v>
      </c>
      <c r="BN97" s="94">
        <f>SUMIFS(Свод!$CB$6:$CB$455,Свод!$G$6:$G$455,Расчеты!BN$1)</f>
        <v>0</v>
      </c>
      <c r="BO97" s="94">
        <f>SUMIFS(Свод!$CB$6:$CB$455,Свод!$G$6:$G$455,Расчеты!BO$1)</f>
        <v>0</v>
      </c>
      <c r="BP97" s="94">
        <f>SUMIFS(Свод!$CB$6:$CB$455,Свод!$G$6:$G$455,Расчеты!BP$1)</f>
        <v>0</v>
      </c>
      <c r="BQ97" s="94">
        <f>SUMIFS(Свод!$CB$6:$CB$455,Свод!$G$6:$G$455,Расчеты!BQ$1)</f>
        <v>3</v>
      </c>
      <c r="BR97" s="94">
        <f>SUMIFS(Свод!$CB$6:$CB$455,Свод!$G$6:$G$455,Расчеты!BR$1)</f>
        <v>3</v>
      </c>
      <c r="BS97" s="94">
        <f>SUMIFS(Свод!$CB$6:$CB$455,Свод!$G$6:$G$455,Расчеты!BS$1)</f>
        <v>0</v>
      </c>
      <c r="BT97" s="94">
        <f>SUMIFS(Свод!$CB$6:$CB$455,Свод!$G$6:$G$455,Расчеты!BT$1)</f>
        <v>0</v>
      </c>
      <c r="BU97" s="94">
        <f>SUMIFS(Свод!$CB$6:$CB$455,Свод!$G$6:$G$455,Расчеты!BU$1)</f>
        <v>1</v>
      </c>
      <c r="BV97" s="94">
        <f>SUMIFS(Свод!$CB$6:$CB$455,Свод!$G$6:$G$455,Расчеты!BV$1)</f>
        <v>0</v>
      </c>
      <c r="BW97" s="94">
        <f>SUMIFS(Свод!$CB$6:$CB$455,Свод!$G$6:$G$455,Расчеты!BW$1)</f>
        <v>1</v>
      </c>
      <c r="BX97" s="94">
        <f>SUMIFS(Свод!$CB$6:$CB$455,Свод!$G$6:$G$455,Расчеты!BX$1)</f>
        <v>0</v>
      </c>
      <c r="BY97" s="94">
        <f>SUMIFS(Свод!$CB$6:$CB$455,Свод!$G$6:$G$455,Расчеты!BY$1)</f>
        <v>0</v>
      </c>
      <c r="BZ97" s="94">
        <f>SUMIFS(Свод!$CB$6:$CB$455,Свод!$G$6:$G$455,Расчеты!BZ$1)</f>
        <v>0</v>
      </c>
      <c r="CA97" s="94">
        <f>SUMIFS(Свод!$CB$6:$CB$455,Свод!$G$6:$G$455,Расчеты!CA$1)</f>
        <v>0</v>
      </c>
      <c r="CB97" s="94">
        <f>SUMIFS(Свод!$CB$6:$CB$455,Свод!$G$6:$G$455,Расчеты!CB$1)</f>
        <v>0</v>
      </c>
      <c r="CC97" s="94">
        <f>SUMIFS(Свод!$CB$6:$CB$455,Свод!$G$6:$G$455,Расчеты!CC$1)</f>
        <v>0</v>
      </c>
      <c r="CD97" s="94">
        <f>SUMIFS(Свод!$CB$6:$CB$455,Свод!$G$6:$G$455,Расчеты!CD$1)</f>
        <v>0</v>
      </c>
      <c r="CE97" s="94">
        <f>SUMIFS(Свод!$CB$6:$CB$455,Свод!$G$6:$G$455,Расчеты!CE$1)</f>
        <v>0</v>
      </c>
      <c r="CF97" s="94">
        <f>SUMIFS(Свод!$CB$6:$CB$455,Свод!$G$6:$G$455,Расчеты!CF$1)</f>
        <v>0</v>
      </c>
      <c r="CG97" s="94">
        <f>SUMIFS(Свод!$CB$6:$CB$455,Свод!$G$6:$G$455,Расчеты!CG$1)</f>
        <v>0</v>
      </c>
      <c r="CH97" s="94">
        <f>SUMIFS(Свод!$CB$6:$CB$455,Свод!$G$6:$G$455,Расчеты!CH$1)</f>
        <v>0</v>
      </c>
      <c r="CI97" s="94">
        <f>SUMIFS(Свод!$CB$6:$CB$455,Свод!$G$6:$G$455,Расчеты!CI$1)</f>
        <v>0</v>
      </c>
      <c r="CJ97" s="94">
        <f>SUMIFS(Свод!$CB$6:$CB$455,Свод!$G$6:$G$455,Расчеты!CJ$1)</f>
        <v>0</v>
      </c>
      <c r="CK97" s="94">
        <f>SUMIFS(Свод!$CB$6:$CB$455,Свод!$G$6:$G$455,Расчеты!CK$1)</f>
        <v>0</v>
      </c>
      <c r="CL97" s="94">
        <f>SUMIFS(Свод!$CB$6:$CB$455,Свод!$G$6:$G$455,Расчеты!CL$1)</f>
        <v>0</v>
      </c>
      <c r="CM97" s="94">
        <f>SUMIFS(Свод!$CB$6:$CB$455,Свод!$G$6:$G$455,Расчеты!CM$1)</f>
        <v>3</v>
      </c>
      <c r="CN97" s="94">
        <f>SUMIFS(Свод!$CB$6:$CB$455,Свод!$G$6:$G$455,Расчеты!CN$1)</f>
        <v>0</v>
      </c>
      <c r="CO97" s="94">
        <f>SUMIFS(Свод!$CB$6:$CB$455,Свод!$G$6:$G$455,Расчеты!CO$1)</f>
        <v>0</v>
      </c>
      <c r="CP97" s="94">
        <f>SUMIFS(Свод!$CB$6:$CB$455,Свод!$G$6:$G$455,Расчеты!CP$1)</f>
        <v>16</v>
      </c>
      <c r="CQ97" s="94">
        <f>SUMIFS(Свод!$CB$6:$CB$455,Свод!$G$6:$G$455,Расчеты!CQ$1)</f>
        <v>0</v>
      </c>
      <c r="CR97" s="94">
        <f>SUMIFS(Свод!$CB$6:$CB$455,Свод!$G$6:$G$455,Расчеты!CR$1)</f>
        <v>3</v>
      </c>
      <c r="CS97" s="94">
        <f>SUMIFS(Свод!$CB$6:$CB$455,Свод!$G$6:$G$455,Расчеты!CS$1)</f>
        <v>1</v>
      </c>
      <c r="CT97" s="94">
        <f>SUMIFS(Свод!$CB$6:$CB$455,Свод!$G$6:$G$455,Расчеты!CT$1)</f>
        <v>0</v>
      </c>
      <c r="CU97" s="94">
        <f>SUMIFS(Свод!$CB$6:$CB$455,Свод!$G$6:$G$455,Расчеты!CU$1)</f>
        <v>0</v>
      </c>
      <c r="CV97" s="94">
        <f>SUMIFS(Свод!$CB$6:$CB$455,Свод!$G$6:$G$455,Расчеты!CV$1)</f>
        <v>6</v>
      </c>
      <c r="CW97" s="94">
        <f>SUMIFS(Свод!$CB$6:$CB$455,Свод!$G$6:$G$455,Расчеты!CW$1)</f>
        <v>18</v>
      </c>
      <c r="CX97" s="94">
        <f>SUMIFS(Свод!$CB$6:$CB$455,Свод!$G$6:$G$455,Расчеты!CX$1)</f>
        <v>0</v>
      </c>
    </row>
    <row r="98" spans="1:102" ht="17" x14ac:dyDescent="0.2">
      <c r="A98" s="1238"/>
      <c r="B98" s="1237"/>
      <c r="C98" s="97" t="s">
        <v>8886</v>
      </c>
      <c r="D98" s="97">
        <v>77</v>
      </c>
      <c r="E98" s="502" t="s">
        <v>9064</v>
      </c>
      <c r="F98" s="1237"/>
      <c r="G98" s="513" t="s">
        <v>64</v>
      </c>
      <c r="H98" s="513"/>
      <c r="I98" s="97"/>
      <c r="J98" s="97"/>
      <c r="K98" s="97" t="s">
        <v>479</v>
      </c>
      <c r="L98" s="97">
        <v>3.7260067745577719E-2</v>
      </c>
      <c r="M98" s="97">
        <v>2.9747070364282306E-2</v>
      </c>
      <c r="N98" s="572">
        <v>4.3954031408818279E-3</v>
      </c>
      <c r="P98" s="573">
        <v>2.0436903208078588E-2</v>
      </c>
      <c r="Q98" s="94">
        <f>Q97/Q117</f>
        <v>4.7325593272275375E-3</v>
      </c>
    </row>
    <row r="99" spans="1:102" ht="34" x14ac:dyDescent="0.2">
      <c r="A99" s="1238"/>
      <c r="B99" s="1237"/>
      <c r="C99" s="97" t="s">
        <v>8886</v>
      </c>
      <c r="D99" s="97">
        <v>78</v>
      </c>
      <c r="E99" s="502" t="s">
        <v>9065</v>
      </c>
      <c r="F99" s="1237" t="s">
        <v>9066</v>
      </c>
      <c r="G99" s="513" t="s">
        <v>9022</v>
      </c>
      <c r="H99" s="513"/>
      <c r="I99" s="97"/>
      <c r="J99" s="97"/>
      <c r="K99" s="97"/>
      <c r="L99" s="97">
        <v>213</v>
      </c>
      <c r="M99" s="97">
        <v>359</v>
      </c>
      <c r="N99" s="99">
        <v>198</v>
      </c>
      <c r="O99" s="94">
        <v>182</v>
      </c>
      <c r="P99" s="94">
        <v>230</v>
      </c>
      <c r="Q99" s="94">
        <f t="shared" si="26"/>
        <v>167</v>
      </c>
      <c r="R99" s="94">
        <f>SUMIFS(Свод!$CC$6:$CC$455,Свод!$G$6:$G$455,Расчеты!R$1)</f>
        <v>0</v>
      </c>
      <c r="S99" s="94">
        <f>SUMIFS(Свод!$CC$6:$CC$455,Свод!$G$6:$G$455,Расчеты!S$1)</f>
        <v>0</v>
      </c>
      <c r="T99" s="94">
        <f>SUMIFS(Свод!$CC$6:$CC$455,Свод!$G$6:$G$455,Расчеты!T$1)</f>
        <v>0</v>
      </c>
      <c r="U99" s="94">
        <f>SUMIFS(Свод!$CC$6:$CC$455,Свод!$G$6:$G$455,Расчеты!U$1)</f>
        <v>0</v>
      </c>
      <c r="V99" s="94">
        <f>SUMIFS(Свод!$CC$6:$CC$455,Свод!$G$6:$G$455,Расчеты!V$1)</f>
        <v>1</v>
      </c>
      <c r="W99" s="94">
        <f>SUMIFS(Свод!$CC$6:$CC$455,Свод!$G$6:$G$455,Расчеты!W$1)</f>
        <v>0</v>
      </c>
      <c r="X99" s="94">
        <f>SUMIFS(Свод!$CC$6:$CC$455,Свод!$G$6:$G$455,Расчеты!X$1)</f>
        <v>0</v>
      </c>
      <c r="Y99" s="94">
        <f>SUMIFS(Свод!$CC$6:$CC$455,Свод!$G$6:$G$455,Расчеты!Y$1)</f>
        <v>4</v>
      </c>
      <c r="Z99" s="94">
        <f>SUMIFS(Свод!$CC$6:$CC$455,Свод!$G$6:$G$455,Расчеты!Z$1)</f>
        <v>0</v>
      </c>
      <c r="AA99" s="94">
        <f>SUMIFS(Свод!$CC$6:$CC$455,Свод!$G$6:$G$455,Расчеты!AA$1)</f>
        <v>0</v>
      </c>
      <c r="AB99" s="94">
        <f>SUMIFS(Свод!$CC$6:$CC$455,Свод!$G$6:$G$455,Расчеты!AB$1)</f>
        <v>0</v>
      </c>
      <c r="AC99" s="94">
        <f>SUMIFS(Свод!$CC$6:$CC$455,Свод!$G$6:$G$455,Расчеты!AC$1)</f>
        <v>0</v>
      </c>
      <c r="AD99" s="94">
        <f>SUMIFS(Свод!$CC$6:$CC$455,Свод!$G$6:$G$455,Расчеты!AD$1)</f>
        <v>51</v>
      </c>
      <c r="AE99" s="94">
        <f>SUMIFS(Свод!$CC$6:$CC$455,Свод!$G$6:$G$455,Расчеты!AE$1)</f>
        <v>0</v>
      </c>
      <c r="AF99" s="94">
        <f>SUMIFS(Свод!$CC$6:$CC$455,Свод!$G$6:$G$455,Расчеты!AF$1)</f>
        <v>0</v>
      </c>
      <c r="AG99" s="94">
        <f>SUMIFS(Свод!$CC$6:$CC$455,Свод!$G$6:$G$455,Расчеты!AG$1)</f>
        <v>0</v>
      </c>
      <c r="AH99" s="94">
        <f>SUMIFS(Свод!$CC$6:$CC$455,Свод!$G$6:$G$455,Расчеты!AH$1)</f>
        <v>0</v>
      </c>
      <c r="AI99" s="94">
        <f>SUMIFS(Свод!$CC$6:$CC$455,Свод!$G$6:$G$455,Расчеты!AI$1)</f>
        <v>0</v>
      </c>
      <c r="AJ99" s="94">
        <f>SUMIFS(Свод!$CC$6:$CC$455,Свод!$G$6:$G$455,Расчеты!AJ$1)</f>
        <v>0</v>
      </c>
      <c r="AK99" s="94">
        <f>SUMIFS(Свод!$CC$6:$CC$455,Свод!$G$6:$G$455,Расчеты!AK$1)</f>
        <v>0</v>
      </c>
      <c r="AL99" s="94">
        <f>SUMIFS(Свод!$CC$6:$CC$455,Свод!$G$6:$G$455,Расчеты!AL$1)</f>
        <v>0</v>
      </c>
      <c r="AM99" s="94">
        <f>SUMIFS(Свод!$CC$6:$CC$455,Свод!$G$6:$G$455,Расчеты!AM$1)</f>
        <v>0</v>
      </c>
      <c r="AN99" s="94">
        <f>SUMIFS(Свод!$CC$6:$CC$455,Свод!$G$6:$G$455,Расчеты!AN$1)</f>
        <v>0</v>
      </c>
      <c r="AO99" s="94">
        <f>SUMIFS(Свод!$CC$6:$CC$455,Свод!$G$6:$G$455,Расчеты!AO$1)</f>
        <v>0</v>
      </c>
      <c r="AP99" s="94">
        <f>SUMIFS(Свод!$CC$6:$CC$455,Свод!$G$6:$G$455,Расчеты!AP$1)</f>
        <v>0</v>
      </c>
      <c r="AQ99" s="94">
        <f>SUMIFS(Свод!$CC$6:$CC$455,Свод!$G$6:$G$455,Расчеты!AQ$1)</f>
        <v>0</v>
      </c>
      <c r="AR99" s="94">
        <f>SUMIFS(Свод!$CC$6:$CC$455,Свод!$G$6:$G$455,Расчеты!AR$1)</f>
        <v>27</v>
      </c>
      <c r="AS99" s="94">
        <f>SUMIFS(Свод!$CC$6:$CC$455,Свод!$G$6:$G$455,Расчеты!AS$1)</f>
        <v>0</v>
      </c>
      <c r="AT99" s="94">
        <f>SUMIFS(Свод!$CC$6:$CC$455,Свод!$G$6:$G$455,Расчеты!AT$1)</f>
        <v>0</v>
      </c>
      <c r="AU99" s="94">
        <f>SUMIFS(Свод!$CC$6:$CC$455,Свод!$G$6:$G$455,Расчеты!AU$1)</f>
        <v>3</v>
      </c>
      <c r="AV99" s="94">
        <f>SUMIFS(Свод!$CC$6:$CC$455,Свод!$G$6:$G$455,Расчеты!AV$1)</f>
        <v>0</v>
      </c>
      <c r="AW99" s="94">
        <f>SUMIFS(Свод!$CC$6:$CC$455,Свод!$G$6:$G$455,Расчеты!AW$1)</f>
        <v>1</v>
      </c>
      <c r="AX99" s="94">
        <f>SUMIFS(Свод!$CC$6:$CC$455,Свод!$G$6:$G$455,Расчеты!AX$1)</f>
        <v>0</v>
      </c>
      <c r="AY99" s="94">
        <f>SUMIFS(Свод!$CC$6:$CC$455,Свод!$G$6:$G$455,Расчеты!AY$1)</f>
        <v>0</v>
      </c>
      <c r="AZ99" s="94">
        <f>SUMIFS(Свод!$CC$6:$CC$455,Свод!$G$6:$G$455,Расчеты!AZ$1)</f>
        <v>0</v>
      </c>
      <c r="BA99" s="94">
        <f>SUMIFS(Свод!$CC$6:$CC$455,Свод!$G$6:$G$455,Расчеты!BA$1)</f>
        <v>0</v>
      </c>
      <c r="BB99" s="94">
        <f>SUMIFS(Свод!$CC$6:$CC$455,Свод!$G$6:$G$455,Расчеты!BB$1)</f>
        <v>0</v>
      </c>
      <c r="BC99" s="94">
        <f>SUMIFS(Свод!$CC$6:$CC$455,Свод!$G$6:$G$455,Расчеты!BC$1)</f>
        <v>0</v>
      </c>
      <c r="BD99" s="94">
        <f>SUMIFS(Свод!$CC$6:$CC$455,Свод!$G$6:$G$455,Расчеты!BD$1)</f>
        <v>0</v>
      </c>
      <c r="BE99" s="94">
        <f>SUMIFS(Свод!$CC$6:$CC$455,Свод!$G$6:$G$455,Расчеты!BE$1)</f>
        <v>0</v>
      </c>
      <c r="BF99" s="94">
        <f>SUMIFS(Свод!$CC$6:$CC$455,Свод!$G$6:$G$455,Расчеты!BF$1)</f>
        <v>0</v>
      </c>
      <c r="BG99" s="94">
        <f>SUMIFS(Свод!$CC$6:$CC$455,Свод!$G$6:$G$455,Расчеты!BG$1)</f>
        <v>0</v>
      </c>
      <c r="BH99" s="94">
        <f>SUMIFS(Свод!$CC$6:$CC$455,Свод!$G$6:$G$455,Расчеты!BH$1)</f>
        <v>0</v>
      </c>
      <c r="BI99" s="94">
        <f>SUMIFS(Свод!$CC$6:$CC$455,Свод!$G$6:$G$455,Расчеты!BI$1)</f>
        <v>0</v>
      </c>
      <c r="BJ99" s="94">
        <f>SUMIFS(Свод!$CC$6:$CC$455,Свод!$G$6:$G$455,Расчеты!BJ$1)</f>
        <v>0</v>
      </c>
      <c r="BK99" s="94">
        <f>SUMIFS(Свод!$CC$6:$CC$455,Свод!$G$6:$G$455,Расчеты!BK$1)</f>
        <v>4</v>
      </c>
      <c r="BL99" s="94">
        <f>SUMIFS(Свод!$CC$6:$CC$455,Свод!$G$6:$G$455,Расчеты!BL$1)</f>
        <v>0</v>
      </c>
      <c r="BM99" s="94">
        <f>SUMIFS(Свод!$CC$6:$CC$455,Свод!$G$6:$G$455,Расчеты!BM$1)</f>
        <v>0</v>
      </c>
      <c r="BN99" s="94">
        <f>SUMIFS(Свод!$CC$6:$CC$455,Свод!$G$6:$G$455,Расчеты!BN$1)</f>
        <v>0</v>
      </c>
      <c r="BO99" s="94">
        <f>SUMIFS(Свод!$CC$6:$CC$455,Свод!$G$6:$G$455,Расчеты!BO$1)</f>
        <v>0</v>
      </c>
      <c r="BP99" s="94">
        <f>SUMIFS(Свод!$CC$6:$CC$455,Свод!$G$6:$G$455,Расчеты!BP$1)</f>
        <v>1</v>
      </c>
      <c r="BQ99" s="94">
        <f>SUMIFS(Свод!$CC$6:$CC$455,Свод!$G$6:$G$455,Расчеты!BQ$1)</f>
        <v>19</v>
      </c>
      <c r="BR99" s="94">
        <f>SUMIFS(Свод!$CC$6:$CC$455,Свод!$G$6:$G$455,Расчеты!BR$1)</f>
        <v>0</v>
      </c>
      <c r="BS99" s="94">
        <f>SUMIFS(Свод!$CC$6:$CC$455,Свод!$G$6:$G$455,Расчеты!BS$1)</f>
        <v>0</v>
      </c>
      <c r="BT99" s="94">
        <f>SUMIFS(Свод!$CC$6:$CC$455,Свод!$G$6:$G$455,Расчеты!BT$1)</f>
        <v>0</v>
      </c>
      <c r="BU99" s="94">
        <f>SUMIFS(Свод!$CC$6:$CC$455,Свод!$G$6:$G$455,Расчеты!BU$1)</f>
        <v>0</v>
      </c>
      <c r="BV99" s="94">
        <f>SUMIFS(Свод!$CC$6:$CC$455,Свод!$G$6:$G$455,Расчеты!BV$1)</f>
        <v>0</v>
      </c>
      <c r="BW99" s="94">
        <f>SUMIFS(Свод!$CC$6:$CC$455,Свод!$G$6:$G$455,Расчеты!BW$1)</f>
        <v>2</v>
      </c>
      <c r="BX99" s="94">
        <f>SUMIFS(Свод!$CC$6:$CC$455,Свод!$G$6:$G$455,Расчеты!BX$1)</f>
        <v>2</v>
      </c>
      <c r="BY99" s="94">
        <f>SUMIFS(Свод!$CC$6:$CC$455,Свод!$G$6:$G$455,Расчеты!BY$1)</f>
        <v>0</v>
      </c>
      <c r="BZ99" s="94">
        <f>SUMIFS(Свод!$CC$6:$CC$455,Свод!$G$6:$G$455,Расчеты!BZ$1)</f>
        <v>0</v>
      </c>
      <c r="CA99" s="94">
        <f>SUMIFS(Свод!$CC$6:$CC$455,Свод!$G$6:$G$455,Расчеты!CA$1)</f>
        <v>0</v>
      </c>
      <c r="CB99" s="94">
        <f>SUMIFS(Свод!$CC$6:$CC$455,Свод!$G$6:$G$455,Расчеты!CB$1)</f>
        <v>0</v>
      </c>
      <c r="CC99" s="94">
        <f>SUMIFS(Свод!$CC$6:$CC$455,Свод!$G$6:$G$455,Расчеты!CC$1)</f>
        <v>0</v>
      </c>
      <c r="CD99" s="94">
        <f>SUMIFS(Свод!$CC$6:$CC$455,Свод!$G$6:$G$455,Расчеты!CD$1)</f>
        <v>0</v>
      </c>
      <c r="CE99" s="94">
        <f>SUMIFS(Свод!$CC$6:$CC$455,Свод!$G$6:$G$455,Расчеты!CE$1)</f>
        <v>0</v>
      </c>
      <c r="CF99" s="94">
        <f>SUMIFS(Свод!$CC$6:$CC$455,Свод!$G$6:$G$455,Расчеты!CF$1)</f>
        <v>0</v>
      </c>
      <c r="CG99" s="94">
        <f>SUMIFS(Свод!$CC$6:$CC$455,Свод!$G$6:$G$455,Расчеты!CG$1)</f>
        <v>0</v>
      </c>
      <c r="CH99" s="94">
        <f>SUMIFS(Свод!$CC$6:$CC$455,Свод!$G$6:$G$455,Расчеты!CH$1)</f>
        <v>0</v>
      </c>
      <c r="CI99" s="94">
        <f>SUMIFS(Свод!$CC$6:$CC$455,Свод!$G$6:$G$455,Расчеты!CI$1)</f>
        <v>0</v>
      </c>
      <c r="CJ99" s="94">
        <f>SUMIFS(Свод!$CC$6:$CC$455,Свод!$G$6:$G$455,Расчеты!CJ$1)</f>
        <v>1</v>
      </c>
      <c r="CK99" s="94">
        <f>SUMIFS(Свод!$CC$6:$CC$455,Свод!$G$6:$G$455,Расчеты!CK$1)</f>
        <v>32</v>
      </c>
      <c r="CL99" s="94">
        <f>SUMIFS(Свод!$CC$6:$CC$455,Свод!$G$6:$G$455,Расчеты!CL$1)</f>
        <v>0</v>
      </c>
      <c r="CM99" s="94">
        <f>SUMIFS(Свод!$CC$6:$CC$455,Свод!$G$6:$G$455,Расчеты!CM$1)</f>
        <v>1</v>
      </c>
      <c r="CN99" s="94">
        <f>SUMIFS(Свод!$CC$6:$CC$455,Свод!$G$6:$G$455,Расчеты!CN$1)</f>
        <v>0</v>
      </c>
      <c r="CO99" s="94">
        <f>SUMIFS(Свод!$CC$6:$CC$455,Свод!$G$6:$G$455,Расчеты!CO$1)</f>
        <v>9</v>
      </c>
      <c r="CP99" s="94">
        <f>SUMIFS(Свод!$CC$6:$CC$455,Свод!$G$6:$G$455,Расчеты!CP$1)</f>
        <v>0</v>
      </c>
      <c r="CQ99" s="94">
        <f>SUMIFS(Свод!$CC$6:$CC$455,Свод!$G$6:$G$455,Расчеты!CQ$1)</f>
        <v>0</v>
      </c>
      <c r="CR99" s="94">
        <f>SUMIFS(Свод!$CC$6:$CC$455,Свод!$G$6:$G$455,Расчеты!CR$1)</f>
        <v>0</v>
      </c>
      <c r="CS99" s="94">
        <f>SUMIFS(Свод!$CC$6:$CC$455,Свод!$G$6:$G$455,Расчеты!CS$1)</f>
        <v>9</v>
      </c>
      <c r="CT99" s="94">
        <f>SUMIFS(Свод!$CC$6:$CC$455,Свод!$G$6:$G$455,Расчеты!CT$1)</f>
        <v>0</v>
      </c>
      <c r="CU99" s="94">
        <f>SUMIFS(Свод!$CC$6:$CC$455,Свод!$G$6:$G$455,Расчеты!CU$1)</f>
        <v>0</v>
      </c>
      <c r="CV99" s="94">
        <f>SUMIFS(Свод!$CC$6:$CC$455,Свод!$G$6:$G$455,Расчеты!CV$1)</f>
        <v>0</v>
      </c>
      <c r="CW99" s="94">
        <f>SUMIFS(Свод!$CC$6:$CC$455,Свод!$G$6:$G$455,Расчеты!CW$1)</f>
        <v>0</v>
      </c>
      <c r="CX99" s="94">
        <f>SUMIFS(Свод!$CC$6:$CC$455,Свод!$G$6:$G$455,Расчеты!CX$1)</f>
        <v>0</v>
      </c>
    </row>
    <row r="100" spans="1:102" ht="17" x14ac:dyDescent="0.2">
      <c r="A100" s="1238"/>
      <c r="B100" s="1237"/>
      <c r="C100" s="97" t="s">
        <v>8886</v>
      </c>
      <c r="D100" s="97">
        <v>79</v>
      </c>
      <c r="E100" s="502" t="s">
        <v>9067</v>
      </c>
      <c r="F100" s="1237"/>
      <c r="G100" s="513" t="s">
        <v>64</v>
      </c>
      <c r="H100" s="513"/>
      <c r="I100" s="97"/>
      <c r="J100" s="97"/>
      <c r="K100" s="97" t="s">
        <v>479</v>
      </c>
      <c r="L100" s="97">
        <v>1.3360933383515242E-2</v>
      </c>
      <c r="M100" s="97">
        <v>1.9036004029906146E-2</v>
      </c>
      <c r="N100" s="572">
        <v>9.0655189780687699E-3</v>
      </c>
      <c r="P100" s="573">
        <v>7.8999793913581088E-3</v>
      </c>
      <c r="Q100" s="94">
        <f>Q99/Q117</f>
        <v>5.6858806305539475E-3</v>
      </c>
    </row>
    <row r="101" spans="1:102" ht="34" x14ac:dyDescent="0.2">
      <c r="A101" s="1238"/>
      <c r="B101" s="1237"/>
      <c r="C101" s="97" t="s">
        <v>8886</v>
      </c>
      <c r="D101" s="97">
        <v>80</v>
      </c>
      <c r="E101" s="502" t="s">
        <v>9068</v>
      </c>
      <c r="F101" s="1237" t="s">
        <v>9069</v>
      </c>
      <c r="G101" s="513" t="s">
        <v>9022</v>
      </c>
      <c r="H101" s="513"/>
      <c r="I101" s="97"/>
      <c r="J101" s="97"/>
      <c r="K101" s="97"/>
      <c r="L101" s="97">
        <v>40</v>
      </c>
      <c r="M101" s="97">
        <v>41</v>
      </c>
      <c r="N101" s="99">
        <v>58</v>
      </c>
      <c r="O101" s="94">
        <v>43</v>
      </c>
      <c r="P101" s="94">
        <v>59</v>
      </c>
      <c r="Q101" s="94">
        <f t="shared" si="26"/>
        <v>27</v>
      </c>
      <c r="R101" s="94">
        <f>SUMIFS(Свод!$CD$6:$CD$455,Свод!$G$6:$G$455,Расчеты!R$1)</f>
        <v>0</v>
      </c>
      <c r="S101" s="94">
        <f>SUMIFS(Свод!$CD$6:$CD$455,Свод!$G$6:$G$455,Расчеты!S$1)</f>
        <v>0</v>
      </c>
      <c r="T101" s="94">
        <f>SUMIFS(Свод!$CD$6:$CD$455,Свод!$G$6:$G$455,Расчеты!T$1)</f>
        <v>0</v>
      </c>
      <c r="U101" s="94">
        <f>SUMIFS(Свод!$CD$6:$CD$455,Свод!$G$6:$G$455,Расчеты!U$1)</f>
        <v>0</v>
      </c>
      <c r="V101" s="94">
        <f>SUMIFS(Свод!$CD$6:$CD$455,Свод!$G$6:$G$455,Расчеты!V$1)</f>
        <v>1</v>
      </c>
      <c r="W101" s="94">
        <f>SUMIFS(Свод!$CD$6:$CD$455,Свод!$G$6:$G$455,Расчеты!W$1)</f>
        <v>0</v>
      </c>
      <c r="X101" s="94">
        <f>SUMIFS(Свод!$CD$6:$CD$455,Свод!$G$6:$G$455,Расчеты!X$1)</f>
        <v>0</v>
      </c>
      <c r="Y101" s="94">
        <f>SUMIFS(Свод!$CD$6:$CD$455,Свод!$G$6:$G$455,Расчеты!Y$1)</f>
        <v>1</v>
      </c>
      <c r="Z101" s="94">
        <f>SUMIFS(Свод!$CD$6:$CD$455,Свод!$G$6:$G$455,Расчеты!Z$1)</f>
        <v>0</v>
      </c>
      <c r="AA101" s="94">
        <f>SUMIFS(Свод!$CD$6:$CD$455,Свод!$G$6:$G$455,Расчеты!AA$1)</f>
        <v>0</v>
      </c>
      <c r="AB101" s="94">
        <f>SUMIFS(Свод!$CD$6:$CD$455,Свод!$G$6:$G$455,Расчеты!AB$1)</f>
        <v>14</v>
      </c>
      <c r="AC101" s="94">
        <f>SUMIFS(Свод!$CD$6:$CD$455,Свод!$G$6:$G$455,Расчеты!AC$1)</f>
        <v>0</v>
      </c>
      <c r="AD101" s="94">
        <f>SUMIFS(Свод!$CD$6:$CD$455,Свод!$G$6:$G$455,Расчеты!AD$1)</f>
        <v>0</v>
      </c>
      <c r="AE101" s="94">
        <f>SUMIFS(Свод!$CD$6:$CD$455,Свод!$G$6:$G$455,Расчеты!AE$1)</f>
        <v>0</v>
      </c>
      <c r="AF101" s="94">
        <f>SUMIFS(Свод!$CD$6:$CD$455,Свод!$G$6:$G$455,Расчеты!AF$1)</f>
        <v>0</v>
      </c>
      <c r="AG101" s="94">
        <f>SUMIFS(Свод!$CD$6:$CD$455,Свод!$G$6:$G$455,Расчеты!AG$1)</f>
        <v>0</v>
      </c>
      <c r="AH101" s="94">
        <f>SUMIFS(Свод!$CD$6:$CD$455,Свод!$G$6:$G$455,Расчеты!AH$1)</f>
        <v>0</v>
      </c>
      <c r="AI101" s="94">
        <f>SUMIFS(Свод!$CD$6:$CD$455,Свод!$G$6:$G$455,Расчеты!AI$1)</f>
        <v>0</v>
      </c>
      <c r="AJ101" s="94">
        <f>SUMIFS(Свод!$CD$6:$CD$455,Свод!$G$6:$G$455,Расчеты!AJ$1)</f>
        <v>0</v>
      </c>
      <c r="AK101" s="94">
        <f>SUMIFS(Свод!$CD$6:$CD$455,Свод!$G$6:$G$455,Расчеты!AK$1)</f>
        <v>0</v>
      </c>
      <c r="AL101" s="94">
        <f>SUMIFS(Свод!$CD$6:$CD$455,Свод!$G$6:$G$455,Расчеты!AL$1)</f>
        <v>0</v>
      </c>
      <c r="AM101" s="94">
        <f>SUMIFS(Свод!$CD$6:$CD$455,Свод!$G$6:$G$455,Расчеты!AM$1)</f>
        <v>2</v>
      </c>
      <c r="AN101" s="94">
        <f>SUMIFS(Свод!$CD$6:$CD$455,Свод!$G$6:$G$455,Расчеты!AN$1)</f>
        <v>0</v>
      </c>
      <c r="AO101" s="94">
        <f>SUMIFS(Свод!$CD$6:$CD$455,Свод!$G$6:$G$455,Расчеты!AO$1)</f>
        <v>0</v>
      </c>
      <c r="AP101" s="94">
        <f>SUMIFS(Свод!$CD$6:$CD$455,Свод!$G$6:$G$455,Расчеты!AP$1)</f>
        <v>0</v>
      </c>
      <c r="AQ101" s="94">
        <f>SUMIFS(Свод!$CD$6:$CD$455,Свод!$G$6:$G$455,Расчеты!AQ$1)</f>
        <v>0</v>
      </c>
      <c r="AR101" s="94">
        <f>SUMIFS(Свод!$CD$6:$CD$455,Свод!$G$6:$G$455,Расчеты!AR$1)</f>
        <v>0</v>
      </c>
      <c r="AS101" s="94">
        <f>SUMIFS(Свод!$CD$6:$CD$455,Свод!$G$6:$G$455,Расчеты!AS$1)</f>
        <v>0</v>
      </c>
      <c r="AT101" s="94">
        <f>SUMIFS(Свод!$CD$6:$CD$455,Свод!$G$6:$G$455,Расчеты!AT$1)</f>
        <v>0</v>
      </c>
      <c r="AU101" s="94">
        <f>SUMIFS(Свод!$CD$6:$CD$455,Свод!$G$6:$G$455,Расчеты!AU$1)</f>
        <v>0</v>
      </c>
      <c r="AV101" s="94">
        <f>SUMIFS(Свод!$CD$6:$CD$455,Свод!$G$6:$G$455,Расчеты!AV$1)</f>
        <v>0</v>
      </c>
      <c r="AW101" s="94">
        <f>SUMIFS(Свод!$CD$6:$CD$455,Свод!$G$6:$G$455,Расчеты!AW$1)</f>
        <v>0</v>
      </c>
      <c r="AX101" s="94">
        <f>SUMIFS(Свод!$CD$6:$CD$455,Свод!$G$6:$G$455,Расчеты!AX$1)</f>
        <v>0</v>
      </c>
      <c r="AY101" s="94">
        <f>SUMIFS(Свод!$CD$6:$CD$455,Свод!$G$6:$G$455,Расчеты!AY$1)</f>
        <v>0</v>
      </c>
      <c r="AZ101" s="94">
        <f>SUMIFS(Свод!$CD$6:$CD$455,Свод!$G$6:$G$455,Расчеты!AZ$1)</f>
        <v>0</v>
      </c>
      <c r="BA101" s="94">
        <f>SUMIFS(Свод!$CD$6:$CD$455,Свод!$G$6:$G$455,Расчеты!BA$1)</f>
        <v>0</v>
      </c>
      <c r="BB101" s="94">
        <f>SUMIFS(Свод!$CD$6:$CD$455,Свод!$G$6:$G$455,Расчеты!BB$1)</f>
        <v>2</v>
      </c>
      <c r="BC101" s="94">
        <f>SUMIFS(Свод!$CD$6:$CD$455,Свод!$G$6:$G$455,Расчеты!BC$1)</f>
        <v>0</v>
      </c>
      <c r="BD101" s="94">
        <f>SUMIFS(Свод!$CD$6:$CD$455,Свод!$G$6:$G$455,Расчеты!BD$1)</f>
        <v>0</v>
      </c>
      <c r="BE101" s="94">
        <f>SUMIFS(Свод!$CD$6:$CD$455,Свод!$G$6:$G$455,Расчеты!BE$1)</f>
        <v>0</v>
      </c>
      <c r="BF101" s="94">
        <f>SUMIFS(Свод!$CD$6:$CD$455,Свод!$G$6:$G$455,Расчеты!BF$1)</f>
        <v>0</v>
      </c>
      <c r="BG101" s="94">
        <f>SUMIFS(Свод!$CD$6:$CD$455,Свод!$G$6:$G$455,Расчеты!BG$1)</f>
        <v>0</v>
      </c>
      <c r="BH101" s="94">
        <f>SUMIFS(Свод!$CD$6:$CD$455,Свод!$G$6:$G$455,Расчеты!BH$1)</f>
        <v>3</v>
      </c>
      <c r="BI101" s="94">
        <f>SUMIFS(Свод!$CD$6:$CD$455,Свод!$G$6:$G$455,Расчеты!BI$1)</f>
        <v>0</v>
      </c>
      <c r="BJ101" s="94">
        <f>SUMIFS(Свод!$CD$6:$CD$455,Свод!$G$6:$G$455,Расчеты!BJ$1)</f>
        <v>0</v>
      </c>
      <c r="BK101" s="94">
        <f>SUMIFS(Свод!$CD$6:$CD$455,Свод!$G$6:$G$455,Расчеты!BK$1)</f>
        <v>0</v>
      </c>
      <c r="BL101" s="94">
        <f>SUMIFS(Свод!$CD$6:$CD$455,Свод!$G$6:$G$455,Расчеты!BL$1)</f>
        <v>0</v>
      </c>
      <c r="BM101" s="94">
        <f>SUMIFS(Свод!$CD$6:$CD$455,Свод!$G$6:$G$455,Расчеты!BM$1)</f>
        <v>0</v>
      </c>
      <c r="BN101" s="94">
        <f>SUMIFS(Свод!$CD$6:$CD$455,Свод!$G$6:$G$455,Расчеты!BN$1)</f>
        <v>0</v>
      </c>
      <c r="BO101" s="94">
        <f>SUMIFS(Свод!$CD$6:$CD$455,Свод!$G$6:$G$455,Расчеты!BO$1)</f>
        <v>0</v>
      </c>
      <c r="BP101" s="94">
        <f>SUMIFS(Свод!$CD$6:$CD$455,Свод!$G$6:$G$455,Расчеты!BP$1)</f>
        <v>0</v>
      </c>
      <c r="BQ101" s="94">
        <f>SUMIFS(Свод!$CD$6:$CD$455,Свод!$G$6:$G$455,Расчеты!BQ$1)</f>
        <v>0</v>
      </c>
      <c r="BR101" s="94">
        <f>SUMIFS(Свод!$CD$6:$CD$455,Свод!$G$6:$G$455,Расчеты!BR$1)</f>
        <v>0</v>
      </c>
      <c r="BS101" s="94">
        <f>SUMIFS(Свод!$CD$6:$CD$455,Свод!$G$6:$G$455,Расчеты!BS$1)</f>
        <v>0</v>
      </c>
      <c r="BT101" s="94">
        <f>SUMIFS(Свод!$CD$6:$CD$455,Свод!$G$6:$G$455,Расчеты!BT$1)</f>
        <v>0</v>
      </c>
      <c r="BU101" s="94">
        <f>SUMIFS(Свод!$CD$6:$CD$455,Свод!$G$6:$G$455,Расчеты!BU$1)</f>
        <v>1</v>
      </c>
      <c r="BV101" s="94">
        <f>SUMIFS(Свод!$CD$6:$CD$455,Свод!$G$6:$G$455,Расчеты!BV$1)</f>
        <v>0</v>
      </c>
      <c r="BW101" s="94">
        <f>SUMIFS(Свод!$CD$6:$CD$455,Свод!$G$6:$G$455,Расчеты!BW$1)</f>
        <v>0</v>
      </c>
      <c r="BX101" s="94">
        <f>SUMIFS(Свод!$CD$6:$CD$455,Свод!$G$6:$G$455,Расчеты!BX$1)</f>
        <v>0</v>
      </c>
      <c r="BY101" s="94">
        <f>SUMIFS(Свод!$CD$6:$CD$455,Свод!$G$6:$G$455,Расчеты!BY$1)</f>
        <v>0</v>
      </c>
      <c r="BZ101" s="94">
        <f>SUMIFS(Свод!$CD$6:$CD$455,Свод!$G$6:$G$455,Расчеты!BZ$1)</f>
        <v>0</v>
      </c>
      <c r="CA101" s="94">
        <f>SUMIFS(Свод!$CD$6:$CD$455,Свод!$G$6:$G$455,Расчеты!CA$1)</f>
        <v>0</v>
      </c>
      <c r="CB101" s="94">
        <f>SUMIFS(Свод!$CD$6:$CD$455,Свод!$G$6:$G$455,Расчеты!CB$1)</f>
        <v>0</v>
      </c>
      <c r="CC101" s="94">
        <f>SUMIFS(Свод!$CD$6:$CD$455,Свод!$G$6:$G$455,Расчеты!CC$1)</f>
        <v>0</v>
      </c>
      <c r="CD101" s="94">
        <f>SUMIFS(Свод!$CD$6:$CD$455,Свод!$G$6:$G$455,Расчеты!CD$1)</f>
        <v>0</v>
      </c>
      <c r="CE101" s="94">
        <f>SUMIFS(Свод!$CD$6:$CD$455,Свод!$G$6:$G$455,Расчеты!CE$1)</f>
        <v>0</v>
      </c>
      <c r="CF101" s="94">
        <f>SUMIFS(Свод!$CD$6:$CD$455,Свод!$G$6:$G$455,Расчеты!CF$1)</f>
        <v>0</v>
      </c>
      <c r="CG101" s="94">
        <f>SUMIFS(Свод!$CD$6:$CD$455,Свод!$G$6:$G$455,Расчеты!CG$1)</f>
        <v>1</v>
      </c>
      <c r="CH101" s="94">
        <f>SUMIFS(Свод!$CD$6:$CD$455,Свод!$G$6:$G$455,Расчеты!CH$1)</f>
        <v>0</v>
      </c>
      <c r="CI101" s="94">
        <f>SUMIFS(Свод!$CD$6:$CD$455,Свод!$G$6:$G$455,Расчеты!CI$1)</f>
        <v>0</v>
      </c>
      <c r="CJ101" s="94">
        <f>SUMIFS(Свод!$CD$6:$CD$455,Свод!$G$6:$G$455,Расчеты!CJ$1)</f>
        <v>0</v>
      </c>
      <c r="CK101" s="94">
        <f>SUMIFS(Свод!$CD$6:$CD$455,Свод!$G$6:$G$455,Расчеты!CK$1)</f>
        <v>0</v>
      </c>
      <c r="CL101" s="94">
        <f>SUMIFS(Свод!$CD$6:$CD$455,Свод!$G$6:$G$455,Расчеты!CL$1)</f>
        <v>0</v>
      </c>
      <c r="CM101" s="94">
        <f>SUMIFS(Свод!$CD$6:$CD$455,Свод!$G$6:$G$455,Расчеты!CM$1)</f>
        <v>0</v>
      </c>
      <c r="CN101" s="94">
        <f>SUMIFS(Свод!$CD$6:$CD$455,Свод!$G$6:$G$455,Расчеты!CN$1)</f>
        <v>0</v>
      </c>
      <c r="CO101" s="94">
        <f>SUMIFS(Свод!$CD$6:$CD$455,Свод!$G$6:$G$455,Расчеты!CO$1)</f>
        <v>0</v>
      </c>
      <c r="CP101" s="94">
        <f>SUMIFS(Свод!$CD$6:$CD$455,Свод!$G$6:$G$455,Расчеты!CP$1)</f>
        <v>0</v>
      </c>
      <c r="CQ101" s="94">
        <f>SUMIFS(Свод!$CD$6:$CD$455,Свод!$G$6:$G$455,Расчеты!CQ$1)</f>
        <v>0</v>
      </c>
      <c r="CR101" s="94">
        <f>SUMIFS(Свод!$CD$6:$CD$455,Свод!$G$6:$G$455,Расчеты!CR$1)</f>
        <v>0</v>
      </c>
      <c r="CS101" s="94">
        <f>SUMIFS(Свод!$CD$6:$CD$455,Свод!$G$6:$G$455,Расчеты!CS$1)</f>
        <v>2</v>
      </c>
      <c r="CT101" s="94">
        <f>SUMIFS(Свод!$CD$6:$CD$455,Свод!$G$6:$G$455,Расчеты!CT$1)</f>
        <v>0</v>
      </c>
      <c r="CU101" s="94">
        <f>SUMIFS(Свод!$CD$6:$CD$455,Свод!$G$6:$G$455,Расчеты!CU$1)</f>
        <v>0</v>
      </c>
      <c r="CV101" s="94">
        <f>SUMIFS(Свод!$CD$6:$CD$455,Свод!$G$6:$G$455,Расчеты!CV$1)</f>
        <v>0</v>
      </c>
      <c r="CW101" s="94">
        <f>SUMIFS(Свод!$CD$6:$CD$455,Свод!$G$6:$G$455,Расчеты!CW$1)</f>
        <v>0</v>
      </c>
      <c r="CX101" s="94">
        <f>SUMIFS(Свод!$CD$6:$CD$455,Свод!$G$6:$G$455,Расчеты!CX$1)</f>
        <v>0</v>
      </c>
    </row>
    <row r="102" spans="1:102" ht="17" x14ac:dyDescent="0.2">
      <c r="A102" s="1238"/>
      <c r="B102" s="1237"/>
      <c r="C102" s="97" t="s">
        <v>8886</v>
      </c>
      <c r="D102" s="97">
        <v>81</v>
      </c>
      <c r="E102" s="502" t="s">
        <v>9070</v>
      </c>
      <c r="F102" s="1237"/>
      <c r="G102" s="513" t="s">
        <v>64</v>
      </c>
      <c r="H102" s="513"/>
      <c r="I102" s="97"/>
      <c r="J102" s="97"/>
      <c r="K102" s="97" t="s">
        <v>479</v>
      </c>
      <c r="L102" s="97">
        <v>2.5090954710826749E-3</v>
      </c>
      <c r="M102" s="97">
        <v>2.1740283153931809E-3</v>
      </c>
      <c r="N102" s="572">
        <v>2.6555560642827708E-3</v>
      </c>
      <c r="P102" s="573">
        <v>2.026516452565776E-3</v>
      </c>
      <c r="Q102" s="94">
        <f>Q101/Q117</f>
        <v>9.1927411392189577E-4</v>
      </c>
    </row>
    <row r="103" spans="1:102" ht="34" x14ac:dyDescent="0.2">
      <c r="A103" s="1238"/>
      <c r="B103" s="1237"/>
      <c r="C103" s="97" t="s">
        <v>8886</v>
      </c>
      <c r="D103" s="97">
        <v>82</v>
      </c>
      <c r="E103" s="502" t="s">
        <v>9071</v>
      </c>
      <c r="F103" s="1237" t="s">
        <v>9072</v>
      </c>
      <c r="G103" s="513" t="s">
        <v>9022</v>
      </c>
      <c r="H103" s="513"/>
      <c r="I103" s="97"/>
      <c r="J103" s="97"/>
      <c r="K103" s="97"/>
      <c r="L103" s="97">
        <v>646</v>
      </c>
      <c r="M103" s="97">
        <v>311</v>
      </c>
      <c r="N103" s="99">
        <v>417</v>
      </c>
      <c r="O103" s="94">
        <v>420</v>
      </c>
      <c r="P103" s="94">
        <v>460</v>
      </c>
      <c r="Q103" s="94">
        <f t="shared" si="26"/>
        <v>547</v>
      </c>
      <c r="R103" s="94">
        <f>SUMIFS(Свод!$CE$6:$CE$455,Свод!$G$6:$G$455,Расчеты!R$1)</f>
        <v>0</v>
      </c>
      <c r="S103" s="94">
        <f>SUMIFS(Свод!$CE$6:$CE$455,Свод!$G$6:$G$455,Расчеты!S$1)</f>
        <v>0</v>
      </c>
      <c r="T103" s="94">
        <f>SUMIFS(Свод!$CE$6:$CE$455,Свод!$G$6:$G$455,Расчеты!T$1)</f>
        <v>0</v>
      </c>
      <c r="U103" s="94">
        <f>SUMIFS(Свод!$CE$6:$CE$455,Свод!$G$6:$G$455,Расчеты!U$1)</f>
        <v>0</v>
      </c>
      <c r="V103" s="94">
        <f>SUMIFS(Свод!$CE$6:$CE$455,Свод!$G$6:$G$455,Расчеты!V$1)</f>
        <v>0</v>
      </c>
      <c r="W103" s="94">
        <f>SUMIFS(Свод!$CE$6:$CE$455,Свод!$G$6:$G$455,Расчеты!W$1)</f>
        <v>0</v>
      </c>
      <c r="X103" s="94">
        <f>SUMIFS(Свод!$CE$6:$CE$455,Свод!$G$6:$G$455,Расчеты!X$1)</f>
        <v>4</v>
      </c>
      <c r="Y103" s="94">
        <f>SUMIFS(Свод!$CE$6:$CE$455,Свод!$G$6:$G$455,Расчеты!Y$1)</f>
        <v>1</v>
      </c>
      <c r="Z103" s="94">
        <f>SUMIFS(Свод!$CE$6:$CE$455,Свод!$G$6:$G$455,Расчеты!Z$1)</f>
        <v>0</v>
      </c>
      <c r="AA103" s="94">
        <f>SUMIFS(Свод!$CE$6:$CE$455,Свод!$G$6:$G$455,Расчеты!AA$1)</f>
        <v>0</v>
      </c>
      <c r="AB103" s="94">
        <f>SUMIFS(Свод!$CE$6:$CE$455,Свод!$G$6:$G$455,Расчеты!AB$1)</f>
        <v>2</v>
      </c>
      <c r="AC103" s="94">
        <f>SUMIFS(Свод!$CE$6:$CE$455,Свод!$G$6:$G$455,Расчеты!AC$1)</f>
        <v>0</v>
      </c>
      <c r="AD103" s="94">
        <f>SUMIFS(Свод!$CE$6:$CE$455,Свод!$G$6:$G$455,Расчеты!AD$1)</f>
        <v>0</v>
      </c>
      <c r="AE103" s="94">
        <f>SUMIFS(Свод!$CE$6:$CE$455,Свод!$G$6:$G$455,Расчеты!AE$1)</f>
        <v>0</v>
      </c>
      <c r="AF103" s="94">
        <f>SUMIFS(Свод!$CE$6:$CE$455,Свод!$G$6:$G$455,Расчеты!AF$1)</f>
        <v>0</v>
      </c>
      <c r="AG103" s="94">
        <f>SUMIFS(Свод!$CE$6:$CE$455,Свод!$G$6:$G$455,Расчеты!AG$1)</f>
        <v>0</v>
      </c>
      <c r="AH103" s="94">
        <f>SUMIFS(Свод!$CE$6:$CE$455,Свод!$G$6:$G$455,Расчеты!AH$1)</f>
        <v>0</v>
      </c>
      <c r="AI103" s="94">
        <f>SUMIFS(Свод!$CE$6:$CE$455,Свод!$G$6:$G$455,Расчеты!AI$1)</f>
        <v>0</v>
      </c>
      <c r="AJ103" s="94">
        <f>SUMIFS(Свод!$CE$6:$CE$455,Свод!$G$6:$G$455,Расчеты!AJ$1)</f>
        <v>0</v>
      </c>
      <c r="AK103" s="94">
        <f>SUMIFS(Свод!$CE$6:$CE$455,Свод!$G$6:$G$455,Расчеты!AK$1)</f>
        <v>378</v>
      </c>
      <c r="AL103" s="94">
        <f>SUMIFS(Свод!$CE$6:$CE$455,Свод!$G$6:$G$455,Расчеты!AL$1)</f>
        <v>0</v>
      </c>
      <c r="AM103" s="94">
        <f>SUMIFS(Свод!$CE$6:$CE$455,Свод!$G$6:$G$455,Расчеты!AM$1)</f>
        <v>0</v>
      </c>
      <c r="AN103" s="94">
        <f>SUMIFS(Свод!$CE$6:$CE$455,Свод!$G$6:$G$455,Расчеты!AN$1)</f>
        <v>0</v>
      </c>
      <c r="AO103" s="94">
        <f>SUMIFS(Свод!$CE$6:$CE$455,Свод!$G$6:$G$455,Расчеты!AO$1)</f>
        <v>0</v>
      </c>
      <c r="AP103" s="94">
        <f>SUMIFS(Свод!$CE$6:$CE$455,Свод!$G$6:$G$455,Расчеты!AP$1)</f>
        <v>0</v>
      </c>
      <c r="AQ103" s="94">
        <f>SUMIFS(Свод!$CE$6:$CE$455,Свод!$G$6:$G$455,Расчеты!AQ$1)</f>
        <v>0</v>
      </c>
      <c r="AR103" s="94">
        <f>SUMIFS(Свод!$CE$6:$CE$455,Свод!$G$6:$G$455,Расчеты!AR$1)</f>
        <v>5</v>
      </c>
      <c r="AS103" s="94">
        <f>SUMIFS(Свод!$CE$6:$CE$455,Свод!$G$6:$G$455,Расчеты!AS$1)</f>
        <v>0</v>
      </c>
      <c r="AT103" s="94">
        <f>SUMIFS(Свод!$CE$6:$CE$455,Свод!$G$6:$G$455,Расчеты!AT$1)</f>
        <v>0</v>
      </c>
      <c r="AU103" s="94">
        <f>SUMIFS(Свод!$CE$6:$CE$455,Свод!$G$6:$G$455,Расчеты!AU$1)</f>
        <v>32</v>
      </c>
      <c r="AV103" s="94">
        <f>SUMIFS(Свод!$CE$6:$CE$455,Свод!$G$6:$G$455,Расчеты!AV$1)</f>
        <v>0</v>
      </c>
      <c r="AW103" s="94">
        <f>SUMIFS(Свод!$CE$6:$CE$455,Свод!$G$6:$G$455,Расчеты!AW$1)</f>
        <v>2</v>
      </c>
      <c r="AX103" s="94">
        <f>SUMIFS(Свод!$CE$6:$CE$455,Свод!$G$6:$G$455,Расчеты!AX$1)</f>
        <v>38</v>
      </c>
      <c r="AY103" s="94">
        <f>SUMIFS(Свод!$CE$6:$CE$455,Свод!$G$6:$G$455,Расчеты!AY$1)</f>
        <v>0</v>
      </c>
      <c r="AZ103" s="94">
        <f>SUMIFS(Свод!$CE$6:$CE$455,Свод!$G$6:$G$455,Расчеты!AZ$1)</f>
        <v>0</v>
      </c>
      <c r="BA103" s="94">
        <f>SUMIFS(Свод!$CE$6:$CE$455,Свод!$G$6:$G$455,Расчеты!BA$1)</f>
        <v>0</v>
      </c>
      <c r="BB103" s="94">
        <f>SUMIFS(Свод!$CE$6:$CE$455,Свод!$G$6:$G$455,Расчеты!BB$1)</f>
        <v>0</v>
      </c>
      <c r="BC103" s="94">
        <f>SUMIFS(Свод!$CE$6:$CE$455,Свод!$G$6:$G$455,Расчеты!BC$1)</f>
        <v>0</v>
      </c>
      <c r="BD103" s="94">
        <f>SUMIFS(Свод!$CE$6:$CE$455,Свод!$G$6:$G$455,Расчеты!BD$1)</f>
        <v>0</v>
      </c>
      <c r="BE103" s="94">
        <f>SUMIFS(Свод!$CE$6:$CE$455,Свод!$G$6:$G$455,Расчеты!BE$1)</f>
        <v>0</v>
      </c>
      <c r="BF103" s="94">
        <f>SUMIFS(Свод!$CE$6:$CE$455,Свод!$G$6:$G$455,Расчеты!BF$1)</f>
        <v>0</v>
      </c>
      <c r="BG103" s="94">
        <f>SUMIFS(Свод!$CE$6:$CE$455,Свод!$G$6:$G$455,Расчеты!BG$1)</f>
        <v>0</v>
      </c>
      <c r="BH103" s="94">
        <f>SUMIFS(Свод!$CE$6:$CE$455,Свод!$G$6:$G$455,Расчеты!BH$1)</f>
        <v>3</v>
      </c>
      <c r="BI103" s="94">
        <f>SUMIFS(Свод!$CE$6:$CE$455,Свод!$G$6:$G$455,Расчеты!BI$1)</f>
        <v>1</v>
      </c>
      <c r="BJ103" s="94">
        <f>SUMIFS(Свод!$CE$6:$CE$455,Свод!$G$6:$G$455,Расчеты!BJ$1)</f>
        <v>0</v>
      </c>
      <c r="BK103" s="94">
        <f>SUMIFS(Свод!$CE$6:$CE$455,Свод!$G$6:$G$455,Расчеты!BK$1)</f>
        <v>0</v>
      </c>
      <c r="BL103" s="94">
        <f>SUMIFS(Свод!$CE$6:$CE$455,Свод!$G$6:$G$455,Расчеты!BL$1)</f>
        <v>0</v>
      </c>
      <c r="BM103" s="94">
        <f>SUMIFS(Свод!$CE$6:$CE$455,Свод!$G$6:$G$455,Расчеты!BM$1)</f>
        <v>15</v>
      </c>
      <c r="BN103" s="94">
        <f>SUMIFS(Свод!$CE$6:$CE$455,Свод!$G$6:$G$455,Расчеты!BN$1)</f>
        <v>0</v>
      </c>
      <c r="BO103" s="94">
        <f>SUMIFS(Свод!$CE$6:$CE$455,Свод!$G$6:$G$455,Расчеты!BO$1)</f>
        <v>7</v>
      </c>
      <c r="BP103" s="94">
        <f>SUMIFS(Свод!$CE$6:$CE$455,Свод!$G$6:$G$455,Расчеты!BP$1)</f>
        <v>0</v>
      </c>
      <c r="BQ103" s="94">
        <f>SUMIFS(Свод!$CE$6:$CE$455,Свод!$G$6:$G$455,Расчеты!BQ$1)</f>
        <v>0</v>
      </c>
      <c r="BR103" s="94">
        <f>SUMIFS(Свод!$CE$6:$CE$455,Свод!$G$6:$G$455,Расчеты!BR$1)</f>
        <v>7</v>
      </c>
      <c r="BS103" s="94">
        <f>SUMIFS(Свод!$CE$6:$CE$455,Свод!$G$6:$G$455,Расчеты!BS$1)</f>
        <v>0</v>
      </c>
      <c r="BT103" s="94">
        <f>SUMIFS(Свод!$CE$6:$CE$455,Свод!$G$6:$G$455,Расчеты!BT$1)</f>
        <v>1</v>
      </c>
      <c r="BU103" s="94">
        <f>SUMIFS(Свод!$CE$6:$CE$455,Свод!$G$6:$G$455,Расчеты!BU$1)</f>
        <v>1</v>
      </c>
      <c r="BV103" s="94">
        <f>SUMIFS(Свод!$CE$6:$CE$455,Свод!$G$6:$G$455,Расчеты!BV$1)</f>
        <v>0</v>
      </c>
      <c r="BW103" s="94">
        <f>SUMIFS(Свод!$CE$6:$CE$455,Свод!$G$6:$G$455,Расчеты!BW$1)</f>
        <v>0</v>
      </c>
      <c r="BX103" s="94">
        <f>SUMIFS(Свод!$CE$6:$CE$455,Свод!$G$6:$G$455,Расчеты!BX$1)</f>
        <v>0</v>
      </c>
      <c r="BY103" s="94">
        <f>SUMIFS(Свод!$CE$6:$CE$455,Свод!$G$6:$G$455,Расчеты!BY$1)</f>
        <v>0</v>
      </c>
      <c r="BZ103" s="94">
        <f>SUMIFS(Свод!$CE$6:$CE$455,Свод!$G$6:$G$455,Расчеты!BZ$1)</f>
        <v>0</v>
      </c>
      <c r="CA103" s="94">
        <f>SUMIFS(Свод!$CE$6:$CE$455,Свод!$G$6:$G$455,Расчеты!CA$1)</f>
        <v>0</v>
      </c>
      <c r="CB103" s="94">
        <f>SUMIFS(Свод!$CE$6:$CE$455,Свод!$G$6:$G$455,Расчеты!CB$1)</f>
        <v>0</v>
      </c>
      <c r="CC103" s="94">
        <f>SUMIFS(Свод!$CE$6:$CE$455,Свод!$G$6:$G$455,Расчеты!CC$1)</f>
        <v>0</v>
      </c>
      <c r="CD103" s="94">
        <f>SUMIFS(Свод!$CE$6:$CE$455,Свод!$G$6:$G$455,Расчеты!CD$1)</f>
        <v>0</v>
      </c>
      <c r="CE103" s="94">
        <f>SUMIFS(Свод!$CE$6:$CE$455,Свод!$G$6:$G$455,Расчеты!CE$1)</f>
        <v>0</v>
      </c>
      <c r="CF103" s="94">
        <f>SUMIFS(Свод!$CE$6:$CE$455,Свод!$G$6:$G$455,Расчеты!CF$1)</f>
        <v>1</v>
      </c>
      <c r="CG103" s="94">
        <f>SUMIFS(Свод!$CE$6:$CE$455,Свод!$G$6:$G$455,Расчеты!CG$1)</f>
        <v>4</v>
      </c>
      <c r="CH103" s="94">
        <f>SUMIFS(Свод!$CE$6:$CE$455,Свод!$G$6:$G$455,Расчеты!CH$1)</f>
        <v>3</v>
      </c>
      <c r="CI103" s="94">
        <f>SUMIFS(Свод!$CE$6:$CE$455,Свод!$G$6:$G$455,Расчеты!CI$1)</f>
        <v>21</v>
      </c>
      <c r="CJ103" s="94">
        <f>SUMIFS(Свод!$CE$6:$CE$455,Свод!$G$6:$G$455,Расчеты!CJ$1)</f>
        <v>0</v>
      </c>
      <c r="CK103" s="94">
        <f>SUMIFS(Свод!$CE$6:$CE$455,Свод!$G$6:$G$455,Расчеты!CK$1)</f>
        <v>0</v>
      </c>
      <c r="CL103" s="94">
        <f>SUMIFS(Свод!$CE$6:$CE$455,Свод!$G$6:$G$455,Расчеты!CL$1)</f>
        <v>0</v>
      </c>
      <c r="CM103" s="94">
        <f>SUMIFS(Свод!$CE$6:$CE$455,Свод!$G$6:$G$455,Расчеты!CM$1)</f>
        <v>0</v>
      </c>
      <c r="CN103" s="94">
        <f>SUMIFS(Свод!$CE$6:$CE$455,Свод!$G$6:$G$455,Расчеты!CN$1)</f>
        <v>0</v>
      </c>
      <c r="CO103" s="94">
        <f>SUMIFS(Свод!$CE$6:$CE$455,Свод!$G$6:$G$455,Расчеты!CO$1)</f>
        <v>0</v>
      </c>
      <c r="CP103" s="94">
        <f>SUMIFS(Свод!$CE$6:$CE$455,Свод!$G$6:$G$455,Расчеты!CP$1)</f>
        <v>0</v>
      </c>
      <c r="CQ103" s="94">
        <f>SUMIFS(Свод!$CE$6:$CE$455,Свод!$G$6:$G$455,Расчеты!CQ$1)</f>
        <v>0</v>
      </c>
      <c r="CR103" s="94">
        <f>SUMIFS(Свод!$CE$6:$CE$455,Свод!$G$6:$G$455,Расчеты!CR$1)</f>
        <v>0</v>
      </c>
      <c r="CS103" s="94">
        <f>SUMIFS(Свод!$CE$6:$CE$455,Свод!$G$6:$G$455,Расчеты!CS$1)</f>
        <v>5</v>
      </c>
      <c r="CT103" s="94">
        <f>SUMIFS(Свод!$CE$6:$CE$455,Свод!$G$6:$G$455,Расчеты!CT$1)</f>
        <v>0</v>
      </c>
      <c r="CU103" s="94">
        <f>SUMIFS(Свод!$CE$6:$CE$455,Свод!$G$6:$G$455,Расчеты!CU$1)</f>
        <v>0</v>
      </c>
      <c r="CV103" s="94">
        <f>SUMIFS(Свод!$CE$6:$CE$455,Свод!$G$6:$G$455,Расчеты!CV$1)</f>
        <v>0</v>
      </c>
      <c r="CW103" s="94">
        <f>SUMIFS(Свод!$CE$6:$CE$455,Свод!$G$6:$G$455,Расчеты!CW$1)</f>
        <v>0</v>
      </c>
      <c r="CX103" s="94">
        <f>SUMIFS(Свод!$CE$6:$CE$455,Свод!$G$6:$G$455,Расчеты!CX$1)</f>
        <v>16</v>
      </c>
    </row>
    <row r="104" spans="1:102" ht="17" x14ac:dyDescent="0.2">
      <c r="A104" s="1238"/>
      <c r="B104" s="1237"/>
      <c r="C104" s="97" t="s">
        <v>8886</v>
      </c>
      <c r="D104" s="97">
        <v>83</v>
      </c>
      <c r="E104" s="502" t="s">
        <v>9073</v>
      </c>
      <c r="F104" s="1237"/>
      <c r="G104" s="513" t="s">
        <v>64</v>
      </c>
      <c r="H104" s="513"/>
      <c r="I104" s="97"/>
      <c r="J104" s="97"/>
      <c r="K104" s="97"/>
      <c r="L104" s="97">
        <v>4.0521891857985194E-2</v>
      </c>
      <c r="M104" s="97">
        <v>1.6490800148470226E-2</v>
      </c>
      <c r="N104" s="99">
        <v>1.9092532393205439E-2</v>
      </c>
      <c r="P104" s="573">
        <v>1.5799958782716218E-2</v>
      </c>
      <c r="Q104" s="94">
        <f>Q103/Q117</f>
        <v>1.8623812604269516E-2</v>
      </c>
    </row>
    <row r="105" spans="1:102" ht="34" x14ac:dyDescent="0.2">
      <c r="A105" s="1238"/>
      <c r="B105" s="1237"/>
      <c r="C105" s="97" t="s">
        <v>8886</v>
      </c>
      <c r="D105" s="97">
        <v>91</v>
      </c>
      <c r="E105" s="502" t="s">
        <v>9074</v>
      </c>
      <c r="F105" s="1237" t="s">
        <v>161</v>
      </c>
      <c r="G105" s="513" t="s">
        <v>9022</v>
      </c>
      <c r="H105" s="513"/>
      <c r="I105" s="97"/>
      <c r="J105" s="97"/>
      <c r="K105" s="97"/>
      <c r="L105" s="97" t="s">
        <v>4906</v>
      </c>
      <c r="M105" s="97">
        <v>557</v>
      </c>
      <c r="N105" s="99">
        <v>110</v>
      </c>
      <c r="O105" s="94">
        <v>64</v>
      </c>
      <c r="P105" s="94">
        <v>111</v>
      </c>
      <c r="Q105" s="94">
        <f t="shared" si="26"/>
        <v>144</v>
      </c>
      <c r="R105" s="94">
        <f>SUMIFS(Свод!$CF$6:$CF$455,Свод!$G$6:$G$455,Расчеты!R$1)</f>
        <v>0</v>
      </c>
      <c r="S105" s="94">
        <f>SUMIFS(Свод!$CF$6:$CF$455,Свод!$G$6:$G$455,Расчеты!S$1)</f>
        <v>0</v>
      </c>
      <c r="T105" s="94">
        <f>SUMIFS(Свод!$CF$6:$CF$455,Свод!$G$6:$G$455,Расчеты!T$1)</f>
        <v>0</v>
      </c>
      <c r="U105" s="94">
        <f>SUMIFS(Свод!$CF$6:$CF$455,Свод!$G$6:$G$455,Расчеты!U$1)</f>
        <v>0</v>
      </c>
      <c r="V105" s="94">
        <f>SUMIFS(Свод!$CF$6:$CF$455,Свод!$G$6:$G$455,Расчеты!V$1)</f>
        <v>0</v>
      </c>
      <c r="W105" s="94">
        <f>SUMIFS(Свод!$CF$6:$CF$455,Свод!$G$6:$G$455,Расчеты!W$1)</f>
        <v>0</v>
      </c>
      <c r="X105" s="94">
        <f>SUMIFS(Свод!$CF$6:$CF$455,Свод!$G$6:$G$455,Расчеты!X$1)</f>
        <v>0</v>
      </c>
      <c r="Y105" s="94">
        <f>SUMIFS(Свод!$CF$6:$CF$455,Свод!$G$6:$G$455,Расчеты!Y$1)</f>
        <v>1</v>
      </c>
      <c r="Z105" s="94">
        <f>SUMIFS(Свод!$CF$6:$CF$455,Свод!$G$6:$G$455,Расчеты!Z$1)</f>
        <v>0</v>
      </c>
      <c r="AA105" s="94">
        <f>SUMIFS(Свод!$CF$6:$CF$455,Свод!$G$6:$G$455,Расчеты!AA$1)</f>
        <v>0</v>
      </c>
      <c r="AB105" s="94">
        <f>SUMIFS(Свод!$CF$6:$CF$455,Свод!$G$6:$G$455,Расчеты!AB$1)</f>
        <v>0</v>
      </c>
      <c r="AC105" s="94">
        <f>SUMIFS(Свод!$CF$6:$CF$455,Свод!$G$6:$G$455,Расчеты!AC$1)</f>
        <v>0</v>
      </c>
      <c r="AD105" s="94">
        <f>SUMIFS(Свод!$CF$6:$CF$455,Свод!$G$6:$G$455,Расчеты!AD$1)</f>
        <v>0</v>
      </c>
      <c r="AE105" s="94">
        <f>SUMIFS(Свод!$CF$6:$CF$455,Свод!$G$6:$G$455,Расчеты!AE$1)</f>
        <v>0</v>
      </c>
      <c r="AF105" s="94">
        <f>SUMIFS(Свод!$CF$6:$CF$455,Свод!$G$6:$G$455,Расчеты!AF$1)</f>
        <v>0</v>
      </c>
      <c r="AG105" s="94">
        <f>SUMIFS(Свод!$CF$6:$CF$455,Свод!$G$6:$G$455,Расчеты!AG$1)</f>
        <v>0</v>
      </c>
      <c r="AH105" s="94">
        <f>SUMIFS(Свод!$CF$6:$CF$455,Свод!$G$6:$G$455,Расчеты!AH$1)</f>
        <v>0</v>
      </c>
      <c r="AI105" s="94">
        <f>SUMIFS(Свод!$CF$6:$CF$455,Свод!$G$6:$G$455,Расчеты!AI$1)</f>
        <v>0</v>
      </c>
      <c r="AJ105" s="94">
        <f>SUMIFS(Свод!$CF$6:$CF$455,Свод!$G$6:$G$455,Расчеты!AJ$1)</f>
        <v>0</v>
      </c>
      <c r="AK105" s="94">
        <f>SUMIFS(Свод!$CF$6:$CF$455,Свод!$G$6:$G$455,Расчеты!AK$1)</f>
        <v>0</v>
      </c>
      <c r="AL105" s="94">
        <f>SUMIFS(Свод!$CF$6:$CF$455,Свод!$G$6:$G$455,Расчеты!AL$1)</f>
        <v>0</v>
      </c>
      <c r="AM105" s="94">
        <f>SUMIFS(Свод!$CF$6:$CF$455,Свод!$G$6:$G$455,Расчеты!AM$1)</f>
        <v>0</v>
      </c>
      <c r="AN105" s="94">
        <f>SUMIFS(Свод!$CF$6:$CF$455,Свод!$G$6:$G$455,Расчеты!AN$1)</f>
        <v>0</v>
      </c>
      <c r="AO105" s="94">
        <f>SUMIFS(Свод!$CF$6:$CF$455,Свод!$G$6:$G$455,Расчеты!AO$1)</f>
        <v>0</v>
      </c>
      <c r="AP105" s="94">
        <f>SUMIFS(Свод!$CF$6:$CF$455,Свод!$G$6:$G$455,Расчеты!AP$1)</f>
        <v>0</v>
      </c>
      <c r="AQ105" s="94">
        <f>SUMIFS(Свод!$CF$6:$CF$455,Свод!$G$6:$G$455,Расчеты!AQ$1)</f>
        <v>0</v>
      </c>
      <c r="AR105" s="94">
        <f>SUMIFS(Свод!$CF$6:$CF$455,Свод!$G$6:$G$455,Расчеты!AR$1)</f>
        <v>0</v>
      </c>
      <c r="AS105" s="94">
        <f>SUMIFS(Свод!$CF$6:$CF$455,Свод!$G$6:$G$455,Расчеты!AS$1)</f>
        <v>1</v>
      </c>
      <c r="AT105" s="94">
        <f>SUMIFS(Свод!$CF$6:$CF$455,Свод!$G$6:$G$455,Расчеты!AT$1)</f>
        <v>0</v>
      </c>
      <c r="AU105" s="94">
        <f>SUMIFS(Свод!$CF$6:$CF$455,Свод!$G$6:$G$455,Расчеты!AU$1)</f>
        <v>4</v>
      </c>
      <c r="AV105" s="94">
        <f>SUMIFS(Свод!$CF$6:$CF$455,Свод!$G$6:$G$455,Расчеты!AV$1)</f>
        <v>0</v>
      </c>
      <c r="AW105" s="94">
        <f>SUMIFS(Свод!$CF$6:$CF$455,Свод!$G$6:$G$455,Расчеты!AW$1)</f>
        <v>2</v>
      </c>
      <c r="AX105" s="94">
        <f>SUMIFS(Свод!$CF$6:$CF$455,Свод!$G$6:$G$455,Расчеты!AX$1)</f>
        <v>0</v>
      </c>
      <c r="AY105" s="94">
        <f>SUMIFS(Свод!$CF$6:$CF$455,Свод!$G$6:$G$455,Расчеты!AY$1)</f>
        <v>0</v>
      </c>
      <c r="AZ105" s="94">
        <f>SUMIFS(Свод!$CF$6:$CF$455,Свод!$G$6:$G$455,Расчеты!AZ$1)</f>
        <v>0</v>
      </c>
      <c r="BA105" s="94">
        <f>SUMIFS(Свод!$CF$6:$CF$455,Свод!$G$6:$G$455,Расчеты!BA$1)</f>
        <v>1</v>
      </c>
      <c r="BB105" s="94">
        <f>SUMIFS(Свод!$CF$6:$CF$455,Свод!$G$6:$G$455,Расчеты!BB$1)</f>
        <v>0</v>
      </c>
      <c r="BC105" s="94">
        <f>SUMIFS(Свод!$CF$6:$CF$455,Свод!$G$6:$G$455,Расчеты!BC$1)</f>
        <v>0</v>
      </c>
      <c r="BD105" s="94">
        <f>SUMIFS(Свод!$CF$6:$CF$455,Свод!$G$6:$G$455,Расчеты!BD$1)</f>
        <v>0</v>
      </c>
      <c r="BE105" s="94">
        <f>SUMIFS(Свод!$CF$6:$CF$455,Свод!$G$6:$G$455,Расчеты!BE$1)</f>
        <v>0</v>
      </c>
      <c r="BF105" s="94">
        <f>SUMIFS(Свод!$CF$6:$CF$455,Свод!$G$6:$G$455,Расчеты!BF$1)</f>
        <v>0</v>
      </c>
      <c r="BG105" s="94">
        <f>SUMIFS(Свод!$CF$6:$CF$455,Свод!$G$6:$G$455,Расчеты!BG$1)</f>
        <v>0</v>
      </c>
      <c r="BH105" s="94">
        <f>SUMIFS(Свод!$CF$6:$CF$455,Свод!$G$6:$G$455,Расчеты!BH$1)</f>
        <v>3</v>
      </c>
      <c r="BI105" s="94">
        <f>SUMIFS(Свод!$CF$6:$CF$455,Свод!$G$6:$G$455,Расчеты!BI$1)</f>
        <v>0</v>
      </c>
      <c r="BJ105" s="94">
        <f>SUMIFS(Свод!$CF$6:$CF$455,Свод!$G$6:$G$455,Расчеты!BJ$1)</f>
        <v>0</v>
      </c>
      <c r="BK105" s="94">
        <f>SUMIFS(Свод!$CF$6:$CF$455,Свод!$G$6:$G$455,Расчеты!BK$1)</f>
        <v>0</v>
      </c>
      <c r="BL105" s="94">
        <f>SUMIFS(Свод!$CF$6:$CF$455,Свод!$G$6:$G$455,Расчеты!BL$1)</f>
        <v>0</v>
      </c>
      <c r="BM105" s="94">
        <f>SUMIFS(Свод!$CF$6:$CF$455,Свод!$G$6:$G$455,Расчеты!BM$1)</f>
        <v>0</v>
      </c>
      <c r="BN105" s="94">
        <f>SUMIFS(Свод!$CF$6:$CF$455,Свод!$G$6:$G$455,Расчеты!BN$1)</f>
        <v>0</v>
      </c>
      <c r="BO105" s="94">
        <f>SUMIFS(Свод!$CF$6:$CF$455,Свод!$G$6:$G$455,Расчеты!BO$1)</f>
        <v>0</v>
      </c>
      <c r="BP105" s="94">
        <f>SUMIFS(Свод!$CF$6:$CF$455,Свод!$G$6:$G$455,Расчеты!BP$1)</f>
        <v>0</v>
      </c>
      <c r="BQ105" s="94">
        <f>SUMIFS(Свод!$CF$6:$CF$455,Свод!$G$6:$G$455,Расчеты!BQ$1)</f>
        <v>0</v>
      </c>
      <c r="BR105" s="94">
        <f>SUMIFS(Свод!$CF$6:$CF$455,Свод!$G$6:$G$455,Расчеты!BR$1)</f>
        <v>0</v>
      </c>
      <c r="BS105" s="94">
        <f>SUMIFS(Свод!$CF$6:$CF$455,Свод!$G$6:$G$455,Расчеты!BS$1)</f>
        <v>0</v>
      </c>
      <c r="BT105" s="94">
        <f>SUMIFS(Свод!$CF$6:$CF$455,Свод!$G$6:$G$455,Расчеты!BT$1)</f>
        <v>0</v>
      </c>
      <c r="BU105" s="94">
        <f>SUMIFS(Свод!$CF$6:$CF$455,Свод!$G$6:$G$455,Расчеты!BU$1)</f>
        <v>1</v>
      </c>
      <c r="BV105" s="94">
        <f>SUMIFS(Свод!$CF$6:$CF$455,Свод!$G$6:$G$455,Расчеты!BV$1)</f>
        <v>0</v>
      </c>
      <c r="BW105" s="94">
        <f>SUMIFS(Свод!$CF$6:$CF$455,Свод!$G$6:$G$455,Расчеты!BW$1)</f>
        <v>6</v>
      </c>
      <c r="BX105" s="94">
        <f>SUMIFS(Свод!$CF$6:$CF$455,Свод!$G$6:$G$455,Расчеты!BX$1)</f>
        <v>2</v>
      </c>
      <c r="BY105" s="94">
        <f>SUMIFS(Свод!$CF$6:$CF$455,Свод!$G$6:$G$455,Расчеты!BY$1)</f>
        <v>120</v>
      </c>
      <c r="BZ105" s="94">
        <f>SUMIFS(Свод!$CF$6:$CF$455,Свод!$G$6:$G$455,Расчеты!BZ$1)</f>
        <v>0</v>
      </c>
      <c r="CA105" s="94">
        <f>SUMIFS(Свод!$CF$6:$CF$455,Свод!$G$6:$G$455,Расчеты!CA$1)</f>
        <v>0</v>
      </c>
      <c r="CB105" s="94">
        <f>SUMIFS(Свод!$CF$6:$CF$455,Свод!$G$6:$G$455,Расчеты!CB$1)</f>
        <v>0</v>
      </c>
      <c r="CC105" s="94">
        <f>SUMIFS(Свод!$CF$6:$CF$455,Свод!$G$6:$G$455,Расчеты!CC$1)</f>
        <v>0</v>
      </c>
      <c r="CD105" s="94">
        <f>SUMIFS(Свод!$CF$6:$CF$455,Свод!$G$6:$G$455,Расчеты!CD$1)</f>
        <v>0</v>
      </c>
      <c r="CE105" s="94">
        <f>SUMIFS(Свод!$CF$6:$CF$455,Свод!$G$6:$G$455,Расчеты!CE$1)</f>
        <v>0</v>
      </c>
      <c r="CF105" s="94">
        <f>SUMIFS(Свод!$CF$6:$CF$455,Свод!$G$6:$G$455,Расчеты!CF$1)</f>
        <v>0</v>
      </c>
      <c r="CG105" s="94">
        <f>SUMIFS(Свод!$CF$6:$CF$455,Свод!$G$6:$G$455,Расчеты!CG$1)</f>
        <v>0</v>
      </c>
      <c r="CH105" s="94">
        <f>SUMIFS(Свод!$CF$6:$CF$455,Свод!$G$6:$G$455,Расчеты!CH$1)</f>
        <v>0</v>
      </c>
      <c r="CI105" s="94">
        <f>SUMIFS(Свод!$CF$6:$CF$455,Свод!$G$6:$G$455,Расчеты!CI$1)</f>
        <v>0</v>
      </c>
      <c r="CJ105" s="94">
        <f>SUMIFS(Свод!$CF$6:$CF$455,Свод!$G$6:$G$455,Расчеты!CJ$1)</f>
        <v>0</v>
      </c>
      <c r="CK105" s="94">
        <f>SUMIFS(Свод!$CF$6:$CF$455,Свод!$G$6:$G$455,Расчеты!CK$1)</f>
        <v>0</v>
      </c>
      <c r="CL105" s="94">
        <f>SUMIFS(Свод!$CF$6:$CF$455,Свод!$G$6:$G$455,Расчеты!CL$1)</f>
        <v>0</v>
      </c>
      <c r="CM105" s="94">
        <f>SUMIFS(Свод!$CF$6:$CF$455,Свод!$G$6:$G$455,Расчеты!CM$1)</f>
        <v>0</v>
      </c>
      <c r="CN105" s="94">
        <f>SUMIFS(Свод!$CF$6:$CF$455,Свод!$G$6:$G$455,Расчеты!CN$1)</f>
        <v>0</v>
      </c>
      <c r="CO105" s="94">
        <f>SUMIFS(Свод!$CF$6:$CF$455,Свод!$G$6:$G$455,Расчеты!CO$1)</f>
        <v>0</v>
      </c>
      <c r="CP105" s="94">
        <f>SUMIFS(Свод!$CF$6:$CF$455,Свод!$G$6:$G$455,Расчеты!CP$1)</f>
        <v>0</v>
      </c>
      <c r="CQ105" s="94">
        <f>SUMIFS(Свод!$CF$6:$CF$455,Свод!$G$6:$G$455,Расчеты!CQ$1)</f>
        <v>0</v>
      </c>
      <c r="CR105" s="94">
        <f>SUMIFS(Свод!$CF$6:$CF$455,Свод!$G$6:$G$455,Расчеты!CR$1)</f>
        <v>0</v>
      </c>
      <c r="CS105" s="94">
        <f>SUMIFS(Свод!$CF$6:$CF$455,Свод!$G$6:$G$455,Расчеты!CS$1)</f>
        <v>2</v>
      </c>
      <c r="CT105" s="94">
        <f>SUMIFS(Свод!$CF$6:$CF$455,Свод!$G$6:$G$455,Расчеты!CT$1)</f>
        <v>0</v>
      </c>
      <c r="CU105" s="94">
        <f>SUMIFS(Свод!$CF$6:$CF$455,Свод!$G$6:$G$455,Расчеты!CU$1)</f>
        <v>0</v>
      </c>
      <c r="CV105" s="94">
        <f>SUMIFS(Свод!$CF$6:$CF$455,Свод!$G$6:$G$455,Расчеты!CV$1)</f>
        <v>0</v>
      </c>
      <c r="CW105" s="94">
        <f>SUMIFS(Свод!$CF$6:$CF$455,Свод!$G$6:$G$455,Расчеты!CW$1)</f>
        <v>0</v>
      </c>
      <c r="CX105" s="94">
        <f>SUMIFS(Свод!$CF$6:$CF$455,Свод!$G$6:$G$455,Расчеты!CX$1)</f>
        <v>1</v>
      </c>
    </row>
    <row r="106" spans="1:102" ht="17" x14ac:dyDescent="0.2">
      <c r="A106" s="1238"/>
      <c r="B106" s="1237"/>
      <c r="C106" s="97" t="s">
        <v>8886</v>
      </c>
      <c r="D106" s="97">
        <v>92</v>
      </c>
      <c r="E106" s="502" t="s">
        <v>9075</v>
      </c>
      <c r="F106" s="1237"/>
      <c r="G106" s="513" t="s">
        <v>64</v>
      </c>
      <c r="H106" s="513"/>
      <c r="I106" s="97"/>
      <c r="J106" s="97"/>
      <c r="K106" s="97" t="s">
        <v>479</v>
      </c>
      <c r="L106" s="97" t="s">
        <v>4906</v>
      </c>
      <c r="M106" s="97">
        <v>2.9534970040829313E-2</v>
      </c>
      <c r="N106" s="572">
        <v>5.0363994322604275E-3</v>
      </c>
      <c r="P106" s="573">
        <v>3.8125987497423918E-3</v>
      </c>
      <c r="Q106" s="94">
        <f>Q105/Q117</f>
        <v>4.9027952742501111E-3</v>
      </c>
    </row>
    <row r="107" spans="1:102" ht="34" x14ac:dyDescent="0.2">
      <c r="A107" s="1238"/>
      <c r="B107" s="1237"/>
      <c r="C107" s="97"/>
      <c r="D107" s="97"/>
      <c r="E107" s="502"/>
      <c r="F107" s="1237" t="s">
        <v>163</v>
      </c>
      <c r="G107" s="513" t="s">
        <v>9022</v>
      </c>
      <c r="H107" s="513"/>
      <c r="I107" s="97"/>
      <c r="J107" s="97"/>
      <c r="K107" s="97"/>
      <c r="L107" s="97" t="s">
        <v>4906</v>
      </c>
      <c r="M107" s="97" t="s">
        <v>4906</v>
      </c>
      <c r="N107" s="97" t="s">
        <v>4906</v>
      </c>
      <c r="O107" s="94">
        <v>381</v>
      </c>
      <c r="P107" s="94">
        <v>716</v>
      </c>
      <c r="Q107" s="94">
        <f t="shared" si="26"/>
        <v>797</v>
      </c>
      <c r="R107" s="94">
        <f>SUMIFS(Свод!$CG$6:$CG$455,Свод!$G$6:$G$455,Расчеты!R$1)</f>
        <v>0</v>
      </c>
      <c r="S107" s="94">
        <f>SUMIFS(Свод!$CG$6:$CG$455,Свод!$G$6:$G$455,Расчеты!S$1)</f>
        <v>0</v>
      </c>
      <c r="T107" s="94">
        <f>SUMIFS(Свод!$CG$6:$CG$455,Свод!$G$6:$G$455,Расчеты!T$1)</f>
        <v>94</v>
      </c>
      <c r="U107" s="94">
        <f>SUMIFS(Свод!$CG$6:$CG$455,Свод!$G$6:$G$455,Расчеты!U$1)</f>
        <v>0</v>
      </c>
      <c r="V107" s="94">
        <f>SUMIFS(Свод!$CG$6:$CG$455,Свод!$G$6:$G$455,Расчеты!V$1)</f>
        <v>0</v>
      </c>
      <c r="W107" s="94">
        <f>SUMIFS(Свод!$CG$6:$CG$455,Свод!$G$6:$G$455,Расчеты!W$1)</f>
        <v>0</v>
      </c>
      <c r="X107" s="94">
        <f>SUMIFS(Свод!$CG$6:$CG$455,Свод!$G$6:$G$455,Расчеты!X$1)</f>
        <v>65</v>
      </c>
      <c r="Y107" s="94">
        <f>SUMIFS(Свод!$CG$6:$CG$455,Свод!$G$6:$G$455,Расчеты!Y$1)</f>
        <v>0</v>
      </c>
      <c r="Z107" s="94">
        <f>SUMIFS(Свод!$CG$6:$CG$455,Свод!$G$6:$G$455,Расчеты!Z$1)</f>
        <v>0</v>
      </c>
      <c r="AA107" s="94">
        <f>SUMIFS(Свод!$CG$6:$CG$455,Свод!$G$6:$G$455,Расчеты!AA$1)</f>
        <v>0</v>
      </c>
      <c r="AB107" s="94">
        <f>SUMIFS(Свод!$CG$6:$CG$455,Свод!$G$6:$G$455,Расчеты!AB$1)</f>
        <v>0</v>
      </c>
      <c r="AC107" s="94">
        <f>SUMIFS(Свод!$CG$6:$CG$455,Свод!$G$6:$G$455,Расчеты!AC$1)</f>
        <v>0</v>
      </c>
      <c r="AD107" s="94">
        <f>SUMIFS(Свод!$CG$6:$CG$455,Свод!$G$6:$G$455,Расчеты!AD$1)</f>
        <v>0</v>
      </c>
      <c r="AE107" s="94">
        <f>SUMIFS(Свод!$CG$6:$CG$455,Свод!$G$6:$G$455,Расчеты!AE$1)</f>
        <v>0</v>
      </c>
      <c r="AF107" s="94">
        <f>SUMIFS(Свод!$CG$6:$CG$455,Свод!$G$6:$G$455,Расчеты!AF$1)</f>
        <v>0</v>
      </c>
      <c r="AG107" s="94">
        <f>SUMIFS(Свод!$CG$6:$CG$455,Свод!$G$6:$G$455,Расчеты!AG$1)</f>
        <v>0</v>
      </c>
      <c r="AH107" s="94">
        <f>SUMIFS(Свод!$CG$6:$CG$455,Свод!$G$6:$G$455,Расчеты!AH$1)</f>
        <v>0</v>
      </c>
      <c r="AI107" s="94">
        <f>SUMIFS(Свод!$CG$6:$CG$455,Свод!$G$6:$G$455,Расчеты!AI$1)</f>
        <v>0</v>
      </c>
      <c r="AJ107" s="94">
        <f>SUMIFS(Свод!$CG$6:$CG$455,Свод!$G$6:$G$455,Расчеты!AJ$1)</f>
        <v>0</v>
      </c>
      <c r="AK107" s="94">
        <f>SUMIFS(Свод!$CG$6:$CG$455,Свод!$G$6:$G$455,Расчеты!AK$1)</f>
        <v>0</v>
      </c>
      <c r="AL107" s="94">
        <f>SUMIFS(Свод!$CG$6:$CG$455,Свод!$G$6:$G$455,Расчеты!AL$1)</f>
        <v>0</v>
      </c>
      <c r="AM107" s="94">
        <f>SUMIFS(Свод!$CG$6:$CG$455,Свод!$G$6:$G$455,Расчеты!AM$1)</f>
        <v>0</v>
      </c>
      <c r="AN107" s="94">
        <f>SUMIFS(Свод!$CG$6:$CG$455,Свод!$G$6:$G$455,Расчеты!AN$1)</f>
        <v>0</v>
      </c>
      <c r="AO107" s="94">
        <f>SUMIFS(Свод!$CG$6:$CG$455,Свод!$G$6:$G$455,Расчеты!AO$1)</f>
        <v>0</v>
      </c>
      <c r="AP107" s="94">
        <f>SUMIFS(Свод!$CG$6:$CG$455,Свод!$G$6:$G$455,Расчеты!AP$1)</f>
        <v>0</v>
      </c>
      <c r="AQ107" s="94">
        <f>SUMIFS(Свод!$CG$6:$CG$455,Свод!$G$6:$G$455,Расчеты!AQ$1)</f>
        <v>0</v>
      </c>
      <c r="AR107" s="94">
        <f>SUMIFS(Свод!$CG$6:$CG$455,Свод!$G$6:$G$455,Расчеты!AR$1)</f>
        <v>0</v>
      </c>
      <c r="AS107" s="94">
        <f>SUMIFS(Свод!$CG$6:$CG$455,Свод!$G$6:$G$455,Расчеты!AS$1)</f>
        <v>0</v>
      </c>
      <c r="AT107" s="94">
        <f>SUMIFS(Свод!$CG$6:$CG$455,Свод!$G$6:$G$455,Расчеты!AT$1)</f>
        <v>0</v>
      </c>
      <c r="AU107" s="94">
        <f>SUMIFS(Свод!$CG$6:$CG$455,Свод!$G$6:$G$455,Расчеты!AU$1)</f>
        <v>77</v>
      </c>
      <c r="AV107" s="94">
        <f>SUMIFS(Свод!$CG$6:$CG$455,Свод!$G$6:$G$455,Расчеты!AV$1)</f>
        <v>1</v>
      </c>
      <c r="AW107" s="94">
        <f>SUMIFS(Свод!$CG$6:$CG$455,Свод!$G$6:$G$455,Расчеты!AW$1)</f>
        <v>13</v>
      </c>
      <c r="AX107" s="94">
        <f>SUMIFS(Свод!$CG$6:$CG$455,Свод!$G$6:$G$455,Расчеты!AX$1)</f>
        <v>0</v>
      </c>
      <c r="AY107" s="94">
        <f>SUMIFS(Свод!$CG$6:$CG$455,Свод!$G$6:$G$455,Расчеты!AY$1)</f>
        <v>0</v>
      </c>
      <c r="AZ107" s="94">
        <f>SUMIFS(Свод!$CG$6:$CG$455,Свод!$G$6:$G$455,Расчеты!AZ$1)</f>
        <v>0</v>
      </c>
      <c r="BA107" s="94">
        <f>SUMIFS(Свод!$CG$6:$CG$455,Свод!$G$6:$G$455,Расчеты!BA$1)</f>
        <v>8</v>
      </c>
      <c r="BB107" s="94">
        <f>SUMIFS(Свод!$CG$6:$CG$455,Свод!$G$6:$G$455,Расчеты!BB$1)</f>
        <v>0</v>
      </c>
      <c r="BC107" s="94">
        <f>SUMIFS(Свод!$CG$6:$CG$455,Свод!$G$6:$G$455,Расчеты!BC$1)</f>
        <v>0</v>
      </c>
      <c r="BD107" s="94">
        <f>SUMIFS(Свод!$CG$6:$CG$455,Свод!$G$6:$G$455,Расчеты!BD$1)</f>
        <v>0</v>
      </c>
      <c r="BE107" s="94">
        <f>SUMIFS(Свод!$CG$6:$CG$455,Свод!$G$6:$G$455,Расчеты!BE$1)</f>
        <v>0</v>
      </c>
      <c r="BF107" s="94">
        <f>SUMIFS(Свод!$CG$6:$CG$455,Свод!$G$6:$G$455,Расчеты!BF$1)</f>
        <v>0</v>
      </c>
      <c r="BG107" s="94">
        <f>SUMIFS(Свод!$CG$6:$CG$455,Свод!$G$6:$G$455,Расчеты!BG$1)</f>
        <v>0</v>
      </c>
      <c r="BH107" s="94">
        <f>SUMIFS(Свод!$CG$6:$CG$455,Свод!$G$6:$G$455,Расчеты!BH$1)</f>
        <v>0</v>
      </c>
      <c r="BI107" s="94">
        <f>SUMIFS(Свод!$CG$6:$CG$455,Свод!$G$6:$G$455,Расчеты!BI$1)</f>
        <v>0</v>
      </c>
      <c r="BJ107" s="94">
        <f>SUMIFS(Свод!$CG$6:$CG$455,Свод!$G$6:$G$455,Расчеты!BJ$1)</f>
        <v>0</v>
      </c>
      <c r="BK107" s="94">
        <f>SUMIFS(Свод!$CG$6:$CG$455,Свод!$G$6:$G$455,Расчеты!BK$1)</f>
        <v>4</v>
      </c>
      <c r="BL107" s="94">
        <f>SUMIFS(Свод!$CG$6:$CG$455,Свод!$G$6:$G$455,Расчеты!BL$1)</f>
        <v>11</v>
      </c>
      <c r="BM107" s="94">
        <f>SUMIFS(Свод!$CG$6:$CG$455,Свод!$G$6:$G$455,Расчеты!BM$1)</f>
        <v>0</v>
      </c>
      <c r="BN107" s="94">
        <f>SUMIFS(Свод!$CG$6:$CG$455,Свод!$G$6:$G$455,Расчеты!BN$1)</f>
        <v>0</v>
      </c>
      <c r="BO107" s="94">
        <f>SUMIFS(Свод!$CG$6:$CG$455,Свод!$G$6:$G$455,Расчеты!BO$1)</f>
        <v>24</v>
      </c>
      <c r="BP107" s="94">
        <f>SUMIFS(Свод!$CG$6:$CG$455,Свод!$G$6:$G$455,Расчеты!BP$1)</f>
        <v>0</v>
      </c>
      <c r="BQ107" s="94">
        <f>SUMIFS(Свод!$CG$6:$CG$455,Свод!$G$6:$G$455,Расчеты!BQ$1)</f>
        <v>0</v>
      </c>
      <c r="BR107" s="94">
        <f>SUMIFS(Свод!$CG$6:$CG$455,Свод!$G$6:$G$455,Расчеты!BR$1)</f>
        <v>0</v>
      </c>
      <c r="BS107" s="94">
        <f>SUMIFS(Свод!$CG$6:$CG$455,Свод!$G$6:$G$455,Расчеты!BS$1)</f>
        <v>0</v>
      </c>
      <c r="BT107" s="94">
        <f>SUMIFS(Свод!$CG$6:$CG$455,Свод!$G$6:$G$455,Расчеты!BT$1)</f>
        <v>0</v>
      </c>
      <c r="BU107" s="94">
        <f>SUMIFS(Свод!$CG$6:$CG$455,Свод!$G$6:$G$455,Расчеты!BU$1)</f>
        <v>4</v>
      </c>
      <c r="BV107" s="94">
        <f>SUMIFS(Свод!$CG$6:$CG$455,Свод!$G$6:$G$455,Расчеты!BV$1)</f>
        <v>0</v>
      </c>
      <c r="BW107" s="94">
        <f>SUMIFS(Свод!$CG$6:$CG$455,Свод!$G$6:$G$455,Расчеты!BW$1)</f>
        <v>0</v>
      </c>
      <c r="BX107" s="94">
        <f>SUMIFS(Свод!$CG$6:$CG$455,Свод!$G$6:$G$455,Расчеты!BX$1)</f>
        <v>26</v>
      </c>
      <c r="BY107" s="94">
        <f>SUMIFS(Свод!$CG$6:$CG$455,Свод!$G$6:$G$455,Расчеты!BY$1)</f>
        <v>0</v>
      </c>
      <c r="BZ107" s="94">
        <f>SUMIFS(Свод!$CG$6:$CG$455,Свод!$G$6:$G$455,Расчеты!BZ$1)</f>
        <v>0</v>
      </c>
      <c r="CA107" s="94">
        <f>SUMIFS(Свод!$CG$6:$CG$455,Свод!$G$6:$G$455,Расчеты!CA$1)</f>
        <v>141</v>
      </c>
      <c r="CB107" s="94">
        <f>SUMIFS(Свод!$CG$6:$CG$455,Свод!$G$6:$G$455,Расчеты!CB$1)</f>
        <v>0</v>
      </c>
      <c r="CC107" s="94">
        <f>SUMIFS(Свод!$CG$6:$CG$455,Свод!$G$6:$G$455,Расчеты!CC$1)</f>
        <v>0</v>
      </c>
      <c r="CD107" s="94">
        <f>SUMIFS(Свод!$CG$6:$CG$455,Свод!$G$6:$G$455,Расчеты!CD$1)</f>
        <v>0</v>
      </c>
      <c r="CE107" s="94">
        <f>SUMIFS(Свод!$CG$6:$CG$455,Свод!$G$6:$G$455,Расчеты!CE$1)</f>
        <v>0</v>
      </c>
      <c r="CF107" s="94">
        <f>SUMIFS(Свод!$CG$6:$CG$455,Свод!$G$6:$G$455,Расчеты!CF$1)</f>
        <v>5</v>
      </c>
      <c r="CG107" s="94">
        <f>SUMIFS(Свод!$CG$6:$CG$455,Свод!$G$6:$G$455,Расчеты!CG$1)</f>
        <v>0</v>
      </c>
      <c r="CH107" s="94">
        <f>SUMIFS(Свод!$CG$6:$CG$455,Свод!$G$6:$G$455,Расчеты!CH$1)</f>
        <v>0</v>
      </c>
      <c r="CI107" s="94">
        <f>SUMIFS(Свод!$CG$6:$CG$455,Свод!$G$6:$G$455,Расчеты!CI$1)</f>
        <v>0</v>
      </c>
      <c r="CJ107" s="94">
        <f>SUMIFS(Свод!$CG$6:$CG$455,Свод!$G$6:$G$455,Расчеты!CJ$1)</f>
        <v>0</v>
      </c>
      <c r="CK107" s="94">
        <f>SUMIFS(Свод!$CG$6:$CG$455,Свод!$G$6:$G$455,Расчеты!CK$1)</f>
        <v>0</v>
      </c>
      <c r="CL107" s="94">
        <f>SUMIFS(Свод!$CG$6:$CG$455,Свод!$G$6:$G$455,Расчеты!CL$1)</f>
        <v>0</v>
      </c>
      <c r="CM107" s="94">
        <f>SUMIFS(Свод!$CG$6:$CG$455,Свод!$G$6:$G$455,Расчеты!CM$1)</f>
        <v>0</v>
      </c>
      <c r="CN107" s="94">
        <f>SUMIFS(Свод!$CG$6:$CG$455,Свод!$G$6:$G$455,Расчеты!CN$1)</f>
        <v>142</v>
      </c>
      <c r="CO107" s="94">
        <f>SUMIFS(Свод!$CG$6:$CG$455,Свод!$G$6:$G$455,Расчеты!CO$1)</f>
        <v>0</v>
      </c>
      <c r="CP107" s="94">
        <f>SUMIFS(Свод!$CG$6:$CG$455,Свод!$G$6:$G$455,Расчеты!CP$1)</f>
        <v>0</v>
      </c>
      <c r="CQ107" s="94">
        <f>SUMIFS(Свод!$CG$6:$CG$455,Свод!$G$6:$G$455,Расчеты!CQ$1)</f>
        <v>0</v>
      </c>
      <c r="CR107" s="94">
        <f>SUMIFS(Свод!$CG$6:$CG$455,Свод!$G$6:$G$455,Расчеты!CR$1)</f>
        <v>0</v>
      </c>
      <c r="CS107" s="94">
        <f>SUMIFS(Свод!$CG$6:$CG$455,Свод!$G$6:$G$455,Расчеты!CS$1)</f>
        <v>0</v>
      </c>
      <c r="CT107" s="94">
        <f>SUMIFS(Свод!$CG$6:$CG$455,Свод!$G$6:$G$455,Расчеты!CT$1)</f>
        <v>0</v>
      </c>
      <c r="CU107" s="94">
        <f>SUMIFS(Свод!$CG$6:$CG$455,Свод!$G$6:$G$455,Расчеты!CU$1)</f>
        <v>0</v>
      </c>
      <c r="CV107" s="94">
        <f>SUMIFS(Свод!$CG$6:$CG$455,Свод!$G$6:$G$455,Расчеты!CV$1)</f>
        <v>0</v>
      </c>
      <c r="CW107" s="94">
        <f>SUMIFS(Свод!$CG$6:$CG$455,Свод!$G$6:$G$455,Расчеты!CW$1)</f>
        <v>159</v>
      </c>
      <c r="CX107" s="94">
        <f>SUMIFS(Свод!$CG$6:$CG$455,Свод!$G$6:$G$455,Расчеты!CX$1)</f>
        <v>23</v>
      </c>
    </row>
    <row r="108" spans="1:102" ht="17" x14ac:dyDescent="0.2">
      <c r="A108" s="1238"/>
      <c r="B108" s="1237"/>
      <c r="C108" s="97"/>
      <c r="D108" s="97"/>
      <c r="E108" s="502"/>
      <c r="F108" s="1237"/>
      <c r="G108" s="513" t="s">
        <v>64</v>
      </c>
      <c r="H108" s="513"/>
      <c r="I108" s="97"/>
      <c r="J108" s="97"/>
      <c r="K108" s="97"/>
      <c r="L108" s="97" t="s">
        <v>4906</v>
      </c>
      <c r="M108" s="97" t="s">
        <v>4906</v>
      </c>
      <c r="N108" s="97" t="s">
        <v>4906</v>
      </c>
      <c r="O108" s="94">
        <f>O107/O117</f>
        <v>1.6647004849914798E-2</v>
      </c>
      <c r="P108" s="573">
        <v>2.4592979322662637E-2</v>
      </c>
      <c r="Q108" s="94">
        <f>Q107/Q117</f>
        <v>2.7135609955398182E-2</v>
      </c>
    </row>
    <row r="109" spans="1:102" ht="36" customHeight="1" x14ac:dyDescent="0.2">
      <c r="A109" s="1238"/>
      <c r="B109" s="1237"/>
      <c r="C109" s="97"/>
      <c r="D109" s="97"/>
      <c r="E109" s="502"/>
      <c r="F109" s="1237" t="s">
        <v>165</v>
      </c>
      <c r="G109" s="513" t="s">
        <v>9022</v>
      </c>
      <c r="H109" s="513"/>
      <c r="I109" s="97"/>
      <c r="J109" s="97"/>
      <c r="L109" s="97" t="s">
        <v>4906</v>
      </c>
      <c r="M109" s="97" t="s">
        <v>4906</v>
      </c>
      <c r="N109" s="97" t="s">
        <v>4906</v>
      </c>
      <c r="O109" s="97" t="s">
        <v>4906</v>
      </c>
      <c r="P109" s="97" t="s">
        <v>4906</v>
      </c>
      <c r="Q109" s="94">
        <f t="shared" si="26"/>
        <v>48</v>
      </c>
      <c r="R109" s="94">
        <f>SUMIFS(Свод!$CH$6:$CH$455,Свод!$G$6:$G$455,Расчеты!R$1)</f>
        <v>0</v>
      </c>
      <c r="S109" s="94">
        <f>SUMIFS(Свод!$CH$6:$CH$455,Свод!$G$6:$G$455,Расчеты!S$1)</f>
        <v>0</v>
      </c>
      <c r="T109" s="94">
        <f>SUMIFS(Свод!$CH$6:$CH$455,Свод!$G$6:$G$455,Расчеты!T$1)</f>
        <v>0</v>
      </c>
      <c r="U109" s="94">
        <f>SUMIFS(Свод!$CH$6:$CH$455,Свод!$G$6:$G$455,Расчеты!U$1)</f>
        <v>0</v>
      </c>
      <c r="V109" s="94">
        <f>SUMIFS(Свод!$CH$6:$CH$455,Свод!$G$6:$G$455,Расчеты!V$1)</f>
        <v>0</v>
      </c>
      <c r="W109" s="94">
        <f>SUMIFS(Свод!$CH$6:$CH$455,Свод!$G$6:$G$455,Расчеты!W$1)</f>
        <v>0</v>
      </c>
      <c r="X109" s="94">
        <f>SUMIFS(Свод!$CH$6:$CH$455,Свод!$G$6:$G$455,Расчеты!X$1)</f>
        <v>0</v>
      </c>
      <c r="Y109" s="94">
        <f>SUMIFS(Свод!$CH$6:$CH$455,Свод!$G$6:$G$455,Расчеты!Y$1)</f>
        <v>0</v>
      </c>
      <c r="Z109" s="94">
        <f>SUMIFS(Свод!$CH$6:$CH$455,Свод!$G$6:$G$455,Расчеты!Z$1)</f>
        <v>0</v>
      </c>
      <c r="AA109" s="94">
        <f>SUMIFS(Свод!$CH$6:$CH$455,Свод!$G$6:$G$455,Расчеты!AA$1)</f>
        <v>0</v>
      </c>
      <c r="AB109" s="94">
        <f>SUMIFS(Свод!$CH$6:$CH$455,Свод!$G$6:$G$455,Расчеты!AB$1)</f>
        <v>0</v>
      </c>
      <c r="AC109" s="94">
        <f>SUMIFS(Свод!$CH$6:$CH$455,Свод!$G$6:$G$455,Расчеты!AC$1)</f>
        <v>0</v>
      </c>
      <c r="AD109" s="94">
        <f>SUMIFS(Свод!$CH$6:$CH$455,Свод!$G$6:$G$455,Расчеты!AD$1)</f>
        <v>0</v>
      </c>
      <c r="AE109" s="94">
        <f>SUMIFS(Свод!$CH$6:$CH$455,Свод!$G$6:$G$455,Расчеты!AE$1)</f>
        <v>0</v>
      </c>
      <c r="AF109" s="94">
        <f>SUMIFS(Свод!$CH$6:$CH$455,Свод!$G$6:$G$455,Расчеты!AF$1)</f>
        <v>0</v>
      </c>
      <c r="AG109" s="94">
        <f>SUMIFS(Свод!$CH$6:$CH$455,Свод!$G$6:$G$455,Расчеты!AG$1)</f>
        <v>0</v>
      </c>
      <c r="AH109" s="94">
        <f>SUMIFS(Свод!$CH$6:$CH$455,Свод!$G$6:$G$455,Расчеты!AH$1)</f>
        <v>3</v>
      </c>
      <c r="AI109" s="94">
        <f>SUMIFS(Свод!$CH$6:$CH$455,Свод!$G$6:$G$455,Расчеты!AI$1)</f>
        <v>0</v>
      </c>
      <c r="AJ109" s="94">
        <f>SUMIFS(Свод!$CH$6:$CH$455,Свод!$G$6:$G$455,Расчеты!AJ$1)</f>
        <v>0</v>
      </c>
      <c r="AK109" s="94">
        <f>SUMIFS(Свод!$CH$6:$CH$455,Свод!$G$6:$G$455,Расчеты!AK$1)</f>
        <v>0</v>
      </c>
      <c r="AL109" s="94">
        <f>SUMIFS(Свод!$CH$6:$CH$455,Свод!$G$6:$G$455,Расчеты!AL$1)</f>
        <v>0</v>
      </c>
      <c r="AM109" s="94">
        <f>SUMIFS(Свод!$CH$6:$CH$455,Свод!$G$6:$G$455,Расчеты!AM$1)</f>
        <v>0</v>
      </c>
      <c r="AN109" s="94">
        <f>SUMIFS(Свод!$CH$6:$CH$455,Свод!$G$6:$G$455,Расчеты!AN$1)</f>
        <v>0</v>
      </c>
      <c r="AO109" s="94">
        <f>SUMIFS(Свод!$CH$6:$CH$455,Свод!$G$6:$G$455,Расчеты!AO$1)</f>
        <v>0</v>
      </c>
      <c r="AP109" s="94">
        <f>SUMIFS(Свод!$CH$6:$CH$455,Свод!$G$6:$G$455,Расчеты!AP$1)</f>
        <v>0</v>
      </c>
      <c r="AQ109" s="94">
        <f>SUMIFS(Свод!$CH$6:$CH$455,Свод!$G$6:$G$455,Расчеты!AQ$1)</f>
        <v>0</v>
      </c>
      <c r="AR109" s="94">
        <f>SUMIFS(Свод!$CH$6:$CH$455,Свод!$G$6:$G$455,Расчеты!AR$1)</f>
        <v>0</v>
      </c>
      <c r="AS109" s="94">
        <f>SUMIFS(Свод!$CH$6:$CH$455,Свод!$G$6:$G$455,Расчеты!AS$1)</f>
        <v>0</v>
      </c>
      <c r="AT109" s="94">
        <f>SUMIFS(Свод!$CH$6:$CH$455,Свод!$G$6:$G$455,Расчеты!AT$1)</f>
        <v>0</v>
      </c>
      <c r="AU109" s="94">
        <f>SUMIFS(Свод!$CH$6:$CH$455,Свод!$G$6:$G$455,Расчеты!AU$1)</f>
        <v>29</v>
      </c>
      <c r="AV109" s="94">
        <f>SUMIFS(Свод!$CH$6:$CH$455,Свод!$G$6:$G$455,Расчеты!AV$1)</f>
        <v>0</v>
      </c>
      <c r="AW109" s="94">
        <f>SUMIFS(Свод!$CH$6:$CH$455,Свод!$G$6:$G$455,Расчеты!AW$1)</f>
        <v>0</v>
      </c>
      <c r="AX109" s="94">
        <f>SUMIFS(Свод!$CH$6:$CH$455,Свод!$G$6:$G$455,Расчеты!AX$1)</f>
        <v>0</v>
      </c>
      <c r="AY109" s="94">
        <f>SUMIFS(Свод!$CH$6:$CH$455,Свод!$G$6:$G$455,Расчеты!AY$1)</f>
        <v>0</v>
      </c>
      <c r="AZ109" s="94">
        <f>SUMIFS(Свод!$CH$6:$CH$455,Свод!$G$6:$G$455,Расчеты!AZ$1)</f>
        <v>0</v>
      </c>
      <c r="BA109" s="94">
        <f>SUMIFS(Свод!$CH$6:$CH$455,Свод!$G$6:$G$455,Расчеты!BA$1)</f>
        <v>0</v>
      </c>
      <c r="BB109" s="94">
        <f>SUMIFS(Свод!$CH$6:$CH$455,Свод!$G$6:$G$455,Расчеты!BB$1)</f>
        <v>0</v>
      </c>
      <c r="BC109" s="94">
        <f>SUMIFS(Свод!$CH$6:$CH$455,Свод!$G$6:$G$455,Расчеты!BC$1)</f>
        <v>0</v>
      </c>
      <c r="BD109" s="94">
        <f>SUMIFS(Свод!$CH$6:$CH$455,Свод!$G$6:$G$455,Расчеты!BD$1)</f>
        <v>0</v>
      </c>
      <c r="BE109" s="94">
        <f>SUMIFS(Свод!$CH$6:$CH$455,Свод!$G$6:$G$455,Расчеты!BE$1)</f>
        <v>0</v>
      </c>
      <c r="BF109" s="94">
        <f>SUMIFS(Свод!$CH$6:$CH$455,Свод!$G$6:$G$455,Расчеты!BF$1)</f>
        <v>0</v>
      </c>
      <c r="BG109" s="94">
        <f>SUMIFS(Свод!$CH$6:$CH$455,Свод!$G$6:$G$455,Расчеты!BG$1)</f>
        <v>0</v>
      </c>
      <c r="BH109" s="94">
        <f>SUMIFS(Свод!$CH$6:$CH$455,Свод!$G$6:$G$455,Расчеты!BH$1)</f>
        <v>0</v>
      </c>
      <c r="BI109" s="94">
        <f>SUMIFS(Свод!$CH$6:$CH$455,Свод!$G$6:$G$455,Расчеты!BI$1)</f>
        <v>0</v>
      </c>
      <c r="BJ109" s="94">
        <f>SUMIFS(Свод!$CH$6:$CH$455,Свод!$G$6:$G$455,Расчеты!BJ$1)</f>
        <v>0</v>
      </c>
      <c r="BK109" s="94">
        <f>SUMIFS(Свод!$CH$6:$CH$455,Свод!$G$6:$G$455,Расчеты!BK$1)</f>
        <v>1</v>
      </c>
      <c r="BL109" s="94">
        <f>SUMIFS(Свод!$CH$6:$CH$455,Свод!$G$6:$G$455,Расчеты!BL$1)</f>
        <v>0</v>
      </c>
      <c r="BM109" s="94">
        <f>SUMIFS(Свод!$CH$6:$CH$455,Свод!$G$6:$G$455,Расчеты!BM$1)</f>
        <v>0</v>
      </c>
      <c r="BN109" s="94">
        <f>SUMIFS(Свод!$CH$6:$CH$455,Свод!$G$6:$G$455,Расчеты!BN$1)</f>
        <v>0</v>
      </c>
      <c r="BO109" s="94">
        <f>SUMIFS(Свод!$CH$6:$CH$455,Свод!$G$6:$G$455,Расчеты!BO$1)</f>
        <v>0</v>
      </c>
      <c r="BP109" s="94">
        <f>SUMIFS(Свод!$CH$6:$CH$455,Свод!$G$6:$G$455,Расчеты!BP$1)</f>
        <v>1</v>
      </c>
      <c r="BQ109" s="94">
        <f>SUMIFS(Свод!$CH$6:$CH$455,Свод!$G$6:$G$455,Расчеты!BQ$1)</f>
        <v>0</v>
      </c>
      <c r="BR109" s="94">
        <f>SUMIFS(Свод!$CH$6:$CH$455,Свод!$G$6:$G$455,Расчеты!BR$1)</f>
        <v>0</v>
      </c>
      <c r="BS109" s="94">
        <f>SUMIFS(Свод!$CH$6:$CH$455,Свод!$G$6:$G$455,Расчеты!BS$1)</f>
        <v>0</v>
      </c>
      <c r="BT109" s="94">
        <f>SUMIFS(Свод!$CH$6:$CH$455,Свод!$G$6:$G$455,Расчеты!BT$1)</f>
        <v>0</v>
      </c>
      <c r="BU109" s="94">
        <f>SUMIFS(Свод!$CH$6:$CH$455,Свод!$G$6:$G$455,Расчеты!BU$1)</f>
        <v>0</v>
      </c>
      <c r="BV109" s="94">
        <f>SUMIFS(Свод!$CH$6:$CH$455,Свод!$G$6:$G$455,Расчеты!BV$1)</f>
        <v>0</v>
      </c>
      <c r="BW109" s="94">
        <f>SUMIFS(Свод!$CH$6:$CH$455,Свод!$G$6:$G$455,Расчеты!BW$1)</f>
        <v>4</v>
      </c>
      <c r="BX109" s="94">
        <f>SUMIFS(Свод!$CH$6:$CH$455,Свод!$G$6:$G$455,Расчеты!BX$1)</f>
        <v>0</v>
      </c>
      <c r="BY109" s="94">
        <f>SUMIFS(Свод!$CH$6:$CH$455,Свод!$G$6:$G$455,Расчеты!BY$1)</f>
        <v>0</v>
      </c>
      <c r="BZ109" s="94">
        <f>SUMIFS(Свод!$CH$6:$CH$455,Свод!$G$6:$G$455,Расчеты!BZ$1)</f>
        <v>0</v>
      </c>
      <c r="CA109" s="94">
        <f>SUMIFS(Свод!$CH$6:$CH$455,Свод!$G$6:$G$455,Расчеты!CA$1)</f>
        <v>0</v>
      </c>
      <c r="CB109" s="94">
        <f>SUMIFS(Свод!$CH$6:$CH$455,Свод!$G$6:$G$455,Расчеты!CB$1)</f>
        <v>0</v>
      </c>
      <c r="CC109" s="94">
        <f>SUMIFS(Свод!$CH$6:$CH$455,Свод!$G$6:$G$455,Расчеты!CC$1)</f>
        <v>0</v>
      </c>
      <c r="CD109" s="94">
        <f>SUMIFS(Свод!$CH$6:$CH$455,Свод!$G$6:$G$455,Расчеты!CD$1)</f>
        <v>0</v>
      </c>
      <c r="CE109" s="94">
        <f>SUMIFS(Свод!$CH$6:$CH$455,Свод!$G$6:$G$455,Расчеты!CE$1)</f>
        <v>0</v>
      </c>
      <c r="CF109" s="94">
        <f>SUMIFS(Свод!$CH$6:$CH$455,Свод!$G$6:$G$455,Расчеты!CF$1)</f>
        <v>0</v>
      </c>
      <c r="CG109" s="94">
        <f>SUMIFS(Свод!$CH$6:$CH$455,Свод!$G$6:$G$455,Расчеты!CG$1)</f>
        <v>0</v>
      </c>
      <c r="CH109" s="94">
        <f>SUMIFS(Свод!$CH$6:$CH$455,Свод!$G$6:$G$455,Расчеты!CH$1)</f>
        <v>0</v>
      </c>
      <c r="CI109" s="94">
        <f>SUMIFS(Свод!$CH$6:$CH$455,Свод!$G$6:$G$455,Расчеты!CI$1)</f>
        <v>0</v>
      </c>
      <c r="CJ109" s="94">
        <f>SUMIFS(Свод!$CH$6:$CH$455,Свод!$G$6:$G$455,Расчеты!CJ$1)</f>
        <v>0</v>
      </c>
      <c r="CK109" s="94">
        <f>SUMIFS(Свод!$CH$6:$CH$455,Свод!$G$6:$G$455,Расчеты!CK$1)</f>
        <v>0</v>
      </c>
      <c r="CL109" s="94">
        <f>SUMIFS(Свод!$CH$6:$CH$455,Свод!$G$6:$G$455,Расчеты!CL$1)</f>
        <v>0</v>
      </c>
      <c r="CM109" s="94">
        <f>SUMIFS(Свод!$CH$6:$CH$455,Свод!$G$6:$G$455,Расчеты!CM$1)</f>
        <v>0</v>
      </c>
      <c r="CN109" s="94">
        <f>SUMIFS(Свод!$CH$6:$CH$455,Свод!$G$6:$G$455,Расчеты!CN$1)</f>
        <v>0</v>
      </c>
      <c r="CO109" s="94">
        <f>SUMIFS(Свод!$CH$6:$CH$455,Свод!$G$6:$G$455,Расчеты!CO$1)</f>
        <v>10</v>
      </c>
      <c r="CP109" s="94">
        <f>SUMIFS(Свод!$CH$6:$CH$455,Свод!$G$6:$G$455,Расчеты!CP$1)</f>
        <v>0</v>
      </c>
      <c r="CQ109" s="94">
        <f>SUMIFS(Свод!$CH$6:$CH$455,Свод!$G$6:$G$455,Расчеты!CQ$1)</f>
        <v>0</v>
      </c>
      <c r="CR109" s="94">
        <f>SUMIFS(Свод!$CH$6:$CH$455,Свод!$G$6:$G$455,Расчеты!CR$1)</f>
        <v>0</v>
      </c>
      <c r="CS109" s="94">
        <f>SUMIFS(Свод!$CH$6:$CH$455,Свод!$G$6:$G$455,Расчеты!CS$1)</f>
        <v>0</v>
      </c>
      <c r="CT109" s="94">
        <f>SUMIFS(Свод!$CH$6:$CH$455,Свод!$G$6:$G$455,Расчеты!CT$1)</f>
        <v>0</v>
      </c>
      <c r="CU109" s="94">
        <f>SUMIFS(Свод!$CH$6:$CH$455,Свод!$G$6:$G$455,Расчеты!CU$1)</f>
        <v>0</v>
      </c>
      <c r="CV109" s="94">
        <f>SUMIFS(Свод!$CH$6:$CH$455,Свод!$G$6:$G$455,Расчеты!CV$1)</f>
        <v>0</v>
      </c>
      <c r="CW109" s="94">
        <f>SUMIFS(Свод!$CH$6:$CH$455,Свод!$G$6:$G$455,Расчеты!CW$1)</f>
        <v>0</v>
      </c>
      <c r="CX109" s="94">
        <f>SUMIFS(Свод!$CH$6:$CH$455,Свод!$G$6:$G$455,Расчеты!CX$1)</f>
        <v>0</v>
      </c>
    </row>
    <row r="110" spans="1:102" ht="17" x14ac:dyDescent="0.2">
      <c r="A110" s="1238"/>
      <c r="B110" s="1237"/>
      <c r="C110" s="97"/>
      <c r="D110" s="97"/>
      <c r="E110" s="502"/>
      <c r="F110" s="1237"/>
      <c r="G110" s="513" t="s">
        <v>64</v>
      </c>
      <c r="H110" s="513"/>
      <c r="I110" s="97"/>
      <c r="J110" s="97"/>
      <c r="L110" s="97" t="s">
        <v>4906</v>
      </c>
      <c r="M110" s="97" t="s">
        <v>4906</v>
      </c>
      <c r="N110" s="97" t="s">
        <v>4906</v>
      </c>
      <c r="O110" s="97" t="s">
        <v>4906</v>
      </c>
      <c r="P110" s="97" t="s">
        <v>4906</v>
      </c>
      <c r="Q110" s="94">
        <f>Q109/Q117</f>
        <v>1.6342650914167036E-3</v>
      </c>
    </row>
    <row r="111" spans="1:102" ht="34" x14ac:dyDescent="0.2">
      <c r="A111" s="1238"/>
      <c r="B111" s="1237"/>
      <c r="C111" s="97"/>
      <c r="D111" s="97"/>
      <c r="E111" s="502"/>
      <c r="F111" s="1237" t="s">
        <v>167</v>
      </c>
      <c r="G111" s="513" t="s">
        <v>9022</v>
      </c>
      <c r="H111" s="513"/>
      <c r="I111" s="97"/>
      <c r="J111" s="97"/>
      <c r="L111" s="97" t="s">
        <v>4906</v>
      </c>
      <c r="M111" s="97" t="s">
        <v>4906</v>
      </c>
      <c r="N111" s="97" t="s">
        <v>4906</v>
      </c>
      <c r="O111" s="97" t="s">
        <v>4906</v>
      </c>
      <c r="P111" s="97" t="s">
        <v>4906</v>
      </c>
      <c r="Q111" s="94">
        <f t="shared" si="26"/>
        <v>65</v>
      </c>
      <c r="R111" s="94">
        <f>SUMIFS(Свод!$CI$6:$CI$455,Свод!$G$6:$G$455,Расчеты!R$1)</f>
        <v>0</v>
      </c>
      <c r="S111" s="94">
        <f>SUMIFS(Свод!$CI$6:$CI$455,Свод!$G$6:$G$455,Расчеты!S$1)</f>
        <v>0</v>
      </c>
      <c r="T111" s="94">
        <f>SUMIFS(Свод!$CI$6:$CI$455,Свод!$G$6:$G$455,Расчеты!T$1)</f>
        <v>0</v>
      </c>
      <c r="U111" s="94">
        <f>SUMIFS(Свод!$CI$6:$CI$455,Свод!$G$6:$G$455,Расчеты!U$1)</f>
        <v>0</v>
      </c>
      <c r="V111" s="94">
        <f>SUMIFS(Свод!$CI$6:$CI$455,Свод!$G$6:$G$455,Расчеты!V$1)</f>
        <v>0</v>
      </c>
      <c r="W111" s="94">
        <f>SUMIFS(Свод!$CI$6:$CI$455,Свод!$G$6:$G$455,Расчеты!W$1)</f>
        <v>0</v>
      </c>
      <c r="X111" s="94">
        <f>SUMIFS(Свод!$CI$6:$CI$455,Свод!$G$6:$G$455,Расчеты!X$1)</f>
        <v>0</v>
      </c>
      <c r="Y111" s="94">
        <f>SUMIFS(Свод!$CI$6:$CI$455,Свод!$G$6:$G$455,Расчеты!Y$1)</f>
        <v>0</v>
      </c>
      <c r="Z111" s="94">
        <f>SUMIFS(Свод!$CI$6:$CI$455,Свод!$G$6:$G$455,Расчеты!Z$1)</f>
        <v>0</v>
      </c>
      <c r="AA111" s="94">
        <f>SUMIFS(Свод!$CI$6:$CI$455,Свод!$G$6:$G$455,Расчеты!AA$1)</f>
        <v>0</v>
      </c>
      <c r="AB111" s="94">
        <f>SUMIFS(Свод!$CI$6:$CI$455,Свод!$G$6:$G$455,Расчеты!AB$1)</f>
        <v>0</v>
      </c>
      <c r="AC111" s="94">
        <f>SUMIFS(Свод!$CI$6:$CI$455,Свод!$G$6:$G$455,Расчеты!AC$1)</f>
        <v>0</v>
      </c>
      <c r="AD111" s="94">
        <f>SUMIFS(Свод!$CI$6:$CI$455,Свод!$G$6:$G$455,Расчеты!AD$1)</f>
        <v>0</v>
      </c>
      <c r="AE111" s="94">
        <f>SUMIFS(Свод!$CI$6:$CI$455,Свод!$G$6:$G$455,Расчеты!AE$1)</f>
        <v>0</v>
      </c>
      <c r="AF111" s="94">
        <f>SUMIFS(Свод!$CI$6:$CI$455,Свод!$G$6:$G$455,Расчеты!AF$1)</f>
        <v>0</v>
      </c>
      <c r="AG111" s="94">
        <f>SUMIFS(Свод!$CI$6:$CI$455,Свод!$G$6:$G$455,Расчеты!AG$1)</f>
        <v>0</v>
      </c>
      <c r="AH111" s="94">
        <f>SUMIFS(Свод!$CI$6:$CI$455,Свод!$G$6:$G$455,Расчеты!AH$1)</f>
        <v>0</v>
      </c>
      <c r="AI111" s="94">
        <f>SUMIFS(Свод!$CI$6:$CI$455,Свод!$G$6:$G$455,Расчеты!AI$1)</f>
        <v>0</v>
      </c>
      <c r="AJ111" s="94">
        <f>SUMIFS(Свод!$CI$6:$CI$455,Свод!$G$6:$G$455,Расчеты!AJ$1)</f>
        <v>0</v>
      </c>
      <c r="AK111" s="94">
        <f>SUMIFS(Свод!$CI$6:$CI$455,Свод!$G$6:$G$455,Расчеты!AK$1)</f>
        <v>0</v>
      </c>
      <c r="AL111" s="94">
        <f>SUMIFS(Свод!$CI$6:$CI$455,Свод!$G$6:$G$455,Расчеты!AL$1)</f>
        <v>0</v>
      </c>
      <c r="AM111" s="94">
        <f>SUMIFS(Свод!$CI$6:$CI$455,Свод!$G$6:$G$455,Расчеты!AM$1)</f>
        <v>0</v>
      </c>
      <c r="AN111" s="94">
        <f>SUMIFS(Свод!$CI$6:$CI$455,Свод!$G$6:$G$455,Расчеты!AN$1)</f>
        <v>0</v>
      </c>
      <c r="AO111" s="94">
        <f>SUMIFS(Свод!$CI$6:$CI$455,Свод!$G$6:$G$455,Расчеты!AO$1)</f>
        <v>50</v>
      </c>
      <c r="AP111" s="94">
        <f>SUMIFS(Свод!$CI$6:$CI$455,Свод!$G$6:$G$455,Расчеты!AP$1)</f>
        <v>0</v>
      </c>
      <c r="AQ111" s="94">
        <f>SUMIFS(Свод!$CI$6:$CI$455,Свод!$G$6:$G$455,Расчеты!AQ$1)</f>
        <v>0</v>
      </c>
      <c r="AR111" s="94">
        <f>SUMIFS(Свод!$CI$6:$CI$455,Свод!$G$6:$G$455,Расчеты!AR$1)</f>
        <v>0</v>
      </c>
      <c r="AS111" s="94">
        <f>SUMIFS(Свод!$CI$6:$CI$455,Свод!$G$6:$G$455,Расчеты!AS$1)</f>
        <v>0</v>
      </c>
      <c r="AT111" s="94">
        <f>SUMIFS(Свод!$CI$6:$CI$455,Свод!$G$6:$G$455,Расчеты!AT$1)</f>
        <v>1</v>
      </c>
      <c r="AU111" s="94">
        <f>SUMIFS(Свод!$CI$6:$CI$455,Свод!$G$6:$G$455,Расчеты!AU$1)</f>
        <v>6</v>
      </c>
      <c r="AV111" s="94">
        <f>SUMIFS(Свод!$CI$6:$CI$455,Свод!$G$6:$G$455,Расчеты!AV$1)</f>
        <v>0</v>
      </c>
      <c r="AW111" s="94">
        <f>SUMIFS(Свод!$CI$6:$CI$455,Свод!$G$6:$G$455,Расчеты!AW$1)</f>
        <v>0</v>
      </c>
      <c r="AX111" s="94">
        <f>SUMIFS(Свод!$CI$6:$CI$455,Свод!$G$6:$G$455,Расчеты!AX$1)</f>
        <v>0</v>
      </c>
      <c r="AY111" s="94">
        <f>SUMIFS(Свод!$CI$6:$CI$455,Свод!$G$6:$G$455,Расчеты!AY$1)</f>
        <v>0</v>
      </c>
      <c r="AZ111" s="94">
        <f>SUMIFS(Свод!$CI$6:$CI$455,Свод!$G$6:$G$455,Расчеты!AZ$1)</f>
        <v>0</v>
      </c>
      <c r="BA111" s="94">
        <f>SUMIFS(Свод!$CI$6:$CI$455,Свод!$G$6:$G$455,Расчеты!BA$1)</f>
        <v>0</v>
      </c>
      <c r="BB111" s="94">
        <f>SUMIFS(Свод!$CI$6:$CI$455,Свод!$G$6:$G$455,Расчеты!BB$1)</f>
        <v>0</v>
      </c>
      <c r="BC111" s="94">
        <f>SUMIFS(Свод!$CI$6:$CI$455,Свод!$G$6:$G$455,Расчеты!BC$1)</f>
        <v>0</v>
      </c>
      <c r="BD111" s="94">
        <f>SUMIFS(Свод!$CI$6:$CI$455,Свод!$G$6:$G$455,Расчеты!BD$1)</f>
        <v>0</v>
      </c>
      <c r="BE111" s="94">
        <f>SUMIFS(Свод!$CI$6:$CI$455,Свод!$G$6:$G$455,Расчеты!BE$1)</f>
        <v>0</v>
      </c>
      <c r="BF111" s="94">
        <f>SUMIFS(Свод!$CI$6:$CI$455,Свод!$G$6:$G$455,Расчеты!BF$1)</f>
        <v>0</v>
      </c>
      <c r="BG111" s="94">
        <f>SUMIFS(Свод!$CI$6:$CI$455,Свод!$G$6:$G$455,Расчеты!BG$1)</f>
        <v>0</v>
      </c>
      <c r="BH111" s="94">
        <f>SUMIFS(Свод!$CI$6:$CI$455,Свод!$G$6:$G$455,Расчеты!BH$1)</f>
        <v>0</v>
      </c>
      <c r="BI111" s="94">
        <f>SUMIFS(Свод!$CI$6:$CI$455,Свод!$G$6:$G$455,Расчеты!BI$1)</f>
        <v>0</v>
      </c>
      <c r="BJ111" s="94">
        <f>SUMIFS(Свод!$CI$6:$CI$455,Свод!$G$6:$G$455,Расчеты!BJ$1)</f>
        <v>0</v>
      </c>
      <c r="BK111" s="94">
        <f>SUMIFS(Свод!$CI$6:$CI$455,Свод!$G$6:$G$455,Расчеты!BK$1)</f>
        <v>1</v>
      </c>
      <c r="BL111" s="94">
        <f>SUMIFS(Свод!$CI$6:$CI$455,Свод!$G$6:$G$455,Расчеты!BL$1)</f>
        <v>0</v>
      </c>
      <c r="BM111" s="94">
        <f>SUMIFS(Свод!$CI$6:$CI$455,Свод!$G$6:$G$455,Расчеты!BM$1)</f>
        <v>0</v>
      </c>
      <c r="BN111" s="94">
        <f>SUMIFS(Свод!$CI$6:$CI$455,Свод!$G$6:$G$455,Расчеты!BN$1)</f>
        <v>0</v>
      </c>
      <c r="BO111" s="94">
        <f>SUMIFS(Свод!$CI$6:$CI$455,Свод!$G$6:$G$455,Расчеты!BO$1)</f>
        <v>0</v>
      </c>
      <c r="BP111" s="94">
        <f>SUMIFS(Свод!$CI$6:$CI$455,Свод!$G$6:$G$455,Расчеты!BP$1)</f>
        <v>0</v>
      </c>
      <c r="BQ111" s="94">
        <f>SUMIFS(Свод!$CI$6:$CI$455,Свод!$G$6:$G$455,Расчеты!BQ$1)</f>
        <v>0</v>
      </c>
      <c r="BR111" s="94">
        <f>SUMIFS(Свод!$CI$6:$CI$455,Свод!$G$6:$G$455,Расчеты!BR$1)</f>
        <v>0</v>
      </c>
      <c r="BS111" s="94">
        <f>SUMIFS(Свод!$CI$6:$CI$455,Свод!$G$6:$G$455,Расчеты!BS$1)</f>
        <v>0</v>
      </c>
      <c r="BT111" s="94">
        <f>SUMIFS(Свод!$CI$6:$CI$455,Свод!$G$6:$G$455,Расчеты!BT$1)</f>
        <v>0</v>
      </c>
      <c r="BU111" s="94">
        <f>SUMIFS(Свод!$CI$6:$CI$455,Свод!$G$6:$G$455,Расчеты!BU$1)</f>
        <v>0</v>
      </c>
      <c r="BV111" s="94">
        <f>SUMIFS(Свод!$CI$6:$CI$455,Свод!$G$6:$G$455,Расчеты!BV$1)</f>
        <v>0</v>
      </c>
      <c r="BW111" s="94">
        <f>SUMIFS(Свод!$CI$6:$CI$455,Свод!$G$6:$G$455,Расчеты!BW$1)</f>
        <v>1</v>
      </c>
      <c r="BX111" s="94">
        <f>SUMIFS(Свод!$CI$6:$CI$455,Свод!$G$6:$G$455,Расчеты!BX$1)</f>
        <v>1</v>
      </c>
      <c r="BY111" s="94">
        <f>SUMIFS(Свод!$CI$6:$CI$455,Свод!$G$6:$G$455,Расчеты!BY$1)</f>
        <v>0</v>
      </c>
      <c r="BZ111" s="94">
        <f>SUMIFS(Свод!$CI$6:$CI$455,Свод!$G$6:$G$455,Расчеты!BZ$1)</f>
        <v>0</v>
      </c>
      <c r="CA111" s="94">
        <f>SUMIFS(Свод!$CI$6:$CI$455,Свод!$G$6:$G$455,Расчеты!CA$1)</f>
        <v>0</v>
      </c>
      <c r="CB111" s="94">
        <f>SUMIFS(Свод!$CI$6:$CI$455,Свод!$G$6:$G$455,Расчеты!CB$1)</f>
        <v>0</v>
      </c>
      <c r="CC111" s="94">
        <f>SUMIFS(Свод!$CI$6:$CI$455,Свод!$G$6:$G$455,Расчеты!CC$1)</f>
        <v>0</v>
      </c>
      <c r="CD111" s="94">
        <f>SUMIFS(Свод!$CI$6:$CI$455,Свод!$G$6:$G$455,Расчеты!CD$1)</f>
        <v>0</v>
      </c>
      <c r="CE111" s="94">
        <f>SUMIFS(Свод!$CI$6:$CI$455,Свод!$G$6:$G$455,Расчеты!CE$1)</f>
        <v>0</v>
      </c>
      <c r="CF111" s="94">
        <f>SUMIFS(Свод!$CI$6:$CI$455,Свод!$G$6:$G$455,Расчеты!CF$1)</f>
        <v>0</v>
      </c>
      <c r="CG111" s="94">
        <f>SUMIFS(Свод!$CI$6:$CI$455,Свод!$G$6:$G$455,Расчеты!CG$1)</f>
        <v>0</v>
      </c>
      <c r="CH111" s="94">
        <f>SUMIFS(Свод!$CI$6:$CI$455,Свод!$G$6:$G$455,Расчеты!CH$1)</f>
        <v>0</v>
      </c>
      <c r="CI111" s="94">
        <f>SUMIFS(Свод!$CI$6:$CI$455,Свод!$G$6:$G$455,Расчеты!CI$1)</f>
        <v>0</v>
      </c>
      <c r="CJ111" s="94">
        <f>SUMIFS(Свод!$CI$6:$CI$455,Свод!$G$6:$G$455,Расчеты!CJ$1)</f>
        <v>0</v>
      </c>
      <c r="CK111" s="94">
        <f>SUMIFS(Свод!$CI$6:$CI$455,Свод!$G$6:$G$455,Расчеты!CK$1)</f>
        <v>0</v>
      </c>
      <c r="CL111" s="94">
        <f>SUMIFS(Свод!$CI$6:$CI$455,Свод!$G$6:$G$455,Расчеты!CL$1)</f>
        <v>0</v>
      </c>
      <c r="CM111" s="94">
        <f>SUMIFS(Свод!$CI$6:$CI$455,Свод!$G$6:$G$455,Расчеты!CM$1)</f>
        <v>0</v>
      </c>
      <c r="CN111" s="94">
        <f>SUMIFS(Свод!$CI$6:$CI$455,Свод!$G$6:$G$455,Расчеты!CN$1)</f>
        <v>0</v>
      </c>
      <c r="CO111" s="94">
        <f>SUMIFS(Свод!$CI$6:$CI$455,Свод!$G$6:$G$455,Расчеты!CO$1)</f>
        <v>0</v>
      </c>
      <c r="CP111" s="94">
        <f>SUMIFS(Свод!$CI$6:$CI$455,Свод!$G$6:$G$455,Расчеты!CP$1)</f>
        <v>0</v>
      </c>
      <c r="CQ111" s="94">
        <f>SUMIFS(Свод!$CI$6:$CI$455,Свод!$G$6:$G$455,Расчеты!CQ$1)</f>
        <v>0</v>
      </c>
      <c r="CR111" s="94">
        <f>SUMIFS(Свод!$CI$6:$CI$455,Свод!$G$6:$G$455,Расчеты!CR$1)</f>
        <v>0</v>
      </c>
      <c r="CS111" s="94">
        <f>SUMIFS(Свод!$CI$6:$CI$455,Свод!$G$6:$G$455,Расчеты!CS$1)</f>
        <v>2</v>
      </c>
      <c r="CT111" s="94">
        <f>SUMIFS(Свод!$CI$6:$CI$455,Свод!$G$6:$G$455,Расчеты!CT$1)</f>
        <v>0</v>
      </c>
      <c r="CU111" s="94">
        <f>SUMIFS(Свод!$CI$6:$CI$455,Свод!$G$6:$G$455,Расчеты!CU$1)</f>
        <v>0</v>
      </c>
      <c r="CV111" s="94">
        <f>SUMIFS(Свод!$CI$6:$CI$455,Свод!$G$6:$G$455,Расчеты!CV$1)</f>
        <v>0</v>
      </c>
      <c r="CW111" s="94">
        <f>SUMIFS(Свод!$CI$6:$CI$455,Свод!$G$6:$G$455,Расчеты!CW$1)</f>
        <v>3</v>
      </c>
      <c r="CX111" s="94">
        <f>SUMIFS(Свод!$CI$6:$CI$455,Свод!$G$6:$G$455,Расчеты!CX$1)</f>
        <v>0</v>
      </c>
    </row>
    <row r="112" spans="1:102" ht="17" x14ac:dyDescent="0.2">
      <c r="A112" s="1238"/>
      <c r="B112" s="1237"/>
      <c r="C112" s="97"/>
      <c r="D112" s="97"/>
      <c r="E112" s="502"/>
      <c r="F112" s="1237"/>
      <c r="G112" s="513" t="s">
        <v>64</v>
      </c>
      <c r="H112" s="513"/>
      <c r="I112" s="97"/>
      <c r="J112" s="97"/>
      <c r="K112" s="97"/>
      <c r="L112" s="97" t="s">
        <v>4906</v>
      </c>
      <c r="M112" s="97" t="s">
        <v>4906</v>
      </c>
      <c r="N112" s="97" t="s">
        <v>4906</v>
      </c>
      <c r="O112" s="97" t="s">
        <v>4906</v>
      </c>
      <c r="P112" s="97" t="s">
        <v>4906</v>
      </c>
      <c r="Q112" s="94">
        <f>Q111/Q117</f>
        <v>2.2130673112934528E-3</v>
      </c>
    </row>
    <row r="113" spans="1:102" ht="51" customHeight="1" x14ac:dyDescent="0.2">
      <c r="A113" s="1238"/>
      <c r="B113" s="1237"/>
      <c r="C113" s="97"/>
      <c r="D113" s="97"/>
      <c r="E113" s="502"/>
      <c r="F113" s="1237" t="s">
        <v>169</v>
      </c>
      <c r="G113" s="513" t="s">
        <v>9022</v>
      </c>
      <c r="H113" s="513"/>
      <c r="I113" s="97"/>
      <c r="J113" s="97"/>
      <c r="K113" s="97"/>
      <c r="L113" s="97" t="s">
        <v>4906</v>
      </c>
      <c r="M113" s="97" t="s">
        <v>4906</v>
      </c>
      <c r="N113" s="97" t="s">
        <v>4906</v>
      </c>
      <c r="O113" s="97" t="s">
        <v>4906</v>
      </c>
      <c r="P113" s="97" t="s">
        <v>4906</v>
      </c>
      <c r="Q113" s="94">
        <f t="shared" si="26"/>
        <v>11</v>
      </c>
      <c r="R113" s="94">
        <f>SUMIFS(Свод!$CJ$6:$CJ$455,Свод!$G$6:$G$455,Расчеты!R$1)</f>
        <v>0</v>
      </c>
      <c r="S113" s="94">
        <f>SUMIFS(Свод!$CJ$6:$CJ$455,Свод!$G$6:$G$455,Расчеты!S$1)</f>
        <v>0</v>
      </c>
      <c r="T113" s="94">
        <f>SUMIFS(Свод!$CJ$6:$CJ$455,Свод!$G$6:$G$455,Расчеты!T$1)</f>
        <v>0</v>
      </c>
      <c r="U113" s="94">
        <f>SUMIFS(Свод!$CJ$6:$CJ$455,Свод!$G$6:$G$455,Расчеты!U$1)</f>
        <v>0</v>
      </c>
      <c r="V113" s="94">
        <f>SUMIFS(Свод!$CJ$6:$CJ$455,Свод!$G$6:$G$455,Расчеты!V$1)</f>
        <v>0</v>
      </c>
      <c r="W113" s="94">
        <f>SUMIFS(Свод!$CJ$6:$CJ$455,Свод!$G$6:$G$455,Расчеты!W$1)</f>
        <v>0</v>
      </c>
      <c r="X113" s="94">
        <f>SUMIFS(Свод!$CJ$6:$CJ$455,Свод!$G$6:$G$455,Расчеты!X$1)</f>
        <v>0</v>
      </c>
      <c r="Y113" s="94">
        <f>SUMIFS(Свод!$CJ$6:$CJ$455,Свод!$G$6:$G$455,Расчеты!Y$1)</f>
        <v>1</v>
      </c>
      <c r="Z113" s="94">
        <f>SUMIFS(Свод!$CJ$6:$CJ$455,Свод!$G$6:$G$455,Расчеты!Z$1)</f>
        <v>0</v>
      </c>
      <c r="AA113" s="94">
        <f>SUMIFS(Свод!$CJ$6:$CJ$455,Свод!$G$6:$G$455,Расчеты!AA$1)</f>
        <v>0</v>
      </c>
      <c r="AB113" s="94">
        <f>SUMIFS(Свод!$CJ$6:$CJ$455,Свод!$G$6:$G$455,Расчеты!AB$1)</f>
        <v>0</v>
      </c>
      <c r="AC113" s="94">
        <f>SUMIFS(Свод!$CJ$6:$CJ$455,Свод!$G$6:$G$455,Расчеты!AC$1)</f>
        <v>0</v>
      </c>
      <c r="AD113" s="94">
        <f>SUMIFS(Свод!$CJ$6:$CJ$455,Свод!$G$6:$G$455,Расчеты!AD$1)</f>
        <v>0</v>
      </c>
      <c r="AE113" s="94">
        <f>SUMIFS(Свод!$CJ$6:$CJ$455,Свод!$G$6:$G$455,Расчеты!AE$1)</f>
        <v>0</v>
      </c>
      <c r="AF113" s="94">
        <f>SUMIFS(Свод!$CJ$6:$CJ$455,Свод!$G$6:$G$455,Расчеты!AF$1)</f>
        <v>0</v>
      </c>
      <c r="AG113" s="94">
        <f>SUMIFS(Свод!$CJ$6:$CJ$455,Свод!$G$6:$G$455,Расчеты!AG$1)</f>
        <v>0</v>
      </c>
      <c r="AH113" s="94">
        <f>SUMIFS(Свод!$CJ$6:$CJ$455,Свод!$G$6:$G$455,Расчеты!AH$1)</f>
        <v>2</v>
      </c>
      <c r="AI113" s="94">
        <f>SUMIFS(Свод!$CJ$6:$CJ$455,Свод!$G$6:$G$455,Расчеты!AI$1)</f>
        <v>0</v>
      </c>
      <c r="AJ113" s="94">
        <f>SUMIFS(Свод!$CJ$6:$CJ$455,Свод!$G$6:$G$455,Расчеты!AJ$1)</f>
        <v>0</v>
      </c>
      <c r="AK113" s="94">
        <f>SUMIFS(Свод!$CJ$6:$CJ$455,Свод!$G$6:$G$455,Расчеты!AK$1)</f>
        <v>0</v>
      </c>
      <c r="AL113" s="94">
        <f>SUMIFS(Свод!$CJ$6:$CJ$455,Свод!$G$6:$G$455,Расчеты!AL$1)</f>
        <v>0</v>
      </c>
      <c r="AM113" s="94">
        <f>SUMIFS(Свод!$CJ$6:$CJ$455,Свод!$G$6:$G$455,Расчеты!AM$1)</f>
        <v>0</v>
      </c>
      <c r="AN113" s="94">
        <f>SUMIFS(Свод!$CJ$6:$CJ$455,Свод!$G$6:$G$455,Расчеты!AN$1)</f>
        <v>0</v>
      </c>
      <c r="AO113" s="94">
        <f>SUMIFS(Свод!$CJ$6:$CJ$455,Свод!$G$6:$G$455,Расчеты!AO$1)</f>
        <v>0</v>
      </c>
      <c r="AP113" s="94">
        <f>SUMIFS(Свод!$CJ$6:$CJ$455,Свод!$G$6:$G$455,Расчеты!AP$1)</f>
        <v>0</v>
      </c>
      <c r="AQ113" s="94">
        <f>SUMIFS(Свод!$CJ$6:$CJ$455,Свод!$G$6:$G$455,Расчеты!AQ$1)</f>
        <v>0</v>
      </c>
      <c r="AR113" s="94">
        <f>SUMIFS(Свод!$CJ$6:$CJ$455,Свод!$G$6:$G$455,Расчеты!AR$1)</f>
        <v>0</v>
      </c>
      <c r="AS113" s="94">
        <f>SUMIFS(Свод!$CJ$6:$CJ$455,Свод!$G$6:$G$455,Расчеты!AS$1)</f>
        <v>0</v>
      </c>
      <c r="AT113" s="94">
        <f>SUMIFS(Свод!$CJ$6:$CJ$455,Свод!$G$6:$G$455,Расчеты!AT$1)</f>
        <v>0</v>
      </c>
      <c r="AU113" s="94">
        <f>SUMIFS(Свод!$CJ$6:$CJ$455,Свод!$G$6:$G$455,Расчеты!AU$1)</f>
        <v>1</v>
      </c>
      <c r="AV113" s="94">
        <f>SUMIFS(Свод!$CJ$6:$CJ$455,Свод!$G$6:$G$455,Расчеты!AV$1)</f>
        <v>0</v>
      </c>
      <c r="AW113" s="94">
        <f>SUMIFS(Свод!$CJ$6:$CJ$455,Свод!$G$6:$G$455,Расчеты!AW$1)</f>
        <v>0</v>
      </c>
      <c r="AX113" s="94">
        <f>SUMIFS(Свод!$CJ$6:$CJ$455,Свод!$G$6:$G$455,Расчеты!AX$1)</f>
        <v>0</v>
      </c>
      <c r="AY113" s="94">
        <f>SUMIFS(Свод!$CJ$6:$CJ$455,Свод!$G$6:$G$455,Расчеты!AY$1)</f>
        <v>0</v>
      </c>
      <c r="AZ113" s="94">
        <f>SUMIFS(Свод!$CJ$6:$CJ$455,Свод!$G$6:$G$455,Расчеты!AZ$1)</f>
        <v>0</v>
      </c>
      <c r="BA113" s="94">
        <f>SUMIFS(Свод!$CJ$6:$CJ$455,Свод!$G$6:$G$455,Расчеты!BA$1)</f>
        <v>0</v>
      </c>
      <c r="BB113" s="94">
        <f>SUMIFS(Свод!$CJ$6:$CJ$455,Свод!$G$6:$G$455,Расчеты!BB$1)</f>
        <v>0</v>
      </c>
      <c r="BC113" s="94">
        <f>SUMIFS(Свод!$CJ$6:$CJ$455,Свод!$G$6:$G$455,Расчеты!BC$1)</f>
        <v>0</v>
      </c>
      <c r="BD113" s="94">
        <f>SUMIFS(Свод!$CJ$6:$CJ$455,Свод!$G$6:$G$455,Расчеты!BD$1)</f>
        <v>0</v>
      </c>
      <c r="BE113" s="94">
        <f>SUMIFS(Свод!$CJ$6:$CJ$455,Свод!$G$6:$G$455,Расчеты!BE$1)</f>
        <v>0</v>
      </c>
      <c r="BF113" s="94">
        <f>SUMIFS(Свод!$CJ$6:$CJ$455,Свод!$G$6:$G$455,Расчеты!BF$1)</f>
        <v>0</v>
      </c>
      <c r="BG113" s="94">
        <f>SUMIFS(Свод!$CJ$6:$CJ$455,Свод!$G$6:$G$455,Расчеты!BG$1)</f>
        <v>0</v>
      </c>
      <c r="BH113" s="94">
        <f>SUMIFS(Свод!$CJ$6:$CJ$455,Свод!$G$6:$G$455,Расчеты!BH$1)</f>
        <v>0</v>
      </c>
      <c r="BI113" s="94">
        <f>SUMIFS(Свод!$CJ$6:$CJ$455,Свод!$G$6:$G$455,Расчеты!BI$1)</f>
        <v>0</v>
      </c>
      <c r="BJ113" s="94">
        <f>SUMIFS(Свод!$CJ$6:$CJ$455,Свод!$G$6:$G$455,Расчеты!BJ$1)</f>
        <v>0</v>
      </c>
      <c r="BK113" s="94">
        <f>SUMIFS(Свод!$CJ$6:$CJ$455,Свод!$G$6:$G$455,Расчеты!BK$1)</f>
        <v>1</v>
      </c>
      <c r="BL113" s="94">
        <f>SUMIFS(Свод!$CJ$6:$CJ$455,Свод!$G$6:$G$455,Расчеты!BL$1)</f>
        <v>0</v>
      </c>
      <c r="BM113" s="94">
        <f>SUMIFS(Свод!$CJ$6:$CJ$455,Свод!$G$6:$G$455,Расчеты!BM$1)</f>
        <v>0</v>
      </c>
      <c r="BN113" s="94">
        <f>SUMIFS(Свод!$CJ$6:$CJ$455,Свод!$G$6:$G$455,Расчеты!BN$1)</f>
        <v>0</v>
      </c>
      <c r="BO113" s="94">
        <f>SUMIFS(Свод!$CJ$6:$CJ$455,Свод!$G$6:$G$455,Расчеты!BO$1)</f>
        <v>0</v>
      </c>
      <c r="BP113" s="94">
        <f>SUMIFS(Свод!$CJ$6:$CJ$455,Свод!$G$6:$G$455,Расчеты!BP$1)</f>
        <v>0</v>
      </c>
      <c r="BQ113" s="94">
        <f>SUMIFS(Свод!$CJ$6:$CJ$455,Свод!$G$6:$G$455,Расчеты!BQ$1)</f>
        <v>0</v>
      </c>
      <c r="BR113" s="94">
        <f>SUMIFS(Свод!$CJ$6:$CJ$455,Свод!$G$6:$G$455,Расчеты!BR$1)</f>
        <v>0</v>
      </c>
      <c r="BS113" s="94">
        <f>SUMIFS(Свод!$CJ$6:$CJ$455,Свод!$G$6:$G$455,Расчеты!BS$1)</f>
        <v>0</v>
      </c>
      <c r="BT113" s="94">
        <f>SUMIFS(Свод!$CJ$6:$CJ$455,Свод!$G$6:$G$455,Расчеты!BT$1)</f>
        <v>1</v>
      </c>
      <c r="BU113" s="94">
        <f>SUMIFS(Свод!$CJ$6:$CJ$455,Свод!$G$6:$G$455,Расчеты!BU$1)</f>
        <v>0</v>
      </c>
      <c r="BV113" s="94">
        <f>SUMIFS(Свод!$CJ$6:$CJ$455,Свод!$G$6:$G$455,Расчеты!BV$1)</f>
        <v>0</v>
      </c>
      <c r="BW113" s="94">
        <f>SUMIFS(Свод!$CJ$6:$CJ$455,Свод!$G$6:$G$455,Расчеты!BW$1)</f>
        <v>2</v>
      </c>
      <c r="BX113" s="94">
        <f>SUMIFS(Свод!$CJ$6:$CJ$455,Свод!$G$6:$G$455,Расчеты!BX$1)</f>
        <v>0</v>
      </c>
      <c r="BY113" s="94">
        <f>SUMIFS(Свод!$CJ$6:$CJ$455,Свод!$G$6:$G$455,Расчеты!BY$1)</f>
        <v>0</v>
      </c>
      <c r="BZ113" s="94">
        <f>SUMIFS(Свод!$CJ$6:$CJ$455,Свод!$G$6:$G$455,Расчеты!BZ$1)</f>
        <v>0</v>
      </c>
      <c r="CA113" s="94">
        <f>SUMIFS(Свод!$CJ$6:$CJ$455,Свод!$G$6:$G$455,Расчеты!CA$1)</f>
        <v>0</v>
      </c>
      <c r="CB113" s="94">
        <f>SUMIFS(Свод!$CJ$6:$CJ$455,Свод!$G$6:$G$455,Расчеты!CB$1)</f>
        <v>0</v>
      </c>
      <c r="CC113" s="94">
        <f>SUMIFS(Свод!$CJ$6:$CJ$455,Свод!$G$6:$G$455,Расчеты!CC$1)</f>
        <v>0</v>
      </c>
      <c r="CD113" s="94">
        <f>SUMIFS(Свод!$CJ$6:$CJ$455,Свод!$G$6:$G$455,Расчеты!CD$1)</f>
        <v>0</v>
      </c>
      <c r="CE113" s="94">
        <f>SUMIFS(Свод!$CJ$6:$CJ$455,Свод!$G$6:$G$455,Расчеты!CE$1)</f>
        <v>0</v>
      </c>
      <c r="CF113" s="94">
        <f>SUMIFS(Свод!$CJ$6:$CJ$455,Свод!$G$6:$G$455,Расчеты!CF$1)</f>
        <v>0</v>
      </c>
      <c r="CG113" s="94">
        <f>SUMIFS(Свод!$CJ$6:$CJ$455,Свод!$G$6:$G$455,Расчеты!CG$1)</f>
        <v>0</v>
      </c>
      <c r="CH113" s="94">
        <f>SUMIFS(Свод!$CJ$6:$CJ$455,Свод!$G$6:$G$455,Расчеты!CH$1)</f>
        <v>0</v>
      </c>
      <c r="CI113" s="94">
        <f>SUMIFS(Свод!$CJ$6:$CJ$455,Свод!$G$6:$G$455,Расчеты!CI$1)</f>
        <v>0</v>
      </c>
      <c r="CJ113" s="94">
        <f>SUMIFS(Свод!$CJ$6:$CJ$455,Свод!$G$6:$G$455,Расчеты!CJ$1)</f>
        <v>0</v>
      </c>
      <c r="CK113" s="94">
        <f>SUMIFS(Свод!$CJ$6:$CJ$455,Свод!$G$6:$G$455,Расчеты!CK$1)</f>
        <v>0</v>
      </c>
      <c r="CL113" s="94">
        <f>SUMIFS(Свод!$CJ$6:$CJ$455,Свод!$G$6:$G$455,Расчеты!CL$1)</f>
        <v>0</v>
      </c>
      <c r="CM113" s="94">
        <f>SUMIFS(Свод!$CJ$6:$CJ$455,Свод!$G$6:$G$455,Расчеты!CM$1)</f>
        <v>1</v>
      </c>
      <c r="CN113" s="94">
        <f>SUMIFS(Свод!$CJ$6:$CJ$455,Свод!$G$6:$G$455,Расчеты!CN$1)</f>
        <v>0</v>
      </c>
      <c r="CO113" s="94">
        <f>SUMIFS(Свод!$CJ$6:$CJ$455,Свод!$G$6:$G$455,Расчеты!CO$1)</f>
        <v>0</v>
      </c>
      <c r="CP113" s="94">
        <f>SUMIFS(Свод!$CJ$6:$CJ$455,Свод!$G$6:$G$455,Расчеты!CP$1)</f>
        <v>0</v>
      </c>
      <c r="CQ113" s="94">
        <f>SUMIFS(Свод!$CJ$6:$CJ$455,Свод!$G$6:$G$455,Расчеты!CQ$1)</f>
        <v>0</v>
      </c>
      <c r="CR113" s="94">
        <f>SUMIFS(Свод!$CJ$6:$CJ$455,Свод!$G$6:$G$455,Расчеты!CR$1)</f>
        <v>1</v>
      </c>
      <c r="CS113" s="94">
        <f>SUMIFS(Свод!$CJ$6:$CJ$455,Свод!$G$6:$G$455,Расчеты!CS$1)</f>
        <v>0</v>
      </c>
      <c r="CT113" s="94">
        <f>SUMIFS(Свод!$CJ$6:$CJ$455,Свод!$G$6:$G$455,Расчеты!CT$1)</f>
        <v>0</v>
      </c>
      <c r="CU113" s="94">
        <f>SUMIFS(Свод!$CJ$6:$CJ$455,Свод!$G$6:$G$455,Расчеты!CU$1)</f>
        <v>0</v>
      </c>
      <c r="CV113" s="94">
        <f>SUMIFS(Свод!$CJ$6:$CJ$455,Свод!$G$6:$G$455,Расчеты!CV$1)</f>
        <v>0</v>
      </c>
      <c r="CW113" s="94">
        <f>SUMIFS(Свод!$CJ$6:$CJ$455,Свод!$G$6:$G$455,Расчеты!CW$1)</f>
        <v>1</v>
      </c>
      <c r="CX113" s="94">
        <f>SUMIFS(Свод!$CJ$6:$CJ$455,Свод!$G$6:$G$455,Расчеты!CX$1)</f>
        <v>0</v>
      </c>
    </row>
    <row r="114" spans="1:102" ht="17" x14ac:dyDescent="0.2">
      <c r="A114" s="1238"/>
      <c r="B114" s="1237"/>
      <c r="C114" s="97"/>
      <c r="D114" s="97"/>
      <c r="E114" s="502"/>
      <c r="F114" s="1237"/>
      <c r="G114" s="513" t="s">
        <v>64</v>
      </c>
      <c r="H114" s="513"/>
      <c r="I114" s="97"/>
      <c r="J114" s="97"/>
      <c r="K114" s="97"/>
      <c r="L114" s="97" t="s">
        <v>4906</v>
      </c>
      <c r="M114" s="97" t="s">
        <v>4906</v>
      </c>
      <c r="N114" s="97" t="s">
        <v>4906</v>
      </c>
      <c r="O114" s="97" t="s">
        <v>4906</v>
      </c>
      <c r="P114" s="97" t="s">
        <v>4906</v>
      </c>
      <c r="Q114" s="94">
        <f>Q113/Q117</f>
        <v>3.7451908344966121E-4</v>
      </c>
    </row>
    <row r="115" spans="1:102" ht="34" x14ac:dyDescent="0.2">
      <c r="A115" s="1238"/>
      <c r="B115" s="1237"/>
      <c r="C115" s="97" t="s">
        <v>8886</v>
      </c>
      <c r="D115" s="97">
        <v>84</v>
      </c>
      <c r="E115" s="502" t="s">
        <v>9076</v>
      </c>
      <c r="F115" s="1237" t="s">
        <v>9077</v>
      </c>
      <c r="G115" s="513" t="s">
        <v>9022</v>
      </c>
      <c r="H115" s="513"/>
      <c r="I115" s="97"/>
      <c r="J115" s="97"/>
      <c r="K115" s="97"/>
      <c r="L115" s="97">
        <v>1268</v>
      </c>
      <c r="M115" s="97">
        <v>224</v>
      </c>
      <c r="N115" s="99">
        <v>732</v>
      </c>
      <c r="O115" s="94">
        <v>828</v>
      </c>
      <c r="P115" s="94">
        <v>684</v>
      </c>
      <c r="Q115" s="94">
        <f t="shared" si="26"/>
        <v>541</v>
      </c>
      <c r="R115" s="94">
        <f>SUMIFS(Свод!$CK$6:$CK$455,Свод!$G$6:$G$455,Расчеты!R$1)</f>
        <v>1</v>
      </c>
      <c r="S115" s="94">
        <f>SUMIFS(Свод!$CK$6:$CK$455,Свод!$G$6:$G$455,Расчеты!S$1)</f>
        <v>0</v>
      </c>
      <c r="T115" s="94">
        <f>SUMIFS(Свод!$CK$6:$CK$455,Свод!$G$6:$G$455,Расчеты!T$1)</f>
        <v>0</v>
      </c>
      <c r="U115" s="94">
        <f>SUMIFS(Свод!$CK$6:$CK$455,Свод!$G$6:$G$455,Расчеты!U$1)</f>
        <v>0</v>
      </c>
      <c r="V115" s="94">
        <f>SUMIFS(Свод!$CK$6:$CK$455,Свод!$G$6:$G$455,Расчеты!V$1)</f>
        <v>8</v>
      </c>
      <c r="W115" s="94">
        <f>SUMIFS(Свод!$CK$6:$CK$455,Свод!$G$6:$G$455,Расчеты!W$1)</f>
        <v>0</v>
      </c>
      <c r="X115" s="94">
        <f>SUMIFS(Свод!$CK$6:$CK$455,Свод!$G$6:$G$455,Расчеты!X$1)</f>
        <v>10</v>
      </c>
      <c r="Y115" s="94">
        <f>SUMIFS(Свод!$CK$6:$CK$455,Свод!$G$6:$G$455,Расчеты!Y$1)</f>
        <v>29</v>
      </c>
      <c r="Z115" s="94">
        <f>SUMIFS(Свод!$CK$6:$CK$455,Свод!$G$6:$G$455,Расчеты!Z$1)</f>
        <v>2</v>
      </c>
      <c r="AA115" s="94">
        <f>SUMIFS(Свод!$CK$6:$CK$455,Свод!$G$6:$G$455,Расчеты!AA$1)</f>
        <v>0</v>
      </c>
      <c r="AB115" s="94">
        <f>SUMIFS(Свод!$CK$6:$CK$455,Свод!$G$6:$G$455,Расчеты!AB$1)</f>
        <v>7</v>
      </c>
      <c r="AC115" s="94">
        <f>SUMIFS(Свод!$CK$6:$CK$455,Свод!$G$6:$G$455,Расчеты!AC$1)</f>
        <v>0</v>
      </c>
      <c r="AD115" s="94">
        <f>SUMIFS(Свод!$CK$6:$CK$455,Свод!$G$6:$G$455,Расчеты!AD$1)</f>
        <v>0</v>
      </c>
      <c r="AE115" s="94">
        <f>SUMIFS(Свод!$CK$6:$CK$455,Свод!$G$6:$G$455,Расчеты!AE$1)</f>
        <v>29</v>
      </c>
      <c r="AF115" s="94">
        <f>SUMIFS(Свод!$CK$6:$CK$455,Свод!$G$6:$G$455,Расчеты!AF$1)</f>
        <v>9</v>
      </c>
      <c r="AG115" s="94">
        <f>SUMIFS(Свод!$CK$6:$CK$455,Свод!$G$6:$G$455,Расчеты!AG$1)</f>
        <v>0</v>
      </c>
      <c r="AH115" s="94">
        <f>SUMIFS(Свод!$CK$6:$CK$455,Свод!$G$6:$G$455,Расчеты!AH$1)</f>
        <v>0</v>
      </c>
      <c r="AI115" s="94">
        <f>SUMIFS(Свод!$CK$6:$CK$455,Свод!$G$6:$G$455,Расчеты!AI$1)</f>
        <v>0</v>
      </c>
      <c r="AJ115" s="94">
        <f>SUMIFS(Свод!$CK$6:$CK$455,Свод!$G$6:$G$455,Расчеты!AJ$1)</f>
        <v>0</v>
      </c>
      <c r="AK115" s="94">
        <f>SUMIFS(Свод!$CK$6:$CK$455,Свод!$G$6:$G$455,Расчеты!AK$1)</f>
        <v>0</v>
      </c>
      <c r="AL115" s="94">
        <f>SUMIFS(Свод!$CK$6:$CK$455,Свод!$G$6:$G$455,Расчеты!AL$1)</f>
        <v>0</v>
      </c>
      <c r="AM115" s="94">
        <f>SUMIFS(Свод!$CK$6:$CK$455,Свод!$G$6:$G$455,Расчеты!AM$1)</f>
        <v>11</v>
      </c>
      <c r="AN115" s="94">
        <f>SUMIFS(Свод!$CK$6:$CK$455,Свод!$G$6:$G$455,Расчеты!AN$1)</f>
        <v>0</v>
      </c>
      <c r="AO115" s="94">
        <f>SUMIFS(Свод!$CK$6:$CK$455,Свод!$G$6:$G$455,Расчеты!AO$1)</f>
        <v>0</v>
      </c>
      <c r="AP115" s="94">
        <f>SUMIFS(Свод!$CK$6:$CK$455,Свод!$G$6:$G$455,Расчеты!AP$1)</f>
        <v>0</v>
      </c>
      <c r="AQ115" s="94">
        <f>SUMIFS(Свод!$CK$6:$CK$455,Свод!$G$6:$G$455,Расчеты!AQ$1)</f>
        <v>0</v>
      </c>
      <c r="AR115" s="94">
        <f>SUMIFS(Свод!$CK$6:$CK$455,Свод!$G$6:$G$455,Расчеты!AR$1)</f>
        <v>3</v>
      </c>
      <c r="AS115" s="94">
        <f>SUMIFS(Свод!$CK$6:$CK$455,Свод!$G$6:$G$455,Расчеты!AS$1)</f>
        <v>0</v>
      </c>
      <c r="AT115" s="94">
        <f>SUMIFS(Свод!$CK$6:$CK$455,Свод!$G$6:$G$455,Расчеты!AT$1)</f>
        <v>5</v>
      </c>
      <c r="AU115" s="94">
        <f>SUMIFS(Свод!$CK$6:$CK$455,Свод!$G$6:$G$455,Расчеты!AU$1)</f>
        <v>4</v>
      </c>
      <c r="AV115" s="94">
        <f>SUMIFS(Свод!$CK$6:$CK$455,Свод!$G$6:$G$455,Расчеты!AV$1)</f>
        <v>0</v>
      </c>
      <c r="AW115" s="94">
        <f>SUMIFS(Свод!$CK$6:$CK$455,Свод!$G$6:$G$455,Расчеты!AW$1)</f>
        <v>23</v>
      </c>
      <c r="AX115" s="94">
        <f>SUMIFS(Свод!$CK$6:$CK$455,Свод!$G$6:$G$455,Расчеты!AX$1)</f>
        <v>1</v>
      </c>
      <c r="AY115" s="94">
        <f>SUMIFS(Свод!$CK$6:$CK$455,Свод!$G$6:$G$455,Расчеты!AY$1)</f>
        <v>0</v>
      </c>
      <c r="AZ115" s="94">
        <f>SUMIFS(Свод!$CK$6:$CK$455,Свод!$G$6:$G$455,Расчеты!AZ$1)</f>
        <v>3</v>
      </c>
      <c r="BA115" s="94">
        <f>SUMIFS(Свод!$CK$6:$CK$455,Свод!$G$6:$G$455,Расчеты!BA$1)</f>
        <v>0</v>
      </c>
      <c r="BB115" s="94">
        <f>SUMIFS(Свод!$CK$6:$CK$455,Свод!$G$6:$G$455,Расчеты!BB$1)</f>
        <v>14</v>
      </c>
      <c r="BC115" s="94">
        <f>SUMIFS(Свод!$CK$6:$CK$455,Свод!$G$6:$G$455,Расчеты!BC$1)</f>
        <v>0</v>
      </c>
      <c r="BD115" s="94">
        <f>SUMIFS(Свод!$CK$6:$CK$455,Свод!$G$6:$G$455,Расчеты!BD$1)</f>
        <v>0</v>
      </c>
      <c r="BE115" s="94">
        <f>SUMIFS(Свод!$CK$6:$CK$455,Свод!$G$6:$G$455,Расчеты!BE$1)</f>
        <v>3</v>
      </c>
      <c r="BF115" s="94">
        <f>SUMIFS(Свод!$CK$6:$CK$455,Свод!$G$6:$G$455,Расчеты!BF$1)</f>
        <v>0</v>
      </c>
      <c r="BG115" s="94">
        <f>SUMIFS(Свод!$CK$6:$CK$455,Свод!$G$6:$G$455,Расчеты!BG$1)</f>
        <v>0</v>
      </c>
      <c r="BH115" s="94">
        <f>SUMIFS(Свод!$CK$6:$CK$455,Свод!$G$6:$G$455,Расчеты!BH$1)</f>
        <v>0</v>
      </c>
      <c r="BI115" s="94">
        <f>SUMIFS(Свод!$CK$6:$CK$455,Свод!$G$6:$G$455,Расчеты!BI$1)</f>
        <v>17</v>
      </c>
      <c r="BJ115" s="94">
        <f>SUMIFS(Свод!$CK$6:$CK$455,Свод!$G$6:$G$455,Расчеты!BJ$1)</f>
        <v>0</v>
      </c>
      <c r="BK115" s="94">
        <f>SUMIFS(Свод!$CK$6:$CK$455,Свод!$G$6:$G$455,Расчеты!BK$1)</f>
        <v>4</v>
      </c>
      <c r="BL115" s="94">
        <f>SUMIFS(Свод!$CK$6:$CK$455,Свод!$G$6:$G$455,Расчеты!BL$1)</f>
        <v>20</v>
      </c>
      <c r="BM115" s="94">
        <f>SUMIFS(Свод!$CK$6:$CK$455,Свод!$G$6:$G$455,Расчеты!BM$1)</f>
        <v>2</v>
      </c>
      <c r="BN115" s="94">
        <f>SUMIFS(Свод!$CK$6:$CK$455,Свод!$G$6:$G$455,Расчеты!BN$1)</f>
        <v>0</v>
      </c>
      <c r="BO115" s="94">
        <f>SUMIFS(Свод!$CK$6:$CK$455,Свод!$G$6:$G$455,Расчеты!BO$1)</f>
        <v>0</v>
      </c>
      <c r="BP115" s="94">
        <f>SUMIFS(Свод!$CK$6:$CK$455,Свод!$G$6:$G$455,Расчеты!BP$1)</f>
        <v>0</v>
      </c>
      <c r="BQ115" s="94">
        <f>SUMIFS(Свод!$CK$6:$CK$455,Свод!$G$6:$G$455,Расчеты!BQ$1)</f>
        <v>0</v>
      </c>
      <c r="BR115" s="94">
        <f>SUMIFS(Свод!$CK$6:$CK$455,Свод!$G$6:$G$455,Расчеты!BR$1)</f>
        <v>4</v>
      </c>
      <c r="BS115" s="94">
        <f>SUMIFS(Свод!$CK$6:$CK$455,Свод!$G$6:$G$455,Расчеты!BS$1)</f>
        <v>0</v>
      </c>
      <c r="BT115" s="94">
        <f>SUMIFS(Свод!$CK$6:$CK$455,Свод!$G$6:$G$455,Расчеты!BT$1)</f>
        <v>0</v>
      </c>
      <c r="BU115" s="94">
        <f>SUMIFS(Свод!$CK$6:$CK$455,Свод!$G$6:$G$455,Расчеты!BU$1)</f>
        <v>0</v>
      </c>
      <c r="BV115" s="94">
        <f>SUMIFS(Свод!$CK$6:$CK$455,Свод!$G$6:$G$455,Расчеты!BV$1)</f>
        <v>1</v>
      </c>
      <c r="BW115" s="94">
        <f>SUMIFS(Свод!$CK$6:$CK$455,Свод!$G$6:$G$455,Расчеты!BW$1)</f>
        <v>6</v>
      </c>
      <c r="BX115" s="94">
        <f>SUMIFS(Свод!$CK$6:$CK$455,Свод!$G$6:$G$455,Расчеты!BX$1)</f>
        <v>0</v>
      </c>
      <c r="BY115" s="94">
        <f>SUMIFS(Свод!$CK$6:$CK$455,Свод!$G$6:$G$455,Расчеты!BY$1)</f>
        <v>0</v>
      </c>
      <c r="BZ115" s="94">
        <f>SUMIFS(Свод!$CK$6:$CK$455,Свод!$G$6:$G$455,Расчеты!BZ$1)</f>
        <v>54</v>
      </c>
      <c r="CA115" s="94">
        <f>SUMIFS(Свод!$CK$6:$CK$455,Свод!$G$6:$G$455,Расчеты!CA$1)</f>
        <v>1</v>
      </c>
      <c r="CB115" s="94">
        <f>SUMIFS(Свод!$CK$6:$CK$455,Свод!$G$6:$G$455,Расчеты!CB$1)</f>
        <v>23</v>
      </c>
      <c r="CC115" s="94">
        <f>SUMIFS(Свод!$CK$6:$CK$455,Свод!$G$6:$G$455,Расчеты!CC$1)</f>
        <v>0</v>
      </c>
      <c r="CD115" s="94">
        <f>SUMIFS(Свод!$CK$6:$CK$455,Свод!$G$6:$G$455,Расчеты!CD$1)</f>
        <v>0</v>
      </c>
      <c r="CE115" s="94">
        <f>SUMIFS(Свод!$CK$6:$CK$455,Свод!$G$6:$G$455,Расчеты!CE$1)</f>
        <v>0</v>
      </c>
      <c r="CF115" s="94">
        <f>SUMIFS(Свод!$CK$6:$CK$455,Свод!$G$6:$G$455,Расчеты!CF$1)</f>
        <v>1</v>
      </c>
      <c r="CG115" s="94">
        <f>SUMIFS(Свод!$CK$6:$CK$455,Свод!$G$6:$G$455,Расчеты!CG$1)</f>
        <v>139</v>
      </c>
      <c r="CH115" s="94">
        <f>SUMIFS(Свод!$CK$6:$CK$455,Свод!$G$6:$G$455,Расчеты!CH$1)</f>
        <v>0</v>
      </c>
      <c r="CI115" s="94">
        <f>SUMIFS(Свод!$CK$6:$CK$455,Свод!$G$6:$G$455,Расчеты!CI$1)</f>
        <v>0</v>
      </c>
      <c r="CJ115" s="94">
        <f>SUMIFS(Свод!$CK$6:$CK$455,Свод!$G$6:$G$455,Расчеты!CJ$1)</f>
        <v>1</v>
      </c>
      <c r="CK115" s="94">
        <f>SUMIFS(Свод!$CK$6:$CK$455,Свод!$G$6:$G$455,Расчеты!CK$1)</f>
        <v>0</v>
      </c>
      <c r="CL115" s="94">
        <f>SUMIFS(Свод!$CK$6:$CK$455,Свод!$G$6:$G$455,Расчеты!CL$1)</f>
        <v>0</v>
      </c>
      <c r="CM115" s="94">
        <f>SUMIFS(Свод!$CK$6:$CK$455,Свод!$G$6:$G$455,Расчеты!CM$1)</f>
        <v>1</v>
      </c>
      <c r="CN115" s="94">
        <f>SUMIFS(Свод!$CK$6:$CK$455,Свод!$G$6:$G$455,Расчеты!CN$1)</f>
        <v>2</v>
      </c>
      <c r="CO115" s="94">
        <f>SUMIFS(Свод!$CK$6:$CK$455,Свод!$G$6:$G$455,Расчеты!CO$1)</f>
        <v>2</v>
      </c>
      <c r="CP115" s="94">
        <f>SUMIFS(Свод!$CK$6:$CK$455,Свод!$G$6:$G$455,Расчеты!CP$1)</f>
        <v>0</v>
      </c>
      <c r="CQ115" s="94">
        <f>SUMIFS(Свод!$CK$6:$CK$455,Свод!$G$6:$G$455,Расчеты!CQ$1)</f>
        <v>0</v>
      </c>
      <c r="CR115" s="94">
        <f>SUMIFS(Свод!$CK$6:$CK$455,Свод!$G$6:$G$455,Расчеты!CR$1)</f>
        <v>5</v>
      </c>
      <c r="CS115" s="94">
        <f>SUMIFS(Свод!$CK$6:$CK$455,Свод!$G$6:$G$455,Расчеты!CS$1)</f>
        <v>0</v>
      </c>
      <c r="CT115" s="94">
        <f>SUMIFS(Свод!$CK$6:$CK$455,Свод!$G$6:$G$455,Расчеты!CT$1)</f>
        <v>0</v>
      </c>
      <c r="CU115" s="94">
        <f>SUMIFS(Свод!$CK$6:$CK$455,Свод!$G$6:$G$455,Расчеты!CU$1)</f>
        <v>84</v>
      </c>
      <c r="CV115" s="94">
        <f>SUMIFS(Свод!$CK$6:$CK$455,Свод!$G$6:$G$455,Расчеты!CV$1)</f>
        <v>5</v>
      </c>
      <c r="CW115" s="94">
        <f>SUMIFS(Свод!$CK$6:$CK$455,Свод!$G$6:$G$455,Расчеты!CW$1)</f>
        <v>7</v>
      </c>
      <c r="CX115" s="94">
        <f>SUMIFS(Свод!$CK$6:$CK$455,Свод!$G$6:$G$455,Расчеты!CX$1)</f>
        <v>0</v>
      </c>
    </row>
    <row r="116" spans="1:102" ht="17" x14ac:dyDescent="0.2">
      <c r="A116" s="1238"/>
      <c r="B116" s="1237"/>
      <c r="C116" s="97" t="s">
        <v>8886</v>
      </c>
      <c r="D116" s="97">
        <v>85</v>
      </c>
      <c r="E116" s="502" t="s">
        <v>9078</v>
      </c>
      <c r="F116" s="1237"/>
      <c r="G116" s="513" t="s">
        <v>64</v>
      </c>
      <c r="H116" s="513"/>
      <c r="I116" s="97"/>
      <c r="J116" s="97"/>
      <c r="K116" s="97" t="s">
        <v>479</v>
      </c>
      <c r="L116" s="97">
        <v>7.9538326433320788E-2</v>
      </c>
      <c r="M116" s="97">
        <v>1.1877618113367622E-2</v>
      </c>
      <c r="N116" s="572">
        <v>3.3514948949223938E-2</v>
      </c>
      <c r="O116" s="94">
        <f>O115/O117</f>
        <v>3.6177742823436887E-2</v>
      </c>
      <c r="P116" s="573">
        <v>2.3493851755169333E-2</v>
      </c>
      <c r="Q116" s="94">
        <f>Q115/Q117</f>
        <v>1.8419529467842428E-2</v>
      </c>
    </row>
    <row r="117" spans="1:102" ht="85" x14ac:dyDescent="0.2">
      <c r="A117" s="199" t="s">
        <v>8897</v>
      </c>
      <c r="B117" s="97" t="s">
        <v>9079</v>
      </c>
      <c r="C117" s="97" t="s">
        <v>8886</v>
      </c>
      <c r="D117" s="97">
        <v>86</v>
      </c>
      <c r="E117" s="502" t="s">
        <v>9080</v>
      </c>
      <c r="F117" s="97" t="s">
        <v>9578</v>
      </c>
      <c r="G117" s="513" t="s">
        <v>9022</v>
      </c>
      <c r="H117" s="513" t="s">
        <v>8980</v>
      </c>
      <c r="I117" s="97"/>
      <c r="J117" s="97"/>
      <c r="K117" s="97"/>
      <c r="L117" s="97">
        <v>15942</v>
      </c>
      <c r="M117" s="97">
        <v>18859</v>
      </c>
      <c r="N117" s="97">
        <v>21841</v>
      </c>
      <c r="O117" s="94">
        <v>22887</v>
      </c>
      <c r="P117" s="94">
        <v>29114</v>
      </c>
      <c r="Q117" s="94">
        <f t="shared" si="26"/>
        <v>29371</v>
      </c>
      <c r="R117" s="94">
        <f>SUMIFS(Свод!$CL$6:$CL$455,Свод!$G$6:$G$455,Расчеты!R$1)</f>
        <v>16</v>
      </c>
      <c r="S117" s="94">
        <f>SUMIFS(Свод!$CL$6:$CL$455,Свод!$G$6:$G$455,Расчеты!S$1)</f>
        <v>28</v>
      </c>
      <c r="T117" s="94">
        <f>SUMIFS(Свод!$CL$6:$CL$455,Свод!$G$6:$G$455,Расчеты!T$1)</f>
        <v>501</v>
      </c>
      <c r="U117" s="94">
        <f>SUMIFS(Свод!$CL$6:$CL$455,Свод!$G$6:$G$455,Расчеты!U$1)</f>
        <v>132</v>
      </c>
      <c r="V117" s="94">
        <f>SUMIFS(Свод!$CL$6:$CL$455,Свод!$G$6:$G$455,Расчеты!V$1)</f>
        <v>56</v>
      </c>
      <c r="W117" s="94">
        <f>SUMIFS(Свод!$CL$6:$CL$455,Свод!$G$6:$G$455,Расчеты!W$1)</f>
        <v>31</v>
      </c>
      <c r="X117" s="94">
        <f>SUMIFS(Свод!$CL$6:$CL$455,Свод!$G$6:$G$455,Расчеты!X$1)</f>
        <v>1645</v>
      </c>
      <c r="Y117" s="94">
        <f>SUMIFS(Свод!$CL$6:$CL$455,Свод!$G$6:$G$455,Расчеты!Y$1)</f>
        <v>1180</v>
      </c>
      <c r="Z117" s="94">
        <f>SUMIFS(Свод!$CL$6:$CL$455,Свод!$G$6:$G$455,Расчеты!Z$1)</f>
        <v>129</v>
      </c>
      <c r="AA117" s="94">
        <f>SUMIFS(Свод!$CL$6:$CL$455,Свод!$G$6:$G$455,Расчеты!AA$1)</f>
        <v>1070</v>
      </c>
      <c r="AB117" s="94">
        <f>SUMIFS(Свод!$CL$6:$CL$455,Свод!$G$6:$G$455,Расчеты!AB$1)</f>
        <v>410</v>
      </c>
      <c r="AC117" s="94">
        <f>SUMIFS(Свод!$CL$6:$CL$455,Свод!$G$6:$G$455,Расчеты!AC$1)</f>
        <v>0</v>
      </c>
      <c r="AD117" s="94">
        <f>SUMIFS(Свод!$CL$6:$CL$455,Свод!$G$6:$G$455,Расчеты!AD$1)</f>
        <v>1362</v>
      </c>
      <c r="AE117" s="94">
        <f>SUMIFS(Свод!$CL$6:$CL$455,Свод!$G$6:$G$455,Расчеты!AE$1)</f>
        <v>313</v>
      </c>
      <c r="AF117" s="94">
        <f>SUMIFS(Свод!$CL$6:$CL$455,Свод!$G$6:$G$455,Расчеты!AF$1)</f>
        <v>143</v>
      </c>
      <c r="AG117" s="94">
        <f>SUMIFS(Свод!$CL$6:$CL$455,Свод!$G$6:$G$455,Расчеты!AG$1)</f>
        <v>0</v>
      </c>
      <c r="AH117" s="94">
        <f>SUMIFS(Свод!$CL$6:$CL$455,Свод!$G$6:$G$455,Расчеты!AH$1)</f>
        <v>275</v>
      </c>
      <c r="AI117" s="94">
        <f>SUMIFS(Свод!$CL$6:$CL$455,Свод!$G$6:$G$455,Расчеты!AI$1)</f>
        <v>128</v>
      </c>
      <c r="AJ117" s="94">
        <f>SUMIFS(Свод!$CL$6:$CL$455,Свод!$G$6:$G$455,Расчеты!AJ$1)</f>
        <v>0</v>
      </c>
      <c r="AK117" s="94">
        <f>SUMIFS(Свод!$CL$6:$CL$455,Свод!$G$6:$G$455,Расчеты!AK$1)</f>
        <v>1359</v>
      </c>
      <c r="AL117" s="94">
        <f>SUMIFS(Свод!$CL$6:$CL$455,Свод!$G$6:$G$455,Расчеты!AL$1)</f>
        <v>0</v>
      </c>
      <c r="AM117" s="94">
        <f>SUMIFS(Свод!$CL$6:$CL$455,Свод!$G$6:$G$455,Расчеты!AM$1)</f>
        <v>327</v>
      </c>
      <c r="AN117" s="94">
        <f>SUMIFS(Свод!$CL$6:$CL$455,Свод!$G$6:$G$455,Расчеты!AN$1)</f>
        <v>20</v>
      </c>
      <c r="AO117" s="94">
        <f>SUMIFS(Свод!$CL$6:$CL$455,Свод!$G$6:$G$455,Расчеты!AO$1)</f>
        <v>306</v>
      </c>
      <c r="AP117" s="94">
        <f>SUMIFS(Свод!$CL$6:$CL$455,Свод!$G$6:$G$455,Расчеты!AP$1)</f>
        <v>0</v>
      </c>
      <c r="AQ117" s="94">
        <f>SUMIFS(Свод!$CL$6:$CL$455,Свод!$G$6:$G$455,Расчеты!AQ$1)</f>
        <v>0</v>
      </c>
      <c r="AR117" s="94">
        <f>SUMIFS(Свод!$CL$6:$CL$455,Свод!$G$6:$G$455,Расчеты!AR$1)</f>
        <v>309</v>
      </c>
      <c r="AS117" s="94">
        <f>SUMIFS(Свод!$CL$6:$CL$455,Свод!$G$6:$G$455,Расчеты!AS$1)</f>
        <v>125</v>
      </c>
      <c r="AT117" s="94">
        <f>SUMIFS(Свод!$CL$6:$CL$455,Свод!$G$6:$G$455,Расчеты!AT$1)</f>
        <v>342</v>
      </c>
      <c r="AU117" s="94">
        <f>SUMIFS(Свод!$CL$6:$CL$455,Свод!$G$6:$G$455,Расчеты!AU$1)</f>
        <v>702</v>
      </c>
      <c r="AV117" s="94">
        <f>SUMIFS(Свод!$CL$6:$CL$455,Свод!$G$6:$G$455,Расчеты!AV$1)</f>
        <v>333</v>
      </c>
      <c r="AW117" s="94">
        <f>SUMIFS(Свод!$CL$6:$CL$455,Свод!$G$6:$G$455,Расчеты!AW$1)</f>
        <v>721</v>
      </c>
      <c r="AX117" s="94">
        <f>SUMIFS(Свод!$CL$6:$CL$455,Свод!$G$6:$G$455,Расчеты!AX$1)</f>
        <v>285</v>
      </c>
      <c r="AY117" s="94">
        <f>SUMIFS(Свод!$CL$6:$CL$455,Свод!$G$6:$G$455,Расчеты!AY$1)</f>
        <v>130</v>
      </c>
      <c r="AZ117" s="94">
        <f>SUMIFS(Свод!$CL$6:$CL$455,Свод!$G$6:$G$455,Расчеты!AZ$1)</f>
        <v>341</v>
      </c>
      <c r="BA117" s="94">
        <f>SUMIFS(Свод!$CL$6:$CL$455,Свод!$G$6:$G$455,Расчеты!BA$1)</f>
        <v>84</v>
      </c>
      <c r="BB117" s="94">
        <f>SUMIFS(Свод!$CL$6:$CL$455,Свод!$G$6:$G$455,Расчеты!BB$1)</f>
        <v>496</v>
      </c>
      <c r="BC117" s="94">
        <f>SUMIFS(Свод!$CL$6:$CL$455,Свод!$G$6:$G$455,Расчеты!BC$1)</f>
        <v>17</v>
      </c>
      <c r="BD117" s="94">
        <f>SUMIFS(Свод!$CL$6:$CL$455,Свод!$G$6:$G$455,Расчеты!BD$1)</f>
        <v>4</v>
      </c>
      <c r="BE117" s="94">
        <f>SUMIFS(Свод!$CL$6:$CL$455,Свод!$G$6:$G$455,Расчеты!BE$1)</f>
        <v>185</v>
      </c>
      <c r="BF117" s="94">
        <f>SUMIFS(Свод!$CL$6:$CL$455,Свод!$G$6:$G$455,Расчеты!BF$1)</f>
        <v>0</v>
      </c>
      <c r="BG117" s="94">
        <f>SUMIFS(Свод!$CL$6:$CL$455,Свод!$G$6:$G$455,Расчеты!BG$1)</f>
        <v>0</v>
      </c>
      <c r="BH117" s="94">
        <f>SUMIFS(Свод!$CL$6:$CL$455,Свод!$G$6:$G$455,Расчеты!BH$1)</f>
        <v>801</v>
      </c>
      <c r="BI117" s="94">
        <f>SUMIFS(Свод!$CL$6:$CL$455,Свод!$G$6:$G$455,Расчеты!BI$1)</f>
        <v>54</v>
      </c>
      <c r="BJ117" s="94">
        <f>SUMIFS(Свод!$CL$6:$CL$455,Свод!$G$6:$G$455,Расчеты!BJ$1)</f>
        <v>17</v>
      </c>
      <c r="BK117" s="94">
        <f>SUMIFS(Свод!$CL$6:$CL$455,Свод!$G$6:$G$455,Расчеты!BK$1)</f>
        <v>466</v>
      </c>
      <c r="BL117" s="94">
        <f>SUMIFS(Свод!$CL$6:$CL$455,Свод!$G$6:$G$455,Расчеты!BL$1)</f>
        <v>662</v>
      </c>
      <c r="BM117" s="94">
        <f>SUMIFS(Свод!$CL$6:$CL$455,Свод!$G$6:$G$455,Расчеты!BM$1)</f>
        <v>241</v>
      </c>
      <c r="BN117" s="94">
        <f>SUMIFS(Свод!$CL$6:$CL$455,Свод!$G$6:$G$455,Расчеты!BN$1)</f>
        <v>226</v>
      </c>
      <c r="BO117" s="94">
        <f>SUMIFS(Свод!$CL$6:$CL$455,Свод!$G$6:$G$455,Расчеты!BO$1)</f>
        <v>315</v>
      </c>
      <c r="BP117" s="94">
        <f>SUMIFS(Свод!$CL$6:$CL$455,Свод!$G$6:$G$455,Расчеты!BP$1)</f>
        <v>183</v>
      </c>
      <c r="BQ117" s="94">
        <f>SUMIFS(Свод!$CL$6:$CL$455,Свод!$G$6:$G$455,Расчеты!BQ$1)</f>
        <v>30</v>
      </c>
      <c r="BR117" s="94">
        <f>SUMIFS(Свод!$CL$6:$CL$455,Свод!$G$6:$G$455,Расчеты!BR$1)</f>
        <v>247</v>
      </c>
      <c r="BS117" s="94">
        <f>SUMIFS(Свод!$CL$6:$CL$455,Свод!$G$6:$G$455,Расчеты!BS$1)</f>
        <v>95</v>
      </c>
      <c r="BT117" s="94">
        <f>SUMIFS(Свод!$CL$6:$CL$455,Свод!$G$6:$G$455,Расчеты!BT$1)</f>
        <v>220</v>
      </c>
      <c r="BU117" s="94">
        <f>SUMIFS(Свод!$CL$6:$CL$455,Свод!$G$6:$G$455,Расчеты!BU$1)</f>
        <v>316</v>
      </c>
      <c r="BV117" s="94">
        <f>SUMIFS(Свод!$CL$6:$CL$455,Свод!$G$6:$G$455,Расчеты!BV$1)</f>
        <v>286</v>
      </c>
      <c r="BW117" s="94">
        <f>SUMIFS(Свод!$CL$6:$CL$455,Свод!$G$6:$G$455,Расчеты!BW$1)</f>
        <v>353</v>
      </c>
      <c r="BX117" s="94">
        <f>SUMIFS(Свод!$CL$6:$CL$455,Свод!$G$6:$G$455,Расчеты!BX$1)</f>
        <v>45</v>
      </c>
      <c r="BY117" s="94">
        <f>SUMIFS(Свод!$CL$6:$CL$455,Свод!$G$6:$G$455,Расчеты!BY$1)</f>
        <v>547</v>
      </c>
      <c r="BZ117" s="94">
        <f>SUMIFS(Свод!$CL$6:$CL$455,Свод!$G$6:$G$455,Расчеты!BZ$1)</f>
        <v>459</v>
      </c>
      <c r="CA117" s="94">
        <f>SUMIFS(Свод!$CL$6:$CL$455,Свод!$G$6:$G$455,Расчеты!CA$1)</f>
        <v>183</v>
      </c>
      <c r="CB117" s="94">
        <f>SUMIFS(Свод!$CL$6:$CL$455,Свод!$G$6:$G$455,Расчеты!CB$1)</f>
        <v>221</v>
      </c>
      <c r="CC117" s="94">
        <f>SUMIFS(Свод!$CL$6:$CL$455,Свод!$G$6:$G$455,Расчеты!CC$1)</f>
        <v>50</v>
      </c>
      <c r="CD117" s="94">
        <f>SUMIFS(Свод!$CL$6:$CL$455,Свод!$G$6:$G$455,Расчеты!CD$1)</f>
        <v>1</v>
      </c>
      <c r="CE117" s="94">
        <f>SUMIFS(Свод!$CL$6:$CL$455,Свод!$G$6:$G$455,Расчеты!CE$1)</f>
        <v>4</v>
      </c>
      <c r="CF117" s="94">
        <f>SUMIFS(Свод!$CL$6:$CL$455,Свод!$G$6:$G$455,Расчеты!CF$1)</f>
        <v>299</v>
      </c>
      <c r="CG117" s="94">
        <f>SUMIFS(Свод!$CL$6:$CL$455,Свод!$G$6:$G$455,Расчеты!CG$1)</f>
        <v>763</v>
      </c>
      <c r="CH117" s="94">
        <f>SUMIFS(Свод!$CL$6:$CL$455,Свод!$G$6:$G$455,Расчеты!CH$1)</f>
        <v>4433</v>
      </c>
      <c r="CI117" s="94">
        <f>SUMIFS(Свод!$CL$6:$CL$455,Свод!$G$6:$G$455,Расчеты!CI$1)</f>
        <v>220</v>
      </c>
      <c r="CJ117" s="94">
        <f>SUMIFS(Свод!$CL$6:$CL$455,Свод!$G$6:$G$455,Расчеты!CJ$1)</f>
        <v>70</v>
      </c>
      <c r="CK117" s="94">
        <f>SUMIFS(Свод!$CL$6:$CL$455,Свод!$G$6:$G$455,Расчеты!CK$1)</f>
        <v>249</v>
      </c>
      <c r="CL117" s="94">
        <f>SUMIFS(Свод!$CL$6:$CL$455,Свод!$G$6:$G$455,Расчеты!CL$1)</f>
        <v>0</v>
      </c>
      <c r="CM117" s="94">
        <f>SUMIFS(Свод!$CL$6:$CL$455,Свод!$G$6:$G$455,Расчеты!CM$1)</f>
        <v>104</v>
      </c>
      <c r="CN117" s="94">
        <f>SUMIFS(Свод!$CL$6:$CL$455,Свод!$G$6:$G$455,Расчеты!CN$1)</f>
        <v>410</v>
      </c>
      <c r="CO117" s="94">
        <f>SUMIFS(Свод!$CL$6:$CL$455,Свод!$G$6:$G$455,Расчеты!CO$1)</f>
        <v>309</v>
      </c>
      <c r="CP117" s="94">
        <f>SUMIFS(Свод!$CL$6:$CL$455,Свод!$G$6:$G$455,Расчеты!CP$1)</f>
        <v>500</v>
      </c>
      <c r="CQ117" s="94">
        <f>SUMIFS(Свод!$CL$6:$CL$455,Свод!$G$6:$G$455,Расчеты!CQ$1)</f>
        <v>0</v>
      </c>
      <c r="CR117" s="94">
        <f>SUMIFS(Свод!$CL$6:$CL$455,Свод!$G$6:$G$455,Расчеты!CR$1)</f>
        <v>230</v>
      </c>
      <c r="CS117" s="94">
        <f>SUMIFS(Свод!$CL$6:$CL$455,Свод!$G$6:$G$455,Расчеты!CS$1)</f>
        <v>509</v>
      </c>
      <c r="CT117" s="94">
        <f>SUMIFS(Свод!$CL$6:$CL$455,Свод!$G$6:$G$455,Расчеты!CT$1)</f>
        <v>6</v>
      </c>
      <c r="CU117" s="94">
        <f>SUMIFS(Свод!$CL$6:$CL$455,Свод!$G$6:$G$455,Расчеты!CU$1)</f>
        <v>961</v>
      </c>
      <c r="CV117" s="94">
        <f>SUMIFS(Свод!$CL$6:$CL$455,Свод!$G$6:$G$455,Расчеты!CV$1)</f>
        <v>26</v>
      </c>
      <c r="CW117" s="94">
        <f>SUMIFS(Свод!$CL$6:$CL$455,Свод!$G$6:$G$455,Расчеты!CW$1)</f>
        <v>289</v>
      </c>
      <c r="CX117" s="94">
        <f>SUMIFS(Свод!$CL$6:$CL$455,Свод!$G$6:$G$455,Расчеты!CX$1)</f>
        <v>466</v>
      </c>
    </row>
    <row r="118" spans="1:102" ht="124" customHeight="1" x14ac:dyDescent="0.2">
      <c r="A118" s="199" t="s">
        <v>8902</v>
      </c>
      <c r="B118" s="97" t="s">
        <v>9081</v>
      </c>
      <c r="C118" s="97" t="s">
        <v>8886</v>
      </c>
      <c r="D118" s="97">
        <v>87</v>
      </c>
      <c r="E118" s="502" t="s">
        <v>9082</v>
      </c>
      <c r="F118" s="97" t="s">
        <v>9083</v>
      </c>
      <c r="G118" s="513" t="s">
        <v>8974</v>
      </c>
      <c r="H118" s="513" t="s">
        <v>9084</v>
      </c>
      <c r="I118" s="97"/>
      <c r="J118" s="97"/>
      <c r="K118" s="97"/>
      <c r="L118" s="516">
        <v>0.90965584374607955</v>
      </c>
      <c r="M118" s="516">
        <v>1.0241420880237551</v>
      </c>
      <c r="N118" s="516">
        <v>1.1017895808923586</v>
      </c>
      <c r="P118" s="94" t="s">
        <v>8931</v>
      </c>
      <c r="Q118" s="94" t="s">
        <v>8931</v>
      </c>
    </row>
    <row r="119" spans="1:102" ht="170" x14ac:dyDescent="0.2">
      <c r="A119" s="1237" t="s">
        <v>8902</v>
      </c>
      <c r="B119" s="1237" t="s">
        <v>9085</v>
      </c>
      <c r="C119" s="97" t="s">
        <v>8886</v>
      </c>
      <c r="D119" s="97">
        <v>88</v>
      </c>
      <c r="E119" s="502" t="s">
        <v>9086</v>
      </c>
      <c r="F119" s="97" t="s">
        <v>9087</v>
      </c>
      <c r="G119" s="513" t="s">
        <v>8974</v>
      </c>
      <c r="H119" s="513" t="s">
        <v>9088</v>
      </c>
      <c r="I119" s="97"/>
      <c r="J119" s="97"/>
      <c r="K119" s="97"/>
      <c r="L119" s="516">
        <v>0.48168116415757128</v>
      </c>
      <c r="M119" s="516">
        <v>0.55672697043533592</v>
      </c>
      <c r="N119" s="605">
        <v>0.60027867245089517</v>
      </c>
      <c r="P119" s="94" t="s">
        <v>8931</v>
      </c>
      <c r="Q119" s="94" t="s">
        <v>8931</v>
      </c>
    </row>
    <row r="120" spans="1:102" ht="153" x14ac:dyDescent="0.2">
      <c r="A120" s="1237"/>
      <c r="B120" s="1237"/>
      <c r="C120" s="97" t="s">
        <v>8886</v>
      </c>
      <c r="D120" s="97">
        <v>89</v>
      </c>
      <c r="E120" s="502" t="s">
        <v>9089</v>
      </c>
      <c r="F120" s="97" t="s">
        <v>9090</v>
      </c>
      <c r="G120" s="513" t="s">
        <v>8974</v>
      </c>
      <c r="H120" s="513" t="s">
        <v>9091</v>
      </c>
      <c r="I120" s="97"/>
      <c r="J120" s="97"/>
      <c r="K120" s="97"/>
      <c r="L120" s="516">
        <v>7.0834226194956718E-2</v>
      </c>
      <c r="M120" s="516">
        <v>0.10303212206691761</v>
      </c>
      <c r="N120" s="605">
        <v>9.9830776875600949E-2</v>
      </c>
      <c r="P120" s="94" t="s">
        <v>8931</v>
      </c>
      <c r="Q120" s="94" t="s">
        <v>8931</v>
      </c>
    </row>
    <row r="121" spans="1:102" ht="34" x14ac:dyDescent="0.2">
      <c r="A121" s="1237" t="s">
        <v>8902</v>
      </c>
      <c r="B121" s="1237" t="s">
        <v>9092</v>
      </c>
      <c r="C121" s="97" t="s">
        <v>8886</v>
      </c>
      <c r="D121" s="97">
        <v>96</v>
      </c>
      <c r="E121" s="502" t="s">
        <v>9093</v>
      </c>
      <c r="F121" s="97" t="s">
        <v>9579</v>
      </c>
      <c r="G121" s="513"/>
      <c r="H121" s="513" t="s">
        <v>8895</v>
      </c>
      <c r="I121" s="97"/>
      <c r="J121" s="97"/>
      <c r="K121" s="97"/>
      <c r="L121" s="97" t="s">
        <v>4906</v>
      </c>
      <c r="M121" s="97">
        <v>79285</v>
      </c>
      <c r="N121" s="99">
        <v>152385</v>
      </c>
      <c r="O121" s="94">
        <v>586371.00150000001</v>
      </c>
      <c r="P121" s="606">
        <v>349087</v>
      </c>
      <c r="Q121" s="94">
        <f>SUM(R121:CX121)</f>
        <v>258177</v>
      </c>
      <c r="R121" s="94">
        <f>SUMIFS(Свод!$BK$6:$BK$455,Свод!$G$6:$G$455,Расчеты!R$1)</f>
        <v>42</v>
      </c>
      <c r="S121" s="94">
        <f>SUMIFS(Свод!$BK$6:$BK$455,Свод!$G$6:$G$455,Расчеты!S$1)</f>
        <v>58</v>
      </c>
      <c r="T121" s="94">
        <f>SUMIFS(Свод!$BK$6:$BK$455,Свод!$G$6:$G$455,Расчеты!T$1)</f>
        <v>1421</v>
      </c>
      <c r="U121" s="94">
        <f>SUMIFS(Свод!$BK$6:$BK$455,Свод!$G$6:$G$455,Расчеты!U$1)</f>
        <v>244</v>
      </c>
      <c r="V121" s="94">
        <f>SUMIFS(Свод!$BK$6:$BK$455,Свод!$G$6:$G$455,Расчеты!V$1)</f>
        <v>34</v>
      </c>
      <c r="W121" s="94">
        <f>SUMIFS(Свод!$BK$6:$BK$455,Свод!$G$6:$G$455,Расчеты!W$1)</f>
        <v>71</v>
      </c>
      <c r="X121" s="94">
        <f>SUMIFS(Свод!$BK$6:$BK$455,Свод!$G$6:$G$455,Расчеты!X$1)</f>
        <v>1803</v>
      </c>
      <c r="Y121" s="94">
        <f>SUMIFS(Свод!$BK$6:$BK$455,Свод!$G$6:$G$455,Расчеты!Y$1)</f>
        <v>2283</v>
      </c>
      <c r="Z121" s="94">
        <f>SUMIFS(Свод!$BK$6:$BK$455,Свод!$G$6:$G$455,Расчеты!Z$1)</f>
        <v>246</v>
      </c>
      <c r="AA121" s="94">
        <f>SUMIFS(Свод!$BK$6:$BK$455,Свод!$G$6:$G$455,Расчеты!AA$1)</f>
        <v>1351</v>
      </c>
      <c r="AB121" s="94">
        <f>SUMIFS(Свод!$BK$6:$BK$455,Свод!$G$6:$G$455,Расчеты!AB$1)</f>
        <v>410</v>
      </c>
      <c r="AC121" s="94">
        <f>SUMIFS(Свод!$BK$6:$BK$455,Свод!$G$6:$G$455,Расчеты!AC$1)</f>
        <v>979</v>
      </c>
      <c r="AD121" s="94">
        <f>SUMIFS(Свод!$BK$6:$BK$455,Свод!$G$6:$G$455,Расчеты!AD$1)</f>
        <v>2134</v>
      </c>
      <c r="AE121" s="94">
        <f>SUMIFS(Свод!$BK$6:$BK$455,Свод!$G$6:$G$455,Расчеты!AE$1)</f>
        <v>817</v>
      </c>
      <c r="AF121" s="94">
        <f>SUMIFS(Свод!$BK$6:$BK$455,Свод!$G$6:$G$455,Расчеты!AF$1)</f>
        <v>26</v>
      </c>
      <c r="AG121" s="94">
        <f>SUMIFS(Свод!$BK$6:$BK$455,Свод!$G$6:$G$455,Расчеты!AG$1)</f>
        <v>0</v>
      </c>
      <c r="AH121" s="94">
        <f>SUMIFS(Свод!$BK$6:$BK$455,Свод!$G$6:$G$455,Расчеты!AH$1)</f>
        <v>265</v>
      </c>
      <c r="AI121" s="94">
        <f>SUMIFS(Свод!$BK$6:$BK$455,Свод!$G$6:$G$455,Расчеты!AI$1)</f>
        <v>0</v>
      </c>
      <c r="AJ121" s="94">
        <f>SUMIFS(Свод!$BK$6:$BK$455,Свод!$G$6:$G$455,Расчеты!AJ$1)</f>
        <v>0</v>
      </c>
      <c r="AK121" s="94">
        <f>SUMIFS(Свод!$BK$6:$BK$455,Свод!$G$6:$G$455,Расчеты!AK$1)</f>
        <v>1597</v>
      </c>
      <c r="AL121" s="94">
        <f>SUMIFS(Свод!$BK$6:$BK$455,Свод!$G$6:$G$455,Расчеты!AL$1)</f>
        <v>0</v>
      </c>
      <c r="AM121" s="94">
        <f>SUMIFS(Свод!$BK$6:$BK$455,Свод!$G$6:$G$455,Расчеты!AM$1)</f>
        <v>337</v>
      </c>
      <c r="AN121" s="94">
        <f>SUMIFS(Свод!$BK$6:$BK$455,Свод!$G$6:$G$455,Расчеты!AN$1)</f>
        <v>119</v>
      </c>
      <c r="AO121" s="94">
        <f>SUMIFS(Свод!$BK$6:$BK$455,Свод!$G$6:$G$455,Расчеты!AO$1)</f>
        <v>17</v>
      </c>
      <c r="AP121" s="94">
        <f>SUMIFS(Свод!$BK$6:$BK$455,Свод!$G$6:$G$455,Расчеты!AP$1)</f>
        <v>0</v>
      </c>
      <c r="AQ121" s="94">
        <f>SUMIFS(Свод!$BK$6:$BK$455,Свод!$G$6:$G$455,Расчеты!AQ$1)</f>
        <v>0</v>
      </c>
      <c r="AR121" s="94">
        <f>SUMIFS(Свод!$BK$6:$BK$455,Свод!$G$6:$G$455,Расчеты!AR$1)</f>
        <v>97</v>
      </c>
      <c r="AS121" s="94">
        <f>SUMIFS(Свод!$BK$6:$BK$455,Свод!$G$6:$G$455,Расчеты!AS$1)</f>
        <v>358</v>
      </c>
      <c r="AT121" s="94">
        <f>SUMIFS(Свод!$BK$6:$BK$455,Свод!$G$6:$G$455,Расчеты!AT$1)</f>
        <v>496</v>
      </c>
      <c r="AU121" s="94">
        <f>SUMIFS(Свод!$BK$6:$BK$455,Свод!$G$6:$G$455,Расчеты!AU$1)</f>
        <v>1941</v>
      </c>
      <c r="AV121" s="94">
        <f>SUMIFS(Свод!$BK$6:$BK$455,Свод!$G$6:$G$455,Расчеты!AV$1)</f>
        <v>534</v>
      </c>
      <c r="AW121" s="94">
        <f>SUMIFS(Свод!$BK$6:$BK$455,Свод!$G$6:$G$455,Расчеты!AW$1)</f>
        <v>712</v>
      </c>
      <c r="AX121" s="94">
        <f>SUMIFS(Свод!$BK$6:$BK$455,Свод!$G$6:$G$455,Расчеты!AX$1)</f>
        <v>637</v>
      </c>
      <c r="AY121" s="94">
        <f>SUMIFS(Свод!$BK$6:$BK$455,Свод!$G$6:$G$455,Расчеты!AY$1)</f>
        <v>42</v>
      </c>
      <c r="AZ121" s="94">
        <f>SUMIFS(Свод!$BK$6:$BK$455,Свод!$G$6:$G$455,Расчеты!AZ$1)</f>
        <v>375</v>
      </c>
      <c r="BA121" s="94">
        <f>SUMIFS(Свод!$BK$6:$BK$455,Свод!$G$6:$G$455,Расчеты!BA$1)</f>
        <v>230</v>
      </c>
      <c r="BB121" s="94">
        <f>SUMIFS(Свод!$BK$6:$BK$455,Свод!$G$6:$G$455,Расчеты!BB$1)</f>
        <v>506</v>
      </c>
      <c r="BC121" s="94">
        <f>SUMIFS(Свод!$BK$6:$BK$455,Свод!$G$6:$G$455,Расчеты!BC$1)</f>
        <v>0</v>
      </c>
      <c r="BD121" s="94">
        <f>SUMIFS(Свод!$BK$6:$BK$455,Свод!$G$6:$G$455,Расчеты!BD$1)</f>
        <v>4</v>
      </c>
      <c r="BE121" s="94">
        <f>SUMIFS(Свод!$BK$6:$BK$455,Свод!$G$6:$G$455,Расчеты!BE$1)</f>
        <v>570</v>
      </c>
      <c r="BF121" s="94">
        <f>SUMIFS(Свод!$BK$6:$BK$455,Свод!$G$6:$G$455,Расчеты!BF$1)</f>
        <v>0</v>
      </c>
      <c r="BG121" s="94">
        <f>SUMIFS(Свод!$BK$6:$BK$455,Свод!$G$6:$G$455,Расчеты!BG$1)</f>
        <v>0</v>
      </c>
      <c r="BH121" s="94">
        <f>SUMIFS(Свод!$BK$6:$BK$455,Свод!$G$6:$G$455,Расчеты!BH$1)</f>
        <v>801</v>
      </c>
      <c r="BI121" s="94">
        <f>SUMIFS(Свод!$BK$6:$BK$455,Свод!$G$6:$G$455,Расчеты!BI$1)</f>
        <v>65</v>
      </c>
      <c r="BJ121" s="94">
        <f>SUMIFS(Свод!$BK$6:$BK$455,Свод!$G$6:$G$455,Расчеты!BJ$1)</f>
        <v>0</v>
      </c>
      <c r="BK121" s="94">
        <f>SUMIFS(Свод!$BK$6:$BK$455,Свод!$G$6:$G$455,Расчеты!BK$1)</f>
        <v>43</v>
      </c>
      <c r="BL121" s="94">
        <f>SUMIFS(Свод!$BK$6:$BK$455,Свод!$G$6:$G$455,Расчеты!BL$1)</f>
        <v>1842</v>
      </c>
      <c r="BM121" s="94">
        <f>SUMIFS(Свод!$BK$6:$BK$455,Свод!$G$6:$G$455,Расчеты!BM$1)</f>
        <v>843</v>
      </c>
      <c r="BN121" s="94">
        <f>SUMIFS(Свод!$BK$6:$BK$455,Свод!$G$6:$G$455,Расчеты!BN$1)</f>
        <v>86</v>
      </c>
      <c r="BO121" s="94">
        <f>SUMIFS(Свод!$BK$6:$BK$455,Свод!$G$6:$G$455,Расчеты!BO$1)</f>
        <v>219</v>
      </c>
      <c r="BP121" s="94">
        <f>SUMIFS(Свод!$BK$6:$BK$455,Свод!$G$6:$G$455,Расчеты!BP$1)</f>
        <v>249</v>
      </c>
      <c r="BQ121" s="94">
        <f>SUMIFS(Свод!$BK$6:$BK$455,Свод!$G$6:$G$455,Расчеты!BQ$1)</f>
        <v>54</v>
      </c>
      <c r="BR121" s="94">
        <f>SUMIFS(Свод!$BK$6:$BK$455,Свод!$G$6:$G$455,Расчеты!BR$1)</f>
        <v>28</v>
      </c>
      <c r="BS121" s="94">
        <f>SUMIFS(Свод!$BK$6:$BK$455,Свод!$G$6:$G$455,Расчеты!BS$1)</f>
        <v>688</v>
      </c>
      <c r="BT121" s="94">
        <f>SUMIFS(Свод!$BK$6:$BK$455,Свод!$G$6:$G$455,Расчеты!BT$1)</f>
        <v>505</v>
      </c>
      <c r="BU121" s="94">
        <f>SUMIFS(Свод!$BK$6:$BK$455,Свод!$G$6:$G$455,Расчеты!BU$1)</f>
        <v>135</v>
      </c>
      <c r="BV121" s="94">
        <f>SUMIFS(Свод!$BK$6:$BK$455,Свод!$G$6:$G$455,Расчеты!BV$1)</f>
        <v>69</v>
      </c>
      <c r="BW121" s="94">
        <f>SUMIFS(Свод!$BK$6:$BK$455,Свод!$G$6:$G$455,Расчеты!BW$1)</f>
        <v>480</v>
      </c>
      <c r="BX121" s="94">
        <f>SUMIFS(Свод!$BK$6:$BK$455,Свод!$G$6:$G$455,Расчеты!BX$1)</f>
        <v>485</v>
      </c>
      <c r="BY121" s="94">
        <f>SUMIFS(Свод!$BK$6:$BK$455,Свод!$G$6:$G$455,Расчеты!BY$1)</f>
        <v>744</v>
      </c>
      <c r="BZ121" s="94">
        <f>SUMIFS(Свод!$BK$6:$BK$455,Свод!$G$6:$G$455,Расчеты!BZ$1)</f>
        <v>1740</v>
      </c>
      <c r="CA121" s="94">
        <f>SUMIFS(Свод!$BK$6:$BK$455,Свод!$G$6:$G$455,Расчеты!CA$1)</f>
        <v>534</v>
      </c>
      <c r="CB121" s="94">
        <f>SUMIFS(Свод!$BK$6:$BK$455,Свод!$G$6:$G$455,Расчеты!CB$1)</f>
        <v>218617</v>
      </c>
      <c r="CC121" s="94">
        <f>SUMIFS(Свод!$BK$6:$BK$455,Свод!$G$6:$G$455,Расчеты!CC$1)</f>
        <v>0</v>
      </c>
      <c r="CD121" s="94">
        <f>SUMIFS(Свод!$BK$6:$BK$455,Свод!$G$6:$G$455,Расчеты!CD$1)</f>
        <v>0</v>
      </c>
      <c r="CE121" s="94">
        <f>SUMIFS(Свод!$BK$6:$BK$455,Свод!$G$6:$G$455,Расчеты!CE$1)</f>
        <v>0</v>
      </c>
      <c r="CF121" s="94">
        <f>SUMIFS(Свод!$BK$6:$BK$455,Свод!$G$6:$G$455,Расчеты!CF$1)</f>
        <v>256</v>
      </c>
      <c r="CG121" s="94">
        <f>SUMIFS(Свод!$BK$6:$BK$455,Свод!$G$6:$G$455,Расчеты!CG$1)</f>
        <v>904</v>
      </c>
      <c r="CH121" s="94">
        <f>SUMIFS(Свод!$BK$6:$BK$455,Свод!$G$6:$G$455,Расчеты!CH$1)</f>
        <v>0</v>
      </c>
      <c r="CI121" s="94">
        <f>SUMIFS(Свод!$BK$6:$BK$455,Свод!$G$6:$G$455,Расчеты!CI$1)</f>
        <v>397</v>
      </c>
      <c r="CJ121" s="94">
        <f>SUMIFS(Свод!$BK$6:$BK$455,Свод!$G$6:$G$455,Расчеты!CJ$1)</f>
        <v>0</v>
      </c>
      <c r="CK121" s="94">
        <f>SUMIFS(Свод!$BK$6:$BK$455,Свод!$G$6:$G$455,Расчеты!CK$1)</f>
        <v>1215</v>
      </c>
      <c r="CL121" s="94">
        <f>SUMIFS(Свод!$BK$6:$BK$455,Свод!$G$6:$G$455,Расчеты!CL$1)</f>
        <v>0</v>
      </c>
      <c r="CM121" s="94">
        <f>SUMIFS(Свод!$BK$6:$BK$455,Свод!$G$6:$G$455,Расчеты!CM$1)</f>
        <v>235</v>
      </c>
      <c r="CN121" s="94">
        <f>SUMIFS(Свод!$BK$6:$BK$455,Свод!$G$6:$G$455,Расчеты!CN$1)</f>
        <v>531</v>
      </c>
      <c r="CO121" s="94">
        <f>SUMIFS(Свод!$BK$6:$BK$455,Свод!$G$6:$G$455,Расчеты!CO$1)</f>
        <v>1275</v>
      </c>
      <c r="CP121" s="94">
        <f>SUMIFS(Свод!$BK$6:$BK$455,Свод!$G$6:$G$455,Расчеты!CP$1)</f>
        <v>1028</v>
      </c>
      <c r="CQ121" s="94">
        <f>SUMIFS(Свод!$BK$6:$BK$455,Свод!$G$6:$G$455,Расчеты!CQ$1)</f>
        <v>0</v>
      </c>
      <c r="CR121" s="94">
        <f>SUMIFS(Свод!$BK$6:$BK$455,Свод!$G$6:$G$455,Расчеты!CR$1)</f>
        <v>124</v>
      </c>
      <c r="CS121" s="94">
        <f>SUMIFS(Свод!$BK$6:$BK$455,Свод!$G$6:$G$455,Расчеты!CS$1)</f>
        <v>857</v>
      </c>
      <c r="CT121" s="94">
        <f>SUMIFS(Свод!$BK$6:$BK$455,Свод!$G$6:$G$455,Расчеты!CT$1)</f>
        <v>11</v>
      </c>
      <c r="CU121" s="94">
        <f>SUMIFS(Свод!$BK$6:$BK$455,Свод!$G$6:$G$455,Расчеты!CU$1)</f>
        <v>978</v>
      </c>
      <c r="CV121" s="94">
        <f>SUMIFS(Свод!$BK$6:$BK$455,Свод!$G$6:$G$455,Расчеты!CV$1)</f>
        <v>26</v>
      </c>
      <c r="CW121" s="94">
        <f>SUMIFS(Свод!$BK$6:$BK$455,Свод!$G$6:$G$455,Расчеты!CW$1)</f>
        <v>882</v>
      </c>
      <c r="CX121" s="94">
        <f>SUMIFS(Свод!$BK$6:$BK$455,Свод!$G$6:$G$455,Расчеты!CX$1)</f>
        <v>475</v>
      </c>
    </row>
    <row r="122" spans="1:102" ht="140" customHeight="1" x14ac:dyDescent="0.2">
      <c r="A122" s="1237"/>
      <c r="B122" s="1237"/>
      <c r="C122" s="97" t="s">
        <v>8886</v>
      </c>
      <c r="D122" s="97">
        <v>93</v>
      </c>
      <c r="E122" s="502" t="s">
        <v>9094</v>
      </c>
      <c r="F122" s="97" t="s">
        <v>9095</v>
      </c>
      <c r="G122" s="513" t="s">
        <v>9096</v>
      </c>
      <c r="H122" s="513" t="s">
        <v>8895</v>
      </c>
      <c r="I122" s="97"/>
      <c r="J122" s="97"/>
      <c r="K122" s="97"/>
      <c r="L122" s="97">
        <v>22253</v>
      </c>
      <c r="M122" s="97">
        <v>19154</v>
      </c>
      <c r="N122" s="99">
        <v>24380</v>
      </c>
      <c r="O122" s="94">
        <v>27963</v>
      </c>
      <c r="P122" s="606">
        <v>31219</v>
      </c>
      <c r="Q122" s="94">
        <f>SUM(R122:CX122)</f>
        <v>41561</v>
      </c>
      <c r="R122" s="94">
        <f>SUMIFS(Свод!$BL$6:$BL$455,Свод!$G$6:$G$455,Расчеты!R$1)</f>
        <v>16</v>
      </c>
      <c r="S122" s="94">
        <f>SUMIFS(Свод!$BL$6:$BL$455,Свод!$G$6:$G$455,Расчеты!S$1)</f>
        <v>47</v>
      </c>
      <c r="T122" s="94">
        <f>SUMIFS(Свод!$BL$6:$BL$455,Свод!$G$6:$G$455,Расчеты!T$1)</f>
        <v>651</v>
      </c>
      <c r="U122" s="94">
        <f>SUMIFS(Свод!$BL$6:$BL$455,Свод!$G$6:$G$455,Расчеты!U$1)</f>
        <v>244</v>
      </c>
      <c r="V122" s="94">
        <f>SUMIFS(Свод!$BL$6:$BL$455,Свод!$G$6:$G$455,Расчеты!V$1)</f>
        <v>87</v>
      </c>
      <c r="W122" s="94">
        <f>SUMIFS(Свод!$BL$6:$BL$455,Свод!$G$6:$G$455,Расчеты!W$1)</f>
        <v>67</v>
      </c>
      <c r="X122" s="94">
        <f>SUMIFS(Свод!$BL$6:$BL$455,Свод!$G$6:$G$455,Расчеты!X$1)</f>
        <v>1436</v>
      </c>
      <c r="Y122" s="94">
        <f>SUMIFS(Свод!$BL$6:$BL$455,Свод!$G$6:$G$455,Расчеты!Y$1)</f>
        <v>2165</v>
      </c>
      <c r="Z122" s="94">
        <f>SUMIFS(Свод!$BL$6:$BL$455,Свод!$G$6:$G$455,Расчеты!Z$1)</f>
        <v>233</v>
      </c>
      <c r="AA122" s="94">
        <f>SUMIFS(Свод!$BL$6:$BL$455,Свод!$G$6:$G$455,Расчеты!AA$1)</f>
        <v>1351</v>
      </c>
      <c r="AB122" s="94">
        <f>SUMIFS(Свод!$BL$6:$BL$455,Свод!$G$6:$G$455,Расчеты!AB$1)</f>
        <v>410</v>
      </c>
      <c r="AC122" s="94">
        <f>SUMIFS(Свод!$BL$6:$BL$455,Свод!$G$6:$G$455,Расчеты!AC$1)</f>
        <v>960</v>
      </c>
      <c r="AD122" s="94">
        <f>SUMIFS(Свод!$BL$6:$BL$455,Свод!$G$6:$G$455,Расчеты!AD$1)</f>
        <v>2134</v>
      </c>
      <c r="AE122" s="94">
        <f>SUMIFS(Свод!$BL$6:$BL$455,Свод!$G$6:$G$455,Расчеты!AE$1)</f>
        <v>863</v>
      </c>
      <c r="AF122" s="94">
        <f>SUMIFS(Свод!$BL$6:$BL$455,Свод!$G$6:$G$455,Расчеты!AF$1)</f>
        <v>212</v>
      </c>
      <c r="AG122" s="94">
        <f>SUMIFS(Свод!$BL$6:$BL$455,Свод!$G$6:$G$455,Расчеты!AG$1)</f>
        <v>0</v>
      </c>
      <c r="AH122" s="94">
        <f>SUMIFS(Свод!$BL$6:$BL$455,Свод!$G$6:$G$455,Расчеты!AH$1)</f>
        <v>254</v>
      </c>
      <c r="AI122" s="94">
        <f>SUMIFS(Свод!$BL$6:$BL$455,Свод!$G$6:$G$455,Расчеты!AI$1)</f>
        <v>144</v>
      </c>
      <c r="AJ122" s="94">
        <f>SUMIFS(Свод!$BL$6:$BL$455,Свод!$G$6:$G$455,Расчеты!AJ$1)</f>
        <v>0</v>
      </c>
      <c r="AK122" s="94">
        <f>SUMIFS(Свод!$BL$6:$BL$455,Свод!$G$6:$G$455,Расчеты!AK$1)</f>
        <v>1359</v>
      </c>
      <c r="AL122" s="94">
        <f>SUMIFS(Свод!$BL$6:$BL$455,Свод!$G$6:$G$455,Расчеты!AL$1)</f>
        <v>0</v>
      </c>
      <c r="AM122" s="94">
        <f>SUMIFS(Свод!$BL$6:$BL$455,Свод!$G$6:$G$455,Расчеты!AM$1)</f>
        <v>340</v>
      </c>
      <c r="AN122" s="94">
        <f>SUMIFS(Свод!$BL$6:$BL$455,Свод!$G$6:$G$455,Расчеты!AN$1)</f>
        <v>58</v>
      </c>
      <c r="AO122" s="94">
        <f>SUMIFS(Свод!$BL$6:$BL$455,Свод!$G$6:$G$455,Расчеты!AO$1)</f>
        <v>348</v>
      </c>
      <c r="AP122" s="94">
        <f>SUMIFS(Свод!$BL$6:$BL$455,Свод!$G$6:$G$455,Расчеты!AP$1)</f>
        <v>0</v>
      </c>
      <c r="AQ122" s="94">
        <f>SUMIFS(Свод!$BL$6:$BL$455,Свод!$G$6:$G$455,Расчеты!AQ$1)</f>
        <v>0</v>
      </c>
      <c r="AR122" s="94">
        <f>SUMIFS(Свод!$BL$6:$BL$455,Свод!$G$6:$G$455,Расчеты!AR$1)</f>
        <v>499</v>
      </c>
      <c r="AS122" s="94">
        <f>SUMIFS(Свод!$BL$6:$BL$455,Свод!$G$6:$G$455,Расчеты!AS$1)</f>
        <v>179</v>
      </c>
      <c r="AT122" s="94">
        <f>SUMIFS(Свод!$BL$6:$BL$455,Свод!$G$6:$G$455,Расчеты!AT$1)</f>
        <v>356</v>
      </c>
      <c r="AU122" s="94">
        <f>SUMIFS(Свод!$BL$6:$BL$455,Свод!$G$6:$G$455,Расчеты!AU$1)</f>
        <v>2897</v>
      </c>
      <c r="AV122" s="94">
        <f>SUMIFS(Свод!$BL$6:$BL$455,Свод!$G$6:$G$455,Расчеты!AV$1)</f>
        <v>534</v>
      </c>
      <c r="AW122" s="94">
        <f>SUMIFS(Свод!$BL$6:$BL$455,Свод!$G$6:$G$455,Расчеты!AW$1)</f>
        <v>1096</v>
      </c>
      <c r="AX122" s="94">
        <f>SUMIFS(Свод!$BL$6:$BL$455,Свод!$G$6:$G$455,Расчеты!AX$1)</f>
        <v>281</v>
      </c>
      <c r="AY122" s="94">
        <f>SUMIFS(Свод!$BL$6:$BL$455,Свод!$G$6:$G$455,Расчеты!AY$1)</f>
        <v>42</v>
      </c>
      <c r="AZ122" s="94">
        <f>SUMIFS(Свод!$BL$6:$BL$455,Свод!$G$6:$G$455,Расчеты!AZ$1)</f>
        <v>375</v>
      </c>
      <c r="BA122" s="94">
        <f>SUMIFS(Свод!$BL$6:$BL$455,Свод!$G$6:$G$455,Расчеты!BA$1)</f>
        <v>206</v>
      </c>
      <c r="BB122" s="94">
        <f>SUMIFS(Свод!$BL$6:$BL$455,Свод!$G$6:$G$455,Расчеты!BB$1)</f>
        <v>501</v>
      </c>
      <c r="BC122" s="94">
        <f>SUMIFS(Свод!$BL$6:$BL$455,Свод!$G$6:$G$455,Расчеты!BC$1)</f>
        <v>12</v>
      </c>
      <c r="BD122" s="94">
        <f>SUMIFS(Свод!$BL$6:$BL$455,Свод!$G$6:$G$455,Расчеты!BD$1)</f>
        <v>3</v>
      </c>
      <c r="BE122" s="94">
        <f>SUMIFS(Свод!$BL$6:$BL$455,Свод!$G$6:$G$455,Расчеты!BE$1)</f>
        <v>394</v>
      </c>
      <c r="BF122" s="94">
        <f>SUMIFS(Свод!$BL$6:$BL$455,Свод!$G$6:$G$455,Расчеты!BF$1)</f>
        <v>0</v>
      </c>
      <c r="BG122" s="94">
        <f>SUMIFS(Свод!$BL$6:$BL$455,Свод!$G$6:$G$455,Расчеты!BG$1)</f>
        <v>0</v>
      </c>
      <c r="BH122" s="94">
        <f>SUMIFS(Свод!$BL$6:$BL$455,Свод!$G$6:$G$455,Расчеты!BH$1)</f>
        <v>720</v>
      </c>
      <c r="BI122" s="94">
        <f>SUMIFS(Свод!$BL$6:$BL$455,Свод!$G$6:$G$455,Расчеты!BI$1)</f>
        <v>54</v>
      </c>
      <c r="BJ122" s="94">
        <f>SUMIFS(Свод!$BL$6:$BL$455,Свод!$G$6:$G$455,Расчеты!BJ$1)</f>
        <v>30</v>
      </c>
      <c r="BK122" s="94">
        <f>SUMIFS(Свод!$BL$6:$BL$455,Свод!$G$6:$G$455,Расчеты!BK$1)</f>
        <v>957</v>
      </c>
      <c r="BL122" s="94">
        <f>SUMIFS(Свод!$BL$6:$BL$455,Свод!$G$6:$G$455,Расчеты!BL$1)</f>
        <v>682</v>
      </c>
      <c r="BM122" s="94">
        <f>SUMIFS(Свод!$BL$6:$BL$455,Свод!$G$6:$G$455,Расчеты!BM$1)</f>
        <v>256</v>
      </c>
      <c r="BN122" s="94">
        <f>SUMIFS(Свод!$BL$6:$BL$455,Свод!$G$6:$G$455,Расчеты!BN$1)</f>
        <v>73</v>
      </c>
      <c r="BO122" s="94">
        <f>SUMIFS(Свод!$BL$6:$BL$455,Свод!$G$6:$G$455,Расчеты!BO$1)</f>
        <v>331</v>
      </c>
      <c r="BP122" s="94">
        <f>SUMIFS(Свод!$BL$6:$BL$455,Свод!$G$6:$G$455,Расчеты!BP$1)</f>
        <v>249</v>
      </c>
      <c r="BQ122" s="94">
        <f>SUMIFS(Свод!$BL$6:$BL$455,Свод!$G$6:$G$455,Расчеты!BQ$1)</f>
        <v>54</v>
      </c>
      <c r="BR122" s="94">
        <f>SUMIFS(Свод!$BL$6:$BL$455,Свод!$G$6:$G$455,Расчеты!BR$1)</f>
        <v>323</v>
      </c>
      <c r="BS122" s="94">
        <f>SUMIFS(Свод!$BL$6:$BL$455,Свод!$G$6:$G$455,Расчеты!BS$1)</f>
        <v>385</v>
      </c>
      <c r="BT122" s="94">
        <f>SUMIFS(Свод!$BL$6:$BL$455,Свод!$G$6:$G$455,Расчеты!BT$1)</f>
        <v>505</v>
      </c>
      <c r="BU122" s="94">
        <f>SUMIFS(Свод!$BL$6:$BL$455,Свод!$G$6:$G$455,Расчеты!BU$1)</f>
        <v>451</v>
      </c>
      <c r="BV122" s="94">
        <f>SUMIFS(Свод!$BL$6:$BL$455,Свод!$G$6:$G$455,Расчеты!BV$1)</f>
        <v>312</v>
      </c>
      <c r="BW122" s="94">
        <f>SUMIFS(Свод!$BL$6:$BL$455,Свод!$G$6:$G$455,Расчеты!BW$1)</f>
        <v>690</v>
      </c>
      <c r="BX122" s="94">
        <f>SUMIFS(Свод!$BL$6:$BL$455,Свод!$G$6:$G$455,Расчеты!BX$1)</f>
        <v>380</v>
      </c>
      <c r="BY122" s="94">
        <f>SUMIFS(Свод!$BL$6:$BL$455,Свод!$G$6:$G$455,Расчеты!BY$1)</f>
        <v>481</v>
      </c>
      <c r="BZ122" s="94">
        <f>SUMIFS(Свод!$BL$6:$BL$455,Свод!$G$6:$G$455,Расчеты!BZ$1)</f>
        <v>459</v>
      </c>
      <c r="CA122" s="94">
        <f>SUMIFS(Свод!$BL$6:$BL$455,Свод!$G$6:$G$455,Расчеты!CA$1)</f>
        <v>466</v>
      </c>
      <c r="CB122" s="94">
        <f>SUMIFS(Свод!$BL$6:$BL$455,Свод!$G$6:$G$455,Расчеты!CB$1)</f>
        <v>192</v>
      </c>
      <c r="CC122" s="94">
        <f>SUMIFS(Свод!$BL$6:$BL$455,Свод!$G$6:$G$455,Расчеты!CC$1)</f>
        <v>99</v>
      </c>
      <c r="CD122" s="94">
        <f>SUMIFS(Свод!$BL$6:$BL$455,Свод!$G$6:$G$455,Расчеты!CD$1)</f>
        <v>0</v>
      </c>
      <c r="CE122" s="94">
        <f>SUMIFS(Свод!$BL$6:$BL$455,Свод!$G$6:$G$455,Расчеты!CE$1)</f>
        <v>15</v>
      </c>
      <c r="CF122" s="94">
        <f>SUMIFS(Свод!$BL$6:$BL$455,Свод!$G$6:$G$455,Расчеты!CF$1)</f>
        <v>425</v>
      </c>
      <c r="CG122" s="94">
        <f>SUMIFS(Свод!$BL$6:$BL$455,Свод!$G$6:$G$455,Расчеты!CG$1)</f>
        <v>648</v>
      </c>
      <c r="CH122" s="94">
        <f>SUMIFS(Свод!$BL$6:$BL$455,Свод!$G$6:$G$455,Расчеты!CH$1)</f>
        <v>4433</v>
      </c>
      <c r="CI122" s="94">
        <f>SUMIFS(Свод!$BL$6:$BL$455,Свод!$G$6:$G$455,Расчеты!CI$1)</f>
        <v>397</v>
      </c>
      <c r="CJ122" s="94">
        <f>SUMIFS(Свод!$BL$6:$BL$455,Свод!$G$6:$G$455,Расчеты!CJ$1)</f>
        <v>108</v>
      </c>
      <c r="CK122" s="94">
        <f>SUMIFS(Свод!$BL$6:$BL$455,Свод!$G$6:$G$455,Расчеты!CK$1)</f>
        <v>1104</v>
      </c>
      <c r="CL122" s="94">
        <f>SUMIFS(Свод!$BL$6:$BL$455,Свод!$G$6:$G$455,Расчеты!CL$1)</f>
        <v>0</v>
      </c>
      <c r="CM122" s="94">
        <f>SUMIFS(Свод!$BL$6:$BL$455,Свод!$G$6:$G$455,Расчеты!CM$1)</f>
        <v>224</v>
      </c>
      <c r="CN122" s="94">
        <f>SUMIFS(Свод!$BL$6:$BL$455,Свод!$G$6:$G$455,Расчеты!CN$1)</f>
        <v>863</v>
      </c>
      <c r="CO122" s="94">
        <f>SUMIFS(Свод!$BL$6:$BL$455,Свод!$G$6:$G$455,Расчеты!CO$1)</f>
        <v>777</v>
      </c>
      <c r="CP122" s="94">
        <f>SUMIFS(Свод!$BL$6:$BL$455,Свод!$G$6:$G$455,Расчеты!CP$1)</f>
        <v>977</v>
      </c>
      <c r="CQ122" s="94">
        <f>SUMIFS(Свод!$BL$6:$BL$455,Свод!$G$6:$G$455,Расчеты!CQ$1)</f>
        <v>0</v>
      </c>
      <c r="CR122" s="94">
        <f>SUMIFS(Свод!$BL$6:$BL$455,Свод!$G$6:$G$455,Расчеты!CR$1)</f>
        <v>106</v>
      </c>
      <c r="CS122" s="94">
        <f>SUMIFS(Свод!$BL$6:$BL$455,Свод!$G$6:$G$455,Расчеты!CS$1)</f>
        <v>754</v>
      </c>
      <c r="CT122" s="94">
        <f>SUMIFS(Свод!$BL$6:$BL$455,Свод!$G$6:$G$455,Расчеты!CT$1)</f>
        <v>9</v>
      </c>
      <c r="CU122" s="94">
        <f>SUMIFS(Свод!$BL$6:$BL$455,Свод!$G$6:$G$455,Расчеты!CU$1)</f>
        <v>961</v>
      </c>
      <c r="CV122" s="94">
        <f>SUMIFS(Свод!$BL$6:$BL$455,Свод!$G$6:$G$455,Расчеты!CV$1)</f>
        <v>26</v>
      </c>
      <c r="CW122" s="94">
        <f>SUMIFS(Свод!$BL$6:$BL$455,Свод!$G$6:$G$455,Расчеты!CW$1)</f>
        <v>364</v>
      </c>
      <c r="CX122" s="94">
        <f>SUMIFS(Свод!$BL$6:$BL$455,Свод!$G$6:$G$455,Расчеты!CX$1)</f>
        <v>467</v>
      </c>
    </row>
    <row r="123" spans="1:102" ht="51" x14ac:dyDescent="0.2">
      <c r="A123" s="1237"/>
      <c r="B123" s="1237"/>
      <c r="C123" s="97" t="s">
        <v>8886</v>
      </c>
      <c r="D123" s="97">
        <v>94</v>
      </c>
      <c r="E123" s="502" t="s">
        <v>9097</v>
      </c>
      <c r="F123" s="97" t="s">
        <v>9098</v>
      </c>
      <c r="G123" s="513" t="s">
        <v>9096</v>
      </c>
      <c r="H123" s="513" t="s">
        <v>8895</v>
      </c>
      <c r="I123" s="97"/>
      <c r="J123" s="97"/>
      <c r="K123" s="97"/>
      <c r="L123" s="97">
        <v>13964</v>
      </c>
      <c r="M123" s="97">
        <v>18725</v>
      </c>
      <c r="N123" s="99">
        <v>20369</v>
      </c>
      <c r="O123" s="94">
        <v>21151</v>
      </c>
      <c r="P123" s="606">
        <v>28717</v>
      </c>
      <c r="Q123" s="94">
        <f>SUM(R123:CX123)</f>
        <v>28070</v>
      </c>
      <c r="R123" s="94">
        <f>SUMIFS(Свод!$BM$6:$BM$455,Свод!$G$6:$G$455,Расчеты!R$1)</f>
        <v>16</v>
      </c>
      <c r="S123" s="94">
        <f>SUMIFS(Свод!$BM$6:$BM$455,Свод!$G$6:$G$455,Расчеты!S$1)</f>
        <v>28</v>
      </c>
      <c r="T123" s="94">
        <f>SUMIFS(Свод!$BM$6:$BM$455,Свод!$G$6:$G$455,Расчеты!T$1)</f>
        <v>504</v>
      </c>
      <c r="U123" s="94">
        <f>SUMIFS(Свод!$BM$6:$BM$455,Свод!$G$6:$G$455,Расчеты!U$1)</f>
        <v>132</v>
      </c>
      <c r="V123" s="94">
        <f>SUMIFS(Свод!$BM$6:$BM$455,Свод!$G$6:$G$455,Расчеты!V$1)</f>
        <v>56</v>
      </c>
      <c r="W123" s="94">
        <f>SUMIFS(Свод!$BM$6:$BM$455,Свод!$G$6:$G$455,Расчеты!W$1)</f>
        <v>31</v>
      </c>
      <c r="X123" s="94">
        <f>SUMIFS(Свод!$BM$6:$BM$455,Свод!$G$6:$G$455,Расчеты!X$1)</f>
        <v>1645</v>
      </c>
      <c r="Y123" s="94">
        <f>SUMIFS(Свод!$BM$6:$BM$455,Свод!$G$6:$G$455,Расчеты!Y$1)</f>
        <v>1180</v>
      </c>
      <c r="Z123" s="94">
        <f>SUMIFS(Свод!$BM$6:$BM$455,Свод!$G$6:$G$455,Расчеты!Z$1)</f>
        <v>129</v>
      </c>
      <c r="AA123" s="94">
        <f>SUMIFS(Свод!$BM$6:$BM$455,Свод!$G$6:$G$455,Расчеты!AA$1)</f>
        <v>1070</v>
      </c>
      <c r="AB123" s="94">
        <f>SUMIFS(Свод!$BM$6:$BM$455,Свод!$G$6:$G$455,Расчеты!AB$1)</f>
        <v>185</v>
      </c>
      <c r="AC123" s="94">
        <f>SUMIFS(Свод!$BM$6:$BM$455,Свод!$G$6:$G$455,Расчеты!AC$1)</f>
        <v>534</v>
      </c>
      <c r="AD123" s="94">
        <f>SUMIFS(Свод!$BM$6:$BM$455,Свод!$G$6:$G$455,Расчеты!AD$1)</f>
        <v>1362</v>
      </c>
      <c r="AE123" s="94">
        <f>SUMIFS(Свод!$BM$6:$BM$455,Свод!$G$6:$G$455,Расчеты!AE$1)</f>
        <v>315</v>
      </c>
      <c r="AF123" s="94">
        <f>SUMIFS(Свод!$BM$6:$BM$455,Свод!$G$6:$G$455,Расчеты!AF$1)</f>
        <v>143</v>
      </c>
      <c r="AG123" s="94">
        <f>SUMIFS(Свод!$BM$6:$BM$455,Свод!$G$6:$G$455,Расчеты!AG$1)</f>
        <v>0</v>
      </c>
      <c r="AH123" s="94">
        <f>SUMIFS(Свод!$BM$6:$BM$455,Свод!$G$6:$G$455,Расчеты!AH$1)</f>
        <v>82</v>
      </c>
      <c r="AI123" s="94">
        <f>SUMIFS(Свод!$BM$6:$BM$455,Свод!$G$6:$G$455,Расчеты!AI$1)</f>
        <v>132</v>
      </c>
      <c r="AJ123" s="94">
        <f>SUMIFS(Свод!$BM$6:$BM$455,Свод!$G$6:$G$455,Расчеты!AJ$1)</f>
        <v>0</v>
      </c>
      <c r="AK123" s="94">
        <f>SUMIFS(Свод!$BM$6:$BM$455,Свод!$G$6:$G$455,Расчеты!AK$1)</f>
        <v>1359</v>
      </c>
      <c r="AL123" s="94">
        <f>SUMIFS(Свод!$BM$6:$BM$455,Свод!$G$6:$G$455,Расчеты!AL$1)</f>
        <v>0</v>
      </c>
      <c r="AM123" s="94">
        <f>SUMIFS(Свод!$BM$6:$BM$455,Свод!$G$6:$G$455,Расчеты!AM$1)</f>
        <v>327</v>
      </c>
      <c r="AN123" s="94">
        <f>SUMIFS(Свод!$BM$6:$BM$455,Свод!$G$6:$G$455,Расчеты!AN$1)</f>
        <v>55</v>
      </c>
      <c r="AO123" s="94">
        <f>SUMIFS(Свод!$BM$6:$BM$455,Свод!$G$6:$G$455,Расчеты!AO$1)</f>
        <v>340</v>
      </c>
      <c r="AP123" s="94">
        <f>SUMIFS(Свод!$BM$6:$BM$455,Свод!$G$6:$G$455,Расчеты!AP$1)</f>
        <v>0</v>
      </c>
      <c r="AQ123" s="94">
        <f>SUMIFS(Свод!$BM$6:$BM$455,Свод!$G$6:$G$455,Расчеты!AQ$1)</f>
        <v>0</v>
      </c>
      <c r="AR123" s="94">
        <f>SUMIFS(Свод!$BM$6:$BM$455,Свод!$G$6:$G$455,Расчеты!AR$1)</f>
        <v>310</v>
      </c>
      <c r="AS123" s="94">
        <f>SUMIFS(Свод!$BM$6:$BM$455,Свод!$G$6:$G$455,Расчеты!AS$1)</f>
        <v>125</v>
      </c>
      <c r="AT123" s="94">
        <f>SUMIFS(Свод!$BM$6:$BM$455,Свод!$G$6:$G$455,Расчеты!AT$1)</f>
        <v>339</v>
      </c>
      <c r="AU123" s="94">
        <f>SUMIFS(Свод!$BM$6:$BM$455,Свод!$G$6:$G$455,Расчеты!AU$1)</f>
        <v>683</v>
      </c>
      <c r="AV123" s="94">
        <f>SUMIFS(Свод!$BM$6:$BM$455,Свод!$G$6:$G$455,Расчеты!AV$1)</f>
        <v>333</v>
      </c>
      <c r="AW123" s="94">
        <f>SUMIFS(Свод!$BM$6:$BM$455,Свод!$G$6:$G$455,Расчеты!AW$1)</f>
        <v>696</v>
      </c>
      <c r="AX123" s="94">
        <f>SUMIFS(Свод!$BM$6:$BM$455,Свод!$G$6:$G$455,Расчеты!AX$1)</f>
        <v>259</v>
      </c>
      <c r="AY123" s="94">
        <f>SUMIFS(Свод!$BM$6:$BM$455,Свод!$G$6:$G$455,Расчеты!AY$1)</f>
        <v>23</v>
      </c>
      <c r="AZ123" s="94">
        <f>SUMIFS(Свод!$BM$6:$BM$455,Свод!$G$6:$G$455,Расчеты!AZ$1)</f>
        <v>372</v>
      </c>
      <c r="BA123" s="94">
        <f>SUMIFS(Свод!$BM$6:$BM$455,Свод!$G$6:$G$455,Расчеты!BA$1)</f>
        <v>84</v>
      </c>
      <c r="BB123" s="94">
        <f>SUMIFS(Свод!$BM$6:$BM$455,Свод!$G$6:$G$455,Расчеты!BB$1)</f>
        <v>496</v>
      </c>
      <c r="BC123" s="94">
        <f>SUMIFS(Свод!$BM$6:$BM$455,Свод!$G$6:$G$455,Расчеты!BC$1)</f>
        <v>12</v>
      </c>
      <c r="BD123" s="94">
        <f>SUMIFS(Свод!$BM$6:$BM$455,Свод!$G$6:$G$455,Расчеты!BD$1)</f>
        <v>3</v>
      </c>
      <c r="BE123" s="94">
        <f>SUMIFS(Свод!$BM$6:$BM$455,Свод!$G$6:$G$455,Расчеты!BE$1)</f>
        <v>141</v>
      </c>
      <c r="BF123" s="94">
        <f>SUMIFS(Свод!$BM$6:$BM$455,Свод!$G$6:$G$455,Расчеты!BF$1)</f>
        <v>0</v>
      </c>
      <c r="BG123" s="94">
        <f>SUMIFS(Свод!$BM$6:$BM$455,Свод!$G$6:$G$455,Расчеты!BG$1)</f>
        <v>0</v>
      </c>
      <c r="BH123" s="94">
        <f>SUMIFS(Свод!$BM$6:$BM$455,Свод!$G$6:$G$455,Расчеты!BH$1)</f>
        <v>465</v>
      </c>
      <c r="BI123" s="94">
        <f>SUMIFS(Свод!$BM$6:$BM$455,Свод!$G$6:$G$455,Расчеты!BI$1)</f>
        <v>54</v>
      </c>
      <c r="BJ123" s="94">
        <f>SUMIFS(Свод!$BM$6:$BM$455,Свод!$G$6:$G$455,Расчеты!BJ$1)</f>
        <v>17</v>
      </c>
      <c r="BK123" s="94">
        <f>SUMIFS(Свод!$BM$6:$BM$455,Свод!$G$6:$G$455,Расчеты!BK$1)</f>
        <v>466</v>
      </c>
      <c r="BL123" s="94">
        <f>SUMIFS(Свод!$BM$6:$BM$455,Свод!$G$6:$G$455,Расчеты!BL$1)</f>
        <v>582</v>
      </c>
      <c r="BM123" s="94">
        <f>SUMIFS(Свод!$BM$6:$BM$455,Свод!$G$6:$G$455,Расчеты!BM$1)</f>
        <v>230</v>
      </c>
      <c r="BN123" s="94">
        <f>SUMIFS(Свод!$BM$6:$BM$455,Свод!$G$6:$G$455,Расчеты!BN$1)</f>
        <v>227</v>
      </c>
      <c r="BO123" s="94">
        <f>SUMIFS(Свод!$BM$6:$BM$455,Свод!$G$6:$G$455,Расчеты!BO$1)</f>
        <v>313</v>
      </c>
      <c r="BP123" s="94">
        <f>SUMIFS(Свод!$BM$6:$BM$455,Свод!$G$6:$G$455,Расчеты!BP$1)</f>
        <v>183</v>
      </c>
      <c r="BQ123" s="94">
        <f>SUMIFS(Свод!$BM$6:$BM$455,Свод!$G$6:$G$455,Расчеты!BQ$1)</f>
        <v>30</v>
      </c>
      <c r="BR123" s="94">
        <f>SUMIFS(Свод!$BM$6:$BM$455,Свод!$G$6:$G$455,Расчеты!BR$1)</f>
        <v>248</v>
      </c>
      <c r="BS123" s="94">
        <f>SUMIFS(Свод!$BM$6:$BM$455,Свод!$G$6:$G$455,Расчеты!BS$1)</f>
        <v>237</v>
      </c>
      <c r="BT123" s="94">
        <f>SUMIFS(Свод!$BM$6:$BM$455,Свод!$G$6:$G$455,Расчеты!BT$1)</f>
        <v>224</v>
      </c>
      <c r="BU123" s="94">
        <f>SUMIFS(Свод!$BM$6:$BM$455,Свод!$G$6:$G$455,Расчеты!BU$1)</f>
        <v>316</v>
      </c>
      <c r="BV123" s="94">
        <f>SUMIFS(Свод!$BM$6:$BM$455,Свод!$G$6:$G$455,Расчеты!BV$1)</f>
        <v>286</v>
      </c>
      <c r="BW123" s="94">
        <f>SUMIFS(Свод!$BM$6:$BM$455,Свод!$G$6:$G$455,Расчеты!BW$1)</f>
        <v>348</v>
      </c>
      <c r="BX123" s="94">
        <f>SUMIFS(Свод!$BM$6:$BM$455,Свод!$G$6:$G$455,Расчеты!BX$1)</f>
        <v>36</v>
      </c>
      <c r="BY123" s="94">
        <f>SUMIFS(Свод!$BM$6:$BM$455,Свод!$G$6:$G$455,Расчеты!BY$1)</f>
        <v>271</v>
      </c>
      <c r="BZ123" s="94">
        <f>SUMIFS(Свод!$BM$6:$BM$455,Свод!$G$6:$G$455,Расчеты!BZ$1)</f>
        <v>332</v>
      </c>
      <c r="CA123" s="94">
        <f>SUMIFS(Свод!$BM$6:$BM$455,Свод!$G$6:$G$455,Расчеты!CA$1)</f>
        <v>183</v>
      </c>
      <c r="CB123" s="94">
        <f>SUMIFS(Свод!$BM$6:$BM$455,Свод!$G$6:$G$455,Расчеты!CB$1)</f>
        <v>227</v>
      </c>
      <c r="CC123" s="94">
        <f>SUMIFS(Свод!$BM$6:$BM$455,Свод!$G$6:$G$455,Расчеты!CC$1)</f>
        <v>50</v>
      </c>
      <c r="CD123" s="94">
        <f>SUMIFS(Свод!$BM$6:$BM$455,Свод!$G$6:$G$455,Расчеты!CD$1)</f>
        <v>3</v>
      </c>
      <c r="CE123" s="94">
        <f>SUMIFS(Свод!$BM$6:$BM$455,Свод!$G$6:$G$455,Расчеты!CE$1)</f>
        <v>4</v>
      </c>
      <c r="CF123" s="94">
        <f>SUMIFS(Свод!$BM$6:$BM$455,Свод!$G$6:$G$455,Расчеты!CF$1)</f>
        <v>303</v>
      </c>
      <c r="CG123" s="94">
        <f>SUMIFS(Свод!$BM$6:$BM$455,Свод!$G$6:$G$455,Расчеты!CG$1)</f>
        <v>524</v>
      </c>
      <c r="CH123" s="94">
        <f>SUMIFS(Свод!$BM$6:$BM$455,Свод!$G$6:$G$455,Расчеты!CH$1)</f>
        <v>4433</v>
      </c>
      <c r="CI123" s="94">
        <f>SUMIFS(Свод!$BM$6:$BM$455,Свод!$G$6:$G$455,Расчеты!CI$1)</f>
        <v>277</v>
      </c>
      <c r="CJ123" s="94">
        <f>SUMIFS(Свод!$BM$6:$BM$455,Свод!$G$6:$G$455,Расчеты!CJ$1)</f>
        <v>70</v>
      </c>
      <c r="CK123" s="94">
        <f>SUMIFS(Свод!$BM$6:$BM$455,Свод!$G$6:$G$455,Расчеты!CK$1)</f>
        <v>249</v>
      </c>
      <c r="CL123" s="94">
        <f>SUMIFS(Свод!$BM$6:$BM$455,Свод!$G$6:$G$455,Расчеты!CL$1)</f>
        <v>0</v>
      </c>
      <c r="CM123" s="94">
        <f>SUMIFS(Свод!$BM$6:$BM$455,Свод!$G$6:$G$455,Расчеты!CM$1)</f>
        <v>86</v>
      </c>
      <c r="CN123" s="94">
        <f>SUMIFS(Свод!$BM$6:$BM$455,Свод!$G$6:$G$455,Расчеты!CN$1)</f>
        <v>418</v>
      </c>
      <c r="CO123" s="94">
        <f>SUMIFS(Свод!$BM$6:$BM$455,Свод!$G$6:$G$455,Расчеты!CO$1)</f>
        <v>171</v>
      </c>
      <c r="CP123" s="94">
        <f>SUMIFS(Свод!$BM$6:$BM$455,Свод!$G$6:$G$455,Расчеты!CP$1)</f>
        <v>407</v>
      </c>
      <c r="CQ123" s="94">
        <f>SUMIFS(Свод!$BM$6:$BM$455,Свод!$G$6:$G$455,Расчеты!CQ$1)</f>
        <v>0</v>
      </c>
      <c r="CR123" s="94">
        <f>SUMIFS(Свод!$BM$6:$BM$455,Свод!$G$6:$G$455,Расчеты!CR$1)</f>
        <v>78</v>
      </c>
      <c r="CS123" s="94">
        <f>SUMIFS(Свод!$BM$6:$BM$455,Свод!$G$6:$G$455,Расчеты!CS$1)</f>
        <v>509</v>
      </c>
      <c r="CT123" s="94">
        <f>SUMIFS(Свод!$BM$6:$BM$455,Свод!$G$6:$G$455,Расчеты!CT$1)</f>
        <v>6</v>
      </c>
      <c r="CU123" s="94">
        <f>SUMIFS(Свод!$BM$6:$BM$455,Свод!$G$6:$G$455,Расчеты!CU$1)</f>
        <v>961</v>
      </c>
      <c r="CV123" s="94">
        <f>SUMIFS(Свод!$BM$6:$BM$455,Свод!$G$6:$G$455,Расчеты!CV$1)</f>
        <v>22</v>
      </c>
      <c r="CW123" s="94">
        <f>SUMIFS(Свод!$BM$6:$BM$455,Свод!$G$6:$G$455,Расчеты!CW$1)</f>
        <v>261</v>
      </c>
      <c r="CX123" s="94">
        <f>SUMIFS(Свод!$BM$6:$BM$455,Свод!$G$6:$G$455,Расчеты!CX$1)</f>
        <v>462</v>
      </c>
    </row>
    <row r="124" spans="1:102" ht="68" x14ac:dyDescent="0.2">
      <c r="A124" s="1237"/>
      <c r="B124" s="1237"/>
      <c r="C124" s="97" t="s">
        <v>8886</v>
      </c>
      <c r="D124" s="97">
        <v>97</v>
      </c>
      <c r="E124" s="502" t="s">
        <v>9099</v>
      </c>
      <c r="F124" s="97" t="s">
        <v>9100</v>
      </c>
      <c r="G124" s="513" t="s">
        <v>64</v>
      </c>
      <c r="H124" s="513" t="s">
        <v>8890</v>
      </c>
      <c r="I124" s="97"/>
      <c r="J124" s="97"/>
      <c r="K124" s="97"/>
      <c r="L124" s="97" t="s">
        <v>4906</v>
      </c>
      <c r="M124" s="516">
        <v>0.24158415841584158</v>
      </c>
      <c r="N124" s="605">
        <v>0.15998950027889886</v>
      </c>
      <c r="P124" s="94" t="s">
        <v>8931</v>
      </c>
    </row>
    <row r="125" spans="1:102" ht="68" x14ac:dyDescent="0.2">
      <c r="A125" s="1237"/>
      <c r="B125" s="1237"/>
      <c r="C125" s="97" t="s">
        <v>8886</v>
      </c>
      <c r="D125" s="97">
        <v>95</v>
      </c>
      <c r="E125" s="502" t="s">
        <v>9101</v>
      </c>
      <c r="F125" s="97" t="s">
        <v>9102</v>
      </c>
      <c r="G125" s="513" t="s">
        <v>64</v>
      </c>
      <c r="H125" s="513" t="s">
        <v>8890</v>
      </c>
      <c r="I125" s="97"/>
      <c r="J125" s="97"/>
      <c r="K125" s="97"/>
      <c r="L125" s="516">
        <v>0.62751089740709121</v>
      </c>
      <c r="M125" s="516">
        <v>0.9776025895374334</v>
      </c>
      <c r="N125" s="605">
        <v>0.83547990155865459</v>
      </c>
      <c r="P125" s="94" t="s">
        <v>8931</v>
      </c>
    </row>
    <row r="126" spans="1:102" ht="51" x14ac:dyDescent="0.2">
      <c r="A126" s="1237"/>
      <c r="B126" s="1237"/>
      <c r="C126" s="97" t="s">
        <v>8886</v>
      </c>
      <c r="D126" s="97">
        <v>98</v>
      </c>
      <c r="E126" s="502" t="s">
        <v>9103</v>
      </c>
      <c r="F126" s="97" t="s">
        <v>9104</v>
      </c>
      <c r="G126" s="513" t="s">
        <v>64</v>
      </c>
      <c r="H126" s="513" t="s">
        <v>8890</v>
      </c>
      <c r="I126" s="97"/>
      <c r="J126" s="97"/>
      <c r="K126" s="97"/>
      <c r="L126" s="516" t="s">
        <v>4906</v>
      </c>
      <c r="M126" s="516">
        <v>0.23617329885854826</v>
      </c>
      <c r="N126" s="605">
        <v>0.13366801194343275</v>
      </c>
      <c r="P126" s="94" t="s">
        <v>8931</v>
      </c>
    </row>
    <row r="127" spans="1:102" ht="34" x14ac:dyDescent="0.2">
      <c r="A127" s="1238" t="s">
        <v>8897</v>
      </c>
      <c r="B127" s="1237" t="s">
        <v>9105</v>
      </c>
      <c r="C127" s="97" t="s">
        <v>8886</v>
      </c>
      <c r="D127" s="97">
        <v>96</v>
      </c>
      <c r="E127" s="502" t="s">
        <v>9106</v>
      </c>
      <c r="F127" s="97" t="s">
        <v>9580</v>
      </c>
      <c r="G127" s="513" t="s">
        <v>9107</v>
      </c>
      <c r="H127" s="513" t="s">
        <v>8895</v>
      </c>
      <c r="I127" s="97"/>
      <c r="J127" s="97"/>
      <c r="K127" s="97"/>
      <c r="L127" s="97">
        <v>29121.573000000004</v>
      </c>
      <c r="M127" s="97">
        <v>27775.256799999999</v>
      </c>
      <c r="N127" s="610"/>
      <c r="O127" s="94">
        <v>56498.659140640004</v>
      </c>
      <c r="P127" s="606">
        <v>50212.885571650833</v>
      </c>
      <c r="Q127" s="94">
        <f>SUM(R127:CX127)</f>
        <v>49359.562999999995</v>
      </c>
      <c r="R127" s="94">
        <f>SUMIFS(Свод!$CN$6:$CN$455,Свод!$G$6:$G$455,Расчеты!R$1)</f>
        <v>86.11</v>
      </c>
      <c r="S127" s="94">
        <f>SUMIFS(Свод!$CN$6:$CN$455,Свод!$G$6:$G$455,Расчеты!S$1)</f>
        <v>126.286</v>
      </c>
      <c r="T127" s="94">
        <f>SUMIFS(Свод!$CN$6:$CN$455,Свод!$G$6:$G$455,Расчеты!T$1)</f>
        <v>353.96199999999999</v>
      </c>
      <c r="U127" s="94">
        <f>SUMIFS(Свод!$CN$6:$CN$455,Свод!$G$6:$G$455,Расчеты!U$1)</f>
        <v>88.3</v>
      </c>
      <c r="V127" s="94">
        <f>SUMIFS(Свод!$CN$6:$CN$455,Свод!$G$6:$G$455,Расчеты!V$1)</f>
        <v>15.077999999999999</v>
      </c>
      <c r="W127" s="94">
        <f>SUMIFS(Свод!$CN$6:$CN$455,Свод!$G$6:$G$455,Расчеты!W$1)</f>
        <v>0</v>
      </c>
      <c r="X127" s="94">
        <f>SUMIFS(Свод!$CN$6:$CN$455,Свод!$G$6:$G$455,Расчеты!X$1)</f>
        <v>968.97300000000007</v>
      </c>
      <c r="Y127" s="94">
        <f>SUMIFS(Свод!$CN$6:$CN$455,Свод!$G$6:$G$455,Расчеты!Y$1)</f>
        <v>841.38400000000001</v>
      </c>
      <c r="Z127" s="94">
        <f>SUMIFS(Свод!$CN$6:$CN$455,Свод!$G$6:$G$455,Расчеты!Z$1)</f>
        <v>303.60000000000002</v>
      </c>
      <c r="AA127" s="94">
        <f>SUMIFS(Свод!$CN$6:$CN$455,Свод!$G$6:$G$455,Расчеты!AA$1)</f>
        <v>260</v>
      </c>
      <c r="AB127" s="504">
        <v>1323.6590000000001</v>
      </c>
      <c r="AC127" s="94">
        <f>SUMIFS(Свод!$CN$6:$CN$455,Свод!$G$6:$G$455,Расчеты!AC$1)</f>
        <v>0</v>
      </c>
      <c r="AD127" s="94">
        <f>SUMIFS(Свод!$CN$6:$CN$455,Свод!$G$6:$G$455,Расчеты!AD$1)</f>
        <v>437.65000000000003</v>
      </c>
      <c r="AE127" s="94">
        <f>SUMIFS(Свод!$CN$6:$CN$455,Свод!$G$6:$G$455,Расчеты!AE$1)</f>
        <v>2258.7200000000003</v>
      </c>
      <c r="AF127" s="94">
        <f>SUMIFS(Свод!$CN$6:$CN$455,Свод!$G$6:$G$455,Расчеты!AF$1)</f>
        <v>22.155999999999999</v>
      </c>
      <c r="AG127" s="94">
        <f>SUMIFS(Свод!$CN$6:$CN$455,Свод!$G$6:$G$455,Расчеты!AG$1)</f>
        <v>0</v>
      </c>
      <c r="AH127" s="504">
        <v>1043.5</v>
      </c>
      <c r="AI127" s="94">
        <f>SUMIFS(Свод!$CN$6:$CN$455,Свод!$G$6:$G$455,Расчеты!AI$1)</f>
        <v>513.4</v>
      </c>
      <c r="AJ127" s="94">
        <f>SUMIFS(Свод!$CN$6:$CN$455,Свод!$G$6:$G$455,Расчеты!AJ$1)</f>
        <v>0</v>
      </c>
      <c r="AK127" s="94">
        <f>SUMIFS(Свод!$CN$6:$CN$455,Свод!$G$6:$G$455,Расчеты!AK$1)</f>
        <v>1694.7080000000001</v>
      </c>
      <c r="AL127" s="94">
        <f>SUMIFS(Свод!$CN$6:$CN$455,Свод!$G$6:$G$455,Расчеты!AL$1)</f>
        <v>0</v>
      </c>
      <c r="AM127" s="94">
        <f>SUMIFS(Свод!$CN$6:$CN$455,Свод!$G$6:$G$455,Расчеты!AM$1)</f>
        <v>5.625</v>
      </c>
      <c r="AN127" s="94">
        <f>SUMIFS(Свод!$CN$6:$CN$455,Свод!$G$6:$G$455,Расчеты!AN$1)</f>
        <v>51.2</v>
      </c>
      <c r="AO127" s="94">
        <f>SUMIFS(Свод!$CN$6:$CN$455,Свод!$G$6:$G$455,Расчеты!AO$1)</f>
        <v>460.416</v>
      </c>
      <c r="AP127" s="94">
        <f>SUMIFS(Свод!$CN$6:$CN$455,Свод!$G$6:$G$455,Расчеты!AP$1)</f>
        <v>0</v>
      </c>
      <c r="AQ127" s="94">
        <f>SUMIFS(Свод!$CN$6:$CN$455,Свод!$G$6:$G$455,Расчеты!AQ$1)</f>
        <v>0</v>
      </c>
      <c r="AR127" s="504">
        <v>527.88</v>
      </c>
      <c r="AS127" s="94">
        <f>SUMIFS(Свод!$CN$6:$CN$455,Свод!$G$6:$G$455,Расчеты!AS$1)</f>
        <v>1821.8309999999999</v>
      </c>
      <c r="AT127" s="94">
        <f>SUMIFS(Свод!$CN$6:$CN$455,Свод!$G$6:$G$455,Расчеты!AT$1)</f>
        <v>334.75900000000001</v>
      </c>
      <c r="AU127" s="504">
        <v>734.36300000000006</v>
      </c>
      <c r="AV127" s="611">
        <v>620.77599999999995</v>
      </c>
      <c r="AW127" s="94">
        <f>SUMIFS(Свод!$CN$6:$CN$455,Свод!$G$6:$G$455,Расчеты!AW$1)</f>
        <v>1775.4669999999999</v>
      </c>
      <c r="AX127" s="94">
        <f>SUMIFS(Свод!$CN$6:$CN$455,Свод!$G$6:$G$455,Расчеты!AX$1)</f>
        <v>1016.3580000000002</v>
      </c>
      <c r="AY127" s="94">
        <f>SUMIFS(Свод!$CN$6:$CN$455,Свод!$G$6:$G$455,Расчеты!AY$1)</f>
        <v>1.968</v>
      </c>
      <c r="AZ127" s="94">
        <f>SUMIFS(Свод!$CN$6:$CN$455,Свод!$G$6:$G$455,Расчеты!AZ$1)</f>
        <v>572</v>
      </c>
      <c r="BA127" s="94">
        <f>SUMIFS(Свод!$CN$6:$CN$455,Свод!$G$6:$G$455,Расчеты!BA$1)</f>
        <v>101.60000000000001</v>
      </c>
      <c r="BB127" s="94">
        <f>SUMIFS(Свод!$CN$6:$CN$455,Свод!$G$6:$G$455,Расчеты!BB$1)</f>
        <v>712.78700000000003</v>
      </c>
      <c r="BC127" s="94">
        <f>SUMIFS(Свод!$CN$6:$CN$455,Свод!$G$6:$G$455,Расчеты!BC$1)</f>
        <v>123.705</v>
      </c>
      <c r="BD127" s="94">
        <f>SUMIFS(Свод!$CN$6:$CN$455,Свод!$G$6:$G$455,Расчеты!BD$1)</f>
        <v>12.448</v>
      </c>
      <c r="BE127" s="504">
        <v>671.45500000000004</v>
      </c>
      <c r="BF127" s="94">
        <f>SUMIFS(Свод!$CN$6:$CN$455,Свод!$G$6:$G$455,Расчеты!BF$1)</f>
        <v>0</v>
      </c>
      <c r="BG127" s="94">
        <f>SUMIFS(Свод!$CN$6:$CN$455,Свод!$G$6:$G$455,Расчеты!BG$1)</f>
        <v>0</v>
      </c>
      <c r="BH127" s="94">
        <f>SUMIFS(Свод!$CN$6:$CN$455,Свод!$G$6:$G$455,Расчеты!BH$1)</f>
        <v>0</v>
      </c>
      <c r="BI127" s="94">
        <f>SUMIFS(Свод!$CN$6:$CN$455,Свод!$G$6:$G$455,Расчеты!BI$1)</f>
        <v>182.94900000000001</v>
      </c>
      <c r="BJ127" s="94">
        <f>SUMIFS(Свод!$CN$6:$CN$455,Свод!$G$6:$G$455,Расчеты!BJ$1)</f>
        <v>12.776999999999999</v>
      </c>
      <c r="BK127" s="94">
        <f>SUMIFS(Свод!$CN$6:$CN$455,Свод!$G$6:$G$455,Расчеты!BK$1)</f>
        <v>1120.4900000000002</v>
      </c>
      <c r="BL127" s="94">
        <f>SUMIFS(Свод!$CN$6:$CN$455,Свод!$G$6:$G$455,Расчеты!BL$1)</f>
        <v>569.39300000000003</v>
      </c>
      <c r="BM127" s="94">
        <f>SUMIFS(Свод!$CN$6:$CN$455,Свод!$G$6:$G$455,Расчеты!BM$1)</f>
        <v>450.6</v>
      </c>
      <c r="BN127" s="94">
        <f>SUMIFS(Свод!$CN$6:$CN$455,Свод!$G$6:$G$455,Расчеты!BN$1)</f>
        <v>98.705000000000013</v>
      </c>
      <c r="BO127" s="94">
        <f>SUMIFS(Свод!$CN$6:$CN$455,Свод!$G$6:$G$455,Расчеты!BO$1)</f>
        <v>318.33600000000001</v>
      </c>
      <c r="BP127" s="94">
        <f>SUMIFS(Свод!$CN$6:$CN$455,Свод!$G$6:$G$455,Расчеты!BP$1)</f>
        <v>583.10900000000004</v>
      </c>
      <c r="BQ127" s="94">
        <f>SUMIFS(Свод!$CN$6:$CN$455,Свод!$G$6:$G$455,Расчеты!BQ$1)</f>
        <v>14</v>
      </c>
      <c r="BR127" s="94">
        <f>SUMIFS(Свод!$CN$6:$CN$455,Свод!$G$6:$G$455,Расчеты!BR$1)</f>
        <v>404.70699999999999</v>
      </c>
      <c r="BS127" s="94">
        <f>SUMIFS(Свод!$CN$6:$CN$455,Свод!$G$6:$G$455,Расчеты!BS$1)</f>
        <v>99.712000000000003</v>
      </c>
      <c r="BT127" s="94">
        <f>SUMIFS(Свод!$CN$6:$CN$455,Свод!$G$6:$G$455,Расчеты!BT$1)</f>
        <v>171.38200000000001</v>
      </c>
      <c r="BU127" s="94">
        <f>SUMIFS(Свод!$CN$6:$CN$455,Свод!$G$6:$G$455,Расчеты!BU$1)</f>
        <v>716.45899999999995</v>
      </c>
      <c r="BV127" s="94">
        <f>SUMIFS(Свод!$CN$6:$CN$455,Свод!$G$6:$G$455,Расчеты!BV$1)</f>
        <v>513.53800000000001</v>
      </c>
      <c r="BW127" s="504">
        <v>3164.384</v>
      </c>
      <c r="BX127" s="94">
        <f>SUMIFS(Свод!$CN$6:$CN$455,Свод!$G$6:$G$455,Расчеты!BX$1)</f>
        <v>2200.953</v>
      </c>
      <c r="BY127" s="94">
        <f>SUMIFS(Свод!$CN$6:$CN$455,Свод!$G$6:$G$455,Расчеты!BY$1)</f>
        <v>2286.4340000000002</v>
      </c>
      <c r="BZ127" s="94">
        <f>SUMIFS(Свод!$CN$6:$CN$455,Свод!$G$6:$G$455,Расчеты!BZ$1)</f>
        <v>658.5</v>
      </c>
      <c r="CA127" s="94">
        <f>SUMIFS(Свод!$CN$6:$CN$455,Свод!$G$6:$G$455,Расчеты!CA$1)</f>
        <v>0</v>
      </c>
      <c r="CB127" s="504">
        <v>4251.4260000000004</v>
      </c>
      <c r="CC127" s="94">
        <f>SUMIFS(Свод!$CN$6:$CN$455,Свод!$G$6:$G$455,Расчеты!CC$1)</f>
        <v>13.5</v>
      </c>
      <c r="CD127" s="94">
        <f>SUMIFS(Свод!$CN$6:$CN$455,Свод!$G$6:$G$455,Расчеты!CD$1)</f>
        <v>1.5</v>
      </c>
      <c r="CE127" s="94">
        <f>SUMIFS(Свод!$CN$6:$CN$455,Свод!$G$6:$G$455,Расчеты!CE$1)</f>
        <v>2</v>
      </c>
      <c r="CF127" s="94">
        <f>SUMIFS(Свод!$CN$6:$CN$455,Свод!$G$6:$G$455,Расчеты!CF$1)</f>
        <v>1119.865</v>
      </c>
      <c r="CG127" s="504">
        <v>979.17100000000005</v>
      </c>
      <c r="CH127" s="94">
        <f>SUMIFS(Свод!$CN$6:$CN$455,Свод!$G$6:$G$455,Расчеты!CH$1)</f>
        <v>1108.1020000000001</v>
      </c>
      <c r="CI127" s="94">
        <f>SUMIFS(Свод!$CN$6:$CN$455,Свод!$G$6:$G$455,Расчеты!CI$1)</f>
        <v>229.03</v>
      </c>
      <c r="CJ127" s="94">
        <f>SUMIFS(Свод!$CN$6:$CN$455,Свод!$G$6:$G$455,Расчеты!CJ$1)</f>
        <v>68.045000000000002</v>
      </c>
      <c r="CK127" s="94">
        <f>SUMIFS(Свод!$CN$6:$CN$455,Свод!$G$6:$G$455,Расчеты!CK$1)</f>
        <v>90.361000000000004</v>
      </c>
      <c r="CL127" s="94">
        <f>SUMIFS(Свод!$CN$6:$CN$455,Свод!$G$6:$G$455,Расчеты!CL$1)</f>
        <v>0</v>
      </c>
      <c r="CM127" s="94">
        <f>SUMIFS(Свод!$CN$6:$CN$455,Свод!$G$6:$G$455,Расчеты!CM$1)</f>
        <v>420.37900000000002</v>
      </c>
      <c r="CN127" s="94">
        <f>SUMIFS(Свод!$CN$6:$CN$455,Свод!$G$6:$G$455,Расчеты!CN$1)</f>
        <v>0.13700000000000001</v>
      </c>
      <c r="CO127" s="94">
        <f>SUMIFS(Свод!$CN$6:$CN$455,Свод!$G$6:$G$455,Расчеты!CO$1)</f>
        <v>518.30399999999986</v>
      </c>
      <c r="CP127" s="94">
        <f>SUMIFS(Свод!$CN$6:$CN$455,Свод!$G$6:$G$455,Расчеты!CP$1)</f>
        <v>182.46299999999999</v>
      </c>
      <c r="CQ127" s="94">
        <f>SUMIFS(Свод!$CN$6:$CN$455,Свод!$G$6:$G$455,Расчеты!CQ$1)</f>
        <v>0</v>
      </c>
      <c r="CR127" s="504">
        <v>1702.24</v>
      </c>
      <c r="CS127" s="94">
        <f>SUMIFS(Свод!$CN$6:$CN$455,Свод!$G$6:$G$455,Расчеты!CS$1)</f>
        <v>3135.3939999999998</v>
      </c>
      <c r="CT127" s="94">
        <f>SUMIFS(Свод!$CN$6:$CN$455,Свод!$G$6:$G$455,Расчеты!CT$1)</f>
        <v>21.643000000000001</v>
      </c>
      <c r="CU127" s="94">
        <f>SUMIFS(Свод!$CN$6:$CN$455,Свод!$G$6:$G$455,Расчеты!CU$1)</f>
        <v>769.19499999999994</v>
      </c>
      <c r="CV127" s="94">
        <f>SUMIFS(Свод!$CN$6:$CN$455,Свод!$G$6:$G$455,Расчеты!CV$1)</f>
        <v>37.231999999999999</v>
      </c>
      <c r="CW127" s="94">
        <f>SUMIFS(Свод!$CN$6:$CN$455,Свод!$G$6:$G$455,Расчеты!CW$1)</f>
        <v>453.98400000000004</v>
      </c>
      <c r="CX127" s="94">
        <f>SUMIFS(Свод!$CN$6:$CN$455,Свод!$G$6:$G$455,Расчеты!CX$1)</f>
        <v>807.04</v>
      </c>
    </row>
    <row r="128" spans="1:102" ht="106" customHeight="1" x14ac:dyDescent="0.2">
      <c r="A128" s="1237"/>
      <c r="B128" s="1237"/>
      <c r="C128" s="97" t="s">
        <v>8886</v>
      </c>
      <c r="D128" s="97">
        <v>97</v>
      </c>
      <c r="E128" s="502" t="s">
        <v>9108</v>
      </c>
      <c r="F128" s="97" t="s">
        <v>9581</v>
      </c>
      <c r="G128" s="513" t="s">
        <v>64</v>
      </c>
      <c r="H128" s="513" t="s">
        <v>8890</v>
      </c>
      <c r="I128" s="97"/>
      <c r="J128" s="97"/>
      <c r="K128" s="97"/>
      <c r="L128" s="97">
        <v>0.30423266850489755</v>
      </c>
      <c r="M128" s="97">
        <v>0.23273051478324078</v>
      </c>
      <c r="N128" s="572">
        <v>0.34298511101524443</v>
      </c>
      <c r="O128" s="573">
        <v>0.43156771717690168</v>
      </c>
      <c r="P128" s="595">
        <v>0.40394811834105815</v>
      </c>
      <c r="Q128" s="573">
        <f>Q127/Q130</f>
        <v>0.38916691784160268</v>
      </c>
      <c r="R128" s="573">
        <f>R127/R130</f>
        <v>0.18392105769025396</v>
      </c>
      <c r="S128" s="573">
        <f t="shared" ref="S128:CD128" si="27">S127/S130</f>
        <v>0.56998812957270972</v>
      </c>
      <c r="T128" s="573">
        <f t="shared" si="27"/>
        <v>0.15605558467828157</v>
      </c>
      <c r="U128" s="573">
        <f t="shared" si="27"/>
        <v>0.1143042071197411</v>
      </c>
      <c r="V128" s="573">
        <f t="shared" si="27"/>
        <v>1.563895362767093E-2</v>
      </c>
      <c r="W128" s="573">
        <f>W127/W130</f>
        <v>0</v>
      </c>
      <c r="X128" s="573">
        <f t="shared" si="27"/>
        <v>0.23681885492326882</v>
      </c>
      <c r="Y128" s="573">
        <f t="shared" si="27"/>
        <v>0.54760990480752592</v>
      </c>
      <c r="Z128" s="573">
        <f t="shared" si="27"/>
        <v>0.2599315068493151</v>
      </c>
      <c r="AA128" s="573">
        <f t="shared" si="27"/>
        <v>0.26460411154081009</v>
      </c>
      <c r="AB128" s="573">
        <f t="shared" si="27"/>
        <v>1</v>
      </c>
      <c r="AC128" s="573">
        <f t="shared" si="27"/>
        <v>0</v>
      </c>
      <c r="AD128" s="573">
        <f t="shared" si="27"/>
        <v>0.38443497326128057</v>
      </c>
      <c r="AE128" s="573">
        <f t="shared" si="27"/>
        <v>0.98734175001901503</v>
      </c>
      <c r="AF128" s="573">
        <f t="shared" si="27"/>
        <v>7.0250490114168139E-3</v>
      </c>
      <c r="AG128" s="573" t="e">
        <f t="shared" si="27"/>
        <v>#DIV/0!</v>
      </c>
      <c r="AH128" s="573">
        <f t="shared" si="27"/>
        <v>1</v>
      </c>
      <c r="AI128" s="573">
        <f t="shared" si="27"/>
        <v>0.52553029015741337</v>
      </c>
      <c r="AJ128" s="573" t="e">
        <f t="shared" si="27"/>
        <v>#DIV/0!</v>
      </c>
      <c r="AK128" s="573">
        <f t="shared" si="27"/>
        <v>0.71896973188626534</v>
      </c>
      <c r="AL128" s="573" t="e">
        <f t="shared" si="27"/>
        <v>#DIV/0!</v>
      </c>
      <c r="AM128" s="573">
        <f t="shared" si="27"/>
        <v>5.4487704183590136E-3</v>
      </c>
      <c r="AN128" s="573">
        <f t="shared" si="27"/>
        <v>0.1912188709123232</v>
      </c>
      <c r="AO128" s="573">
        <f t="shared" si="27"/>
        <v>0.45457740777454375</v>
      </c>
      <c r="AP128" s="573" t="e">
        <f t="shared" si="27"/>
        <v>#DIV/0!</v>
      </c>
      <c r="AQ128" s="573" t="e">
        <f t="shared" si="27"/>
        <v>#DIV/0!</v>
      </c>
      <c r="AR128" s="573">
        <f t="shared" si="27"/>
        <v>1</v>
      </c>
      <c r="AS128" s="573">
        <f t="shared" si="27"/>
        <v>0.69955480840710949</v>
      </c>
      <c r="AT128" s="573">
        <f t="shared" si="27"/>
        <v>0.27110821360890203</v>
      </c>
      <c r="AU128" s="573">
        <f t="shared" si="27"/>
        <v>1</v>
      </c>
      <c r="AV128" s="573">
        <f t="shared" si="27"/>
        <v>1</v>
      </c>
      <c r="AW128" s="573">
        <f t="shared" si="27"/>
        <v>0.31217671834015603</v>
      </c>
      <c r="AX128" s="573">
        <f t="shared" si="27"/>
        <v>0.35672085439649254</v>
      </c>
      <c r="AY128" s="573">
        <f t="shared" si="27"/>
        <v>2.4432029795158285E-3</v>
      </c>
      <c r="AZ128" s="573">
        <f t="shared" si="27"/>
        <v>0.52787785718504521</v>
      </c>
      <c r="BA128" s="573">
        <f t="shared" si="27"/>
        <v>5.3575392864242809E-2</v>
      </c>
      <c r="BB128" s="573">
        <f t="shared" si="27"/>
        <v>0.37287728619062915</v>
      </c>
      <c r="BC128" s="573">
        <f t="shared" si="27"/>
        <v>0.11107768838445513</v>
      </c>
      <c r="BD128" s="573">
        <f t="shared" si="27"/>
        <v>9.0355455225126488E-2</v>
      </c>
      <c r="BE128" s="573">
        <f t="shared" si="27"/>
        <v>1</v>
      </c>
      <c r="BF128" s="573" t="e">
        <f t="shared" si="27"/>
        <v>#DIV/0!</v>
      </c>
      <c r="BG128" s="573" t="e">
        <f t="shared" si="27"/>
        <v>#DIV/0!</v>
      </c>
      <c r="BH128" s="573">
        <f t="shared" si="27"/>
        <v>0</v>
      </c>
      <c r="BI128" s="573">
        <f t="shared" si="27"/>
        <v>0.25253432939656462</v>
      </c>
      <c r="BJ128" s="573">
        <f t="shared" si="27"/>
        <v>0.28686573866187698</v>
      </c>
      <c r="BK128" s="573">
        <f t="shared" si="27"/>
        <v>0.35636115911755228</v>
      </c>
      <c r="BL128" s="573">
        <f t="shared" si="27"/>
        <v>0.97144655869271102</v>
      </c>
      <c r="BM128" s="573">
        <f t="shared" si="27"/>
        <v>0.47297155452923273</v>
      </c>
      <c r="BN128" s="573">
        <f t="shared" si="27"/>
        <v>5.3310829057520936E-2</v>
      </c>
      <c r="BO128" s="573">
        <f t="shared" si="27"/>
        <v>0.17287931803210316</v>
      </c>
      <c r="BP128" s="573">
        <f t="shared" si="27"/>
        <v>0.82125367769776469</v>
      </c>
      <c r="BQ128" s="573">
        <f t="shared" si="27"/>
        <v>5.6770028668864478E-2</v>
      </c>
      <c r="BR128" s="573">
        <f t="shared" si="27"/>
        <v>0.1582833108838525</v>
      </c>
      <c r="BS128" s="573">
        <f t="shared" si="27"/>
        <v>5.4132464712269276E-2</v>
      </c>
      <c r="BT128" s="573">
        <f t="shared" si="27"/>
        <v>0.2794259590175695</v>
      </c>
      <c r="BU128" s="573">
        <f t="shared" si="27"/>
        <v>0.1724843232509895</v>
      </c>
      <c r="BV128" s="573">
        <f t="shared" si="27"/>
        <v>0.47324061513963017</v>
      </c>
      <c r="BW128" s="573">
        <f t="shared" si="27"/>
        <v>1</v>
      </c>
      <c r="BX128" s="573">
        <f t="shared" si="27"/>
        <v>0.40932732006695183</v>
      </c>
      <c r="BY128" s="573">
        <f t="shared" si="27"/>
        <v>0.94052764856775695</v>
      </c>
      <c r="BZ128" s="573">
        <f t="shared" si="27"/>
        <v>0.65993006845834923</v>
      </c>
      <c r="CA128" s="573">
        <f t="shared" si="27"/>
        <v>0</v>
      </c>
      <c r="CB128" s="573">
        <f t="shared" si="27"/>
        <v>1</v>
      </c>
      <c r="CC128" s="573">
        <f t="shared" si="27"/>
        <v>2.5859245254828495E-2</v>
      </c>
      <c r="CD128" s="573">
        <f t="shared" si="27"/>
        <v>2.1373397529520222E-3</v>
      </c>
      <c r="CE128" s="573">
        <f t="shared" ref="CE128:CX128" si="28">CE127/CE130</f>
        <v>2.1981500369289207E-3</v>
      </c>
      <c r="CF128" s="573">
        <f t="shared" si="28"/>
        <v>0.38583371662954291</v>
      </c>
      <c r="CG128" s="573">
        <f t="shared" si="28"/>
        <v>1</v>
      </c>
      <c r="CH128" s="573">
        <f t="shared" si="28"/>
        <v>0.28512335982317805</v>
      </c>
      <c r="CI128" s="573">
        <f t="shared" si="28"/>
        <v>0.1861729800032515</v>
      </c>
      <c r="CJ128" s="573">
        <f t="shared" si="28"/>
        <v>6.3694416570564183E-2</v>
      </c>
      <c r="CK128" s="573">
        <f t="shared" si="28"/>
        <v>6.3076149856551522E-2</v>
      </c>
      <c r="CL128" s="573" t="e">
        <f t="shared" si="28"/>
        <v>#DIV/0!</v>
      </c>
      <c r="CM128" s="573">
        <f t="shared" si="28"/>
        <v>0.27083693049889573</v>
      </c>
      <c r="CN128" s="573">
        <f t="shared" si="28"/>
        <v>9.2289452056640124E-5</v>
      </c>
      <c r="CO128" s="573">
        <f t="shared" si="28"/>
        <v>0.43886652565693979</v>
      </c>
      <c r="CP128" s="573">
        <f t="shared" si="28"/>
        <v>0.14046658218999858</v>
      </c>
      <c r="CQ128" s="573" t="e">
        <f t="shared" si="28"/>
        <v>#DIV/0!</v>
      </c>
      <c r="CR128" s="573">
        <f t="shared" si="28"/>
        <v>1</v>
      </c>
      <c r="CS128" s="573">
        <f t="shared" si="28"/>
        <v>0.9171573158602937</v>
      </c>
      <c r="CT128" s="573">
        <f t="shared" si="28"/>
        <v>1.4447930574098799E-2</v>
      </c>
      <c r="CU128" s="573">
        <f t="shared" si="28"/>
        <v>0.64183610376584666</v>
      </c>
      <c r="CV128" s="573">
        <f t="shared" si="28"/>
        <v>0.74404476418864907</v>
      </c>
      <c r="CW128" s="573">
        <f t="shared" si="28"/>
        <v>0.8860177951431244</v>
      </c>
      <c r="CX128" s="573">
        <f t="shared" si="28"/>
        <v>0.65752906794374688</v>
      </c>
    </row>
    <row r="129" spans="1:102" ht="76" customHeight="1" x14ac:dyDescent="0.2">
      <c r="A129" s="97"/>
      <c r="B129" s="97"/>
      <c r="C129" s="97" t="s">
        <v>8886</v>
      </c>
      <c r="D129" s="97">
        <v>97</v>
      </c>
      <c r="E129" s="502" t="s">
        <v>9109</v>
      </c>
      <c r="F129" s="97" t="s">
        <v>9110</v>
      </c>
      <c r="G129" s="513" t="s">
        <v>64</v>
      </c>
      <c r="H129" s="513" t="s">
        <v>8890</v>
      </c>
      <c r="I129" s="97"/>
      <c r="J129" s="97"/>
      <c r="K129" s="97"/>
      <c r="L129" s="507">
        <v>0.19831855515411689</v>
      </c>
      <c r="M129" s="507">
        <v>0.18916534659647455</v>
      </c>
      <c r="N129" s="507"/>
      <c r="O129" s="573">
        <v>0.3850046279379617</v>
      </c>
      <c r="P129" s="573">
        <f>P127/P131</f>
        <v>0.34424431100170477</v>
      </c>
      <c r="Q129" s="573">
        <f>Q127/Q131</f>
        <v>0.33929205851517286</v>
      </c>
    </row>
    <row r="130" spans="1:102" ht="68" x14ac:dyDescent="0.2">
      <c r="A130" s="199"/>
      <c r="B130" s="97" t="s">
        <v>9111</v>
      </c>
      <c r="C130" s="97" t="s">
        <v>8886</v>
      </c>
      <c r="D130" s="97">
        <v>98</v>
      </c>
      <c r="E130" s="502" t="s">
        <v>9112</v>
      </c>
      <c r="F130" s="513" t="s">
        <v>9382</v>
      </c>
      <c r="G130" s="513" t="s">
        <v>9107</v>
      </c>
      <c r="H130" s="513" t="s">
        <v>9113</v>
      </c>
      <c r="I130" s="97"/>
      <c r="J130" s="97"/>
      <c r="K130" s="97"/>
      <c r="L130" s="97">
        <v>95721.39</v>
      </c>
      <c r="M130" s="97">
        <v>119345.144</v>
      </c>
      <c r="N130" s="516">
        <v>122757.18281999996</v>
      </c>
      <c r="O130" s="94">
        <v>127984.31999999999</v>
      </c>
      <c r="P130" s="574">
        <v>124305.28399999997</v>
      </c>
      <c r="Q130" s="579">
        <f>SUM(R130:CX130)</f>
        <v>126833.91300000003</v>
      </c>
      <c r="R130" s="504">
        <v>468.19</v>
      </c>
      <c r="S130" s="504">
        <v>221.559</v>
      </c>
      <c r="T130" s="504">
        <v>2268.1790000000001</v>
      </c>
      <c r="U130" s="611">
        <v>772.5</v>
      </c>
      <c r="V130" s="94">
        <v>964.13099999999997</v>
      </c>
      <c r="W130" s="612">
        <v>989.43</v>
      </c>
      <c r="X130" s="504">
        <v>4091.6210000000001</v>
      </c>
      <c r="Y130" s="504">
        <v>1536.4659999999999</v>
      </c>
      <c r="Z130" s="504">
        <v>1168</v>
      </c>
      <c r="AA130" s="504">
        <v>982.6</v>
      </c>
      <c r="AB130" s="504">
        <v>1323.6590000000001</v>
      </c>
      <c r="AC130" s="504">
        <v>2491.8000000000002</v>
      </c>
      <c r="AD130" s="504">
        <v>1138.424</v>
      </c>
      <c r="AE130" s="613">
        <v>2287.6779999999999</v>
      </c>
      <c r="AF130" s="504">
        <v>3153.857</v>
      </c>
      <c r="AH130" s="504">
        <v>1043.5</v>
      </c>
      <c r="AI130" s="504">
        <v>976.91800000000001</v>
      </c>
      <c r="AK130" s="504">
        <v>2357.134</v>
      </c>
      <c r="AM130" s="504">
        <v>1032.3430000000001</v>
      </c>
      <c r="AN130" s="504">
        <v>267.75599999999997</v>
      </c>
      <c r="AO130" s="504">
        <v>1012.8440000000001</v>
      </c>
      <c r="AR130" s="504">
        <v>527.88</v>
      </c>
      <c r="AS130" s="504">
        <v>2604.2719999999999</v>
      </c>
      <c r="AT130" s="504">
        <v>1234.78</v>
      </c>
      <c r="AU130" s="504">
        <v>734.36300000000006</v>
      </c>
      <c r="AV130" s="611">
        <v>620.77599999999995</v>
      </c>
      <c r="AW130" s="504">
        <v>5687.3779999999997</v>
      </c>
      <c r="AX130" s="504">
        <v>2849.1689999999999</v>
      </c>
      <c r="AY130" s="614">
        <v>805.5</v>
      </c>
      <c r="AZ130" s="504">
        <v>1083.5840000000001</v>
      </c>
      <c r="BA130" s="504">
        <v>1896.393</v>
      </c>
      <c r="BB130" s="504">
        <v>1911.586</v>
      </c>
      <c r="BC130" s="502">
        <v>1113.68</v>
      </c>
      <c r="BD130" s="504">
        <v>137.767</v>
      </c>
      <c r="BE130" s="504">
        <v>671.45500000000004</v>
      </c>
      <c r="BH130" s="94">
        <v>8591.7360000000008</v>
      </c>
      <c r="BI130" s="504">
        <v>724.452</v>
      </c>
      <c r="BJ130" s="504">
        <v>44.54</v>
      </c>
      <c r="BK130" s="615">
        <v>3144.2539999999999</v>
      </c>
      <c r="BL130" s="504">
        <v>586.12900000000002</v>
      </c>
      <c r="BM130" s="616">
        <v>952.7</v>
      </c>
      <c r="BN130" s="504">
        <v>1851.5</v>
      </c>
      <c r="BO130" s="617">
        <v>1841.377</v>
      </c>
      <c r="BP130" s="504">
        <v>710.02300000000002</v>
      </c>
      <c r="BQ130" s="94">
        <v>246.60900000000001</v>
      </c>
      <c r="BR130" s="504">
        <v>2556.8519999999999</v>
      </c>
      <c r="BS130" s="618">
        <v>1842</v>
      </c>
      <c r="BT130" s="504">
        <v>613.33600000000001</v>
      </c>
      <c r="BU130" s="612">
        <v>4153.7629999999999</v>
      </c>
      <c r="BV130" s="619">
        <v>1085.152</v>
      </c>
      <c r="BW130" s="504">
        <v>3164.384</v>
      </c>
      <c r="BX130" s="620">
        <v>5377</v>
      </c>
      <c r="BY130" s="621">
        <v>2431.0120000000002</v>
      </c>
      <c r="BZ130" s="617">
        <v>997.83299999999997</v>
      </c>
      <c r="CA130" s="504">
        <v>484.17700000000002</v>
      </c>
      <c r="CB130" s="504">
        <v>4251.4260000000004</v>
      </c>
      <c r="CC130" s="96">
        <v>522.05700000000002</v>
      </c>
      <c r="CD130" s="504">
        <v>701.80700000000002</v>
      </c>
      <c r="CE130" s="504">
        <v>909.85599999999999</v>
      </c>
      <c r="CF130" s="504">
        <v>2902.4549999999999</v>
      </c>
      <c r="CG130" s="504">
        <v>979.17100000000005</v>
      </c>
      <c r="CH130" s="504">
        <v>3886.395</v>
      </c>
      <c r="CI130" s="504">
        <v>1230.2</v>
      </c>
      <c r="CJ130" s="504">
        <v>1068.3040000000001</v>
      </c>
      <c r="CK130" s="504">
        <v>1432.57</v>
      </c>
      <c r="CL130" s="504"/>
      <c r="CM130" s="622">
        <v>1552.1479999999999</v>
      </c>
      <c r="CN130" s="504">
        <v>1484.46</v>
      </c>
      <c r="CO130" s="614">
        <v>1181.0060000000001</v>
      </c>
      <c r="CP130" s="504">
        <v>1298.9780000000001</v>
      </c>
      <c r="CR130" s="504">
        <v>1702.24</v>
      </c>
      <c r="CS130" s="623">
        <v>3418.6</v>
      </c>
      <c r="CT130" s="504">
        <v>1498</v>
      </c>
      <c r="CU130" s="504">
        <v>1198.4290000000001</v>
      </c>
      <c r="CV130" s="504">
        <v>50.04</v>
      </c>
      <c r="CW130" s="94">
        <v>512.38699999999994</v>
      </c>
      <c r="CX130" s="504">
        <v>1227.383</v>
      </c>
    </row>
    <row r="131" spans="1:102" ht="85" x14ac:dyDescent="0.2">
      <c r="A131" s="199"/>
      <c r="B131" s="97"/>
      <c r="C131" s="97"/>
      <c r="D131" s="97"/>
      <c r="E131" s="502" t="s">
        <v>9114</v>
      </c>
      <c r="F131" s="513" t="s">
        <v>9381</v>
      </c>
      <c r="G131" s="513" t="s">
        <v>9107</v>
      </c>
      <c r="H131" s="513" t="s">
        <v>9113</v>
      </c>
      <c r="I131" s="97"/>
      <c r="J131" s="97"/>
      <c r="K131" s="97"/>
      <c r="L131" s="97">
        <v>146842.402</v>
      </c>
      <c r="M131" s="97">
        <v>146830.576</v>
      </c>
      <c r="N131" s="97">
        <v>146764.655</v>
      </c>
      <c r="O131" s="97">
        <v>146748</v>
      </c>
      <c r="P131" s="575">
        <v>145864.09700000001</v>
      </c>
      <c r="Q131" s="575">
        <v>145478.09700000001</v>
      </c>
    </row>
    <row r="133" spans="1:102" x14ac:dyDescent="0.2">
      <c r="C133" s="1229" t="s">
        <v>9435</v>
      </c>
      <c r="D133" s="1229"/>
      <c r="E133" s="1229"/>
      <c r="F133" s="1229"/>
      <c r="G133" s="1229"/>
      <c r="H133" s="1229"/>
    </row>
    <row r="134" spans="1:102" ht="68" x14ac:dyDescent="0.2">
      <c r="C134" s="94" t="s">
        <v>8897</v>
      </c>
      <c r="D134" s="97" t="s">
        <v>8977</v>
      </c>
      <c r="E134" s="94" t="s">
        <v>8886</v>
      </c>
      <c r="F134" s="97" t="s">
        <v>9424</v>
      </c>
      <c r="G134" s="94" t="s">
        <v>8974</v>
      </c>
      <c r="H134" s="94" t="s">
        <v>8895</v>
      </c>
      <c r="K134" s="94" t="s">
        <v>479</v>
      </c>
      <c r="L134" s="94" t="s">
        <v>4906</v>
      </c>
      <c r="M134" s="94">
        <v>10499.313935439999</v>
      </c>
      <c r="N134" s="94">
        <v>13110.686485000002</v>
      </c>
      <c r="P134" s="94">
        <v>21102.786539860001</v>
      </c>
      <c r="Q134" s="94">
        <f>SUM(R134:CX134)</f>
        <v>23893.96293924535</v>
      </c>
      <c r="R134" s="94">
        <f>SUMIFS(Свод!$AN$6:$AN$455,Свод!$G$6:$G$455,Расчеты!R$1,Свод!$F$6:$F$455,"суб")</f>
        <v>13.35</v>
      </c>
      <c r="S134" s="94">
        <f>SUMIFS(Свод!$AN$6:$AN$455,Свод!$G$6:$G$455,Расчеты!S$1,Свод!$F$6:$F$455,"суб")</f>
        <v>3.2414419200000002</v>
      </c>
      <c r="T134" s="94">
        <f>SUMIFS(Свод!$AN$6:$AN$455,Свод!$G$6:$G$455,Расчеты!T$1,Свод!$F$6:$F$455,"суб")</f>
        <v>397.97079489999999</v>
      </c>
      <c r="U134" s="94">
        <f>SUMIFS(Свод!$AN$6:$AN$455,Свод!$G$6:$G$455,Расчеты!U$1,Свод!$F$6:$F$455,"суб")</f>
        <v>199.19200000000001</v>
      </c>
      <c r="V134" s="94">
        <f>SUMIFS(Свод!$AN$6:$AN$455,Свод!$G$6:$G$455,Расчеты!V$1,Свод!$F$6:$F$455,"суб")</f>
        <v>30</v>
      </c>
      <c r="W134" s="94">
        <f>SUMIFS(Свод!$AN$6:$AN$455,Свод!$G$6:$G$455,Расчеты!W$1,Свод!$F$6:$F$455,"суб")</f>
        <v>25.016999999999999</v>
      </c>
      <c r="X134" s="94">
        <f>SUMIFS(Свод!$AN$6:$AN$455,Свод!$G$6:$G$455,Расчеты!X$1,Свод!$F$6:$F$455,"суб")</f>
        <v>1739.3389999999999</v>
      </c>
      <c r="Y134" s="94">
        <f>SUMIFS(Свод!$AN$6:$AN$455,Свод!$G$6:$G$455,Расчеты!Y$1,Свод!$F$6:$F$455,"суб")</f>
        <v>2174.489</v>
      </c>
      <c r="Z134" s="94">
        <f>SUMIFS(Свод!$AN$6:$AN$455,Свод!$G$6:$G$455,Расчеты!Z$1,Свод!$F$6:$F$455,"суб")</f>
        <v>137.4</v>
      </c>
      <c r="AA134" s="94">
        <f>SUMIFS(Свод!$AN$6:$AN$455,Свод!$G$6:$G$455,Расчеты!AA$1,Свод!$F$6:$F$455,"суб")</f>
        <v>70</v>
      </c>
      <c r="AB134" s="94">
        <f>SUMIFS(Свод!$AN$6:$AN$455,Свод!$G$6:$G$455,Расчеты!AB$1,Свод!$F$6:$F$455,"суб")</f>
        <v>364.39959999999996</v>
      </c>
      <c r="AC134" s="94">
        <f>SUMIFS(Свод!$AN$6:$AN$455,Свод!$G$6:$G$455,Расчеты!AC$1,Свод!$F$6:$F$455,"суб")</f>
        <v>0</v>
      </c>
      <c r="AD134" s="94">
        <f>SUMIFS(Свод!$AN$6:$AN$455,Свод!$G$6:$G$455,Расчеты!AD$1,Свод!$F$6:$F$455,"суб")</f>
        <v>394.69400000000002</v>
      </c>
      <c r="AE134" s="94">
        <f>SUMIFS(Свод!$AN$6:$AN$455,Свод!$G$6:$G$455,Расчеты!AE$1,Свод!$F$6:$F$455,"суб")</f>
        <v>450.80100000000004</v>
      </c>
      <c r="AF134" s="94">
        <f>SUMIFS(Свод!$AN$6:$AN$455,Свод!$G$6:$G$455,Расчеты!AF$1,Свод!$F$6:$F$455,"суб")</f>
        <v>659.18900000000008</v>
      </c>
      <c r="AG134" s="94">
        <f>SUMIFS(Свод!$AN$6:$AN$455,Свод!$G$6:$G$455,Расчеты!AG$1,Свод!$F$6:$F$455,"суб")</f>
        <v>0</v>
      </c>
      <c r="AH134" s="94">
        <f>SUMIFS(Свод!$AN$6:$AN$455,Свод!$G$6:$G$455,Расчеты!AH$1,Свод!$F$6:$F$455,"суб")</f>
        <v>15.199716330358502</v>
      </c>
      <c r="AI134" s="94">
        <f>SUMIFS(Свод!$AN$6:$AN$455,Свод!$G$6:$G$455,Расчеты!AI$1,Свод!$F$6:$F$455,"суб")</f>
        <v>97.435299999999998</v>
      </c>
      <c r="AJ134" s="94">
        <f>SUMIFS(Свод!$AN$6:$AN$455,Свод!$G$6:$G$455,Расчеты!AJ$1,Свод!$F$6:$F$455,"суб")</f>
        <v>0</v>
      </c>
      <c r="AK134" s="94">
        <f>SUMIFS(Свод!$AN$6:$AN$455,Свод!$G$6:$G$455,Расчеты!AK$1,Свод!$F$6:$F$455,"суб")</f>
        <v>850</v>
      </c>
      <c r="AL134" s="94">
        <f>SUMIFS(Свод!$AN$6:$AN$455,Свод!$G$6:$G$455,Расчеты!AL$1,Свод!$F$6:$F$455,"суб")</f>
        <v>0</v>
      </c>
      <c r="AM134" s="94">
        <f>SUMIFS(Свод!$AN$6:$AN$455,Свод!$G$6:$G$455,Расчеты!AM$1,Свод!$F$6:$F$455,"суб")</f>
        <v>892.99220233999995</v>
      </c>
      <c r="AN134" s="94">
        <f>SUMIFS(Свод!$AN$6:$AN$455,Свод!$G$6:$G$455,Расчеты!AN$1,Свод!$F$6:$F$455,"суб")</f>
        <v>13.734999999999999</v>
      </c>
      <c r="AO134" s="94">
        <f>SUMIFS(Свод!$AN$6:$AN$455,Свод!$G$6:$G$455,Расчеты!AO$1,Свод!$F$6:$F$455,"суб")</f>
        <v>208.37700000000001</v>
      </c>
      <c r="AP134" s="94">
        <f>SUMIFS(Свод!$AN$6:$AN$455,Свод!$G$6:$G$455,Расчеты!AP$1,Свод!$F$6:$F$455,"суб")</f>
        <v>0</v>
      </c>
      <c r="AQ134" s="94">
        <f>SUMIFS(Свод!$AN$6:$AN$455,Свод!$G$6:$G$455,Расчеты!AQ$1,Свод!$F$6:$F$455,"суб")</f>
        <v>0</v>
      </c>
      <c r="AR134" s="94">
        <f>SUMIFS(Свод!$AN$6:$AN$455,Свод!$G$6:$G$455,Расчеты!AR$1,Свод!$F$6:$F$455,"суб")</f>
        <v>343.99799999999999</v>
      </c>
      <c r="AS134" s="94">
        <f>SUMIFS(Свод!$AN$6:$AN$455,Свод!$G$6:$G$455,Расчеты!AS$1,Свод!$F$6:$F$455,"суб")</f>
        <v>120.364</v>
      </c>
      <c r="AT134" s="94">
        <f>SUMIFS(Свод!$AN$6:$AN$455,Свод!$G$6:$G$455,Расчеты!AT$1,Свод!$F$6:$F$455,"суб")</f>
        <v>249.16000000000003</v>
      </c>
      <c r="AU134" s="94">
        <f>SUMIFS(Свод!$AN$6:$AN$455,Свод!$G$6:$G$455,Расчеты!AU$1,Свод!$F$6:$F$455,"суб")</f>
        <v>306.89111200000002</v>
      </c>
      <c r="AV134" s="94">
        <f>SUMIFS(Свод!$AN$6:$AN$455,Свод!$G$6:$G$455,Расчеты!AV$1,Свод!$F$6:$F$455,"суб")</f>
        <v>151.91999999999999</v>
      </c>
      <c r="AW134" s="94">
        <f>SUMIFS(Свод!$AN$6:$AN$455,Свод!$G$6:$G$455,Расчеты!AW$1,Свод!$F$6:$F$455,"суб")</f>
        <v>300</v>
      </c>
      <c r="AX134" s="94">
        <f>SUMIFS(Свод!$AN$6:$AN$455,Свод!$G$6:$G$455,Расчеты!AX$1,Свод!$F$6:$F$455,"суб")</f>
        <v>245.285</v>
      </c>
      <c r="AY134" s="94">
        <f>SUMIFS(Свод!$AN$6:$AN$455,Свод!$G$6:$G$455,Расчеты!AY$1,Свод!$F$6:$F$455,"суб")</f>
        <v>28.221809999999998</v>
      </c>
      <c r="AZ134" s="94">
        <f>SUMIFS(Свод!$AN$6:$AN$455,Свод!$G$6:$G$455,Расчеты!AZ$1,Свод!$F$6:$F$455,"суб")</f>
        <v>382.92599999999999</v>
      </c>
      <c r="BA134" s="94">
        <f>SUMIFS(Свод!$AN$6:$AN$455,Свод!$G$6:$G$455,Расчеты!BA$1,Свод!$F$6:$F$455,"суб")</f>
        <v>52.3</v>
      </c>
      <c r="BB134" s="94">
        <f>SUMIFS(Свод!$AN$6:$AN$455,Свод!$G$6:$G$455,Расчеты!BB$1,Свод!$F$6:$F$455,"суб")</f>
        <v>457.19900000000001</v>
      </c>
      <c r="BC134" s="94">
        <f>SUMIFS(Свод!$AN$6:$AN$455,Свод!$G$6:$G$455,Расчеты!BC$1,Свод!$F$6:$F$455,"суб")</f>
        <v>56.912300000000002</v>
      </c>
      <c r="BD134" s="94">
        <f>SUMIFS(Свод!$AN$6:$AN$455,Свод!$G$6:$G$455,Расчеты!BD$1,Свод!$F$6:$F$455,"суб")</f>
        <v>8.6164380000000005</v>
      </c>
      <c r="BE134" s="94">
        <f>SUMIFS(Свод!$AN$6:$AN$455,Свод!$G$6:$G$455,Расчеты!BE$1,Свод!$F$6:$F$455,"суб")</f>
        <v>27.447044479999999</v>
      </c>
      <c r="BF134" s="94">
        <f>SUMIFS(Свод!$AN$6:$AN$455,Свод!$G$6:$G$455,Расчеты!BF$1,Свод!$F$6:$F$455,"суб")</f>
        <v>0</v>
      </c>
      <c r="BG134" s="94">
        <f>SUMIFS(Свод!$AN$6:$AN$455,Свод!$G$6:$G$455,Расчеты!BG$1,Свод!$F$6:$F$455,"суб")</f>
        <v>0</v>
      </c>
      <c r="BH134" s="94">
        <f>SUMIFS(Свод!$AN$6:$AN$455,Свод!$G$6:$G$455,Расчеты!BH$1,Свод!$F$6:$F$455,"суб")</f>
        <v>493.995</v>
      </c>
      <c r="BI134" s="94">
        <f>SUMIFS(Свод!$AN$6:$AN$455,Свод!$G$6:$G$455,Расчеты!BI$1,Свод!$F$6:$F$455,"суб")</f>
        <v>41.701000000000001</v>
      </c>
      <c r="BJ134" s="94">
        <f>SUMIFS(Свод!$AN$6:$AN$455,Свод!$G$6:$G$455,Расчеты!BJ$1,Свод!$F$6:$F$455,"суб")</f>
        <v>22</v>
      </c>
      <c r="BK134" s="94">
        <f>SUMIFS(Свод!$AN$6:$AN$455,Свод!$G$6:$G$455,Расчеты!BK$1,Свод!$F$6:$F$455,"суб")</f>
        <v>729.96900000000005</v>
      </c>
      <c r="BL134" s="94">
        <f>SUMIFS(Свод!$AN$6:$AN$455,Свод!$G$6:$G$455,Расчеты!BL$1,Свод!$F$6:$F$455,"суб")</f>
        <v>476.62294931999998</v>
      </c>
      <c r="BM134" s="94">
        <f>SUMIFS(Свод!$AN$6:$AN$455,Свод!$G$6:$G$455,Расчеты!BM$1,Свод!$F$6:$F$455,"суб")</f>
        <v>177.82</v>
      </c>
      <c r="BN134" s="94">
        <f>SUMIFS(Свод!$AN$6:$AN$455,Свод!$G$6:$G$455,Расчеты!BN$1,Свод!$F$6:$F$455,"суб")</f>
        <v>337.17</v>
      </c>
      <c r="BO134" s="94">
        <f>SUMIFS(Свод!$AN$6:$AN$455,Свод!$G$6:$G$455,Расчеты!BO$1,Свод!$F$6:$F$455,"суб")</f>
        <v>131.2106</v>
      </c>
      <c r="BP134" s="94">
        <f>SUMIFS(Свод!$AN$6:$AN$455,Свод!$G$6:$G$455,Расчеты!BP$1,Свод!$F$6:$F$455,"суб")</f>
        <v>207.27685305</v>
      </c>
      <c r="BQ134" s="94">
        <f>SUMIFS(Свод!$AN$6:$AN$455,Свод!$G$6:$G$455,Расчеты!BQ$1,Свод!$F$6:$F$455,"суб")</f>
        <v>0</v>
      </c>
      <c r="BR134" s="94">
        <f>SUMIFS(Свод!$AN$6:$AN$455,Свод!$G$6:$G$455,Расчеты!BR$1,Свод!$F$6:$F$455,"суб")</f>
        <v>239.85445482</v>
      </c>
      <c r="BS134" s="94">
        <f>SUMIFS(Свод!$AN$6:$AN$455,Свод!$G$6:$G$455,Расчеты!BS$1,Свод!$F$6:$F$455,"суб")</f>
        <v>210.41</v>
      </c>
      <c r="BT134" s="94">
        <f>SUMIFS(Свод!$AN$6:$AN$455,Свод!$G$6:$G$455,Расчеты!BT$1,Свод!$F$6:$F$455,"суб")</f>
        <v>64.710999999999999</v>
      </c>
      <c r="BU134" s="94">
        <f>SUMIFS(Свод!$AN$6:$AN$455,Свод!$G$6:$G$455,Расчеты!BU$1,Свод!$F$6:$F$455,"суб")</f>
        <v>277.5</v>
      </c>
      <c r="BV134" s="94">
        <f>SUMIFS(Свод!$AN$6:$AN$455,Свод!$G$6:$G$455,Расчеты!BV$1,Свод!$F$6:$F$455,"суб")</f>
        <v>292.57678318000001</v>
      </c>
      <c r="BW134" s="94">
        <f>SUMIFS(Свод!$AN$6:$AN$455,Свод!$G$6:$G$455,Расчеты!BW$1,Свод!$F$6:$F$455,"суб")</f>
        <v>248.49389908000001</v>
      </c>
      <c r="BX134" s="94">
        <f>SUMIFS(Свод!$AN$6:$AN$455,Свод!$G$6:$G$455,Расчеты!BX$1,Свод!$F$6:$F$455,"суб")</f>
        <v>311.82</v>
      </c>
      <c r="BY134" s="94">
        <f>SUMIFS(Свод!$AN$6:$AN$455,Свод!$G$6:$G$455,Расчеты!BY$1,Свод!$F$6:$F$455,"суб")</f>
        <v>152.4528</v>
      </c>
      <c r="BZ134" s="94">
        <f>SUMIFS(Свод!$AN$6:$AN$455,Свод!$G$6:$G$455,Расчеты!BZ$1,Свод!$F$6:$F$455,"суб")</f>
        <v>500</v>
      </c>
      <c r="CA134" s="94">
        <f>SUMIFS(Свод!$AN$6:$AN$455,Свод!$G$6:$G$455,Расчеты!CA$1,Свод!$F$6:$F$455,"суб")</f>
        <v>465.1</v>
      </c>
      <c r="CB134" s="94">
        <f>SUMIFS(Свод!$AN$6:$AN$455,Свод!$G$6:$G$455,Расчеты!CB$1,Свод!$F$6:$F$455,"суб")</f>
        <v>152.58864462</v>
      </c>
      <c r="CC134" s="94">
        <f>SUMIFS(Свод!$AN$6:$AN$455,Свод!$G$6:$G$455,Расчеты!CC$1,Свод!$F$6:$F$455,"суб")</f>
        <v>42.579000000000001</v>
      </c>
      <c r="CD134" s="94">
        <f>SUMIFS(Свод!$AN$6:$AN$455,Свод!$G$6:$G$455,Расчеты!CD$1,Свод!$F$6:$F$455,"суб")</f>
        <v>2.7</v>
      </c>
      <c r="CE134" s="94">
        <f>SUMIFS(Свод!$AN$6:$AN$455,Свод!$G$6:$G$455,Расчеты!CE$1,Свод!$F$6:$F$455,"суб")</f>
        <v>4.5</v>
      </c>
      <c r="CF134" s="94">
        <f>SUMIFS(Свод!$AN$6:$AN$455,Свод!$G$6:$G$455,Расчеты!CF$1,Свод!$F$6:$F$455,"суб")</f>
        <v>244.63</v>
      </c>
      <c r="CG134" s="94">
        <f>SUMIFS(Свод!$AN$6:$AN$455,Свод!$G$6:$G$455,Расчеты!CG$1,Свод!$F$6:$F$455,"суб")</f>
        <v>371.05417053000002</v>
      </c>
      <c r="CH134" s="94">
        <f>SUMIFS(Свод!$AN$6:$AN$455,Свод!$G$6:$G$455,Расчеты!CH$1,Свод!$F$6:$F$455,"суб")</f>
        <v>1352.0630000000001</v>
      </c>
      <c r="CI134" s="94">
        <f>SUMIFS(Свод!$AN$6:$AN$455,Свод!$G$6:$G$455,Расчеты!CI$1,Свод!$F$6:$F$455,"суб")</f>
        <v>202.155</v>
      </c>
      <c r="CJ134" s="94">
        <f>SUMIFS(Свод!$AN$6:$AN$455,Свод!$G$6:$G$455,Расчеты!CJ$1,Свод!$F$6:$F$455,"суб")</f>
        <v>39.057578550000002</v>
      </c>
      <c r="CK134" s="94">
        <f>SUMIFS(Свод!$AN$6:$AN$455,Свод!$G$6:$G$455,Расчеты!CK$1,Свод!$F$6:$F$455,"суб")</f>
        <v>480.9</v>
      </c>
      <c r="CL134" s="94">
        <f>SUMIFS(Свод!$AN$6:$AN$455,Свод!$G$6:$G$455,Расчеты!CL$1,Свод!$F$6:$F$455,"суб")</f>
        <v>0</v>
      </c>
      <c r="CM134" s="94">
        <f>SUMIFS(Свод!$AN$6:$AN$455,Свод!$G$6:$G$455,Расчеты!CM$1,Свод!$F$6:$F$455,"суб")</f>
        <v>414.104602</v>
      </c>
      <c r="CN134" s="94">
        <f>SUMIFS(Свод!$AN$6:$AN$455,Свод!$G$6:$G$455,Расчеты!CN$1,Свод!$F$6:$F$455,"суб")</f>
        <v>190.04399999999998</v>
      </c>
      <c r="CO134" s="94">
        <f>SUMIFS(Свод!$AN$6:$AN$455,Свод!$G$6:$G$455,Расчеты!CO$1,Свод!$F$6:$F$455,"суб")</f>
        <v>303.85260387</v>
      </c>
      <c r="CP134" s="94">
        <f>SUMIFS(Свод!$AN$6:$AN$455,Свод!$G$6:$G$455,Расчеты!CP$1,Свод!$F$6:$F$455,"суб")</f>
        <v>250.67424025498869</v>
      </c>
      <c r="CQ134" s="94">
        <f>SUMIFS(Свод!$AN$6:$AN$455,Свод!$G$6:$G$455,Расчеты!CQ$1,Свод!$F$6:$F$455,"суб")</f>
        <v>0</v>
      </c>
      <c r="CR134" s="94">
        <f>SUMIFS(Свод!$AN$6:$AN$455,Свод!$G$6:$G$455,Расчеты!CR$1,Свод!$F$6:$F$455,"суб")</f>
        <v>656.16300000000001</v>
      </c>
      <c r="CS134" s="94">
        <f>SUMIFS(Свод!$AN$6:$AN$455,Свод!$G$6:$G$455,Расчеты!CS$1,Свод!$F$6:$F$455,"суб")</f>
        <v>1320.546</v>
      </c>
      <c r="CT134" s="94">
        <f>SUMIFS(Свод!$AN$6:$AN$455,Свод!$G$6:$G$455,Расчеты!CT$1,Свод!$F$6:$F$455,"суб")</f>
        <v>26.899000000000001</v>
      </c>
      <c r="CU134" s="94">
        <f>SUMIFS(Свод!$AN$6:$AN$455,Свод!$G$6:$G$455,Расчеты!CU$1,Свод!$F$6:$F$455,"суб")</f>
        <v>688.76900000000001</v>
      </c>
      <c r="CV134" s="94">
        <f>SUMIFS(Свод!$AN$6:$AN$455,Свод!$G$6:$G$455,Расчеты!CV$1,Свод!$F$6:$F$455,"суб")</f>
        <v>50</v>
      </c>
      <c r="CW134" s="94">
        <f>SUMIFS(Свод!$AN$6:$AN$455,Свод!$G$6:$G$455,Расчеты!CW$1,Свод!$F$6:$F$455,"суб")</f>
        <v>0</v>
      </c>
      <c r="CX134" s="94">
        <f>SUMIFS(Свод!$AN$6:$AN$455,Свод!$G$6:$G$455,Расчеты!CX$1,Свод!$F$6:$F$455,"суб")</f>
        <v>251.93600000000001</v>
      </c>
    </row>
    <row r="135" spans="1:102" ht="34" x14ac:dyDescent="0.2">
      <c r="D135" s="97"/>
      <c r="E135" s="94" t="s">
        <v>8886</v>
      </c>
      <c r="F135" s="97" t="s">
        <v>9425</v>
      </c>
      <c r="G135" s="94" t="s">
        <v>64</v>
      </c>
      <c r="H135" s="94" t="s">
        <v>8980</v>
      </c>
      <c r="L135" s="94" t="s">
        <v>4906</v>
      </c>
      <c r="M135" s="510">
        <v>0.56544079908331812</v>
      </c>
      <c r="N135" s="510">
        <v>0.56682466475607107</v>
      </c>
      <c r="Q135" s="94">
        <f ca="1">Q134/Q146</f>
        <v>0.58055894756819049</v>
      </c>
    </row>
    <row r="136" spans="1:102" ht="85" x14ac:dyDescent="0.2">
      <c r="C136" s="94" t="s">
        <v>8897</v>
      </c>
      <c r="D136" s="97" t="s">
        <v>8981</v>
      </c>
      <c r="E136" s="94" t="s">
        <v>8886</v>
      </c>
      <c r="F136" s="97" t="s">
        <v>9426</v>
      </c>
      <c r="G136" s="94" t="s">
        <v>8974</v>
      </c>
      <c r="H136" s="94" t="s">
        <v>8895</v>
      </c>
      <c r="K136" s="94" t="s">
        <v>479</v>
      </c>
      <c r="L136" s="94" t="s">
        <v>4906</v>
      </c>
      <c r="M136" s="94">
        <v>2486.0245494100004</v>
      </c>
      <c r="N136" s="94">
        <v>3201.1381581299984</v>
      </c>
      <c r="P136" s="94">
        <v>4660.2462138468054</v>
      </c>
      <c r="Q136" s="94">
        <f t="shared" ref="Q136:Q147" ca="1" si="29">SUM(R136:CX136)</f>
        <v>4731.6228951062612</v>
      </c>
      <c r="R136" s="94">
        <f>SUMIFS(Свод!$AQ$6:$AQ$455,Свод!$G$6:$G$455,Расчеты!R$1,Свод!$F$6:$F$455,"суб")</f>
        <v>5.39</v>
      </c>
      <c r="S136" s="94">
        <f>SUMIFS(Свод!$AQ$6:$AQ$455,Свод!$G$6:$G$455,Расчеты!S$1,Свод!$F$6:$F$455,"суб")</f>
        <v>2.5339999999999998</v>
      </c>
      <c r="T136" s="94">
        <f>SUMIFS(Свод!$AQ$6:$AQ$455,Свод!$G$6:$G$455,Расчеты!T$1,Свод!$F$6:$F$455,"суб")</f>
        <v>81.280344259999993</v>
      </c>
      <c r="U136" s="94">
        <f>SUMIFS(Свод!$AQ$6:$AQ$455,Свод!$G$6:$G$455,Расчеты!U$1,Свод!$F$6:$F$455,"суб")</f>
        <v>26.111999999999998</v>
      </c>
      <c r="V136" s="94">
        <f>SUMIFS(Свод!$AQ$6:$AQ$455,Свод!$G$6:$G$455,Расчеты!V$1,Свод!$F$6:$F$455,"суб")</f>
        <v>5.3419999999999996</v>
      </c>
      <c r="W136" s="94">
        <f>SUMIFS(Свод!$AQ$6:$AQ$455,Свод!$G$6:$G$455,Расчеты!W$1,Свод!$F$6:$F$455,"суб")</f>
        <v>1.7290000000000001</v>
      </c>
      <c r="X136" s="94">
        <f>SUMIFS(Свод!$AQ$6:$AQ$455,Свод!$G$6:$G$455,Расчеты!X$1,Свод!$F$6:$F$455,"суб")</f>
        <v>193.624055</v>
      </c>
      <c r="Y136" s="94">
        <f>SUMIFS(Свод!$AQ$6:$AQ$455,Свод!$G$6:$G$455,Расчеты!Y$1,Свод!$F$6:$F$455,"суб")</f>
        <v>128.08100000000002</v>
      </c>
      <c r="Z136" s="94">
        <f>SUMIFS(Свод!$AQ$6:$AQ$455,Свод!$G$6:$G$455,Расчеты!Z$1,Свод!$F$6:$F$455,"суб")</f>
        <v>10.1</v>
      </c>
      <c r="AA136" s="94">
        <f>SUMIFS(Свод!$AQ$6:$AQ$455,Свод!$G$6:$G$455,Расчеты!AA$1,Свод!$F$6:$F$455,"суб")</f>
        <v>0</v>
      </c>
      <c r="AB136" s="94">
        <f>SUMIFS(Свод!$AQ$6:$AQ$455,Свод!$G$6:$G$455,Расчеты!AB$1,Свод!$F$6:$F$455,"суб")</f>
        <v>55.231999999999999</v>
      </c>
      <c r="AC136" s="94">
        <f>SUMIFS(Свод!$AQ$6:$AQ$455,Свод!$G$6:$G$455,Расчеты!AC$1,Свод!$F$6:$F$455,"суб")</f>
        <v>0</v>
      </c>
      <c r="AD136" s="94">
        <f>SUMIFS(Свод!$AQ$6:$AQ$455,Свод!$G$6:$G$455,Расчеты!AD$1,Свод!$F$6:$F$455,"суб")</f>
        <v>117.854</v>
      </c>
      <c r="AE136" s="94">
        <f>SUMIFS(Свод!$AQ$6:$AQ$455,Свод!$G$6:$G$455,Расчеты!AE$1,Свод!$F$6:$F$455,"суб")</f>
        <v>80.59899999999999</v>
      </c>
      <c r="AF136" s="94">
        <f>SUMIFS(Свод!$AQ$6:$AQ$455,Свод!$G$6:$G$455,Расчеты!AF$1,Свод!$F$6:$F$455,"суб")</f>
        <v>109.98100000000001</v>
      </c>
      <c r="AG136" s="94">
        <f>SUMIFS(Свод!$AQ$6:$AQ$455,Свод!$G$6:$G$455,Расчеты!AG$1,Свод!$F$6:$F$455,"суб")</f>
        <v>0</v>
      </c>
      <c r="AH136" s="94">
        <f>SUMIFS(Свод!$AQ$6:$AQ$455,Свод!$G$6:$G$455,Расчеты!AH$1,Свод!$F$6:$F$455,"суб")</f>
        <v>25.269389369999999</v>
      </c>
      <c r="AI136" s="94">
        <f>SUMIFS(Свод!$AQ$6:$AQ$455,Свод!$G$6:$G$455,Расчеты!AI$1,Свод!$F$6:$F$455,"суб")</f>
        <v>18.633099999999999</v>
      </c>
      <c r="AJ136" s="94">
        <f>SUMIFS(Свод!$AQ$6:$AQ$455,Свод!$G$6:$G$455,Расчеты!AJ$1,Свод!$F$6:$F$455,"суб")</f>
        <v>0</v>
      </c>
      <c r="AK136" s="94">
        <f>SUMIFS(Свод!$AQ$6:$AQ$455,Свод!$G$6:$G$455,Расчеты!AK$1,Свод!$F$6:$F$455,"суб")</f>
        <v>96</v>
      </c>
      <c r="AL136" s="94">
        <f>SUMIFS(Свод!$AQ$6:$AQ$455,Свод!$G$6:$G$455,Расчеты!AL$1,Свод!$F$6:$F$455,"суб")</f>
        <v>0</v>
      </c>
      <c r="AM136" s="94">
        <f>SUMIFS(Свод!$AQ$6:$AQ$455,Свод!$G$6:$G$455,Расчеты!AM$1,Свод!$F$6:$F$455,"суб")</f>
        <v>157.79494971000003</v>
      </c>
      <c r="AN136" s="94">
        <f>SUMIFS(Свод!$AQ$6:$AQ$455,Свод!$G$6:$G$455,Расчеты!AN$1,Свод!$F$6:$F$455,"суб")</f>
        <v>2.4020000000000001</v>
      </c>
      <c r="AO136" s="94">
        <f>SUMIFS(Свод!$AQ$6:$AQ$455,Свод!$G$6:$G$455,Расчеты!AO$1,Свод!$F$6:$F$455,"суб")</f>
        <v>63.497999999999998</v>
      </c>
      <c r="AP136" s="94">
        <f>SUMIFS(Свод!$AQ$6:$AQ$455,Свод!$G$6:$G$455,Расчеты!AP$1,Свод!$F$6:$F$455,"суб")</f>
        <v>0</v>
      </c>
      <c r="AQ136" s="94">
        <f>SUMIFS(Свод!$AQ$6:$AQ$455,Свод!$G$6:$G$455,Расчеты!AQ$1,Свод!$F$6:$F$455,"суб")</f>
        <v>0</v>
      </c>
      <c r="AR136" s="94">
        <f ca="1">SUMIFS(Свод!$AQ$6:$AQ$455,Свод!$G$6:$G$455,Расчеты!AR$1,Свод!$F$6:$F$455,"суб")</f>
        <v>42.516999999999989</v>
      </c>
      <c r="AS136" s="94">
        <f>SUMIFS(Свод!$AQ$6:$AQ$455,Свод!$G$6:$G$455,Расчеты!AS$1,Свод!$F$6:$F$455,"суб")</f>
        <v>66.650999999999996</v>
      </c>
      <c r="AT136" s="94">
        <f>SUMIFS(Свод!$AQ$6:$AQ$455,Свод!$G$6:$G$455,Расчеты!AT$1,Свод!$F$6:$F$455,"суб")</f>
        <v>71.471999999999994</v>
      </c>
      <c r="AU136" s="94">
        <f>SUMIFS(Свод!$AQ$6:$AQ$455,Свод!$G$6:$G$455,Расчеты!AU$1,Свод!$F$6:$F$455,"суб")</f>
        <v>59.209789999999998</v>
      </c>
      <c r="AV136" s="94">
        <f>SUMIFS(Свод!$AQ$6:$AQ$455,Свод!$G$6:$G$455,Расчеты!AV$1,Свод!$F$6:$F$455,"суб")</f>
        <v>214.94254799999999</v>
      </c>
      <c r="AW136" s="94">
        <f>SUMIFS(Свод!$AQ$6:$AQ$455,Свод!$G$6:$G$455,Расчеты!AW$1,Свод!$F$6:$F$455,"суб")</f>
        <v>0</v>
      </c>
      <c r="AX136" s="94">
        <f>SUMIFS(Свод!$AQ$6:$AQ$455,Свод!$G$6:$G$455,Расчеты!AX$1,Свод!$F$6:$F$455,"суб")</f>
        <v>23.337</v>
      </c>
      <c r="AY136" s="94">
        <f>SUMIFS(Свод!$AQ$6:$AQ$455,Свод!$G$6:$G$455,Расчеты!AY$1,Свод!$F$6:$F$455,"суб")</f>
        <v>28.362000000000002</v>
      </c>
      <c r="AZ136" s="94">
        <f>SUMIFS(Свод!$AQ$6:$AQ$455,Свод!$G$6:$G$455,Расчеты!AZ$1,Свод!$F$6:$F$455,"суб")</f>
        <v>367.125</v>
      </c>
      <c r="BA136" s="94">
        <f>SUMIFS(Свод!$AQ$6:$AQ$455,Свод!$G$6:$G$455,Расчеты!BA$1,Свод!$F$6:$F$455,"суб")</f>
        <v>8.6</v>
      </c>
      <c r="BB136" s="94">
        <f>SUMIFS(Свод!$AQ$6:$AQ$455,Свод!$G$6:$G$455,Расчеты!BB$1,Свод!$F$6:$F$455,"суб")</f>
        <v>118.866</v>
      </c>
      <c r="BC136" s="94">
        <f>SUMIFS(Свод!$AQ$6:$AQ$455,Свод!$G$6:$G$455,Расчеты!BC$1,Свод!$F$6:$F$455,"суб")</f>
        <v>5.6494501799999997</v>
      </c>
      <c r="BD136" s="94">
        <f>SUMIFS(Свод!$AQ$6:$AQ$455,Свод!$G$6:$G$455,Расчеты!BD$1,Свод!$F$6:$F$455,"суб")</f>
        <v>0.75354399999999999</v>
      </c>
      <c r="BE136" s="94">
        <f>SUMIFS(Свод!$AQ$6:$AQ$455,Свод!$G$6:$G$455,Расчеты!BE$1,Свод!$F$6:$F$455,"суб")</f>
        <v>19.488133999999999</v>
      </c>
      <c r="BF136" s="94">
        <f>SUMIFS(Свод!$AQ$6:$AQ$455,Свод!$G$6:$G$455,Расчеты!BF$1,Свод!$F$6:$F$455,"суб")</f>
        <v>0</v>
      </c>
      <c r="BG136" s="94">
        <f>SUMIFS(Свод!$AQ$6:$AQ$455,Свод!$G$6:$G$455,Расчеты!BG$1,Свод!$F$6:$F$455,"суб")</f>
        <v>0</v>
      </c>
      <c r="BH136" s="94">
        <f>SUMIFS(Свод!$AQ$6:$AQ$455,Свод!$G$6:$G$455,Расчеты!BH$1,Свод!$F$6:$F$455,"суб")</f>
        <v>154.14147</v>
      </c>
      <c r="BI136" s="94">
        <f>SUMIFS(Свод!$AQ$6:$AQ$455,Свод!$G$6:$G$455,Расчеты!BI$1,Свод!$F$6:$F$455,"суб")</f>
        <v>31.45</v>
      </c>
      <c r="BJ136" s="94">
        <f>SUMIFS(Свод!$AQ$6:$AQ$455,Свод!$G$6:$G$455,Расчеты!BJ$1,Свод!$F$6:$F$455,"суб")</f>
        <v>7.9779999999999998</v>
      </c>
      <c r="BK136" s="94">
        <f>SUMIFS(Свод!$AQ$6:$AQ$455,Свод!$G$6:$G$455,Расчеты!BK$1,Свод!$F$6:$F$455,"суб")</f>
        <v>337.59</v>
      </c>
      <c r="BL136" s="94">
        <f>SUMIFS(Свод!$AQ$6:$AQ$455,Свод!$G$6:$G$455,Расчеты!BL$1,Свод!$F$6:$F$455,"суб")</f>
        <v>130.60406626</v>
      </c>
      <c r="BM136" s="94">
        <f>SUMIFS(Свод!$AQ$6:$AQ$455,Свод!$G$6:$G$455,Расчеты!BM$1,Свод!$F$6:$F$455,"суб")</f>
        <v>62.9</v>
      </c>
      <c r="BN136" s="94">
        <f>SUMIFS(Свод!$AQ$6:$AQ$455,Свод!$G$6:$G$455,Расчеты!BN$1,Свод!$F$6:$F$455,"суб")</f>
        <v>119.23846477000001</v>
      </c>
      <c r="BO136" s="94">
        <f>SUMIFS(Свод!$AQ$6:$AQ$455,Свод!$G$6:$G$455,Расчеты!BO$1,Свод!$F$6:$F$455,"суб")</f>
        <v>60.366700000000002</v>
      </c>
      <c r="BP136" s="94">
        <f>SUMIFS(Свод!$AQ$6:$AQ$455,Свод!$G$6:$G$455,Расчеты!BP$1,Свод!$F$6:$F$455,"суб")</f>
        <v>20.091098656262599</v>
      </c>
      <c r="BQ136" s="94">
        <f>SUMIFS(Свод!$AQ$6:$AQ$455,Свод!$G$6:$G$455,Расчеты!BQ$1,Свод!$F$6:$F$455,"суб")</f>
        <v>0</v>
      </c>
      <c r="BR136" s="94">
        <f>SUMIFS(Свод!$AQ$6:$AQ$455,Свод!$G$6:$G$455,Расчеты!BR$1,Свод!$F$6:$F$455,"суб")</f>
        <v>29.30302343</v>
      </c>
      <c r="BS136" s="94">
        <f>SUMIFS(Свод!$AQ$6:$AQ$455,Свод!$G$6:$G$455,Расчеты!BS$1,Свод!$F$6:$F$455,"суб")</f>
        <v>20.591999999999999</v>
      </c>
      <c r="BT136" s="94">
        <f>SUMIFS(Свод!$AQ$6:$AQ$455,Свод!$G$6:$G$455,Расчеты!BT$1,Свод!$F$6:$F$455,"суб")</f>
        <v>13.195</v>
      </c>
      <c r="BU136" s="94">
        <f>SUMIFS(Свод!$AQ$6:$AQ$455,Свод!$G$6:$G$455,Расчеты!BU$1,Свод!$F$6:$F$455,"суб")</f>
        <v>57.277799999999999</v>
      </c>
      <c r="BV136" s="94">
        <f>SUMIFS(Свод!$AQ$6:$AQ$455,Свод!$G$6:$G$455,Расчеты!BV$1,Свод!$F$6:$F$455,"суб")</f>
        <v>75.20428480999999</v>
      </c>
      <c r="BW136" s="94">
        <f>SUMIFS(Свод!$AQ$6:$AQ$455,Свод!$G$6:$G$455,Расчеты!BW$1,Свод!$F$6:$F$455,"суб")</f>
        <v>60.09250531</v>
      </c>
      <c r="BX136" s="94">
        <f>SUMIFS(Свод!$AQ$6:$AQ$455,Свод!$G$6:$G$455,Расчеты!BX$1,Свод!$F$6:$F$455,"суб")</f>
        <v>0</v>
      </c>
      <c r="BY136" s="94">
        <f>SUMIFS(Свод!$AQ$6:$AQ$455,Свод!$G$6:$G$455,Расчеты!BY$1,Свод!$F$6:$F$455,"суб")</f>
        <v>35.36</v>
      </c>
      <c r="BZ136" s="94">
        <f>SUMIFS(Свод!$AQ$6:$AQ$455,Свод!$G$6:$G$455,Расчеты!BZ$1,Свод!$F$6:$F$455,"суб")</f>
        <v>216</v>
      </c>
      <c r="CA136" s="94">
        <f>SUMIFS(Свод!$AQ$6:$AQ$455,Свод!$G$6:$G$455,Расчеты!CA$1,Свод!$F$6:$F$455,"суб")</f>
        <v>8.5</v>
      </c>
      <c r="CB136" s="94">
        <f>SUMIFS(Свод!$AQ$6:$AQ$455,Свод!$G$6:$G$455,Расчеты!CB$1,Свод!$F$6:$F$455,"суб")</f>
        <v>178.83325643000001</v>
      </c>
      <c r="CC136" s="94">
        <f>SUMIFS(Свод!$AQ$6:$AQ$455,Свод!$G$6:$G$455,Расчеты!CC$1,Свод!$F$6:$F$455,"суб")</f>
        <v>0</v>
      </c>
      <c r="CD136" s="94">
        <f>SUMIFS(Свод!$AQ$6:$AQ$455,Свод!$G$6:$G$455,Расчеты!CD$1,Свод!$F$6:$F$455,"суб")</f>
        <v>0.2</v>
      </c>
      <c r="CE136" s="94">
        <f>SUMIFS(Свод!$AQ$6:$AQ$455,Свод!$G$6:$G$455,Расчеты!CE$1,Свод!$F$6:$F$455,"суб")</f>
        <v>1.337</v>
      </c>
      <c r="CF136" s="94">
        <f>SUMIFS(Свод!$AQ$6:$AQ$455,Свод!$G$6:$G$455,Расчеты!CF$1,Свод!$F$6:$F$455,"суб")</f>
        <v>133.98500000000001</v>
      </c>
      <c r="CG136" s="94">
        <f>SUMIFS(Свод!$AQ$6:$AQ$455,Свод!$G$6:$G$455,Расчеты!CG$1,Свод!$F$6:$F$455,"суб")</f>
        <v>6.6101114699999997</v>
      </c>
      <c r="CH136" s="94">
        <f>SUMIFS(Свод!$AQ$6:$AQ$455,Свод!$G$6:$G$455,Расчеты!CH$1,Свод!$F$6:$F$455,"суб")</f>
        <v>0</v>
      </c>
      <c r="CI136" s="94">
        <f>SUMIFS(Свод!$AQ$6:$AQ$455,Свод!$G$6:$G$455,Расчеты!CI$1,Свод!$F$6:$F$455,"суб")</f>
        <v>75.48</v>
      </c>
      <c r="CJ136" s="94">
        <f>SUMIFS(Свод!$AQ$6:$AQ$455,Свод!$G$6:$G$455,Расчеты!CJ$1,Свод!$F$6:$F$455,"суб")</f>
        <v>12.92584564</v>
      </c>
      <c r="CK136" s="94">
        <f>SUMIFS(Свод!$AQ$6:$AQ$455,Свод!$G$6:$G$455,Расчеты!CK$1,Свод!$F$6:$F$455,"суб")</f>
        <v>129.63999999999999</v>
      </c>
      <c r="CL136" s="94">
        <f>SUMIFS(Свод!$AQ$6:$AQ$455,Свод!$G$6:$G$455,Расчеты!CL$1,Свод!$F$6:$F$455,"суб")</f>
        <v>0</v>
      </c>
      <c r="CM136" s="94">
        <f>SUMIFS(Свод!$AQ$6:$AQ$455,Свод!$G$6:$G$455,Расчеты!CM$1,Свод!$F$6:$F$455,"суб")</f>
        <v>10.43136</v>
      </c>
      <c r="CN136" s="94">
        <f>SUMIFS(Свод!$AQ$6:$AQ$455,Свод!$G$6:$G$455,Расчеты!CN$1,Свод!$F$6:$F$455,"суб")</f>
        <v>33.647999999999996</v>
      </c>
      <c r="CO136" s="94">
        <f>SUMIFS(Свод!$AQ$6:$AQ$455,Свод!$G$6:$G$455,Расчеты!CO$1,Свод!$F$6:$F$455,"суб")</f>
        <v>36.803756249999999</v>
      </c>
      <c r="CP136" s="94">
        <f>SUMIFS(Свод!$AQ$6:$AQ$455,Свод!$G$6:$G$455,Расчеты!CP$1,Свод!$F$6:$F$455,"суб")</f>
        <v>58.80744756</v>
      </c>
      <c r="CQ136" s="94">
        <f>SUMIFS(Свод!$AQ$6:$AQ$455,Свод!$G$6:$G$455,Расчеты!CQ$1,Свод!$F$6:$F$455,"суб")</f>
        <v>0</v>
      </c>
      <c r="CR136" s="94">
        <f>SUMIFS(Свод!$AQ$6:$AQ$455,Свод!$G$6:$G$455,Расчеты!CR$1,Свод!$F$6:$F$455,"суб")</f>
        <v>88</v>
      </c>
      <c r="CS136" s="94">
        <f>SUMIFS(Свод!$AQ$6:$AQ$455,Свод!$G$6:$G$455,Расчеты!CS$1,Свод!$F$6:$F$455,"суб")</f>
        <v>1.321</v>
      </c>
      <c r="CT136" s="94">
        <f>SUMIFS(Свод!$AQ$6:$AQ$455,Свод!$G$6:$G$455,Расчеты!CT$1,Свод!$F$6:$F$455,"суб")</f>
        <v>0.498</v>
      </c>
      <c r="CU136" s="94">
        <f>SUMIFS(Свод!$AQ$6:$AQ$455,Свод!$G$6:$G$455,Расчеты!CU$1,Свод!$F$6:$F$455,"суб")</f>
        <v>218.92339999999999</v>
      </c>
      <c r="CV136" s="94">
        <f>SUMIFS(Свод!$AQ$6:$AQ$455,Свод!$G$6:$G$455,Расчеты!CV$1,Свод!$F$6:$F$455,"суб")</f>
        <v>22.5</v>
      </c>
      <c r="CW136" s="94">
        <f>SUMIFS(Свод!$AQ$6:$AQ$455,Свод!$G$6:$G$455,Расчеты!CW$1,Свод!$F$6:$F$455,"суб")</f>
        <v>0</v>
      </c>
      <c r="CX136" s="94">
        <f>SUMIFS(Свод!$AQ$6:$AQ$455,Свод!$G$6:$G$455,Расчеты!CX$1,Свод!$F$6:$F$455,"суб")</f>
        <v>73.364999999999995</v>
      </c>
    </row>
    <row r="137" spans="1:102" ht="34" x14ac:dyDescent="0.2">
      <c r="D137" s="97"/>
      <c r="E137" s="94" t="s">
        <v>8886</v>
      </c>
      <c r="F137" s="97" t="s">
        <v>9425</v>
      </c>
      <c r="G137" s="94" t="s">
        <v>64</v>
      </c>
      <c r="H137" s="94" t="s">
        <v>8980</v>
      </c>
      <c r="L137" s="94" t="s">
        <v>4906</v>
      </c>
      <c r="M137" s="510">
        <v>0.1338849106144217</v>
      </c>
      <c r="N137" s="510">
        <v>0.13839733452522587</v>
      </c>
      <c r="Q137" s="94">
        <f ca="1">Q136/Q146</f>
        <v>0.11496569301865689</v>
      </c>
    </row>
    <row r="138" spans="1:102" ht="68" x14ac:dyDescent="0.2">
      <c r="C138" s="94" t="s">
        <v>8897</v>
      </c>
      <c r="D138" s="97" t="s">
        <v>8984</v>
      </c>
      <c r="E138" s="94" t="s">
        <v>8886</v>
      </c>
      <c r="F138" s="97" t="s">
        <v>9427</v>
      </c>
      <c r="G138" s="94" t="s">
        <v>8974</v>
      </c>
      <c r="H138" s="94" t="s">
        <v>8895</v>
      </c>
      <c r="K138" s="94" t="s">
        <v>479</v>
      </c>
      <c r="L138" s="94" t="s">
        <v>4906</v>
      </c>
      <c r="M138" s="94">
        <v>1019.8676691000003</v>
      </c>
      <c r="N138" s="94">
        <v>1154.97429216</v>
      </c>
      <c r="P138" s="94">
        <v>1600.9707893699999</v>
      </c>
      <c r="Q138" s="94">
        <f t="shared" si="29"/>
        <v>1393.7959543899999</v>
      </c>
      <c r="R138" s="94">
        <f>SUMIFS(Свод!$AT$6:$AT$455,Свод!$G$6:$G$455,Расчеты!R$1,Свод!$F$6:$F$455,"суб")</f>
        <v>0</v>
      </c>
      <c r="S138" s="94">
        <f>SUMIFS(Свод!$AT$6:$AT$455,Свод!$G$6:$G$455,Расчеты!S$1,Свод!$F$6:$F$455,"суб")</f>
        <v>3.5220000000000002</v>
      </c>
      <c r="T138" s="94">
        <f>SUMIFS(Свод!$AT$6:$AT$455,Свод!$G$6:$G$455,Расчеты!T$1,Свод!$F$6:$F$455,"суб")</f>
        <v>0.64426700000000003</v>
      </c>
      <c r="U138" s="94">
        <f>SUMIFS(Свод!$AT$6:$AT$455,Свод!$G$6:$G$455,Расчеты!U$1,Свод!$F$6:$F$455,"суб")</f>
        <v>2.7930000000000001</v>
      </c>
      <c r="V138" s="94">
        <f>SUMIFS(Свод!$AT$6:$AT$455,Свод!$G$6:$G$455,Расчеты!V$1,Свод!$F$6:$F$455,"суб")</f>
        <v>1.1180000000000001</v>
      </c>
      <c r="W138" s="94">
        <f>SUMIFS(Свод!$AT$6:$AT$455,Свод!$G$6:$G$455,Расчеты!W$1,Свод!$F$6:$F$455,"суб")</f>
        <v>0.38200000000000001</v>
      </c>
      <c r="X138" s="94">
        <f>SUMIFS(Свод!$AT$6:$AT$455,Свод!$G$6:$G$455,Расчеты!X$1,Свод!$F$6:$F$455,"суб")</f>
        <v>71.318975999999992</v>
      </c>
      <c r="Y138" s="94">
        <f>SUMIFS(Свод!$AT$6:$AT$455,Свод!$G$6:$G$455,Расчеты!Y$1,Свод!$F$6:$F$455,"суб")</f>
        <v>0</v>
      </c>
      <c r="Z138" s="94">
        <f>SUMIFS(Свод!$AT$6:$AT$455,Свод!$G$6:$G$455,Расчеты!Z$1,Свод!$F$6:$F$455,"суб")</f>
        <v>7.9</v>
      </c>
      <c r="AA138" s="94">
        <f>SUMIFS(Свод!$AT$6:$AT$455,Свод!$G$6:$G$455,Расчеты!AA$1,Свод!$F$6:$F$455,"суб")</f>
        <v>0</v>
      </c>
      <c r="AB138" s="94">
        <f>SUMIFS(Свод!$AT$6:$AT$455,Свод!$G$6:$G$455,Расчеты!AB$1,Свод!$F$6:$F$455,"суб")</f>
        <v>85.990999999999985</v>
      </c>
      <c r="AC138" s="94">
        <f>SUMIFS(Свод!$AT$6:$AT$455,Свод!$G$6:$G$455,Расчеты!AC$1,Свод!$F$6:$F$455,"суб")</f>
        <v>0</v>
      </c>
      <c r="AD138" s="94">
        <f>SUMIFS(Свод!$AT$6:$AT$455,Свод!$G$6:$G$455,Расчеты!AD$1,Свод!$F$6:$F$455,"суб")</f>
        <v>33.671999999999997</v>
      </c>
      <c r="AE138" s="94">
        <f>SUMIFS(Свод!$AT$6:$AT$455,Свод!$G$6:$G$455,Расчеты!AE$1,Свод!$F$6:$F$455,"суб")</f>
        <v>16.059999999999999</v>
      </c>
      <c r="AF138" s="94">
        <f>SUMIFS(Свод!$AT$6:$AT$455,Свод!$G$6:$G$455,Расчеты!AF$1,Свод!$F$6:$F$455,"суб")</f>
        <v>172.85400000000001</v>
      </c>
      <c r="AG138" s="94">
        <f>SUMIFS(Свод!$AT$6:$AT$455,Свод!$G$6:$G$455,Расчеты!AG$1,Свод!$F$6:$F$455,"суб")</f>
        <v>0</v>
      </c>
      <c r="AH138" s="94">
        <f>SUMIFS(Свод!$AT$6:$AT$455,Свод!$G$6:$G$455,Расчеты!AH$1,Свод!$F$6:$F$455,"суб")</f>
        <v>0.1525</v>
      </c>
      <c r="AI138" s="94">
        <f>SUMIFS(Свод!$AT$6:$AT$455,Свод!$G$6:$G$455,Расчеты!AI$1,Свод!$F$6:$F$455,"суб")</f>
        <v>0</v>
      </c>
      <c r="AJ138" s="94">
        <f>SUMIFS(Свод!$AT$6:$AT$455,Свод!$G$6:$G$455,Расчеты!AJ$1,Свод!$F$6:$F$455,"суб")</f>
        <v>0</v>
      </c>
      <c r="AK138" s="94">
        <f>SUMIFS(Свод!$AT$6:$AT$455,Свод!$G$6:$G$455,Расчеты!AK$1,Свод!$F$6:$F$455,"суб")</f>
        <v>0</v>
      </c>
      <c r="AL138" s="94">
        <f>SUMIFS(Свод!$AT$6:$AT$455,Свод!$G$6:$G$455,Расчеты!AL$1,Свод!$F$6:$F$455,"суб")</f>
        <v>0</v>
      </c>
      <c r="AM138" s="94">
        <f>SUMIFS(Свод!$AT$6:$AT$455,Свод!$G$6:$G$455,Расчеты!AM$1,Свод!$F$6:$F$455,"суб")</f>
        <v>15.263748909999999</v>
      </c>
      <c r="AN138" s="94">
        <f>SUMIFS(Свод!$AT$6:$AT$455,Свод!$G$6:$G$455,Расчеты!AN$1,Свод!$F$6:$F$455,"суб")</f>
        <v>0</v>
      </c>
      <c r="AO138" s="94">
        <f>SUMIFS(Свод!$AT$6:$AT$455,Свод!$G$6:$G$455,Расчеты!AO$1,Свод!$F$6:$F$455,"суб")</f>
        <v>13.364000000000001</v>
      </c>
      <c r="AP138" s="94">
        <f>SUMIFS(Свод!$AT$6:$AT$455,Свод!$G$6:$G$455,Расчеты!AP$1,Свод!$F$6:$F$455,"суб")</f>
        <v>0</v>
      </c>
      <c r="AQ138" s="94">
        <f>SUMIFS(Свод!$AT$6:$AT$455,Свод!$G$6:$G$455,Расчеты!AQ$1,Свод!$F$6:$F$455,"суб")</f>
        <v>0</v>
      </c>
      <c r="AR138" s="94">
        <f>SUMIFS(Свод!$AT$6:$AT$455,Свод!$G$6:$G$455,Расчеты!AR$1,Свод!$F$6:$F$455,"суб")</f>
        <v>8.0570000000000004</v>
      </c>
      <c r="AS138" s="94">
        <f>SUMIFS(Свод!$AT$6:$AT$455,Свод!$G$6:$G$455,Расчеты!AS$1,Свод!$F$6:$F$455,"суб")</f>
        <v>0</v>
      </c>
      <c r="AT138" s="94">
        <f>SUMIFS(Свод!$AT$6:$AT$455,Свод!$G$6:$G$455,Расчеты!AT$1,Свод!$F$6:$F$455,"суб")</f>
        <v>40.235999999999997</v>
      </c>
      <c r="AU138" s="94">
        <f>SUMIFS(Свод!$AT$6:$AT$455,Свод!$G$6:$G$455,Расчеты!AU$1,Свод!$F$6:$F$455,"суб")</f>
        <v>4.4087209999999999</v>
      </c>
      <c r="AV138" s="94">
        <f>SUMIFS(Свод!$AT$6:$AT$455,Свод!$G$6:$G$455,Расчеты!AV$1,Свод!$F$6:$F$455,"суб")</f>
        <v>23.072899999999997</v>
      </c>
      <c r="AW138" s="94">
        <f>SUMIFS(Свод!$AT$6:$AT$455,Свод!$G$6:$G$455,Расчеты!AW$1,Свод!$F$6:$F$455,"суб")</f>
        <v>0</v>
      </c>
      <c r="AX138" s="94">
        <f>SUMIFS(Свод!$AT$6:$AT$455,Свод!$G$6:$G$455,Расчеты!AX$1,Свод!$F$6:$F$455,"суб")</f>
        <v>0</v>
      </c>
      <c r="AY138" s="94">
        <f>SUMIFS(Свод!$AT$6:$AT$455,Свод!$G$6:$G$455,Расчеты!AY$1,Свод!$F$6:$F$455,"суб")</f>
        <v>0.185</v>
      </c>
      <c r="AZ138" s="94">
        <f>SUMIFS(Свод!$AT$6:$AT$455,Свод!$G$6:$G$455,Расчеты!AZ$1,Свод!$F$6:$F$455,"суб")</f>
        <v>0</v>
      </c>
      <c r="BA138" s="94">
        <f>SUMIFS(Свод!$AT$6:$AT$455,Свод!$G$6:$G$455,Расчеты!BA$1,Свод!$F$6:$F$455,"суб")</f>
        <v>2.9</v>
      </c>
      <c r="BB138" s="94">
        <f>SUMIFS(Свод!$AT$6:$AT$455,Свод!$G$6:$G$455,Расчеты!BB$1,Свод!$F$6:$F$455,"суб")</f>
        <v>0.06</v>
      </c>
      <c r="BC138" s="94">
        <f>SUMIFS(Свод!$AT$6:$AT$455,Свод!$G$6:$G$455,Расчеты!BC$1,Свод!$F$6:$F$455,"суб")</f>
        <v>3.9640740800000001</v>
      </c>
      <c r="BD138" s="94">
        <f>SUMIFS(Свод!$AT$6:$AT$455,Свод!$G$6:$G$455,Расчеты!BD$1,Свод!$F$6:$F$455,"суб")</f>
        <v>0</v>
      </c>
      <c r="BE138" s="94">
        <f>SUMIFS(Свод!$AT$6:$AT$455,Свод!$G$6:$G$455,Расчеты!BE$1,Свод!$F$6:$F$455,"суб")</f>
        <v>1.3209358199999999</v>
      </c>
      <c r="BF138" s="94">
        <f>SUMIFS(Свод!$AT$6:$AT$455,Свод!$G$6:$G$455,Расчеты!BF$1,Свод!$F$6:$F$455,"суб")</f>
        <v>0</v>
      </c>
      <c r="BG138" s="94">
        <f>SUMIFS(Свод!$AT$6:$AT$455,Свод!$G$6:$G$455,Расчеты!BG$1,Свод!$F$6:$F$455,"суб")</f>
        <v>0</v>
      </c>
      <c r="BH138" s="94">
        <f>SUMIFS(Свод!$AT$6:$AT$455,Свод!$G$6:$G$455,Расчеты!BH$1,Свод!$F$6:$F$455,"суб")</f>
        <v>10.984030000000001</v>
      </c>
      <c r="BI138" s="94">
        <f>SUMIFS(Свод!$AT$6:$AT$455,Свод!$G$6:$G$455,Расчеты!BI$1,Свод!$F$6:$F$455,"суб")</f>
        <v>0</v>
      </c>
      <c r="BJ138" s="94">
        <f>SUMIFS(Свод!$AT$6:$AT$455,Свод!$G$6:$G$455,Расчеты!BJ$1,Свод!$F$6:$F$455,"суб")</f>
        <v>0.59899999999999998</v>
      </c>
      <c r="BK138" s="94">
        <f>SUMIFS(Свод!$AT$6:$AT$455,Свод!$G$6:$G$455,Расчеты!BK$1,Свод!$F$6:$F$455,"суб")</f>
        <v>0</v>
      </c>
      <c r="BL138" s="94">
        <f>SUMIFS(Свод!$AT$6:$AT$455,Свод!$G$6:$G$455,Расчеты!BL$1,Свод!$F$6:$F$455,"суб")</f>
        <v>10.41254417</v>
      </c>
      <c r="BM138" s="94">
        <f>SUMIFS(Свод!$AT$6:$AT$455,Свод!$G$6:$G$455,Расчеты!BM$1,Свод!$F$6:$F$455,"суб")</f>
        <v>0</v>
      </c>
      <c r="BN138" s="94">
        <f>SUMIFS(Свод!$AT$6:$AT$455,Свод!$G$6:$G$455,Расчеты!BN$1,Свод!$F$6:$F$455,"суб")</f>
        <v>6.1137563699999991</v>
      </c>
      <c r="BO138" s="94">
        <f>SUMIFS(Свод!$AT$6:$AT$455,Свод!$G$6:$G$455,Расчеты!BO$1,Свод!$F$6:$F$455,"суб")</f>
        <v>0</v>
      </c>
      <c r="BP138" s="94">
        <f>SUMIFS(Свод!$AT$6:$AT$455,Свод!$G$6:$G$455,Расчеты!BP$1,Свод!$F$6:$F$455,"суб")</f>
        <v>7.5999999999999998E-2</v>
      </c>
      <c r="BQ138" s="94">
        <f>SUMIFS(Свод!$AT$6:$AT$455,Свод!$G$6:$G$455,Расчеты!BQ$1,Свод!$F$6:$F$455,"суб")</f>
        <v>0</v>
      </c>
      <c r="BR138" s="94">
        <f>SUMIFS(Свод!$AT$6:$AT$455,Свод!$G$6:$G$455,Расчеты!BR$1,Свод!$F$6:$F$455,"суб")</f>
        <v>33.8402897</v>
      </c>
      <c r="BS138" s="94">
        <f>SUMIFS(Свод!$AT$6:$AT$455,Свод!$G$6:$G$455,Расчеты!BS$1,Свод!$F$6:$F$455,"суб")</f>
        <v>0</v>
      </c>
      <c r="BT138" s="94">
        <f>SUMIFS(Свод!$AT$6:$AT$455,Свод!$G$6:$G$455,Расчеты!BT$1,Свод!$F$6:$F$455,"суб")</f>
        <v>0</v>
      </c>
      <c r="BU138" s="94">
        <f>SUMIFS(Свод!$AT$6:$AT$455,Свод!$G$6:$G$455,Расчеты!BU$1,Свод!$F$6:$F$455,"суб")</f>
        <v>21.649719999999999</v>
      </c>
      <c r="BV138" s="94">
        <f>SUMIFS(Свод!$AT$6:$AT$455,Свод!$G$6:$G$455,Расчеты!BV$1,Свод!$F$6:$F$455,"суб")</f>
        <v>0</v>
      </c>
      <c r="BW138" s="94">
        <f>SUMIFS(Свод!$AT$6:$AT$455,Свод!$G$6:$G$455,Расчеты!BW$1,Свод!$F$6:$F$455,"суб")</f>
        <v>23.85</v>
      </c>
      <c r="BX138" s="94">
        <f>SUMIFS(Свод!$AT$6:$AT$455,Свод!$G$6:$G$455,Расчеты!BX$1,Свод!$F$6:$F$455,"суб")</f>
        <v>0</v>
      </c>
      <c r="BY138" s="94">
        <f>SUMIFS(Свод!$AT$6:$AT$455,Свод!$G$6:$G$455,Расчеты!BY$1,Свод!$F$6:$F$455,"суб")</f>
        <v>10.332000000000001</v>
      </c>
      <c r="BZ138" s="94">
        <f>SUMIFS(Свод!$AT$6:$AT$455,Свод!$G$6:$G$455,Расчеты!BZ$1,Свод!$F$6:$F$455,"суб")</f>
        <v>30.9</v>
      </c>
      <c r="CA138" s="94">
        <f>SUMIFS(Свод!$AT$6:$AT$455,Свод!$G$6:$G$455,Расчеты!CA$1,Свод!$F$6:$F$455,"суб")</f>
        <v>0</v>
      </c>
      <c r="CB138" s="94">
        <f>SUMIFS(Свод!$AT$6:$AT$455,Свод!$G$6:$G$455,Расчеты!CB$1,Свод!$F$6:$F$455,"суб")</f>
        <v>36.853141340000001</v>
      </c>
      <c r="CC138" s="94">
        <f>SUMIFS(Свод!$AT$6:$AT$455,Свод!$G$6:$G$455,Расчеты!CC$1,Свод!$F$6:$F$455,"суб")</f>
        <v>0</v>
      </c>
      <c r="CD138" s="94">
        <f>SUMIFS(Свод!$AT$6:$AT$455,Свод!$G$6:$G$455,Расчеты!CD$1,Свод!$F$6:$F$455,"суб")</f>
        <v>0.03</v>
      </c>
      <c r="CE138" s="94">
        <f>SUMIFS(Свод!$AT$6:$AT$455,Свод!$G$6:$G$455,Расчеты!CE$1,Свод!$F$6:$F$455,"суб")</f>
        <v>0</v>
      </c>
      <c r="CF138" s="94">
        <f>SUMIFS(Свод!$AT$6:$AT$455,Свод!$G$6:$G$455,Расчеты!CF$1,Свод!$F$6:$F$455,"суб")</f>
        <v>0</v>
      </c>
      <c r="CG138" s="94">
        <f>SUMIFS(Свод!$AT$6:$AT$455,Свод!$G$6:$G$455,Расчеты!CG$1,Свод!$F$6:$F$455,"суб")</f>
        <v>4.09</v>
      </c>
      <c r="CH138" s="94">
        <f>SUMIFS(Свод!$AT$6:$AT$455,Свод!$G$6:$G$455,Расчеты!CH$1,Свод!$F$6:$F$455,"суб")</f>
        <v>355.267</v>
      </c>
      <c r="CI138" s="94">
        <f>SUMIFS(Свод!$AT$6:$AT$455,Свод!$G$6:$G$455,Расчеты!CI$1,Свод!$F$6:$F$455,"суб")</f>
        <v>0</v>
      </c>
      <c r="CJ138" s="94">
        <f>SUMIFS(Свод!$AT$6:$AT$455,Свод!$G$6:$G$455,Расчеты!CJ$1,Свод!$F$6:$F$455,"суб")</f>
        <v>0</v>
      </c>
      <c r="CK138" s="94">
        <f>SUMIFS(Свод!$AT$6:$AT$455,Свод!$G$6:$G$455,Расчеты!CK$1,Свод!$F$6:$F$455,"суб")</f>
        <v>57.704999999999998</v>
      </c>
      <c r="CL138" s="94">
        <f>SUMIFS(Свод!$AT$6:$AT$455,Свод!$G$6:$G$455,Расчеты!CL$1,Свод!$F$6:$F$455,"суб")</f>
        <v>0</v>
      </c>
      <c r="CM138" s="94">
        <f>SUMIFS(Свод!$AT$6:$AT$455,Свод!$G$6:$G$455,Расчеты!CM$1,Свод!$F$6:$F$455,"суб")</f>
        <v>0.6238999999999999</v>
      </c>
      <c r="CN138" s="94">
        <f>SUMIFS(Свод!$AT$6:$AT$455,Свод!$G$6:$G$455,Расчеты!CN$1,Свод!$F$6:$F$455,"суб")</f>
        <v>23.934000000000001</v>
      </c>
      <c r="CO138" s="94">
        <f>SUMIFS(Свод!$AT$6:$AT$455,Свод!$G$6:$G$455,Расчеты!CO$1,Свод!$F$6:$F$455,"суб")</f>
        <v>5.1719999999999997</v>
      </c>
      <c r="CP138" s="94">
        <f>SUMIFS(Свод!$AT$6:$AT$455,Свод!$G$6:$G$455,Расчеты!CP$1,Свод!$F$6:$F$455,"суб")</f>
        <v>117.47199999999999</v>
      </c>
      <c r="CQ138" s="94">
        <f>SUMIFS(Свод!$AT$6:$AT$455,Свод!$G$6:$G$455,Расчеты!CQ$1,Свод!$F$6:$F$455,"суб")</f>
        <v>0</v>
      </c>
      <c r="CR138" s="94">
        <f>SUMIFS(Свод!$AT$6:$AT$455,Свод!$G$6:$G$455,Расчеты!CR$1,Свод!$F$6:$F$455,"суб")</f>
        <v>6.0894500000000003</v>
      </c>
      <c r="CS138" s="94">
        <f>SUMIFS(Свод!$AT$6:$AT$455,Свод!$G$6:$G$455,Расчеты!CS$1,Свод!$F$6:$F$455,"суб")</f>
        <v>0</v>
      </c>
      <c r="CT138" s="94">
        <f>SUMIFS(Свод!$AT$6:$AT$455,Свод!$G$6:$G$455,Расчеты!CT$1,Свод!$F$6:$F$455,"суб")</f>
        <v>0</v>
      </c>
      <c r="CU138" s="94">
        <f>SUMIFS(Свод!$AT$6:$AT$455,Свод!$G$6:$G$455,Расчеты!CU$1,Свод!$F$6:$F$455,"суб")</f>
        <v>120.70400000000001</v>
      </c>
      <c r="CV138" s="94">
        <f>SUMIFS(Свод!$AT$6:$AT$455,Свод!$G$6:$G$455,Расчеты!CV$1,Свод!$F$6:$F$455,"суб")</f>
        <v>0.08</v>
      </c>
      <c r="CW138" s="94">
        <f>SUMIFS(Свод!$AT$6:$AT$455,Свод!$G$6:$G$455,Расчеты!CW$1,Свод!$F$6:$F$455,"суб")</f>
        <v>0</v>
      </c>
      <c r="CX138" s="94">
        <f>SUMIFS(Свод!$AT$6:$AT$455,Свод!$G$6:$G$455,Расчеты!CX$1,Свод!$F$6:$F$455,"суб")</f>
        <v>7.7779999999999996</v>
      </c>
    </row>
    <row r="139" spans="1:102" ht="34" x14ac:dyDescent="0.2">
      <c r="D139" s="97"/>
      <c r="E139" s="94" t="s">
        <v>8886</v>
      </c>
      <c r="F139" s="97" t="s">
        <v>9425</v>
      </c>
      <c r="G139" s="94" t="s">
        <v>64</v>
      </c>
      <c r="H139" s="94" t="s">
        <v>8980</v>
      </c>
      <c r="L139" s="94" t="s">
        <v>4906</v>
      </c>
      <c r="M139" s="94">
        <v>5.49249973208824E-2</v>
      </c>
      <c r="N139" s="510">
        <v>4.9933915871185015E-2</v>
      </c>
      <c r="Q139" s="94">
        <f ca="1">Q138/Q146</f>
        <v>3.3865487883401588E-2</v>
      </c>
    </row>
    <row r="140" spans="1:102" ht="119" x14ac:dyDescent="0.2">
      <c r="C140" s="94" t="s">
        <v>8897</v>
      </c>
      <c r="D140" s="97" t="s">
        <v>8987</v>
      </c>
      <c r="E140" s="94" t="s">
        <v>8886</v>
      </c>
      <c r="F140" s="97" t="s">
        <v>9428</v>
      </c>
      <c r="G140" s="94" t="s">
        <v>8974</v>
      </c>
      <c r="H140" s="94" t="s">
        <v>8895</v>
      </c>
      <c r="K140" s="94" t="s">
        <v>479</v>
      </c>
      <c r="L140" s="94" t="s">
        <v>4906</v>
      </c>
      <c r="M140" s="94">
        <v>577.59344827000018</v>
      </c>
      <c r="N140" s="94">
        <v>743.74485430000004</v>
      </c>
      <c r="P140" s="94">
        <v>688.95674042000007</v>
      </c>
      <c r="Q140" s="94">
        <f t="shared" si="29"/>
        <v>415.53845023000002</v>
      </c>
      <c r="R140" s="94">
        <f>SUMIFS(Свод!$AV$6:$AV$455,Свод!$G$6:$G$455,Расчеты!R$1,Свод!$F$6:$F$455,"суб")</f>
        <v>0</v>
      </c>
      <c r="S140" s="94">
        <f>SUMIFS(Свод!$AV$6:$AV$455,Свод!$G$6:$G$455,Расчеты!S$1,Свод!$F$6:$F$455,"суб")</f>
        <v>0.96900000000000008</v>
      </c>
      <c r="T140" s="94">
        <f>SUMIFS(Свод!$AV$6:$AV$455,Свод!$G$6:$G$455,Расчеты!T$1,Свод!$F$6:$F$455,"суб")</f>
        <v>3.61609399</v>
      </c>
      <c r="U140" s="94">
        <f>SUMIFS(Свод!$AV$6:$AV$455,Свод!$G$6:$G$455,Расчеты!U$1,Свод!$F$6:$F$455,"суб")</f>
        <v>5.1360000000000001</v>
      </c>
      <c r="V140" s="94">
        <f>SUMIFS(Свод!$AV$6:$AV$455,Свод!$G$6:$G$455,Расчеты!V$1,Свод!$F$6:$F$455,"суб")</f>
        <v>2.52</v>
      </c>
      <c r="W140" s="94">
        <f>SUMIFS(Свод!$AV$6:$AV$455,Свод!$G$6:$G$455,Расчеты!W$1,Свод!$F$6:$F$455,"суб")</f>
        <v>0.55000000000000004</v>
      </c>
      <c r="X140" s="94">
        <f>SUMIFS(Свод!$AV$6:$AV$455,Свод!$G$6:$G$455,Расчеты!X$1,Свод!$F$6:$F$455,"суб")</f>
        <v>75.166945999999996</v>
      </c>
      <c r="Y140" s="94">
        <f>SUMIFS(Свод!$AV$6:$AV$455,Свод!$G$6:$G$455,Расчеты!Y$1,Свод!$F$6:$F$455,"суб")</f>
        <v>0</v>
      </c>
      <c r="Z140" s="94">
        <f>SUMIFS(Свод!$AV$6:$AV$455,Свод!$G$6:$G$455,Расчеты!Z$1,Свод!$F$6:$F$455,"суб")</f>
        <v>0</v>
      </c>
      <c r="AA140" s="94">
        <f>SUMIFS(Свод!$AV$6:$AV$455,Свод!$G$6:$G$455,Расчеты!AA$1,Свод!$F$6:$F$455,"суб")</f>
        <v>0</v>
      </c>
      <c r="AB140" s="94">
        <f>SUMIFS(Свод!$AV$6:$AV$455,Свод!$G$6:$G$455,Расчеты!AB$1,Свод!$F$6:$F$455,"суб")</f>
        <v>32.433</v>
      </c>
      <c r="AC140" s="94">
        <f>SUMIFS(Свод!$AV$6:$AV$455,Свод!$G$6:$G$455,Расчеты!AC$1,Свод!$F$6:$F$455,"суб")</f>
        <v>0</v>
      </c>
      <c r="AD140" s="94">
        <f>SUMIFS(Свод!$AV$6:$AV$455,Свод!$G$6:$G$455,Расчеты!AD$1,Свод!$F$6:$F$455,"суб")</f>
        <v>14.99</v>
      </c>
      <c r="AE140" s="94">
        <f>SUMIFS(Свод!$AV$6:$AV$455,Свод!$G$6:$G$455,Расчеты!AE$1,Свод!$F$6:$F$455,"суб")</f>
        <v>16.249000000000002</v>
      </c>
      <c r="AF140" s="94">
        <f>SUMIFS(Свод!$AV$6:$AV$455,Свод!$G$6:$G$455,Расчеты!AF$1,Свод!$F$6:$F$455,"суб")</f>
        <v>0</v>
      </c>
      <c r="AG140" s="94">
        <f>SUMIFS(Свод!$AV$6:$AV$455,Свод!$G$6:$G$455,Расчеты!AG$1,Свод!$F$6:$F$455,"суб")</f>
        <v>0</v>
      </c>
      <c r="AH140" s="94">
        <f>SUMIFS(Свод!$AV$6:$AV$455,Свод!$G$6:$G$455,Расчеты!AH$1,Свод!$F$6:$F$455,"суб")</f>
        <v>0.18540000000000001</v>
      </c>
      <c r="AI140" s="94">
        <f>SUMIFS(Свод!$AV$6:$AV$455,Свод!$G$6:$G$455,Расчеты!AI$1,Свод!$F$6:$F$455,"суб")</f>
        <v>0</v>
      </c>
      <c r="AJ140" s="94">
        <f>SUMIFS(Свод!$AV$6:$AV$455,Свод!$G$6:$G$455,Расчеты!AJ$1,Свод!$F$6:$F$455,"суб")</f>
        <v>0</v>
      </c>
      <c r="AK140" s="94">
        <f>SUMIFS(Свод!$AV$6:$AV$455,Свод!$G$6:$G$455,Расчеты!AK$1,Свод!$F$6:$F$455,"суб")</f>
        <v>0</v>
      </c>
      <c r="AL140" s="94">
        <f>SUMIFS(Свод!$AV$6:$AV$455,Свод!$G$6:$G$455,Расчеты!AL$1,Свод!$F$6:$F$455,"суб")</f>
        <v>0</v>
      </c>
      <c r="AM140" s="94">
        <f>SUMIFS(Свод!$AV$6:$AV$455,Свод!$G$6:$G$455,Расчеты!AM$1,Свод!$F$6:$F$455,"суб")</f>
        <v>0.54300000000000004</v>
      </c>
      <c r="AN140" s="94">
        <f>SUMIFS(Свод!$AV$6:$AV$455,Свод!$G$6:$G$455,Расчеты!AN$1,Свод!$F$6:$F$455,"суб")</f>
        <v>0</v>
      </c>
      <c r="AO140" s="94">
        <f>SUMIFS(Свод!$AV$6:$AV$455,Свод!$G$6:$G$455,Расчеты!AO$1,Свод!$F$6:$F$455,"суб")</f>
        <v>2.778</v>
      </c>
      <c r="AP140" s="94">
        <f>SUMIFS(Свод!$AV$6:$AV$455,Свод!$G$6:$G$455,Расчеты!AP$1,Свод!$F$6:$F$455,"суб")</f>
        <v>0</v>
      </c>
      <c r="AQ140" s="94">
        <f>SUMIFS(Свод!$AV$6:$AV$455,Свод!$G$6:$G$455,Расчеты!AQ$1,Свод!$F$6:$F$455,"суб")</f>
        <v>0</v>
      </c>
      <c r="AR140" s="94">
        <f>SUMIFS(Свод!$AV$6:$AV$455,Свод!$G$6:$G$455,Расчеты!AR$1,Свод!$F$6:$F$455,"суб")</f>
        <v>4.3150000000000004</v>
      </c>
      <c r="AS140" s="94">
        <f>SUMIFS(Свод!$AV$6:$AV$455,Свод!$G$6:$G$455,Расчеты!AS$1,Свод!$F$6:$F$455,"суб")</f>
        <v>0</v>
      </c>
      <c r="AT140" s="94">
        <f>SUMIFS(Свод!$AV$6:$AV$455,Свод!$G$6:$G$455,Расчеты!AT$1,Свод!$F$6:$F$455,"суб")</f>
        <v>22.32</v>
      </c>
      <c r="AU140" s="94">
        <f>SUMIFS(Свод!$AV$6:$AV$455,Свод!$G$6:$G$455,Расчеты!AU$1,Свод!$F$6:$F$455,"суб")</f>
        <v>20.743293000000001</v>
      </c>
      <c r="AV140" s="94">
        <f>SUMIFS(Свод!$AV$6:$AV$455,Свод!$G$6:$G$455,Расчеты!AV$1,Свод!$F$6:$F$455,"суб")</f>
        <v>2.2529999999999997</v>
      </c>
      <c r="AW140" s="94">
        <f>SUMIFS(Свод!$AV$6:$AV$455,Свод!$G$6:$G$455,Расчеты!AW$1,Свод!$F$6:$F$455,"суб")</f>
        <v>0</v>
      </c>
      <c r="AX140" s="94">
        <f>SUMIFS(Свод!$AV$6:$AV$455,Свод!$G$6:$G$455,Расчеты!AX$1,Свод!$F$6:$F$455,"суб")</f>
        <v>0</v>
      </c>
      <c r="AY140" s="94">
        <f>SUMIFS(Свод!$AV$6:$AV$455,Свод!$G$6:$G$455,Расчеты!AY$1,Свод!$F$6:$F$455,"суб")</f>
        <v>0.32</v>
      </c>
      <c r="AZ140" s="94">
        <f>SUMIFS(Свод!$AV$6:$AV$455,Свод!$G$6:$G$455,Расчеты!AZ$1,Свод!$F$6:$F$455,"суб")</f>
        <v>0</v>
      </c>
      <c r="BA140" s="94">
        <f>SUMIFS(Свод!$AV$6:$AV$455,Свод!$G$6:$G$455,Расчеты!BA$1,Свод!$F$6:$F$455,"суб")</f>
        <v>3.4</v>
      </c>
      <c r="BB140" s="94">
        <f>SUMIFS(Свод!$AV$6:$AV$455,Свод!$G$6:$G$455,Расчеты!BB$1,Свод!$F$6:$F$455,"суб")</f>
        <v>0.312</v>
      </c>
      <c r="BC140" s="94">
        <f>SUMIFS(Свод!$AV$6:$AV$455,Свод!$G$6:$G$455,Расчеты!BC$1,Свод!$F$6:$F$455,"суб")</f>
        <v>0</v>
      </c>
      <c r="BD140" s="94">
        <f>SUMIFS(Свод!$AV$6:$AV$455,Свод!$G$6:$G$455,Расчеты!BD$1,Свод!$F$6:$F$455,"суб")</f>
        <v>0</v>
      </c>
      <c r="BE140" s="94">
        <f>SUMIFS(Свод!$AV$6:$AV$455,Свод!$G$6:$G$455,Расчеты!BE$1,Свод!$F$6:$F$455,"суб")</f>
        <v>0</v>
      </c>
      <c r="BF140" s="94">
        <f>SUMIFS(Свод!$AV$6:$AV$455,Свод!$G$6:$G$455,Расчеты!BF$1,Свод!$F$6:$F$455,"суб")</f>
        <v>0</v>
      </c>
      <c r="BG140" s="94">
        <f>SUMIFS(Свод!$AV$6:$AV$455,Свод!$G$6:$G$455,Расчеты!BG$1,Свод!$F$6:$F$455,"суб")</f>
        <v>0</v>
      </c>
      <c r="BH140" s="94">
        <f>SUMIFS(Свод!$AV$6:$AV$455,Свод!$G$6:$G$455,Расчеты!BH$1,Свод!$F$6:$F$455,"суб")</f>
        <v>0</v>
      </c>
      <c r="BI140" s="94">
        <f>SUMIFS(Свод!$AV$6:$AV$455,Свод!$G$6:$G$455,Расчеты!BI$1,Свод!$F$6:$F$455,"суб")</f>
        <v>0</v>
      </c>
      <c r="BJ140" s="94">
        <f>SUMIFS(Свод!$AV$6:$AV$455,Свод!$G$6:$G$455,Расчеты!BJ$1,Свод!$F$6:$F$455,"суб")</f>
        <v>0.87</v>
      </c>
      <c r="BK140" s="94">
        <f>SUMIFS(Свод!$AV$6:$AV$455,Свод!$G$6:$G$455,Расчеты!BK$1,Свод!$F$6:$F$455,"суб")</f>
        <v>0</v>
      </c>
      <c r="BL140" s="94">
        <f>SUMIFS(Свод!$AV$6:$AV$455,Свод!$G$6:$G$455,Расчеты!BL$1,Свод!$F$6:$F$455,"суб")</f>
        <v>14.871667</v>
      </c>
      <c r="BM140" s="94">
        <f>SUMIFS(Свод!$AV$6:$AV$455,Свод!$G$6:$G$455,Расчеты!BM$1,Свод!$F$6:$F$455,"суб")</f>
        <v>0</v>
      </c>
      <c r="BN140" s="94">
        <f>SUMIFS(Свод!$AV$6:$AV$455,Свод!$G$6:$G$455,Расчеты!BN$1,Свод!$F$6:$F$455,"суб")</f>
        <v>7.3049999999999997</v>
      </c>
      <c r="BO140" s="94">
        <f>SUMIFS(Свод!$AV$6:$AV$455,Свод!$G$6:$G$455,Расчеты!BO$1,Свод!$F$6:$F$455,"суб")</f>
        <v>0</v>
      </c>
      <c r="BP140" s="94">
        <f>SUMIFS(Свод!$AV$6:$AV$455,Свод!$G$6:$G$455,Расчеты!BP$1,Свод!$F$6:$F$455,"суб")</f>
        <v>2.92166478</v>
      </c>
      <c r="BQ140" s="94">
        <f>SUMIFS(Свод!$AV$6:$AV$455,Свод!$G$6:$G$455,Расчеты!BQ$1,Свод!$F$6:$F$455,"суб")</f>
        <v>0</v>
      </c>
      <c r="BR140" s="94">
        <f>SUMIFS(Свод!$AV$6:$AV$455,Свод!$G$6:$G$455,Расчеты!BR$1,Свод!$F$6:$F$455,"суб")</f>
        <v>0.26192966000000001</v>
      </c>
      <c r="BS140" s="94">
        <f>SUMIFS(Свод!$AV$6:$AV$455,Свод!$G$6:$G$455,Расчеты!BS$1,Свод!$F$6:$F$455,"суб")</f>
        <v>0</v>
      </c>
      <c r="BT140" s="94">
        <f>SUMIFS(Свод!$AV$6:$AV$455,Свод!$G$6:$G$455,Расчеты!BT$1,Свод!$F$6:$F$455,"суб")</f>
        <v>0</v>
      </c>
      <c r="BU140" s="94">
        <f>SUMIFS(Свод!$AV$6:$AV$455,Свод!$G$6:$G$455,Расчеты!BU$1,Свод!$F$6:$F$455,"суб")</f>
        <v>16.353909999999999</v>
      </c>
      <c r="BV140" s="94">
        <f>SUMIFS(Свод!$AV$6:$AV$455,Свод!$G$6:$G$455,Расчеты!BV$1,Свод!$F$6:$F$455,"суб")</f>
        <v>0</v>
      </c>
      <c r="BW140" s="94">
        <f>SUMIFS(Свод!$AV$6:$AV$455,Свод!$G$6:$G$455,Расчеты!BW$1,Свод!$F$6:$F$455,"суб")</f>
        <v>26.1</v>
      </c>
      <c r="BX140" s="94">
        <f>SUMIFS(Свод!$AV$6:$AV$455,Свод!$G$6:$G$455,Расчеты!BX$1,Свод!$F$6:$F$455,"суб")</f>
        <v>0</v>
      </c>
      <c r="BY140" s="94">
        <f>SUMIFS(Свод!$AV$6:$AV$455,Свод!$G$6:$G$455,Расчеты!BY$1,Свод!$F$6:$F$455,"суб")</f>
        <v>22.75</v>
      </c>
      <c r="BZ140" s="94">
        <f>SUMIFS(Свод!$AV$6:$AV$455,Свод!$G$6:$G$455,Расчеты!BZ$1,Свод!$F$6:$F$455,"суб")</f>
        <v>51.7</v>
      </c>
      <c r="CA140" s="94">
        <f>SUMIFS(Свод!$AV$6:$AV$455,Свод!$G$6:$G$455,Расчеты!CA$1,Свод!$F$6:$F$455,"суб")</f>
        <v>0</v>
      </c>
      <c r="CB140" s="94">
        <f>SUMIFS(Свод!$AV$6:$AV$455,Свод!$G$6:$G$455,Расчеты!CB$1,Свод!$F$6:$F$455,"суб")</f>
        <v>15.759004840000001</v>
      </c>
      <c r="CC140" s="94">
        <f>SUMIFS(Свод!$AV$6:$AV$455,Свод!$G$6:$G$455,Расчеты!CC$1,Свод!$F$6:$F$455,"суб")</f>
        <v>0</v>
      </c>
      <c r="CD140" s="94">
        <f>SUMIFS(Свод!$AV$6:$AV$455,Свод!$G$6:$G$455,Расчеты!CD$1,Свод!$F$6:$F$455,"суб")</f>
        <v>7.0000000000000007E-2</v>
      </c>
      <c r="CE140" s="94">
        <f>SUMIFS(Свод!$AV$6:$AV$455,Свод!$G$6:$G$455,Расчеты!CE$1,Свод!$F$6:$F$455,"суб")</f>
        <v>0</v>
      </c>
      <c r="CF140" s="94">
        <f>SUMIFS(Свод!$AV$6:$AV$455,Свод!$G$6:$G$455,Расчеты!CF$1,Свод!$F$6:$F$455,"суб")</f>
        <v>0</v>
      </c>
      <c r="CG140" s="94">
        <f>SUMIFS(Свод!$AV$6:$AV$455,Свод!$G$6:$G$455,Расчеты!CG$1,Свод!$F$6:$F$455,"суб")</f>
        <v>4.4024009599999996</v>
      </c>
      <c r="CH140" s="94">
        <f>SUMIFS(Свод!$AV$6:$AV$455,Свод!$G$6:$G$455,Расчеты!CH$1,Свод!$F$6:$F$455,"суб")</f>
        <v>0</v>
      </c>
      <c r="CI140" s="94">
        <f>SUMIFS(Свод!$AV$6:$AV$455,Свод!$G$6:$G$455,Расчеты!CI$1,Свод!$F$6:$F$455,"суб")</f>
        <v>1.677</v>
      </c>
      <c r="CJ140" s="94">
        <f>SUMIFS(Свод!$AV$6:$AV$455,Свод!$G$6:$G$455,Расчеты!CJ$1,Свод!$F$6:$F$455,"суб")</f>
        <v>0</v>
      </c>
      <c r="CK140" s="94">
        <f>SUMIFS(Свод!$AV$6:$AV$455,Свод!$G$6:$G$455,Расчеты!CK$1,Свод!$F$6:$F$455,"суб")</f>
        <v>0</v>
      </c>
      <c r="CL140" s="94">
        <f>SUMIFS(Свод!$AV$6:$AV$455,Свод!$G$6:$G$455,Расчеты!CL$1,Свод!$F$6:$F$455,"суб")</f>
        <v>0</v>
      </c>
      <c r="CM140" s="94">
        <f>SUMIFS(Свод!$AV$6:$AV$455,Свод!$G$6:$G$455,Расчеты!CM$1,Свод!$F$6:$F$455,"суб")</f>
        <v>1.9776400000000001</v>
      </c>
      <c r="CN140" s="94">
        <f>SUMIFS(Свод!$AV$6:$AV$455,Свод!$G$6:$G$455,Расчеты!CN$1,Свод!$F$6:$F$455,"суб")</f>
        <v>23.579000000000001</v>
      </c>
      <c r="CO140" s="94">
        <f>SUMIFS(Свод!$AV$6:$AV$455,Свод!$G$6:$G$455,Расчеты!CO$1,Свод!$F$6:$F$455,"суб")</f>
        <v>4.0259999999999998</v>
      </c>
      <c r="CP140" s="94">
        <f>SUMIFS(Свод!$AV$6:$AV$455,Свод!$G$6:$G$455,Расчеты!CP$1,Свод!$F$6:$F$455,"суб")</f>
        <v>4.3449999999999998</v>
      </c>
      <c r="CQ140" s="94">
        <f>SUMIFS(Свод!$AV$6:$AV$455,Свод!$G$6:$G$455,Расчеты!CQ$1,Свод!$F$6:$F$455,"суб")</f>
        <v>0</v>
      </c>
      <c r="CR140" s="94">
        <f>SUMIFS(Свод!$AV$6:$AV$455,Свод!$G$6:$G$455,Расчеты!CR$1,Свод!$F$6:$F$455,"суб")</f>
        <v>2.798</v>
      </c>
      <c r="CS140" s="94">
        <f>SUMIFS(Свод!$AV$6:$AV$455,Свод!$G$6:$G$455,Расчеты!CS$1,Свод!$F$6:$F$455,"суб")</f>
        <v>0</v>
      </c>
      <c r="CT140" s="94">
        <f>SUMIFS(Свод!$AV$6:$AV$455,Свод!$G$6:$G$455,Расчеты!CT$1,Свод!$F$6:$F$455,"суб")</f>
        <v>0</v>
      </c>
      <c r="CU140" s="94">
        <f>SUMIFS(Свод!$AV$6:$AV$455,Свод!$G$6:$G$455,Расчеты!CU$1,Свод!$F$6:$F$455,"суб")</f>
        <v>4.9504999999999999</v>
      </c>
      <c r="CV140" s="94">
        <f>SUMIFS(Свод!$AV$6:$AV$455,Свод!$G$6:$G$455,Расчеты!CV$1,Свод!$F$6:$F$455,"суб")</f>
        <v>0.02</v>
      </c>
      <c r="CW140" s="94">
        <f>SUMIFS(Свод!$AV$6:$AV$455,Свод!$G$6:$G$455,Расчеты!CW$1,Свод!$F$6:$F$455,"суб")</f>
        <v>0</v>
      </c>
      <c r="CX140" s="94">
        <f>SUMIFS(Свод!$AV$6:$AV$455,Свод!$G$6:$G$455,Расчеты!CX$1,Свод!$F$6:$F$455,"суб")</f>
        <v>0</v>
      </c>
    </row>
    <row r="141" spans="1:102" ht="34" x14ac:dyDescent="0.2">
      <c r="D141" s="97"/>
      <c r="E141" s="94" t="s">
        <v>8886</v>
      </c>
      <c r="F141" s="97" t="s">
        <v>9425</v>
      </c>
      <c r="G141" s="94" t="s">
        <v>64</v>
      </c>
      <c r="L141" s="94" t="s">
        <v>4906</v>
      </c>
      <c r="M141" s="94">
        <v>3.1106308749628917E-2</v>
      </c>
      <c r="N141" s="510">
        <v>3.2154908759733827E-2</v>
      </c>
      <c r="Q141" s="94">
        <f ca="1">Q140/Q146</f>
        <v>1.0096465201400576E-2</v>
      </c>
    </row>
    <row r="142" spans="1:102" ht="34" x14ac:dyDescent="0.2">
      <c r="D142" s="97" t="s">
        <v>9440</v>
      </c>
      <c r="F142" s="97" t="s">
        <v>9436</v>
      </c>
      <c r="G142" s="94" t="s">
        <v>8974</v>
      </c>
      <c r="N142" s="510"/>
      <c r="Q142" s="94">
        <f t="shared" si="29"/>
        <v>758.62149299000009</v>
      </c>
      <c r="R142" s="94">
        <f>SUMIFS(Свод!$AX$6:$AX$455,Свод!$G$6:$G$455,Расчеты!R$1,Свод!$F$6:$F$455,"суб")</f>
        <v>2.6669999999999998</v>
      </c>
      <c r="S142" s="94">
        <f>SUMIFS(Свод!$AX$6:$AX$455,Свод!$G$6:$G$455,Расчеты!S$1,Свод!$F$6:$F$455,"суб")</f>
        <v>0.216</v>
      </c>
      <c r="T142" s="94">
        <f>SUMIFS(Свод!$AX$6:$AX$455,Свод!$G$6:$G$455,Расчеты!T$1,Свод!$F$6:$F$455,"суб")</f>
        <v>53.015000000000001</v>
      </c>
      <c r="U142" s="94">
        <f>SUMIFS(Свод!$AX$6:$AX$455,Свод!$G$6:$G$455,Расчеты!U$1,Свод!$F$6:$F$455,"суб")</f>
        <v>3.2160000000000002</v>
      </c>
      <c r="V142" s="94">
        <f>SUMIFS(Свод!$AX$6:$AX$455,Свод!$G$6:$G$455,Расчеты!V$1,Свод!$F$6:$F$455,"суб")</f>
        <v>0</v>
      </c>
      <c r="W142" s="94">
        <f>SUMIFS(Свод!$AX$6:$AX$455,Свод!$G$6:$G$455,Расчеты!W$1,Свод!$F$6:$F$455,"суб")</f>
        <v>0</v>
      </c>
      <c r="X142" s="94">
        <f>SUMIFS(Свод!$AX$6:$AX$455,Свод!$G$6:$G$455,Расчеты!X$1,Свод!$F$6:$F$455,"суб")</f>
        <v>0</v>
      </c>
      <c r="Y142" s="94">
        <f>SUMIFS(Свод!$AX$6:$AX$455,Свод!$G$6:$G$455,Расчеты!Y$1,Свод!$F$6:$F$455,"суб")</f>
        <v>0</v>
      </c>
      <c r="Z142" s="94">
        <f>SUMIFS(Свод!$AX$6:$AX$455,Свод!$G$6:$G$455,Расчеты!Z$1,Свод!$F$6:$F$455,"суб")</f>
        <v>7.9000000000000001E-2</v>
      </c>
      <c r="AA142" s="94">
        <f>SUMIFS(Свод!$AX$6:$AX$455,Свод!$G$6:$G$455,Расчеты!AA$1,Свод!$F$6:$F$455,"суб")</f>
        <v>0</v>
      </c>
      <c r="AB142" s="94">
        <f>SUMIFS(Свод!$AX$6:$AX$455,Свод!$G$6:$G$455,Расчеты!AB$1,Свод!$F$6:$F$455,"суб")</f>
        <v>0</v>
      </c>
      <c r="AC142" s="94">
        <f>SUMIFS(Свод!$AX$6:$AX$455,Свод!$G$6:$G$455,Расчеты!AC$1,Свод!$F$6:$F$455,"суб")</f>
        <v>0</v>
      </c>
      <c r="AD142" s="94">
        <f>SUMIFS(Свод!$AX$6:$AX$455,Свод!$G$6:$G$455,Расчеты!AD$1,Свод!$F$6:$F$455,"суб")</f>
        <v>8.1720000000000006</v>
      </c>
      <c r="AE142" s="94">
        <f>SUMIFS(Свод!$AX$6:$AX$455,Свод!$G$6:$G$455,Расчеты!AE$1,Свод!$F$6:$F$455,"суб")</f>
        <v>15.154999999999999</v>
      </c>
      <c r="AF142" s="94">
        <f>SUMIFS(Свод!$AX$6:$AX$455,Свод!$G$6:$G$455,Расчеты!AF$1,Свод!$F$6:$F$455,"суб")</f>
        <v>0</v>
      </c>
      <c r="AG142" s="94">
        <f>SUMIFS(Свод!$AX$6:$AX$455,Свод!$G$6:$G$455,Расчеты!AG$1,Свод!$F$6:$F$455,"суб")</f>
        <v>0</v>
      </c>
      <c r="AH142" s="94">
        <f>SUMIFS(Свод!$AX$6:$AX$455,Свод!$G$6:$G$455,Расчеты!AH$1,Свод!$F$6:$F$455,"суб")</f>
        <v>0</v>
      </c>
      <c r="AI142" s="94">
        <f>SUMIFS(Свод!$AX$6:$AX$455,Свод!$G$6:$G$455,Расчеты!AI$1,Свод!$F$6:$F$455,"суб")</f>
        <v>7.2729999999999997</v>
      </c>
      <c r="AJ142" s="94">
        <f>SUMIFS(Свод!$AX$6:$AX$455,Свод!$G$6:$G$455,Расчеты!AJ$1,Свод!$F$6:$F$455,"суб")</f>
        <v>0</v>
      </c>
      <c r="AK142" s="94">
        <f>SUMIFS(Свод!$AX$6:$AX$455,Свод!$G$6:$G$455,Расчеты!AK$1,Свод!$F$6:$F$455,"суб")</f>
        <v>0</v>
      </c>
      <c r="AL142" s="94">
        <f>SUMIFS(Свод!$AX$6:$AX$455,Свод!$G$6:$G$455,Расчеты!AL$1,Свод!$F$6:$F$455,"суб")</f>
        <v>0</v>
      </c>
      <c r="AM142" s="94">
        <f>SUMIFS(Свод!$AX$6:$AX$455,Свод!$G$6:$G$455,Расчеты!AM$1,Свод!$F$6:$F$455,"суб")</f>
        <v>0</v>
      </c>
      <c r="AN142" s="94">
        <f>SUMIFS(Свод!$AX$6:$AX$455,Свод!$G$6:$G$455,Расчеты!AN$1,Свод!$F$6:$F$455,"суб")</f>
        <v>2.1360000000000001</v>
      </c>
      <c r="AO142" s="94">
        <f>SUMIFS(Свод!$AX$6:$AX$455,Свод!$G$6:$G$455,Расчеты!AO$1,Свод!$F$6:$F$455,"суб")</f>
        <v>0</v>
      </c>
      <c r="AP142" s="94">
        <f>SUMIFS(Свод!$AX$6:$AX$455,Свод!$G$6:$G$455,Расчеты!AP$1,Свод!$F$6:$F$455,"суб")</f>
        <v>0</v>
      </c>
      <c r="AQ142" s="94">
        <f>SUMIFS(Свод!$AX$6:$AX$455,Свод!$G$6:$G$455,Расчеты!AQ$1,Свод!$F$6:$F$455,"суб")</f>
        <v>0</v>
      </c>
      <c r="AR142" s="94">
        <f>SUMIFS(Свод!$AX$6:$AX$455,Свод!$G$6:$G$455,Расчеты!AR$1,Свод!$F$6:$F$455,"суб")</f>
        <v>23.603999999999999</v>
      </c>
      <c r="AS142" s="94">
        <f>SUMIFS(Свод!$AX$6:$AX$455,Свод!$G$6:$G$455,Расчеты!AS$1,Свод!$F$6:$F$455,"суб")</f>
        <v>20.408000000000001</v>
      </c>
      <c r="AT142" s="94">
        <f>SUMIFS(Свод!$AX$6:$AX$455,Свод!$G$6:$G$455,Расчеты!AT$1,Свод!$F$6:$F$455,"суб")</f>
        <v>0</v>
      </c>
      <c r="AU142" s="94">
        <f>SUMIFS(Свод!$AX$6:$AX$455,Свод!$G$6:$G$455,Расчеты!AU$1,Свод!$F$6:$F$455,"суб")</f>
        <v>0</v>
      </c>
      <c r="AV142" s="94">
        <f>SUMIFS(Свод!$AX$6:$AX$455,Свод!$G$6:$G$455,Расчеты!AV$1,Свод!$F$6:$F$455,"суб")</f>
        <v>0</v>
      </c>
      <c r="AW142" s="94">
        <f>SUMIFS(Свод!$AX$6:$AX$455,Свод!$G$6:$G$455,Расчеты!AW$1,Свод!$F$6:$F$455,"суб")</f>
        <v>0</v>
      </c>
      <c r="AX142" s="94">
        <f>SUMIFS(Свод!$AX$6:$AX$455,Свод!$G$6:$G$455,Расчеты!AX$1,Свод!$F$6:$F$455,"суб")</f>
        <v>32.96</v>
      </c>
      <c r="AY142" s="94">
        <f>SUMIFS(Свод!$AX$6:$AX$455,Свод!$G$6:$G$455,Расчеты!AY$1,Свод!$F$6:$F$455,"суб")</f>
        <v>0.24521234</v>
      </c>
      <c r="AZ142" s="94">
        <f>SUMIFS(Свод!$AX$6:$AX$455,Свод!$G$6:$G$455,Расчеты!AZ$1,Свод!$F$6:$F$455,"суб")</f>
        <v>34.994</v>
      </c>
      <c r="BA142" s="94">
        <f>SUMIFS(Свод!$AX$6:$AX$455,Свод!$G$6:$G$455,Расчеты!BA$1,Свод!$F$6:$F$455,"суб")</f>
        <v>5.9</v>
      </c>
      <c r="BB142" s="94">
        <f>SUMIFS(Свод!$AX$6:$AX$455,Свод!$G$6:$G$455,Расчеты!BB$1,Свод!$F$6:$F$455,"суб")</f>
        <v>0</v>
      </c>
      <c r="BC142" s="94">
        <f>SUMIFS(Свод!$AX$6:$AX$455,Свод!$G$6:$G$455,Расчеты!BC$1,Свод!$F$6:$F$455,"суб")</f>
        <v>0</v>
      </c>
      <c r="BD142" s="94">
        <f>SUMIFS(Свод!$AX$6:$AX$455,Свод!$G$6:$G$455,Расчеты!BD$1,Свод!$F$6:$F$455,"суб")</f>
        <v>0.13883400000000001</v>
      </c>
      <c r="BE142" s="94">
        <f>SUMIFS(Свод!$AX$6:$AX$455,Свод!$G$6:$G$455,Расчеты!BE$1,Свод!$F$6:$F$455,"суб")</f>
        <v>5.2592880000000015</v>
      </c>
      <c r="BF142" s="94">
        <f>SUMIFS(Свод!$AX$6:$AX$455,Свод!$G$6:$G$455,Расчеты!BF$1,Свод!$F$6:$F$455,"суб")</f>
        <v>0</v>
      </c>
      <c r="BG142" s="94">
        <f>SUMIFS(Свод!$AX$6:$AX$455,Свод!$G$6:$G$455,Расчеты!BG$1,Свод!$F$6:$F$455,"суб")</f>
        <v>0</v>
      </c>
      <c r="BH142" s="94">
        <f>SUMIFS(Свод!$AX$6:$AX$455,Свод!$G$6:$G$455,Расчеты!BH$1,Свод!$F$6:$F$455,"суб")</f>
        <v>0</v>
      </c>
      <c r="BI142" s="94">
        <f>SUMIFS(Свод!$AX$6:$AX$455,Свод!$G$6:$G$455,Расчеты!BI$1,Свод!$F$6:$F$455,"суб")</f>
        <v>19.347999999999999</v>
      </c>
      <c r="BJ142" s="94">
        <f>SUMIFS(Свод!$AX$6:$AX$455,Свод!$G$6:$G$455,Расчеты!BJ$1,Свод!$F$6:$F$455,"суб")</f>
        <v>0</v>
      </c>
      <c r="BK142" s="94">
        <f>SUMIFS(Свод!$AX$6:$AX$455,Свод!$G$6:$G$455,Расчеты!BK$1,Свод!$F$6:$F$455,"суб")</f>
        <v>21.539000000000001</v>
      </c>
      <c r="BL142" s="94">
        <f>SUMIFS(Свод!$AX$6:$AX$455,Свод!$G$6:$G$455,Расчеты!BL$1,Свод!$F$6:$F$455,"суб")</f>
        <v>0</v>
      </c>
      <c r="BM142" s="94">
        <f>SUMIFS(Свод!$AX$6:$AX$455,Свод!$G$6:$G$455,Расчеты!BM$1,Свод!$F$6:$F$455,"суб")</f>
        <v>19.87</v>
      </c>
      <c r="BN142" s="94">
        <f>SUMIFS(Свод!$AX$6:$AX$455,Свод!$G$6:$G$455,Расчеты!BN$1,Свод!$F$6:$F$455,"суб")</f>
        <v>10.472</v>
      </c>
      <c r="BO142" s="94">
        <f>SUMIFS(Свод!$AX$6:$AX$455,Свод!$G$6:$G$455,Расчеты!BO$1,Свод!$F$6:$F$455,"суб")</f>
        <v>39.2136</v>
      </c>
      <c r="BP142" s="94">
        <f>SUMIFS(Свод!$AX$6:$AX$455,Свод!$G$6:$G$455,Расчеты!BP$1,Свод!$F$6:$F$455,"суб")</f>
        <v>1.9462259999999998</v>
      </c>
      <c r="BQ142" s="94">
        <f>SUMIFS(Свод!$AX$6:$AX$455,Свод!$G$6:$G$455,Расчеты!BQ$1,Свод!$F$6:$F$455,"суб")</f>
        <v>0</v>
      </c>
      <c r="BR142" s="94">
        <f>SUMIFS(Свод!$AX$6:$AX$455,Свод!$G$6:$G$455,Расчеты!BR$1,Свод!$F$6:$F$455,"суб")</f>
        <v>34.102219359999999</v>
      </c>
      <c r="BS142" s="94">
        <f>SUMIFS(Свод!$AX$6:$AX$455,Свод!$G$6:$G$455,Расчеты!BS$1,Свод!$F$6:$F$455,"суб")</f>
        <v>0</v>
      </c>
      <c r="BT142" s="94">
        <f>SUMIFS(Свод!$AX$6:$AX$455,Свод!$G$6:$G$455,Расчеты!BT$1,Свод!$F$6:$F$455,"суб")</f>
        <v>1.1556599999999999</v>
      </c>
      <c r="BU142" s="94">
        <f>SUMIFS(Свод!$AX$6:$AX$455,Свод!$G$6:$G$455,Расчеты!BU$1,Свод!$F$6:$F$455,"суб")</f>
        <v>0</v>
      </c>
      <c r="BV142" s="94">
        <f>SUMIFS(Свод!$AX$6:$AX$455,Свод!$G$6:$G$455,Расчеты!BV$1,Свод!$F$6:$F$455,"суб")</f>
        <v>50.577364760000002</v>
      </c>
      <c r="BW142" s="94">
        <f>SUMIFS(Свод!$AX$6:$AX$455,Свод!$G$6:$G$455,Расчеты!BW$1,Свод!$F$6:$F$455,"суб")</f>
        <v>25.102967620000001</v>
      </c>
      <c r="BX142" s="94">
        <f>SUMIFS(Свод!$AX$6:$AX$455,Свод!$G$6:$G$455,Расчеты!BX$1,Свод!$F$6:$F$455,"суб")</f>
        <v>0</v>
      </c>
      <c r="BY142" s="94">
        <f>SUMIFS(Свод!$AX$6:$AX$455,Свод!$G$6:$G$455,Расчеты!BY$1,Свод!$F$6:$F$455,"суб")</f>
        <v>31.922999999999998</v>
      </c>
      <c r="BZ142" s="94">
        <f>SUMIFS(Свод!$AX$6:$AX$455,Свод!$G$6:$G$455,Расчеты!BZ$1,Свод!$F$6:$F$455,"суб")</f>
        <v>0</v>
      </c>
      <c r="CA142" s="94">
        <f>SUMIFS(Свод!$AX$6:$AX$455,Свод!$G$6:$G$455,Расчеты!CA$1,Свод!$F$6:$F$455,"суб")</f>
        <v>4.2</v>
      </c>
      <c r="CB142" s="94">
        <f>SUMIFS(Свод!$AX$6:$AX$455,Свод!$G$6:$G$455,Расчеты!CB$1,Свод!$F$6:$F$455,"суб")</f>
        <v>0</v>
      </c>
      <c r="CC142" s="94">
        <f>SUMIFS(Свод!$AX$6:$AX$455,Свод!$G$6:$G$455,Расчеты!CC$1,Свод!$F$6:$F$455,"суб")</f>
        <v>0</v>
      </c>
      <c r="CD142" s="94">
        <f>SUMIFS(Свод!$AX$6:$AX$455,Свод!$G$6:$G$455,Расчеты!CD$1,Свод!$F$6:$F$455,"суб")</f>
        <v>0</v>
      </c>
      <c r="CE142" s="94">
        <f>SUMIFS(Свод!$AX$6:$AX$455,Свод!$G$6:$G$455,Расчеты!CE$1,Свод!$F$6:$F$455,"суб")</f>
        <v>0</v>
      </c>
      <c r="CF142" s="94">
        <f>SUMIFS(Свод!$AX$6:$AX$455,Свод!$G$6:$G$455,Расчеты!CF$1,Свод!$F$6:$F$455,"суб")</f>
        <v>60.631</v>
      </c>
      <c r="CG142" s="94">
        <f>SUMIFS(Свод!$AX$6:$AX$455,Свод!$G$6:$G$455,Расчеты!CG$1,Свод!$F$6:$F$455,"суб")</f>
        <v>0</v>
      </c>
      <c r="CH142" s="94">
        <f>SUMIFS(Свод!$AX$6:$AX$455,Свод!$G$6:$G$455,Расчеты!CH$1,Свод!$F$6:$F$455,"суб")</f>
        <v>0</v>
      </c>
      <c r="CI142" s="94">
        <f>SUMIFS(Свод!$AX$6:$AX$455,Свод!$G$6:$G$455,Расчеты!CI$1,Свод!$F$6:$F$455,"суб")</f>
        <v>33.954999999999998</v>
      </c>
      <c r="CJ142" s="94">
        <f>SUMIFS(Свод!$AX$6:$AX$455,Свод!$G$6:$G$455,Расчеты!CJ$1,Свод!$F$6:$F$455,"суб")</f>
        <v>8.6064226500000007</v>
      </c>
      <c r="CK142" s="94">
        <f>SUMIFS(Свод!$AX$6:$AX$455,Свод!$G$6:$G$455,Расчеты!CK$1,Свод!$F$6:$F$455,"суб")</f>
        <v>16.670000000000002</v>
      </c>
      <c r="CL142" s="94">
        <f>SUMIFS(Свод!$AX$6:$AX$455,Свод!$G$6:$G$455,Расчеты!CL$1,Свод!$F$6:$F$455,"суб")</f>
        <v>0</v>
      </c>
      <c r="CM142" s="94">
        <f>SUMIFS(Свод!$AX$6:$AX$455,Свод!$G$6:$G$455,Расчеты!CM$1,Свод!$F$6:$F$455,"суб")</f>
        <v>0.191</v>
      </c>
      <c r="CN142" s="94">
        <f>SUMIFS(Свод!$AX$6:$AX$455,Свод!$G$6:$G$455,Расчеты!CN$1,Свод!$F$6:$F$455,"суб")</f>
        <v>0.47513</v>
      </c>
      <c r="CO142" s="94">
        <f>SUMIFS(Свод!$AX$6:$AX$455,Свод!$G$6:$G$455,Расчеты!CO$1,Свод!$F$6:$F$455,"суб")</f>
        <v>7.9809999999999999</v>
      </c>
      <c r="CP142" s="94">
        <f>SUMIFS(Свод!$AX$6:$AX$455,Свод!$G$6:$G$455,Расчеты!CP$1,Свод!$F$6:$F$455,"суб")</f>
        <v>0</v>
      </c>
      <c r="CQ142" s="94">
        <f>SUMIFS(Свод!$AX$6:$AX$455,Свод!$G$6:$G$455,Расчеты!CQ$1,Свод!$F$6:$F$455,"суб")</f>
        <v>0</v>
      </c>
      <c r="CR142" s="94">
        <f>SUMIFS(Свод!$AX$6:$AX$455,Свод!$G$6:$G$455,Расчеты!CR$1,Свод!$F$6:$F$455,"суб")</f>
        <v>3</v>
      </c>
      <c r="CS142" s="94">
        <f>SUMIFS(Свод!$AX$6:$AX$455,Свод!$G$6:$G$455,Расчеты!CS$1,Свод!$F$6:$F$455,"суб")</f>
        <v>7.1833260000000001</v>
      </c>
      <c r="CT142" s="94">
        <f>SUMIFS(Свод!$AX$6:$AX$455,Свод!$G$6:$G$455,Расчеты!CT$1,Свод!$F$6:$F$455,"суб")</f>
        <v>1.341</v>
      </c>
      <c r="CU142" s="94">
        <f>SUMIFS(Свод!$AX$6:$AX$455,Свод!$G$6:$G$455,Расчеты!CU$1,Свод!$F$6:$F$455,"суб")</f>
        <v>143.69924226000001</v>
      </c>
      <c r="CV142" s="94">
        <f>SUMIFS(Свод!$AX$6:$AX$455,Свод!$G$6:$G$455,Расчеты!CV$1,Свод!$F$6:$F$455,"суб")</f>
        <v>0</v>
      </c>
      <c r="CW142" s="94">
        <f>SUMIFS(Свод!$AX$6:$AX$455,Свод!$G$6:$G$455,Расчеты!CW$1,Свод!$F$6:$F$455,"суб")</f>
        <v>0</v>
      </c>
      <c r="CX142" s="94">
        <f>SUMIFS(Свод!$AX$6:$AX$455,Свод!$G$6:$G$455,Расчеты!CX$1,Свод!$F$6:$F$455,"суб")</f>
        <v>0</v>
      </c>
    </row>
    <row r="143" spans="1:102" ht="34" x14ac:dyDescent="0.2">
      <c r="D143" s="97"/>
      <c r="F143" s="97" t="s">
        <v>9425</v>
      </c>
      <c r="G143" s="94" t="s">
        <v>64</v>
      </c>
      <c r="Q143" s="94">
        <f ca="1">Q142/Q146</f>
        <v>1.8432459140107542E-2</v>
      </c>
    </row>
    <row r="144" spans="1:102" ht="51" x14ac:dyDescent="0.2">
      <c r="D144" s="97" t="s">
        <v>9438</v>
      </c>
      <c r="F144" s="97" t="s">
        <v>9439</v>
      </c>
      <c r="G144" s="94" t="s">
        <v>8974</v>
      </c>
      <c r="Q144" s="94">
        <f t="shared" si="29"/>
        <v>9963.2831509050138</v>
      </c>
      <c r="R144" s="94">
        <f>SUMIFS(Свод!$AZ$6:$AZ$455,Свод!$G$6:$G$455,Расчеты!R$1,Свод!$F$6:$F$455,"суб")</f>
        <v>0</v>
      </c>
      <c r="S144" s="94">
        <f>SUMIFS(Свод!$AZ$6:$AZ$455,Свод!$G$6:$G$455,Расчеты!S$1,Свод!$F$6:$F$455,"суб")</f>
        <v>59.616</v>
      </c>
      <c r="T144" s="94">
        <f>SUMIFS(Свод!$AZ$6:$AZ$455,Свод!$G$6:$G$455,Расчеты!T$1,Свод!$F$6:$F$455,"суб")</f>
        <v>0</v>
      </c>
      <c r="U144" s="94">
        <f>SUMIFS(Свод!$AZ$6:$AZ$455,Свод!$G$6:$G$455,Расчеты!U$1,Свод!$F$6:$F$455,"суб")</f>
        <v>0</v>
      </c>
      <c r="V144" s="94">
        <f>SUMIFS(Свод!$AZ$6:$AZ$455,Свод!$G$6:$G$455,Расчеты!V$1,Свод!$F$6:$F$455,"суб")</f>
        <v>0</v>
      </c>
      <c r="W144" s="94">
        <f>SUMIFS(Свод!$AZ$6:$AZ$455,Свод!$G$6:$G$455,Расчеты!W$1,Свод!$F$6:$F$455,"суб")</f>
        <v>0</v>
      </c>
      <c r="X144" s="94">
        <f>SUMIFS(Свод!$AZ$6:$AZ$455,Свод!$G$6:$G$455,Расчеты!X$1,Свод!$F$6:$F$455,"суб")</f>
        <v>0</v>
      </c>
      <c r="Y144" s="94">
        <f>SUMIFS(Свод!$AZ$6:$AZ$455,Свод!$G$6:$G$455,Расчеты!Y$1,Свод!$F$6:$F$455,"суб")</f>
        <v>0</v>
      </c>
      <c r="Z144" s="94">
        <f>SUMIFS(Свод!$AZ$6:$AZ$455,Свод!$G$6:$G$455,Расчеты!Z$1,Свод!$F$6:$F$455,"суб")</f>
        <v>0</v>
      </c>
      <c r="AA144" s="94">
        <f>SUMIFS(Свод!$AZ$6:$AZ$455,Свод!$G$6:$G$455,Расчеты!AA$1,Свод!$F$6:$F$455,"суб")</f>
        <v>0</v>
      </c>
      <c r="AB144" s="94">
        <f>SUMIFS(Свод!$AZ$6:$AZ$455,Свод!$G$6:$G$455,Расчеты!AB$1,Свод!$F$6:$F$455,"суб")</f>
        <v>563.46800000000007</v>
      </c>
      <c r="AC144" s="94">
        <f>SUMIFS(Свод!$AZ$6:$AZ$455,Свод!$G$6:$G$455,Расчеты!AC$1,Свод!$F$6:$F$455,"суб")</f>
        <v>0</v>
      </c>
      <c r="AD144" s="94">
        <f>SUMIFS(Свод!$AZ$6:$AZ$455,Свод!$G$6:$G$455,Расчеты!AD$1,Свод!$F$6:$F$455,"суб")</f>
        <v>0</v>
      </c>
      <c r="AE144" s="94">
        <f>SUMIFS(Свод!$AZ$6:$AZ$455,Свод!$G$6:$G$455,Расчеты!AE$1,Свод!$F$6:$F$455,"суб")</f>
        <v>0</v>
      </c>
      <c r="AF144" s="94">
        <f>SUMIFS(Свод!$AZ$6:$AZ$455,Свод!$G$6:$G$455,Расчеты!AF$1,Свод!$F$6:$F$455,"суб")</f>
        <v>8.4169999999999998</v>
      </c>
      <c r="AG144" s="94">
        <f>SUMIFS(Свод!$AZ$6:$AZ$455,Свод!$G$6:$G$455,Расчеты!AG$1,Свод!$F$6:$F$455,"суб")</f>
        <v>0</v>
      </c>
      <c r="AH144" s="94">
        <f>SUMIFS(Свод!$AZ$6:$AZ$455,Свод!$G$6:$G$455,Расчеты!AH$1,Свод!$F$6:$F$455,"суб")</f>
        <v>1304.1480999999999</v>
      </c>
      <c r="AI144" s="94">
        <f>SUMIFS(Свод!$AZ$6:$AZ$455,Свод!$G$6:$G$455,Расчеты!AI$1,Свод!$F$6:$F$455,"суб")</f>
        <v>0</v>
      </c>
      <c r="AJ144" s="94">
        <f>SUMIFS(Свод!$AZ$6:$AZ$455,Свод!$G$6:$G$455,Расчеты!AJ$1,Свод!$F$6:$F$455,"суб")</f>
        <v>0</v>
      </c>
      <c r="AK144" s="94">
        <f>SUMIFS(Свод!$AZ$6:$AZ$455,Свод!$G$6:$G$455,Расчеты!AK$1,Свод!$F$6:$F$455,"суб")</f>
        <v>0</v>
      </c>
      <c r="AL144" s="94">
        <f>SUMIFS(Свод!$AZ$6:$AZ$455,Свод!$G$6:$G$455,Расчеты!AL$1,Свод!$F$6:$F$455,"суб")</f>
        <v>0</v>
      </c>
      <c r="AM144" s="94">
        <f>SUMIFS(Свод!$AZ$6:$AZ$455,Свод!$G$6:$G$455,Расчеты!AM$1,Свод!$F$6:$F$455,"суб")</f>
        <v>275.93740000000003</v>
      </c>
      <c r="AN144" s="94">
        <f>SUMIFS(Свод!$AZ$6:$AZ$455,Свод!$G$6:$G$455,Расчеты!AN$1,Свод!$F$6:$F$455,"суб")</f>
        <v>0</v>
      </c>
      <c r="AO144" s="94">
        <f>SUMIFS(Свод!$AZ$6:$AZ$455,Свод!$G$6:$G$455,Расчеты!AO$1,Свод!$F$6:$F$455,"суб")</f>
        <v>0</v>
      </c>
      <c r="AP144" s="94">
        <f>SUMIFS(Свод!$AZ$6:$AZ$455,Свод!$G$6:$G$455,Расчеты!AP$1,Свод!$F$6:$F$455,"суб")</f>
        <v>0</v>
      </c>
      <c r="AQ144" s="94">
        <f>SUMIFS(Свод!$AZ$6:$AZ$455,Свод!$G$6:$G$455,Расчеты!AQ$1,Свод!$F$6:$F$455,"суб")</f>
        <v>0</v>
      </c>
      <c r="AR144" s="94">
        <f>SUMIFS(Свод!$AZ$6:$AZ$455,Свод!$G$6:$G$455,Расчеты!AR$1,Свод!$F$6:$F$455,"суб")</f>
        <v>0</v>
      </c>
      <c r="AS144" s="94">
        <f>SUMIFS(Свод!$AZ$6:$AZ$455,Свод!$G$6:$G$455,Расчеты!AS$1,Свод!$F$6:$F$455,"суб")</f>
        <v>0</v>
      </c>
      <c r="AT144" s="94">
        <f>SUMIFS(Свод!$AZ$6:$AZ$455,Свод!$G$6:$G$455,Расчеты!AT$1,Свод!$F$6:$F$455,"суб")</f>
        <v>0</v>
      </c>
      <c r="AU144" s="94">
        <f>SUMIFS(Свод!$AZ$6:$AZ$455,Свод!$G$6:$G$455,Расчеты!AU$1,Свод!$F$6:$F$455,"суб")</f>
        <v>0</v>
      </c>
      <c r="AV144" s="94">
        <f>SUMIFS(Свод!$AZ$6:$AZ$455,Свод!$G$6:$G$455,Расчеты!AV$1,Свод!$F$6:$F$455,"суб")</f>
        <v>190.15440000000001</v>
      </c>
      <c r="AW144" s="94">
        <f>SUMIFS(Свод!$AZ$6:$AZ$455,Свод!$G$6:$G$455,Расчеты!AW$1,Свод!$F$6:$F$455,"суб")</f>
        <v>0</v>
      </c>
      <c r="AX144" s="94">
        <f>SUMIFS(Свод!$AZ$6:$AZ$455,Свод!$G$6:$G$455,Расчеты!AX$1,Свод!$F$6:$F$455,"суб")</f>
        <v>0</v>
      </c>
      <c r="AY144" s="94">
        <f>SUMIFS(Свод!$AZ$6:$AZ$455,Свод!$G$6:$G$455,Расчеты!AY$1,Свод!$F$6:$F$455,"суб")</f>
        <v>245.84190000000001</v>
      </c>
      <c r="AZ144" s="94">
        <f>SUMIFS(Свод!$AZ$6:$AZ$455,Свод!$G$6:$G$455,Расчеты!AZ$1,Свод!$F$6:$F$455,"суб")</f>
        <v>0</v>
      </c>
      <c r="BA144" s="94">
        <f>SUMIFS(Свод!$AZ$6:$AZ$455,Свод!$G$6:$G$455,Расчеты!BA$1,Свод!$F$6:$F$455,"суб")</f>
        <v>0</v>
      </c>
      <c r="BB144" s="94">
        <f>SUMIFS(Свод!$AZ$6:$AZ$455,Свод!$G$6:$G$455,Расчеты!BB$1,Свод!$F$6:$F$455,"суб")</f>
        <v>0</v>
      </c>
      <c r="BC144" s="94">
        <f>SUMIFS(Свод!$AZ$6:$AZ$455,Свод!$G$6:$G$455,Расчеты!BC$1,Свод!$F$6:$F$455,"суб")</f>
        <v>0</v>
      </c>
      <c r="BD144" s="94">
        <f>SUMIFS(Свод!$AZ$6:$AZ$455,Свод!$G$6:$G$455,Расчеты!BD$1,Свод!$F$6:$F$455,"суб")</f>
        <v>0</v>
      </c>
      <c r="BE144" s="94">
        <f>SUMIFS(Свод!$AZ$6:$AZ$455,Свод!$G$6:$G$455,Расчеты!BE$1,Свод!$F$6:$F$455,"суб")</f>
        <v>178.8571</v>
      </c>
      <c r="BF144" s="94">
        <f>SUMIFS(Свод!$AZ$6:$AZ$455,Свод!$G$6:$G$455,Расчеты!BF$1,Свод!$F$6:$F$455,"суб")</f>
        <v>0</v>
      </c>
      <c r="BG144" s="94">
        <f>SUMIFS(Свод!$AZ$6:$AZ$455,Свод!$G$6:$G$455,Расчеты!BG$1,Свод!$F$6:$F$455,"суб")</f>
        <v>0</v>
      </c>
      <c r="BH144" s="94">
        <f>SUMIFS(Свод!$AZ$6:$AZ$455,Свод!$G$6:$G$455,Расчеты!BH$1,Свод!$F$6:$F$455,"суб")</f>
        <v>0</v>
      </c>
      <c r="BI144" s="94">
        <f>SUMIFS(Свод!$AZ$6:$AZ$455,Свод!$G$6:$G$455,Расчеты!BI$1,Свод!$F$6:$F$455,"суб")</f>
        <v>0</v>
      </c>
      <c r="BJ144" s="94">
        <f>SUMIFS(Свод!$AZ$6:$AZ$455,Свод!$G$6:$G$455,Расчеты!BJ$1,Свод!$F$6:$F$455,"суб")</f>
        <v>0</v>
      </c>
      <c r="BK144" s="94">
        <f>SUMIFS(Свод!$AZ$6:$AZ$455,Свод!$G$6:$G$455,Расчеты!BK$1,Свод!$F$6:$F$455,"суб")</f>
        <v>0</v>
      </c>
      <c r="BL144" s="94">
        <f>SUMIFS(Свод!$AZ$6:$AZ$455,Свод!$G$6:$G$455,Расчеты!BL$1,Свод!$F$6:$F$455,"суб")</f>
        <v>265.67700000000002</v>
      </c>
      <c r="BM144" s="94">
        <f>SUMIFS(Свод!$AZ$6:$AZ$455,Свод!$G$6:$G$455,Расчеты!BM$1,Свод!$F$6:$F$455,"суб")</f>
        <v>0</v>
      </c>
      <c r="BN144" s="94">
        <f>SUMIFS(Свод!$AZ$6:$AZ$455,Свод!$G$6:$G$455,Расчеты!BN$1,Свод!$F$6:$F$455,"суб")</f>
        <v>495.64749999999998</v>
      </c>
      <c r="BO144" s="94">
        <f>SUMIFS(Свод!$AZ$6:$AZ$455,Свод!$G$6:$G$455,Расчеты!BO$1,Свод!$F$6:$F$455,"суб")</f>
        <v>0</v>
      </c>
      <c r="BP144" s="94">
        <f>SUMIFS(Свод!$AZ$6:$AZ$455,Свод!$G$6:$G$455,Расчеты!BP$1,Свод!$F$6:$F$455,"суб")</f>
        <v>381.15974980000004</v>
      </c>
      <c r="BQ144" s="94">
        <f>SUMIFS(Свод!$AZ$6:$AZ$455,Свод!$G$6:$G$455,Расчеты!BQ$1,Свод!$F$6:$F$455,"суб")</f>
        <v>0</v>
      </c>
      <c r="BR144" s="94">
        <f>SUMIFS(Свод!$AZ$6:$AZ$455,Свод!$G$6:$G$455,Расчеты!BR$1,Свод!$F$6:$F$455,"суб")</f>
        <v>0</v>
      </c>
      <c r="BS144" s="94">
        <f>SUMIFS(Свод!$AZ$6:$AZ$455,Свод!$G$6:$G$455,Расчеты!BS$1,Свод!$F$6:$F$455,"суб")</f>
        <v>0</v>
      </c>
      <c r="BT144" s="94">
        <f>SUMIFS(Свод!$AZ$6:$AZ$455,Свод!$G$6:$G$455,Расчеты!BT$1,Свод!$F$6:$F$455,"суб")</f>
        <v>0</v>
      </c>
      <c r="BU144" s="94">
        <f>SUMIFS(Свод!$AZ$6:$AZ$455,Свод!$G$6:$G$455,Расчеты!BU$1,Свод!$F$6:$F$455,"суб")</f>
        <v>0</v>
      </c>
      <c r="BV144" s="94">
        <f>SUMIFS(Свод!$AZ$6:$AZ$455,Свод!$G$6:$G$455,Расчеты!BV$1,Свод!$F$6:$F$455,"суб")</f>
        <v>287.54478145000002</v>
      </c>
      <c r="BW144" s="94">
        <f>SUMIFS(Свод!$AZ$6:$AZ$455,Свод!$G$6:$G$455,Расчеты!BW$1,Свод!$F$6:$F$455,"суб")</f>
        <v>33.228400000000001</v>
      </c>
      <c r="BX144" s="94">
        <f>SUMIFS(Свод!$AZ$6:$AZ$455,Свод!$G$6:$G$455,Расчеты!BX$1,Свод!$F$6:$F$455,"суб")</f>
        <v>0</v>
      </c>
      <c r="BY144" s="94">
        <f>SUMIFS(Свод!$AZ$6:$AZ$455,Свод!$G$6:$G$455,Расчеты!BY$1,Свод!$F$6:$F$455,"суб")</f>
        <v>1051.9079999999999</v>
      </c>
      <c r="BZ144" s="94">
        <f>SUMIFS(Свод!$AZ$6:$AZ$455,Свод!$G$6:$G$455,Расчеты!BZ$1,Свод!$F$6:$F$455,"суб")</f>
        <v>0</v>
      </c>
      <c r="CA144" s="94">
        <f>SUMIFS(Свод!$AZ$6:$AZ$455,Свод!$G$6:$G$455,Расчеты!CA$1,Свод!$F$6:$F$455,"суб")</f>
        <v>0</v>
      </c>
      <c r="CB144" s="94">
        <f>SUMIFS(Свод!$AZ$6:$AZ$455,Свод!$G$6:$G$455,Расчеты!CB$1,Свод!$F$6:$F$455,"суб")</f>
        <v>1533.2060371</v>
      </c>
      <c r="CC144" s="94">
        <f>SUMIFS(Свод!$AZ$6:$AZ$455,Свод!$G$6:$G$455,Расчеты!CC$1,Свод!$F$6:$F$455,"суб")</f>
        <v>0</v>
      </c>
      <c r="CD144" s="94">
        <f>SUMIFS(Свод!$AZ$6:$AZ$455,Свод!$G$6:$G$455,Расчеты!CD$1,Свод!$F$6:$F$455,"суб")</f>
        <v>0</v>
      </c>
      <c r="CE144" s="94">
        <f>SUMIFS(Свод!$AZ$6:$AZ$455,Свод!$G$6:$G$455,Расчеты!CE$1,Свод!$F$6:$F$455,"суб")</f>
        <v>0</v>
      </c>
      <c r="CF144" s="94">
        <f>SUMIFS(Свод!$AZ$6:$AZ$455,Свод!$G$6:$G$455,Расчеты!CF$1,Свод!$F$6:$F$455,"суб")</f>
        <v>0</v>
      </c>
      <c r="CG144" s="94">
        <f>SUMIFS(Свод!$AZ$6:$AZ$455,Свод!$G$6:$G$455,Расчеты!CG$1,Свод!$F$6:$F$455,"суб")</f>
        <v>891.45649999999989</v>
      </c>
      <c r="CH144" s="94">
        <f>SUMIFS(Свод!$AZ$6:$AZ$455,Свод!$G$6:$G$455,Расчеты!CH$1,Свод!$F$6:$F$455,"суб")</f>
        <v>0</v>
      </c>
      <c r="CI144" s="94">
        <f>SUMIFS(Свод!$AZ$6:$AZ$455,Свод!$G$6:$G$455,Расчеты!CI$1,Свод!$F$6:$F$455,"суб")</f>
        <v>0</v>
      </c>
      <c r="CJ144" s="94">
        <f>SUMIFS(Свод!$AZ$6:$AZ$455,Свод!$G$6:$G$455,Расчеты!CJ$1,Свод!$F$6:$F$455,"суб")</f>
        <v>0</v>
      </c>
      <c r="CK144" s="94">
        <f>SUMIFS(Свод!$AZ$6:$AZ$455,Свод!$G$6:$G$455,Расчеты!CK$1,Свод!$F$6:$F$455,"суб")</f>
        <v>0</v>
      </c>
      <c r="CL144" s="94">
        <f>SUMIFS(Свод!$AZ$6:$AZ$455,Свод!$G$6:$G$455,Расчеты!CL$1,Свод!$F$6:$F$455,"суб")</f>
        <v>0</v>
      </c>
      <c r="CM144" s="94">
        <f>SUMIFS(Свод!$AZ$6:$AZ$455,Свод!$G$6:$G$455,Расчеты!CM$1,Свод!$F$6:$F$455,"суб")</f>
        <v>202.78952999999998</v>
      </c>
      <c r="CN144" s="94">
        <f>SUMIFS(Свод!$AZ$6:$AZ$455,Свод!$G$6:$G$455,Расчеты!CN$1,Свод!$F$6:$F$455,"суб")</f>
        <v>0</v>
      </c>
      <c r="CO144" s="94">
        <f>SUMIFS(Свод!$AZ$6:$AZ$455,Свод!$G$6:$G$455,Расчеты!CO$1,Свод!$F$6:$F$455,"суб")</f>
        <v>852.77729999999997</v>
      </c>
      <c r="CP144" s="94">
        <f>SUMIFS(Свод!$AZ$6:$AZ$455,Свод!$G$6:$G$455,Расчеты!CP$1,Свод!$F$6:$F$455,"суб")</f>
        <v>338.95445255501096</v>
      </c>
      <c r="CQ144" s="94">
        <f>SUMIFS(Свод!$AZ$6:$AZ$455,Свод!$G$6:$G$455,Расчеты!CQ$1,Свод!$F$6:$F$455,"суб")</f>
        <v>0</v>
      </c>
      <c r="CR144" s="94">
        <f>SUMIFS(Свод!$AZ$6:$AZ$455,Свод!$G$6:$G$455,Расчеты!CR$1,Свод!$F$6:$F$455,"суб")</f>
        <v>357</v>
      </c>
      <c r="CS144" s="94">
        <f>SUMIFS(Свод!$AZ$6:$AZ$455,Свод!$G$6:$G$455,Расчеты!CS$1,Свод!$F$6:$F$455,"суб")</f>
        <v>0</v>
      </c>
      <c r="CT144" s="94">
        <f>SUMIFS(Свод!$AZ$6:$AZ$455,Свод!$G$6:$G$455,Расчеты!CT$1,Свод!$F$6:$F$455,"суб")</f>
        <v>0</v>
      </c>
      <c r="CU144" s="94">
        <f>SUMIFS(Свод!$AZ$6:$AZ$455,Свод!$G$6:$G$455,Расчеты!CU$1,Свод!$F$6:$F$455,"суб")</f>
        <v>0</v>
      </c>
      <c r="CV144" s="94">
        <f>SUMIFS(Свод!$AZ$6:$AZ$455,Свод!$G$6:$G$455,Расчеты!CV$1,Свод!$F$6:$F$455,"суб")</f>
        <v>0</v>
      </c>
      <c r="CW144" s="94">
        <f>SUMIFS(Свод!$AZ$6:$AZ$455,Свод!$G$6:$G$455,Расчеты!CW$1,Свод!$F$6:$F$455,"суб")</f>
        <v>0</v>
      </c>
      <c r="CX144" s="94">
        <f>SUMIFS(Свод!$AZ$6:$AZ$455,Свод!$G$6:$G$455,Расчеты!CX$1,Свод!$F$6:$F$455,"суб")</f>
        <v>445.49400000000003</v>
      </c>
    </row>
    <row r="145" spans="3:102" ht="34" x14ac:dyDescent="0.2">
      <c r="D145" s="97"/>
      <c r="F145" s="97" t="s">
        <v>9425</v>
      </c>
      <c r="G145" s="94" t="s">
        <v>64</v>
      </c>
      <c r="Q145" s="94">
        <f ca="1">Q144/Q146</f>
        <v>0.24208094718824344</v>
      </c>
    </row>
    <row r="146" spans="3:102" ht="34" x14ac:dyDescent="0.2">
      <c r="D146" s="97" t="s">
        <v>9437</v>
      </c>
      <c r="F146" s="97"/>
      <c r="Q146" s="94">
        <f t="shared" ca="1" si="29"/>
        <v>41156.824882866604</v>
      </c>
      <c r="R146" s="94">
        <f>SUMIFS(Свод!$AL$6:$AL$455,Свод!$G$6:$G$455,Расчеты!R$1,Свод!$F$6:$F$455,"суб")</f>
        <v>21.406999999999996</v>
      </c>
      <c r="S146" s="94">
        <f>SUMIFS(Свод!$AL$6:$AL$455,Свод!$G$6:$G$455,Расчеты!S$1,Свод!$F$6:$F$455,"суб")</f>
        <v>70.098441919999999</v>
      </c>
      <c r="T146" s="94">
        <f>SUMIFS(Свод!$AL$6:$AL$455,Свод!$G$6:$G$455,Расчеты!T$1,Свод!$F$6:$F$455,"суб")</f>
        <v>536.52650014999995</v>
      </c>
      <c r="U146" s="94">
        <f>SUMIFS(Свод!$AL$6:$AL$455,Свод!$G$6:$G$455,Расчеты!U$1,Свод!$F$6:$F$455,"суб")</f>
        <v>236.44900000000001</v>
      </c>
      <c r="V146" s="94">
        <f>SUMIFS(Свод!$AL$6:$AL$455,Свод!$G$6:$G$455,Расчеты!V$1,Свод!$F$6:$F$455,"суб")</f>
        <v>38.980000000000004</v>
      </c>
      <c r="W146" s="94">
        <f>SUMIFS(Свод!$AL$6:$AL$455,Свод!$G$6:$G$455,Расчеты!W$1,Свод!$F$6:$F$455,"суб")</f>
        <v>27.678000000000001</v>
      </c>
      <c r="X146" s="94">
        <f>SUMIFS(Свод!$AL$6:$AL$455,Свод!$G$6:$G$455,Расчеты!X$1,Свод!$F$6:$F$455,"суб")</f>
        <v>2079.448977</v>
      </c>
      <c r="Y146" s="94">
        <f>SUMIFS(Свод!$AL$6:$AL$455,Свод!$G$6:$G$455,Расчеты!Y$1,Свод!$F$6:$F$455,"суб")</f>
        <v>2302.5699999999997</v>
      </c>
      <c r="Z146" s="94">
        <f>SUMIFS(Свод!$AL$6:$AL$455,Свод!$G$6:$G$455,Расчеты!Z$1,Свод!$F$6:$F$455,"суб")</f>
        <v>155.47900000000001</v>
      </c>
      <c r="AA146" s="94">
        <f>SUMIFS(Свод!$AL$6:$AL$455,Свод!$G$6:$G$455,Расчеты!AA$1,Свод!$F$6:$F$455,"суб")</f>
        <v>70</v>
      </c>
      <c r="AB146" s="94">
        <f>SUMIFS(Свод!$AL$6:$AL$455,Свод!$G$6:$G$455,Расчеты!AB$1,Свод!$F$6:$F$455,"суб")</f>
        <v>1101.5236</v>
      </c>
      <c r="AC146" s="94">
        <f>SUMIFS(Свод!$AL$6:$AL$455,Свод!$G$6:$G$455,Расчеты!AC$1,Свод!$F$6:$F$455,"суб")</f>
        <v>0</v>
      </c>
      <c r="AD146" s="94">
        <f>SUMIFS(Свод!$AL$6:$AL$455,Свод!$G$6:$G$455,Расчеты!AD$1,Свод!$F$6:$F$455,"суб")</f>
        <v>569.38200000000006</v>
      </c>
      <c r="AE146" s="94">
        <f>SUMIFS(Свод!$AL$6:$AL$455,Свод!$G$6:$G$455,Расчеты!AE$1,Свод!$F$6:$F$455,"суб")</f>
        <v>578.86400000000003</v>
      </c>
      <c r="AF146" s="94">
        <f>SUMIFS(Свод!$AL$6:$AL$455,Свод!$G$6:$G$455,Расчеты!AF$1,Свод!$F$6:$F$455,"суб")</f>
        <v>950.44100000000003</v>
      </c>
      <c r="AG146" s="94">
        <f>SUMIFS(Свод!$AL$6:$AL$455,Свод!$G$6:$G$455,Расчеты!AG$1,Свод!$F$6:$F$455,"суб")</f>
        <v>0</v>
      </c>
      <c r="AH146" s="94">
        <f>SUMIFS(Свод!$AL$6:$AL$455,Свод!$G$6:$G$455,Расчеты!AH$1,Свод!$F$6:$F$455,"суб")</f>
        <v>1344.9551057003584</v>
      </c>
      <c r="AI146" s="94">
        <f>SUMIFS(Свод!$AL$6:$AL$455,Свод!$G$6:$G$455,Расчеты!AI$1,Свод!$F$6:$F$455,"суб")</f>
        <v>123.34139999999999</v>
      </c>
      <c r="AJ146" s="94">
        <f>SUMIFS(Свод!$AL$6:$AL$455,Свод!$G$6:$G$455,Расчеты!AJ$1,Свод!$F$6:$F$455,"суб")</f>
        <v>0</v>
      </c>
      <c r="AK146" s="94">
        <f>SUMIFS(Свод!$AL$6:$AL$455,Свод!$G$6:$G$455,Расчеты!AK$1,Свод!$F$6:$F$455,"суб")</f>
        <v>946</v>
      </c>
      <c r="AL146" s="94">
        <f>SUMIFS(Свод!$AL$6:$AL$455,Свод!$G$6:$G$455,Расчеты!AL$1,Свод!$F$6:$F$455,"суб")</f>
        <v>0</v>
      </c>
      <c r="AM146" s="94">
        <f>SUMIFS(Свод!$AL$6:$AL$455,Свод!$G$6:$G$455,Расчеты!AM$1,Свод!$F$6:$F$455,"суб")</f>
        <v>1342.53130096</v>
      </c>
      <c r="AN146" s="94">
        <f>SUMIFS(Свод!$AL$6:$AL$455,Свод!$G$6:$G$455,Расчеты!AN$1,Свод!$F$6:$F$455,"суб")</f>
        <v>18.273</v>
      </c>
      <c r="AO146" s="94">
        <f>SUMIFS(Свод!$AL$6:$AL$455,Свод!$G$6:$G$455,Расчеты!AO$1,Свод!$F$6:$F$455,"суб")</f>
        <v>288.017</v>
      </c>
      <c r="AP146" s="94">
        <f>SUMIFS(Свод!$AL$6:$AL$455,Свод!$G$6:$G$455,Расчеты!AP$1,Свод!$F$6:$F$455,"суб")</f>
        <v>0</v>
      </c>
      <c r="AQ146" s="94">
        <f>SUMIFS(Свод!$AL$6:$AL$455,Свод!$G$6:$G$455,Расчеты!AQ$1,Свод!$F$6:$F$455,"суб")</f>
        <v>0</v>
      </c>
      <c r="AR146" s="94">
        <f ca="1">SUMIFS(Свод!$AL$6:$AL$455,Свод!$G$6:$G$455,Расчеты!AR$1,Свод!$F$6:$F$455,"суб")</f>
        <v>422.49099999999999</v>
      </c>
      <c r="AS146" s="94">
        <f>SUMIFS(Свод!$AL$6:$AL$455,Свод!$G$6:$G$455,Расчеты!AS$1,Свод!$F$6:$F$455,"суб")</f>
        <v>207.423</v>
      </c>
      <c r="AT146" s="94">
        <f>SUMIFS(Свод!$AL$6:$AL$455,Свод!$G$6:$G$455,Расчеты!AT$1,Свод!$F$6:$F$455,"суб")</f>
        <v>383.18799999999999</v>
      </c>
      <c r="AU146" s="94">
        <f>SUMIFS(Свод!$AL$6:$AL$455,Свод!$G$6:$G$455,Расчеты!AU$1,Свод!$F$6:$F$455,"суб")</f>
        <v>391.25291600000003</v>
      </c>
      <c r="AV146" s="94">
        <f>SUMIFS(Свод!$AL$6:$AL$455,Свод!$G$6:$G$455,Расчеты!AV$1,Свод!$F$6:$F$455,"суб")</f>
        <v>582.342848</v>
      </c>
      <c r="AW146" s="94">
        <f>SUMIFS(Свод!$AL$6:$AL$455,Свод!$G$6:$G$455,Расчеты!AW$1,Свод!$F$6:$F$455,"суб")</f>
        <v>300</v>
      </c>
      <c r="AX146" s="94">
        <f>SUMIFS(Свод!$AL$6:$AL$455,Свод!$G$6:$G$455,Расчеты!AX$1,Свод!$F$6:$F$455,"суб")</f>
        <v>301.58199999999999</v>
      </c>
      <c r="AY146" s="94">
        <f>SUMIFS(Свод!$AL$6:$AL$455,Свод!$G$6:$G$455,Расчеты!AY$1,Свод!$F$6:$F$455,"суб")</f>
        <v>303.17592234</v>
      </c>
      <c r="AZ146" s="94">
        <f>SUMIFS(Свод!$AL$6:$AL$455,Свод!$G$6:$G$455,Расчеты!AZ$1,Свод!$F$6:$F$455,"суб")</f>
        <v>785.04499999999996</v>
      </c>
      <c r="BA146" s="94">
        <f>SUMIFS(Свод!$AL$6:$AL$455,Свод!$G$6:$G$455,Расчеты!BA$1,Свод!$F$6:$F$455,"суб")</f>
        <v>73.100000000000009</v>
      </c>
      <c r="BB146" s="94">
        <f>SUMIFS(Свод!$AL$6:$AL$455,Свод!$G$6:$G$455,Расчеты!BB$1,Свод!$F$6:$F$455,"суб")</f>
        <v>576.43700000000013</v>
      </c>
      <c r="BC146" s="94">
        <f>SUMIFS(Свод!$AL$6:$AL$455,Свод!$G$6:$G$455,Расчеты!BC$1,Свод!$F$6:$F$455,"суб")</f>
        <v>66.525824260000007</v>
      </c>
      <c r="BD146" s="94">
        <f>SUMIFS(Свод!$AL$6:$AL$455,Свод!$G$6:$G$455,Расчеты!BD$1,Свод!$F$6:$F$455,"суб")</f>
        <v>9.5088159999999995</v>
      </c>
      <c r="BE146" s="94">
        <f>SUMIFS(Свод!$AL$6:$AL$455,Свод!$G$6:$G$455,Расчеты!BE$1,Свод!$F$6:$F$455,"суб")</f>
        <v>232.37250229999998</v>
      </c>
      <c r="BF146" s="94">
        <f>SUMIFS(Свод!$AL$6:$AL$455,Свод!$G$6:$G$455,Расчеты!BF$1,Свод!$F$6:$F$455,"суб")</f>
        <v>0</v>
      </c>
      <c r="BG146" s="94">
        <f>SUMIFS(Свод!$AL$6:$AL$455,Свод!$G$6:$G$455,Расчеты!BG$1,Свод!$F$6:$F$455,"суб")</f>
        <v>0</v>
      </c>
      <c r="BH146" s="94">
        <f>SUMIFS(Свод!$AL$6:$AL$455,Свод!$G$6:$G$455,Расчеты!BH$1,Свод!$F$6:$F$455,"суб")</f>
        <v>659.12049999999999</v>
      </c>
      <c r="BI146" s="94">
        <f>SUMIFS(Свод!$AL$6:$AL$455,Свод!$G$6:$G$455,Расчеты!BI$1,Свод!$F$6:$F$455,"суб")</f>
        <v>92.498999999999995</v>
      </c>
      <c r="BJ146" s="94">
        <f>SUMIFS(Свод!$AL$6:$AL$455,Свод!$G$6:$G$455,Расчеты!BJ$1,Свод!$F$6:$F$455,"суб")</f>
        <v>31.447000000000003</v>
      </c>
      <c r="BK146" s="94">
        <f>SUMIFS(Свод!$AL$6:$AL$455,Свод!$G$6:$G$455,Расчеты!BK$1,Свод!$F$6:$F$455,"суб")</f>
        <v>1089.098</v>
      </c>
      <c r="BL146" s="94">
        <f>SUMIFS(Свод!$AL$6:$AL$455,Свод!$G$6:$G$455,Расчеты!BL$1,Свод!$F$6:$F$455,"суб")</f>
        <v>898.18822675000001</v>
      </c>
      <c r="BM146" s="94">
        <f>SUMIFS(Свод!$AL$6:$AL$455,Свод!$G$6:$G$455,Расчеты!BM$1,Свод!$F$6:$F$455,"суб")</f>
        <v>260.58999999999997</v>
      </c>
      <c r="BN146" s="94">
        <f>SUMIFS(Свод!$AL$6:$AL$455,Свод!$G$6:$G$455,Расчеты!BN$1,Свод!$F$6:$F$455,"суб")</f>
        <v>975.94672114000014</v>
      </c>
      <c r="BO146" s="94">
        <f>SUMIFS(Свод!$AL$6:$AL$455,Свод!$G$6:$G$455,Расчеты!BO$1,Свод!$F$6:$F$455,"суб")</f>
        <v>230.79090000000002</v>
      </c>
      <c r="BP146" s="94">
        <f>SUMIFS(Свод!$AL$6:$AL$455,Свод!$G$6:$G$455,Расчеты!BP$1,Свод!$F$6:$F$455,"суб")</f>
        <v>613.47159228626253</v>
      </c>
      <c r="BQ146" s="94">
        <f>SUMIFS(Свод!$AL$6:$AL$455,Свод!$G$6:$G$455,Расчеты!BQ$1,Свод!$F$6:$F$455,"суб")</f>
        <v>0</v>
      </c>
      <c r="BR146" s="94">
        <f>SUMIFS(Свод!$AL$6:$AL$455,Свод!$G$6:$G$455,Расчеты!BR$1,Свод!$F$6:$F$455,"суб")</f>
        <v>337.36191697000004</v>
      </c>
      <c r="BS146" s="94">
        <f>SUMIFS(Свод!$AL$6:$AL$455,Свод!$G$6:$G$455,Расчеты!BS$1,Свод!$F$6:$F$455,"суб")</f>
        <v>231.00200000000001</v>
      </c>
      <c r="BT146" s="94">
        <f>SUMIFS(Свод!$AL$6:$AL$455,Свод!$G$6:$G$455,Расчеты!BT$1,Свод!$F$6:$F$455,"суб")</f>
        <v>79.061660000000003</v>
      </c>
      <c r="BU146" s="94">
        <f>SUMIFS(Свод!$AL$6:$AL$455,Свод!$G$6:$G$455,Расчеты!BU$1,Свод!$F$6:$F$455,"суб")</f>
        <v>372.78143</v>
      </c>
      <c r="BV146" s="94">
        <f>SUMIFS(Свод!$AL$6:$AL$455,Свод!$G$6:$G$455,Расчеты!BV$1,Свод!$F$6:$F$455,"суб")</f>
        <v>705.90321420000009</v>
      </c>
      <c r="BW146" s="94">
        <f>SUMIFS(Свод!$AL$6:$AL$455,Свод!$G$6:$G$455,Расчеты!BW$1,Свод!$F$6:$F$455,"суб")</f>
        <v>416.86777201000007</v>
      </c>
      <c r="BX146" s="94">
        <f>SUMIFS(Свод!$AL$6:$AL$455,Свод!$G$6:$G$455,Расчеты!BX$1,Свод!$F$6:$F$455,"суб")</f>
        <v>311.82</v>
      </c>
      <c r="BY146" s="94">
        <f>SUMIFS(Свод!$AL$6:$AL$455,Свод!$G$6:$G$455,Расчеты!BY$1,Свод!$F$6:$F$455,"суб")</f>
        <v>1304.7257999999999</v>
      </c>
      <c r="BZ146" s="94">
        <f>SUMIFS(Свод!$AL$6:$AL$455,Свод!$G$6:$G$455,Расчеты!BZ$1,Свод!$F$6:$F$455,"суб")</f>
        <v>798.6</v>
      </c>
      <c r="CA146" s="94">
        <f>SUMIFS(Свод!$AL$6:$AL$455,Свод!$G$6:$G$455,Расчеты!CA$1,Свод!$F$6:$F$455,"суб")</f>
        <v>477.8</v>
      </c>
      <c r="CB146" s="94">
        <f>SUMIFS(Свод!$AL$6:$AL$455,Свод!$G$6:$G$455,Расчеты!CB$1,Свод!$F$6:$F$455,"суб")</f>
        <v>1917.2400843300002</v>
      </c>
      <c r="CC146" s="94">
        <f>SUMIFS(Свод!$AL$6:$AL$455,Свод!$G$6:$G$455,Расчеты!CC$1,Свод!$F$6:$F$455,"суб")</f>
        <v>42.579000000000001</v>
      </c>
      <c r="CD146" s="94">
        <f>SUMIFS(Свод!$AL$6:$AL$455,Свод!$G$6:$G$455,Расчеты!CD$1,Свод!$F$6:$F$455,"суб")</f>
        <v>3</v>
      </c>
      <c r="CE146" s="94">
        <f>SUMIFS(Свод!$AL$6:$AL$455,Свод!$G$6:$G$455,Расчеты!CE$1,Свод!$F$6:$F$455,"суб")</f>
        <v>5.8369999999999997</v>
      </c>
      <c r="CF146" s="94">
        <f>SUMIFS(Свод!$AL$6:$AL$455,Свод!$G$6:$G$455,Расчеты!CF$1,Свод!$F$6:$F$455,"суб")</f>
        <v>439.24599999999998</v>
      </c>
      <c r="CG146" s="94">
        <f>SUMIFS(Свод!$AL$6:$AL$455,Свод!$G$6:$G$455,Расчеты!CG$1,Свод!$F$6:$F$455,"суб")</f>
        <v>1277.6131829599997</v>
      </c>
      <c r="CH146" s="94">
        <f>SUMIFS(Свод!$AL$6:$AL$455,Свод!$G$6:$G$455,Расчеты!CH$1,Свод!$F$6:$F$455,"суб")</f>
        <v>1707.3300000000002</v>
      </c>
      <c r="CI146" s="94">
        <f>SUMIFS(Свод!$AL$6:$AL$455,Свод!$G$6:$G$455,Расчеты!CI$1,Свод!$F$6:$F$455,"суб")</f>
        <v>313.26699999999994</v>
      </c>
      <c r="CJ146" s="94">
        <f>SUMIFS(Свод!$AL$6:$AL$455,Свод!$G$6:$G$455,Расчеты!CJ$1,Свод!$F$6:$F$455,"суб")</f>
        <v>60.58984684</v>
      </c>
      <c r="CK146" s="94">
        <f>SUMIFS(Свод!$AL$6:$AL$455,Свод!$G$6:$G$455,Расчеты!CK$1,Свод!$F$6:$F$455,"суб")</f>
        <v>684.91499999999996</v>
      </c>
      <c r="CL146" s="94">
        <f>SUMIFS(Свод!$AL$6:$AL$455,Свод!$G$6:$G$455,Расчеты!CL$1,Свод!$F$6:$F$455,"суб")</f>
        <v>0</v>
      </c>
      <c r="CM146" s="94">
        <f>SUMIFS(Свод!$AL$6:$AL$455,Свод!$G$6:$G$455,Расчеты!CM$1,Свод!$F$6:$F$455,"суб")</f>
        <v>630.11803200000008</v>
      </c>
      <c r="CN146" s="94">
        <f>SUMIFS(Свод!$AL$6:$AL$455,Свод!$G$6:$G$455,Расчеты!CN$1,Свод!$F$6:$F$455,"суб")</f>
        <v>271.68012999999996</v>
      </c>
      <c r="CO146" s="94">
        <f>SUMIFS(Свод!$AL$6:$AL$455,Свод!$G$6:$G$455,Расчеты!CO$1,Свод!$F$6:$F$455,"суб")</f>
        <v>1210.6126601200001</v>
      </c>
      <c r="CP146" s="94">
        <f>SUMIFS(Свод!$AL$6:$AL$455,Свод!$G$6:$G$455,Расчеты!CP$1,Свод!$F$6:$F$455,"суб")</f>
        <v>770.25314036999976</v>
      </c>
      <c r="CQ146" s="94">
        <f>SUMIFS(Свод!$AL$6:$AL$455,Свод!$G$6:$G$455,Расчеты!CQ$1,Свод!$F$6:$F$455,"суб")</f>
        <v>0</v>
      </c>
      <c r="CR146" s="94">
        <f>SUMIFS(Свод!$AL$6:$AL$455,Свод!$G$6:$G$455,Расчеты!CR$1,Свод!$F$6:$F$455,"суб")</f>
        <v>1113.05045</v>
      </c>
      <c r="CS146" s="94">
        <f>SUMIFS(Свод!$AL$6:$AL$455,Свод!$G$6:$G$455,Расчеты!CS$1,Свод!$F$6:$F$455,"суб")</f>
        <v>1329.050326</v>
      </c>
      <c r="CT146" s="94">
        <f>SUMIFS(Свод!$AL$6:$AL$455,Свод!$G$6:$G$455,Расчеты!CT$1,Свод!$F$6:$F$455,"суб")</f>
        <v>28.738000000000003</v>
      </c>
      <c r="CU146" s="94">
        <f>SUMIFS(Свод!$AL$6:$AL$455,Свод!$G$6:$G$455,Расчеты!CU$1,Свод!$F$6:$F$455,"суб")</f>
        <v>1177.0461422600001</v>
      </c>
      <c r="CV146" s="94">
        <f>SUMIFS(Свод!$AL$6:$AL$455,Свод!$G$6:$G$455,Расчеты!CV$1,Свод!$F$6:$F$455,"суб")</f>
        <v>72.599999999999994</v>
      </c>
      <c r="CW146" s="94">
        <f>SUMIFS(Свод!$AL$6:$AL$455,Свод!$G$6:$G$455,Расчеты!CW$1,Свод!$F$6:$F$455,"суб")</f>
        <v>0</v>
      </c>
      <c r="CX146" s="94">
        <f>SUMIFS(Свод!$AL$6:$AL$455,Свод!$G$6:$G$455,Расчеты!CX$1,Свод!$F$6:$F$455,"суб")</f>
        <v>778.57300000000009</v>
      </c>
    </row>
    <row r="147" spans="3:102" ht="51" x14ac:dyDescent="0.2">
      <c r="D147" s="97" t="s">
        <v>9444</v>
      </c>
      <c r="F147" s="97"/>
      <c r="Q147" s="94">
        <f t="shared" si="29"/>
        <v>27045</v>
      </c>
      <c r="R147" s="94">
        <f>SUMIFS(Свод!$CL$6:$CL$455,Свод!$G$6:$G$455,Расчеты!R$1,Свод!$F$6:$F$455,"суб")</f>
        <v>16</v>
      </c>
      <c r="S147" s="94">
        <f>SUMIFS(Свод!$CL$6:$CL$455,Свод!$G$6:$G$455,Расчеты!S$1,Свод!$F$6:$F$455,"суб")</f>
        <v>28</v>
      </c>
      <c r="T147" s="94">
        <f>SUMIFS(Свод!$CL$6:$CL$455,Свод!$G$6:$G$455,Расчеты!T$1,Свод!$F$6:$F$455,"суб")</f>
        <v>501</v>
      </c>
      <c r="U147" s="94">
        <f>SUMIFS(Свод!$CL$6:$CL$455,Свод!$G$6:$G$455,Расчеты!U$1,Свод!$F$6:$F$455,"суб")</f>
        <v>132</v>
      </c>
      <c r="V147" s="94">
        <f>SUMIFS(Свод!$CL$6:$CL$455,Свод!$G$6:$G$455,Расчеты!V$1,Свод!$F$6:$F$455,"суб")</f>
        <v>48</v>
      </c>
      <c r="W147" s="94">
        <f>SUMIFS(Свод!$CL$6:$CL$455,Свод!$G$6:$G$455,Расчеты!W$1,Свод!$F$6:$F$455,"суб")</f>
        <v>31</v>
      </c>
      <c r="X147" s="94">
        <f>SUMIFS(Свод!$CL$6:$CL$455,Свод!$G$6:$G$455,Расчеты!X$1,Свод!$F$6:$F$455,"суб")</f>
        <v>1630</v>
      </c>
      <c r="Y147" s="94">
        <f>SUMIFS(Свод!$CL$6:$CL$455,Свод!$G$6:$G$455,Расчеты!Y$1,Свод!$F$6:$F$455,"суб")</f>
        <v>978</v>
      </c>
      <c r="Z147" s="94">
        <f>SUMIFS(Свод!$CL$6:$CL$455,Свод!$G$6:$G$455,Расчеты!Z$1,Свод!$F$6:$F$455,"суб")</f>
        <v>125</v>
      </c>
      <c r="AA147" s="94">
        <f>SUMIFS(Свод!$CL$6:$CL$455,Свод!$G$6:$G$455,Расчеты!AA$1,Свод!$F$6:$F$455,"суб")</f>
        <v>1070</v>
      </c>
      <c r="AB147" s="94">
        <f>SUMIFS(Свод!$CL$6:$CL$455,Свод!$G$6:$G$455,Расчеты!AB$1,Свод!$F$6:$F$455,"суб")</f>
        <v>404</v>
      </c>
      <c r="AC147" s="94">
        <f>SUMIFS(Свод!$CL$6:$CL$455,Свод!$G$6:$G$455,Расчеты!AC$1,Свод!$F$6:$F$455,"суб")</f>
        <v>0</v>
      </c>
      <c r="AD147" s="94">
        <f>SUMIFS(Свод!$CL$6:$CL$455,Свод!$G$6:$G$455,Расчеты!AD$1,Свод!$F$6:$F$455,"суб")</f>
        <v>1335</v>
      </c>
      <c r="AE147" s="94">
        <f>SUMIFS(Свод!$CL$6:$CL$455,Свод!$G$6:$G$455,Расчеты!AE$1,Свод!$F$6:$F$455,"суб")</f>
        <v>313</v>
      </c>
      <c r="AF147" s="94">
        <f>SUMIFS(Свод!$CL$6:$CL$455,Свод!$G$6:$G$455,Расчеты!AF$1,Свод!$F$6:$F$455,"суб")</f>
        <v>143</v>
      </c>
      <c r="AG147" s="94">
        <f>SUMIFS(Свод!$CL$6:$CL$455,Свод!$G$6:$G$455,Расчеты!AG$1,Свод!$F$6:$F$455,"суб")</f>
        <v>0</v>
      </c>
      <c r="AH147" s="94">
        <f>SUMIFS(Свод!$CL$6:$CL$455,Свод!$G$6:$G$455,Расчеты!AH$1,Свод!$F$6:$F$455,"суб")</f>
        <v>275</v>
      </c>
      <c r="AI147" s="94">
        <f>SUMIFS(Свод!$CL$6:$CL$455,Свод!$G$6:$G$455,Расчеты!AI$1,Свод!$F$6:$F$455,"суб")</f>
        <v>128</v>
      </c>
      <c r="AJ147" s="94">
        <f>SUMIFS(Свод!$CL$6:$CL$455,Свод!$G$6:$G$455,Расчеты!AJ$1,Свод!$F$6:$F$455,"суб")</f>
        <v>0</v>
      </c>
      <c r="AK147" s="94">
        <f>SUMIFS(Свод!$CL$6:$CL$455,Свод!$G$6:$G$455,Расчеты!AK$1,Свод!$F$6:$F$455,"суб")</f>
        <v>1359</v>
      </c>
      <c r="AL147" s="94">
        <f>SUMIFS(Свод!$CL$6:$CL$455,Свод!$G$6:$G$455,Расчеты!AL$1,Свод!$F$6:$F$455,"суб")</f>
        <v>0</v>
      </c>
      <c r="AM147" s="94">
        <f>SUMIFS(Свод!$CL$6:$CL$455,Свод!$G$6:$G$455,Расчеты!AM$1,Свод!$F$6:$F$455,"суб")</f>
        <v>320</v>
      </c>
      <c r="AN147" s="94">
        <f>SUMIFS(Свод!$CL$6:$CL$455,Свод!$G$6:$G$455,Расчеты!AN$1,Свод!$F$6:$F$455,"суб")</f>
        <v>20</v>
      </c>
      <c r="AO147" s="94">
        <f>SUMIFS(Свод!$CL$6:$CL$455,Свод!$G$6:$G$455,Расчеты!AO$1,Свод!$F$6:$F$455,"суб")</f>
        <v>297</v>
      </c>
      <c r="AP147" s="94">
        <f>SUMIFS(Свод!$CL$6:$CL$455,Свод!$G$6:$G$455,Расчеты!AP$1,Свод!$F$6:$F$455,"суб")</f>
        <v>0</v>
      </c>
      <c r="AQ147" s="94">
        <f>SUMIFS(Свод!$CL$6:$CL$455,Свод!$G$6:$G$455,Расчеты!AQ$1,Свод!$F$6:$F$455,"суб")</f>
        <v>0</v>
      </c>
      <c r="AR147" s="94">
        <f>SUMIFS(Свод!$CL$6:$CL$455,Свод!$G$6:$G$455,Расчеты!AR$1,Свод!$F$6:$F$455,"суб")</f>
        <v>309</v>
      </c>
      <c r="AS147" s="94">
        <f>SUMIFS(Свод!$CL$6:$CL$455,Свод!$G$6:$G$455,Расчеты!AS$1,Свод!$F$6:$F$455,"суб")</f>
        <v>125</v>
      </c>
      <c r="AT147" s="94">
        <f>SUMIFS(Свод!$CL$6:$CL$455,Свод!$G$6:$G$455,Расчеты!AT$1,Свод!$F$6:$F$455,"суб")</f>
        <v>291</v>
      </c>
      <c r="AU147" s="94">
        <f>SUMIFS(Свод!$CL$6:$CL$455,Свод!$G$6:$G$455,Расчеты!AU$1,Свод!$F$6:$F$455,"суб")</f>
        <v>533</v>
      </c>
      <c r="AV147" s="94">
        <f>SUMIFS(Свод!$CL$6:$CL$455,Свод!$G$6:$G$455,Расчеты!AV$1,Свод!$F$6:$F$455,"суб")</f>
        <v>333</v>
      </c>
      <c r="AW147" s="94">
        <f>SUMIFS(Свод!$CL$6:$CL$455,Свод!$G$6:$G$455,Расчеты!AW$1,Свод!$F$6:$F$455,"суб")</f>
        <v>86</v>
      </c>
      <c r="AX147" s="94">
        <f>SUMIFS(Свод!$CL$6:$CL$455,Свод!$G$6:$G$455,Расчеты!AX$1,Свод!$F$6:$F$455,"суб")</f>
        <v>252</v>
      </c>
      <c r="AY147" s="94">
        <f>SUMIFS(Свод!$CL$6:$CL$455,Свод!$G$6:$G$455,Расчеты!AY$1,Свод!$F$6:$F$455,"суб")</f>
        <v>127</v>
      </c>
      <c r="AZ147" s="94">
        <f>SUMIFS(Свод!$CL$6:$CL$455,Свод!$G$6:$G$455,Расчеты!AZ$1,Свод!$F$6:$F$455,"суб")</f>
        <v>341</v>
      </c>
      <c r="BA147" s="94">
        <f>SUMIFS(Свод!$CL$6:$CL$455,Свод!$G$6:$G$455,Расчеты!BA$1,Свод!$F$6:$F$455,"суб")</f>
        <v>63</v>
      </c>
      <c r="BB147" s="94">
        <f>SUMIFS(Свод!$CL$6:$CL$455,Свод!$G$6:$G$455,Расчеты!BB$1,Свод!$F$6:$F$455,"суб")</f>
        <v>491</v>
      </c>
      <c r="BC147" s="94">
        <f>SUMIFS(Свод!$CL$6:$CL$455,Свод!$G$6:$G$455,Расчеты!BC$1,Свод!$F$6:$F$455,"суб")</f>
        <v>17</v>
      </c>
      <c r="BD147" s="94">
        <f>SUMIFS(Свод!$CL$6:$CL$455,Свод!$G$6:$G$455,Расчеты!BD$1,Свод!$F$6:$F$455,"суб")</f>
        <v>2</v>
      </c>
      <c r="BE147" s="94">
        <f>SUMIFS(Свод!$CL$6:$CL$455,Свод!$G$6:$G$455,Расчеты!BE$1,Свод!$F$6:$F$455,"суб")</f>
        <v>185</v>
      </c>
      <c r="BF147" s="94">
        <f>SUMIFS(Свод!$CL$6:$CL$455,Свод!$G$6:$G$455,Расчеты!BF$1,Свод!$F$6:$F$455,"суб")</f>
        <v>0</v>
      </c>
      <c r="BG147" s="94">
        <f>SUMIFS(Свод!$CL$6:$CL$455,Свод!$G$6:$G$455,Расчеты!BG$1,Свод!$F$6:$F$455,"суб")</f>
        <v>0</v>
      </c>
      <c r="BH147" s="94">
        <f>SUMIFS(Свод!$CL$6:$CL$455,Свод!$G$6:$G$455,Расчеты!BH$1,Свод!$F$6:$F$455,"суб")</f>
        <v>801</v>
      </c>
      <c r="BI147" s="94">
        <f>SUMIFS(Свод!$CL$6:$CL$455,Свод!$G$6:$G$455,Расчеты!BI$1,Свод!$F$6:$F$455,"суб")</f>
        <v>54</v>
      </c>
      <c r="BJ147" s="94">
        <f>SUMIFS(Свод!$CL$6:$CL$455,Свод!$G$6:$G$455,Расчеты!BJ$1,Свод!$F$6:$F$455,"суб")</f>
        <v>17</v>
      </c>
      <c r="BK147" s="94">
        <f>SUMIFS(Свод!$CL$6:$CL$455,Свод!$G$6:$G$455,Расчеты!BK$1,Свод!$F$6:$F$455,"суб")</f>
        <v>431</v>
      </c>
      <c r="BL147" s="94">
        <f>SUMIFS(Свод!$CL$6:$CL$455,Свод!$G$6:$G$455,Расчеты!BL$1,Свод!$F$6:$F$455,"суб")</f>
        <v>650</v>
      </c>
      <c r="BM147" s="94">
        <f>SUMIFS(Свод!$CL$6:$CL$455,Свод!$G$6:$G$455,Расчеты!BM$1,Свод!$F$6:$F$455,"суб")</f>
        <v>240</v>
      </c>
      <c r="BN147" s="94">
        <f>SUMIFS(Свод!$CL$6:$CL$455,Свод!$G$6:$G$455,Расчеты!BN$1,Свод!$F$6:$F$455,"суб")</f>
        <v>218</v>
      </c>
      <c r="BO147" s="94">
        <f>SUMIFS(Свод!$CL$6:$CL$455,Свод!$G$6:$G$455,Расчеты!BO$1,Свод!$F$6:$F$455,"суб")</f>
        <v>225</v>
      </c>
      <c r="BP147" s="94">
        <f>SUMIFS(Свод!$CL$6:$CL$455,Свод!$G$6:$G$455,Расчеты!BP$1,Свод!$F$6:$F$455,"суб")</f>
        <v>183</v>
      </c>
      <c r="BQ147" s="94">
        <f>SUMIFS(Свод!$CL$6:$CL$455,Свод!$G$6:$G$455,Расчеты!BQ$1,Свод!$F$6:$F$455,"суб")</f>
        <v>0</v>
      </c>
      <c r="BR147" s="94">
        <f>SUMIFS(Свод!$CL$6:$CL$455,Свод!$G$6:$G$455,Расчеты!BR$1,Свод!$F$6:$F$455,"суб")</f>
        <v>222</v>
      </c>
      <c r="BS147" s="94">
        <f>SUMIFS(Свод!$CL$6:$CL$455,Свод!$G$6:$G$455,Расчеты!BS$1,Свод!$F$6:$F$455,"суб")</f>
        <v>87</v>
      </c>
      <c r="BT147" s="94">
        <f>SUMIFS(Свод!$CL$6:$CL$455,Свод!$G$6:$G$455,Расчеты!BT$1,Свод!$F$6:$F$455,"суб")</f>
        <v>220</v>
      </c>
      <c r="BU147" s="94">
        <f>SUMIFS(Свод!$CL$6:$CL$455,Свод!$G$6:$G$455,Расчеты!BU$1,Свод!$F$6:$F$455,"суб")</f>
        <v>181</v>
      </c>
      <c r="BV147" s="94">
        <f>SUMIFS(Свод!$CL$6:$CL$455,Свод!$G$6:$G$455,Расчеты!BV$1,Свод!$F$6:$F$455,"суб")</f>
        <v>286</v>
      </c>
      <c r="BW147" s="94">
        <f>SUMIFS(Свод!$CL$6:$CL$455,Свод!$G$6:$G$455,Расчеты!BW$1,Свод!$F$6:$F$455,"суб")</f>
        <v>218</v>
      </c>
      <c r="BX147" s="94">
        <f>SUMIFS(Свод!$CL$6:$CL$455,Свод!$G$6:$G$455,Расчеты!BX$1,Свод!$F$6:$F$455,"суб")</f>
        <v>45</v>
      </c>
      <c r="BY147" s="94">
        <f>SUMIFS(Свод!$CL$6:$CL$455,Свод!$G$6:$G$455,Расчеты!BY$1,Свод!$F$6:$F$455,"суб")</f>
        <v>547</v>
      </c>
      <c r="BZ147" s="94">
        <f>SUMIFS(Свод!$CL$6:$CL$455,Свод!$G$6:$G$455,Расчеты!BZ$1,Свод!$F$6:$F$455,"суб")</f>
        <v>459</v>
      </c>
      <c r="CA147" s="94">
        <f>SUMIFS(Свод!$CL$6:$CL$455,Свод!$G$6:$G$455,Расчеты!CA$1,Свод!$F$6:$F$455,"суб")</f>
        <v>183</v>
      </c>
      <c r="CB147" s="94">
        <f>SUMIFS(Свод!$CL$6:$CL$455,Свод!$G$6:$G$455,Расчеты!CB$1,Свод!$F$6:$F$455,"суб")</f>
        <v>132</v>
      </c>
      <c r="CC147" s="94">
        <f>SUMIFS(Свод!$CL$6:$CL$455,Свод!$G$6:$G$455,Расчеты!CC$1,Свод!$F$6:$F$455,"суб")</f>
        <v>50</v>
      </c>
      <c r="CD147" s="94">
        <f>SUMIFS(Свод!$CL$6:$CL$455,Свод!$G$6:$G$455,Расчеты!CD$1,Свод!$F$6:$F$455,"суб")</f>
        <v>1</v>
      </c>
      <c r="CE147" s="94">
        <f>SUMIFS(Свод!$CL$6:$CL$455,Свод!$G$6:$G$455,Расчеты!CE$1,Свод!$F$6:$F$455,"суб")</f>
        <v>4</v>
      </c>
      <c r="CF147" s="94">
        <f>SUMIFS(Свод!$CL$6:$CL$455,Свод!$G$6:$G$455,Расчеты!CF$1,Свод!$F$6:$F$455,"суб")</f>
        <v>173</v>
      </c>
      <c r="CG147" s="94">
        <f>SUMIFS(Свод!$CL$6:$CL$455,Свод!$G$6:$G$455,Расчеты!CG$1,Свод!$F$6:$F$455,"суб")</f>
        <v>757</v>
      </c>
      <c r="CH147" s="94">
        <f>SUMIFS(Свод!$CL$6:$CL$455,Свод!$G$6:$G$455,Расчеты!CH$1,Свод!$F$6:$F$455,"суб")</f>
        <v>4433</v>
      </c>
      <c r="CI147" s="94">
        <f>SUMIFS(Свод!$CL$6:$CL$455,Свод!$G$6:$G$455,Расчеты!CI$1,Свод!$F$6:$F$455,"суб")</f>
        <v>220</v>
      </c>
      <c r="CJ147" s="94">
        <f>SUMIFS(Свод!$CL$6:$CL$455,Свод!$G$6:$G$455,Расчеты!CJ$1,Свод!$F$6:$F$455,"суб")</f>
        <v>70</v>
      </c>
      <c r="CK147" s="94">
        <f>SUMIFS(Свод!$CL$6:$CL$455,Свод!$G$6:$G$455,Расчеты!CK$1,Свод!$F$6:$F$455,"суб")</f>
        <v>249</v>
      </c>
      <c r="CL147" s="94">
        <f>SUMIFS(Свод!$CL$6:$CL$455,Свод!$G$6:$G$455,Расчеты!CL$1,Свод!$F$6:$F$455,"суб")</f>
        <v>0</v>
      </c>
      <c r="CM147" s="94">
        <f>SUMIFS(Свод!$CL$6:$CL$455,Свод!$G$6:$G$455,Расчеты!CM$1,Свод!$F$6:$F$455,"суб")</f>
        <v>92</v>
      </c>
      <c r="CN147" s="94">
        <f>SUMIFS(Свод!$CL$6:$CL$455,Свод!$G$6:$G$455,Расчеты!CN$1,Свод!$F$6:$F$455,"суб")</f>
        <v>408</v>
      </c>
      <c r="CO147" s="94">
        <f>SUMIFS(Свод!$CL$6:$CL$455,Свод!$G$6:$G$455,Расчеты!CO$1,Свод!$F$6:$F$455,"суб")</f>
        <v>293</v>
      </c>
      <c r="CP147" s="94">
        <f>SUMIFS(Свод!$CL$6:$CL$455,Свод!$G$6:$G$455,Расчеты!CP$1,Свод!$F$6:$F$455,"суб")</f>
        <v>470</v>
      </c>
      <c r="CQ147" s="94">
        <f>SUMIFS(Свод!$CL$6:$CL$455,Свод!$G$6:$G$455,Расчеты!CQ$1,Свод!$F$6:$F$455,"суб")</f>
        <v>0</v>
      </c>
      <c r="CR147" s="94">
        <f>SUMIFS(Свод!$CL$6:$CL$455,Свод!$G$6:$G$455,Расчеты!CR$1,Свод!$F$6:$F$455,"суб")</f>
        <v>150</v>
      </c>
      <c r="CS147" s="94">
        <f>SUMIFS(Свод!$CL$6:$CL$455,Свод!$G$6:$G$455,Расчеты!CS$1,Свод!$F$6:$F$455,"суб")</f>
        <v>509</v>
      </c>
      <c r="CT147" s="94">
        <f>SUMIFS(Свод!$CL$6:$CL$455,Свод!$G$6:$G$455,Расчеты!CT$1,Свод!$F$6:$F$455,"суб")</f>
        <v>6</v>
      </c>
      <c r="CU147" s="94">
        <f>SUMIFS(Свод!$CL$6:$CL$455,Свод!$G$6:$G$455,Расчеты!CU$1,Свод!$F$6:$F$455,"суб")</f>
        <v>961</v>
      </c>
      <c r="CV147" s="94">
        <f>SUMIFS(Свод!$CL$6:$CL$455,Свод!$G$6:$G$455,Расчеты!CV$1,Свод!$F$6:$F$455,"суб")</f>
        <v>26</v>
      </c>
      <c r="CW147" s="94">
        <f>SUMIFS(Свод!$CL$6:$CL$455,Свод!$G$6:$G$455,Расчеты!CW$1,Свод!$F$6:$F$455,"суб")</f>
        <v>0</v>
      </c>
      <c r="CX147" s="94">
        <f>SUMIFS(Свод!$CL$6:$CL$455,Свод!$G$6:$G$455,Расчеты!CX$1,Свод!$F$6:$F$455,"суб")</f>
        <v>466</v>
      </c>
    </row>
    <row r="148" spans="3:102" x14ac:dyDescent="0.2">
      <c r="D148" s="97"/>
      <c r="F148" s="97"/>
    </row>
    <row r="149" spans="3:102" x14ac:dyDescent="0.2">
      <c r="C149" s="1234" t="s">
        <v>9429</v>
      </c>
      <c r="D149" s="1235"/>
      <c r="E149" s="1235"/>
      <c r="F149" s="1236"/>
    </row>
    <row r="150" spans="3:102" ht="68" x14ac:dyDescent="0.2">
      <c r="C150" s="94" t="s">
        <v>8897</v>
      </c>
      <c r="D150" s="97" t="s">
        <v>8977</v>
      </c>
      <c r="E150" s="94" t="s">
        <v>8886</v>
      </c>
      <c r="F150" s="97" t="s">
        <v>9430</v>
      </c>
      <c r="G150" s="94" t="s">
        <v>8974</v>
      </c>
      <c r="H150" s="94" t="s">
        <v>8895</v>
      </c>
      <c r="K150" s="94" t="s">
        <v>479</v>
      </c>
      <c r="L150" s="94" t="s">
        <v>4906</v>
      </c>
      <c r="M150" s="94">
        <v>0</v>
      </c>
      <c r="N150" s="94">
        <v>0</v>
      </c>
      <c r="O150" s="94">
        <v>0</v>
      </c>
      <c r="P150" s="94">
        <v>0</v>
      </c>
      <c r="Q150" s="94">
        <f>SUM(R150:CX150)</f>
        <v>0</v>
      </c>
      <c r="R150" s="94">
        <f>SUMIFS(Свод!$AN$6:$AN$455,Свод!$G$6:$G$455,Расчеты!R$1,Свод!$F$6:$F$455,"мун")</f>
        <v>0</v>
      </c>
      <c r="S150" s="94">
        <f>SUMIFS(Свод!$AN$6:$AN$455,Свод!$G$6:$G$455,Расчеты!S$1,Свод!$F$6:$F$455,"мун")</f>
        <v>0</v>
      </c>
      <c r="T150" s="94">
        <f>SUMIFS(Свод!$AN$6:$AN$455,Свод!$G$6:$G$455,Расчеты!T$1,Свод!$F$6:$F$455,"мун")</f>
        <v>0</v>
      </c>
      <c r="U150" s="94">
        <f>SUMIFS(Свод!$AN$6:$AN$455,Свод!$G$6:$G$455,Расчеты!U$1,Свод!$F$6:$F$455,"мун")</f>
        <v>0</v>
      </c>
      <c r="V150" s="94">
        <f>SUMIFS(Свод!$AN$6:$AN$455,Свод!$G$6:$G$455,Расчеты!V$1,Свод!$F$6:$F$455,"мун")</f>
        <v>0</v>
      </c>
      <c r="W150" s="94">
        <f>SUMIFS(Свод!$AN$6:$AN$455,Свод!$G$6:$G$455,Расчеты!W$1,Свод!$F$6:$F$455,"мун")</f>
        <v>0</v>
      </c>
      <c r="X150" s="94">
        <f>SUMIFS(Свод!$AN$6:$AN$455,Свод!$G$6:$G$455,Расчеты!X$1,Свод!$F$6:$F$455,"мун")</f>
        <v>0</v>
      </c>
      <c r="Y150" s="94">
        <f>SUMIFS(Свод!$AN$6:$AN$455,Свод!$G$6:$G$455,Расчеты!Y$1,Свод!$F$6:$F$455,"мун")</f>
        <v>0</v>
      </c>
      <c r="Z150" s="94">
        <f>SUMIFS(Свод!$AN$6:$AN$455,Свод!$G$6:$G$455,Расчеты!Z$1,Свод!$F$6:$F$455,"мун")</f>
        <v>0</v>
      </c>
      <c r="AA150" s="94">
        <f>SUMIFS(Свод!$AN$6:$AN$455,Свод!$G$6:$G$455,Расчеты!AA$1,Свод!$F$6:$F$455,"мун")</f>
        <v>0</v>
      </c>
      <c r="AB150" s="94">
        <f>SUMIFS(Свод!$AN$6:$AN$455,Свод!$G$6:$G$455,Расчеты!AB$1,Свод!$F$6:$F$455,"мун")</f>
        <v>0</v>
      </c>
      <c r="AC150" s="94">
        <f>SUMIFS(Свод!$AN$6:$AN$455,Свод!$G$6:$G$455,Расчеты!AC$1,Свод!$F$6:$F$455,"мун")</f>
        <v>0</v>
      </c>
      <c r="AD150" s="94">
        <f>SUMIFS(Свод!$AN$6:$AN$455,Свод!$G$6:$G$455,Расчеты!AD$1,Свод!$F$6:$F$455,"мун")</f>
        <v>0</v>
      </c>
      <c r="AE150" s="94">
        <f>SUMIFS(Свод!$AN$6:$AN$455,Свод!$G$6:$G$455,Расчеты!AE$1,Свод!$F$6:$F$455,"мун")</f>
        <v>0</v>
      </c>
      <c r="AF150" s="94">
        <f>SUMIFS(Свод!$AN$6:$AN$455,Свод!$G$6:$G$455,Расчеты!AF$1,Свод!$F$6:$F$455,"мун")</f>
        <v>0</v>
      </c>
      <c r="AG150" s="94">
        <f>SUMIFS(Свод!$AN$6:$AN$455,Свод!$G$6:$G$455,Расчеты!AG$1,Свод!$F$6:$F$455,"мун")</f>
        <v>0</v>
      </c>
      <c r="AH150" s="94">
        <f>SUMIFS(Свод!$AN$6:$AN$455,Свод!$G$6:$G$455,Расчеты!AH$1,Свод!$F$6:$F$455,"мун")</f>
        <v>0</v>
      </c>
      <c r="AI150" s="94">
        <f>SUMIFS(Свод!$AN$6:$AN$455,Свод!$G$6:$G$455,Расчеты!AI$1,Свод!$F$6:$F$455,"мун")</f>
        <v>0</v>
      </c>
      <c r="AJ150" s="94">
        <f>SUMIFS(Свод!$AN$6:$AN$455,Свод!$G$6:$G$455,Расчеты!AJ$1,Свод!$F$6:$F$455,"мун")</f>
        <v>0</v>
      </c>
      <c r="AK150" s="94">
        <f>SUMIFS(Свод!$AN$6:$AN$455,Свод!$G$6:$G$455,Расчеты!AK$1,Свод!$F$6:$F$455,"мун")</f>
        <v>0</v>
      </c>
      <c r="AL150" s="94">
        <f>SUMIFS(Свод!$AN$6:$AN$455,Свод!$G$6:$G$455,Расчеты!AL$1,Свод!$F$6:$F$455,"мун")</f>
        <v>0</v>
      </c>
      <c r="AM150" s="94">
        <f>SUMIFS(Свод!$AN$6:$AN$455,Свод!$G$6:$G$455,Расчеты!AM$1,Свод!$F$6:$F$455,"мун")</f>
        <v>0</v>
      </c>
      <c r="AN150" s="94">
        <f>SUMIFS(Свод!$AN$6:$AN$455,Свод!$G$6:$G$455,Расчеты!AN$1,Свод!$F$6:$F$455,"мун")</f>
        <v>0</v>
      </c>
      <c r="AO150" s="94">
        <f>SUMIFS(Свод!$AN$6:$AN$455,Свод!$G$6:$G$455,Расчеты!AO$1,Свод!$F$6:$F$455,"мун")</f>
        <v>0</v>
      </c>
      <c r="AP150" s="94">
        <f>SUMIFS(Свод!$AN$6:$AN$455,Свод!$G$6:$G$455,Расчеты!AP$1,Свод!$F$6:$F$455,"мун")</f>
        <v>0</v>
      </c>
      <c r="AQ150" s="94">
        <f>SUMIFS(Свод!$AN$6:$AN$455,Свод!$G$6:$G$455,Расчеты!AQ$1,Свод!$F$6:$F$455,"мун")</f>
        <v>0</v>
      </c>
      <c r="AR150" s="94">
        <f>SUMIFS(Свод!$AN$6:$AN$455,Свод!$G$6:$G$455,Расчеты!AR$1,Свод!$F$6:$F$455,"мун")</f>
        <v>0</v>
      </c>
      <c r="AS150" s="94">
        <f>SUMIFS(Свод!$AN$6:$AN$455,Свод!$G$6:$G$455,Расчеты!AS$1,Свод!$F$6:$F$455,"мун")</f>
        <v>0</v>
      </c>
      <c r="AT150" s="94">
        <f>SUMIFS(Свод!$AN$6:$AN$455,Свод!$G$6:$G$455,Расчеты!AT$1,Свод!$F$6:$F$455,"мун")</f>
        <v>0</v>
      </c>
      <c r="AU150" s="94">
        <f>SUMIFS(Свод!$AN$6:$AN$455,Свод!$G$6:$G$455,Расчеты!AU$1,Свод!$F$6:$F$455,"мун")</f>
        <v>0</v>
      </c>
      <c r="AV150" s="94">
        <f>SUMIFS(Свод!$AN$6:$AN$455,Свод!$G$6:$G$455,Расчеты!AV$1,Свод!$F$6:$F$455,"мун")</f>
        <v>0</v>
      </c>
      <c r="AW150" s="94">
        <f>SUMIFS(Свод!$AN$6:$AN$455,Свод!$G$6:$G$455,Расчеты!AW$1,Свод!$F$6:$F$455,"мун")</f>
        <v>0</v>
      </c>
      <c r="AX150" s="94">
        <f>SUMIFS(Свод!$AN$6:$AN$455,Свод!$G$6:$G$455,Расчеты!AX$1,Свод!$F$6:$F$455,"мун")</f>
        <v>0</v>
      </c>
      <c r="AY150" s="94">
        <f>SUMIFS(Свод!$AN$6:$AN$455,Свод!$G$6:$G$455,Расчеты!AY$1,Свод!$F$6:$F$455,"мун")</f>
        <v>0</v>
      </c>
      <c r="AZ150" s="94">
        <f>SUMIFS(Свод!$AN$6:$AN$455,Свод!$G$6:$G$455,Расчеты!AZ$1,Свод!$F$6:$F$455,"мун")</f>
        <v>0</v>
      </c>
      <c r="BA150" s="94">
        <f>SUMIFS(Свод!$AN$6:$AN$455,Свод!$G$6:$G$455,Расчеты!BA$1,Свод!$F$6:$F$455,"мун")</f>
        <v>0</v>
      </c>
      <c r="BB150" s="94">
        <f>SUMIFS(Свод!$AN$6:$AN$455,Свод!$G$6:$G$455,Расчеты!BB$1,Свод!$F$6:$F$455,"мун")</f>
        <v>0</v>
      </c>
      <c r="BC150" s="94">
        <f>SUMIFS(Свод!$AN$6:$AN$455,Свод!$G$6:$G$455,Расчеты!BC$1,Свод!$F$6:$F$455,"мун")</f>
        <v>0</v>
      </c>
      <c r="BD150" s="94">
        <f>SUMIFS(Свод!$AN$6:$AN$455,Свод!$G$6:$G$455,Расчеты!BD$1,Свод!$F$6:$F$455,"мун")</f>
        <v>0</v>
      </c>
      <c r="BE150" s="94">
        <f>SUMIFS(Свод!$AN$6:$AN$455,Свод!$G$6:$G$455,Расчеты!BE$1,Свод!$F$6:$F$455,"мун")</f>
        <v>0</v>
      </c>
      <c r="BF150" s="94">
        <f>SUMIFS(Свод!$AN$6:$AN$455,Свод!$G$6:$G$455,Расчеты!BF$1,Свод!$F$6:$F$455,"мун")</f>
        <v>0</v>
      </c>
      <c r="BG150" s="94">
        <f>SUMIFS(Свод!$AN$6:$AN$455,Свод!$G$6:$G$455,Расчеты!BG$1,Свод!$F$6:$F$455,"мун")</f>
        <v>0</v>
      </c>
      <c r="BH150" s="94">
        <f>SUMIFS(Свод!$AN$6:$AN$455,Свод!$G$6:$G$455,Расчеты!BH$1,Свод!$F$6:$F$455,"мун")</f>
        <v>0</v>
      </c>
      <c r="BI150" s="94">
        <f>SUMIFS(Свод!$AN$6:$AN$455,Свод!$G$6:$G$455,Расчеты!BI$1,Свод!$F$6:$F$455,"мун")</f>
        <v>0</v>
      </c>
      <c r="BJ150" s="94">
        <f>SUMIFS(Свод!$AN$6:$AN$455,Свод!$G$6:$G$455,Расчеты!BJ$1,Свод!$F$6:$F$455,"мун")</f>
        <v>0</v>
      </c>
      <c r="BK150" s="94">
        <f>SUMIFS(Свод!$AN$6:$AN$455,Свод!$G$6:$G$455,Расчеты!BK$1,Свод!$F$6:$F$455,"мун")</f>
        <v>0</v>
      </c>
      <c r="BL150" s="94">
        <f>SUMIFS(Свод!$AN$6:$AN$455,Свод!$G$6:$G$455,Расчеты!BL$1,Свод!$F$6:$F$455,"мун")</f>
        <v>0</v>
      </c>
      <c r="BM150" s="94">
        <f>SUMIFS(Свод!$AN$6:$AN$455,Свод!$G$6:$G$455,Расчеты!BM$1,Свод!$F$6:$F$455,"мун")</f>
        <v>0</v>
      </c>
      <c r="BN150" s="94">
        <f>SUMIFS(Свод!$AN$6:$AN$455,Свод!$G$6:$G$455,Расчеты!BN$1,Свод!$F$6:$F$455,"мун")</f>
        <v>0</v>
      </c>
      <c r="BO150" s="94">
        <f>SUMIFS(Свод!$AN$6:$AN$455,Свод!$G$6:$G$455,Расчеты!BO$1,Свод!$F$6:$F$455,"мун")</f>
        <v>0</v>
      </c>
      <c r="BP150" s="94">
        <f>SUMIFS(Свод!$AN$6:$AN$455,Свод!$G$6:$G$455,Расчеты!BP$1,Свод!$F$6:$F$455,"мун")</f>
        <v>0</v>
      </c>
      <c r="BQ150" s="94">
        <f>SUMIFS(Свод!$AN$6:$AN$455,Свод!$G$6:$G$455,Расчеты!BQ$1,Свод!$F$6:$F$455,"мун")</f>
        <v>0</v>
      </c>
      <c r="BR150" s="94">
        <f>SUMIFS(Свод!$AN$6:$AN$455,Свод!$G$6:$G$455,Расчеты!BR$1,Свод!$F$6:$F$455,"мун")</f>
        <v>0</v>
      </c>
      <c r="BS150" s="94">
        <f>SUMIFS(Свод!$AN$6:$AN$455,Свод!$G$6:$G$455,Расчеты!BS$1,Свод!$F$6:$F$455,"мун")</f>
        <v>0</v>
      </c>
      <c r="BT150" s="94">
        <f>SUMIFS(Свод!$AN$6:$AN$455,Свод!$G$6:$G$455,Расчеты!BT$1,Свод!$F$6:$F$455,"мун")</f>
        <v>0</v>
      </c>
      <c r="BU150" s="94">
        <f>SUMIFS(Свод!$AN$6:$AN$455,Свод!$G$6:$G$455,Расчеты!BU$1,Свод!$F$6:$F$455,"мун")</f>
        <v>0</v>
      </c>
      <c r="BV150" s="94">
        <f>SUMIFS(Свод!$AN$6:$AN$455,Свод!$G$6:$G$455,Расчеты!BV$1,Свод!$F$6:$F$455,"мун")</f>
        <v>0</v>
      </c>
      <c r="BW150" s="94">
        <f>SUMIFS(Свод!$AN$6:$AN$455,Свод!$G$6:$G$455,Расчеты!BW$1,Свод!$F$6:$F$455,"мун")</f>
        <v>0</v>
      </c>
      <c r="BX150" s="94">
        <f>SUMIFS(Свод!$AN$6:$AN$455,Свод!$G$6:$G$455,Расчеты!BX$1,Свод!$F$6:$F$455,"мун")</f>
        <v>0</v>
      </c>
      <c r="BY150" s="94">
        <f>SUMIFS(Свод!$AN$6:$AN$455,Свод!$G$6:$G$455,Расчеты!BY$1,Свод!$F$6:$F$455,"мун")</f>
        <v>0</v>
      </c>
      <c r="BZ150" s="94">
        <f>SUMIFS(Свод!$AN$6:$AN$455,Свод!$G$6:$G$455,Расчеты!BZ$1,Свод!$F$6:$F$455,"мун")</f>
        <v>0</v>
      </c>
      <c r="CA150" s="94">
        <f>SUMIFS(Свод!$AN$6:$AN$455,Свод!$G$6:$G$455,Расчеты!CA$1,Свод!$F$6:$F$455,"мун")</f>
        <v>0</v>
      </c>
      <c r="CB150" s="94">
        <f>SUMIFS(Свод!$AN$6:$AN$455,Свод!$G$6:$G$455,Расчеты!CB$1,Свод!$F$6:$F$455,"мун")</f>
        <v>0</v>
      </c>
      <c r="CC150" s="94">
        <f>SUMIFS(Свод!$AN$6:$AN$455,Свод!$G$6:$G$455,Расчеты!CC$1,Свод!$F$6:$F$455,"мун")</f>
        <v>0</v>
      </c>
      <c r="CD150" s="94">
        <f>SUMIFS(Свод!$AN$6:$AN$455,Свод!$G$6:$G$455,Расчеты!CD$1,Свод!$F$6:$F$455,"мун")</f>
        <v>0</v>
      </c>
      <c r="CE150" s="94">
        <f>SUMIFS(Свод!$AN$6:$AN$455,Свод!$G$6:$G$455,Расчеты!CE$1,Свод!$F$6:$F$455,"мун")</f>
        <v>0</v>
      </c>
      <c r="CF150" s="94">
        <f>SUMIFS(Свод!$AN$6:$AN$455,Свод!$G$6:$G$455,Расчеты!CF$1,Свод!$F$6:$F$455,"мун")</f>
        <v>0</v>
      </c>
      <c r="CG150" s="94">
        <f>SUMIFS(Свод!$AN$6:$AN$455,Свод!$G$6:$G$455,Расчеты!CG$1,Свод!$F$6:$F$455,"мун")</f>
        <v>0</v>
      </c>
      <c r="CH150" s="94">
        <f>SUMIFS(Свод!$AN$6:$AN$455,Свод!$G$6:$G$455,Расчеты!CH$1,Свод!$F$6:$F$455,"мун")</f>
        <v>0</v>
      </c>
      <c r="CI150" s="94">
        <f>SUMIFS(Свод!$AN$6:$AN$455,Свод!$G$6:$G$455,Расчеты!CI$1,Свод!$F$6:$F$455,"мун")</f>
        <v>0</v>
      </c>
      <c r="CJ150" s="94">
        <f>SUMIFS(Свод!$AN$6:$AN$455,Свод!$G$6:$G$455,Расчеты!CJ$1,Свод!$F$6:$F$455,"мун")</f>
        <v>0</v>
      </c>
      <c r="CK150" s="94">
        <f>SUMIFS(Свод!$AN$6:$AN$455,Свод!$G$6:$G$455,Расчеты!CK$1,Свод!$F$6:$F$455,"мун")</f>
        <v>0</v>
      </c>
      <c r="CL150" s="94">
        <f>SUMIFS(Свод!$AN$6:$AN$455,Свод!$G$6:$G$455,Расчеты!CL$1,Свод!$F$6:$F$455,"мун")</f>
        <v>0</v>
      </c>
      <c r="CM150" s="94">
        <f>SUMIFS(Свод!$AN$6:$AN$455,Свод!$G$6:$G$455,Расчеты!CM$1,Свод!$F$6:$F$455,"мун")</f>
        <v>0</v>
      </c>
      <c r="CN150" s="94">
        <f>SUMIFS(Свод!$AN$6:$AN$455,Свод!$G$6:$G$455,Расчеты!CN$1,Свод!$F$6:$F$455,"мун")</f>
        <v>0</v>
      </c>
      <c r="CO150" s="94">
        <f>SUMIFS(Свод!$AN$6:$AN$455,Свод!$G$6:$G$455,Расчеты!CO$1,Свод!$F$6:$F$455,"мун")</f>
        <v>0</v>
      </c>
      <c r="CP150" s="94">
        <f>SUMIFS(Свод!$AN$6:$AN$455,Свод!$G$6:$G$455,Расчеты!CP$1,Свод!$F$6:$F$455,"мун")</f>
        <v>0</v>
      </c>
      <c r="CQ150" s="94">
        <f>SUMIFS(Свод!$AN$6:$AN$455,Свод!$G$6:$G$455,Расчеты!CQ$1,Свод!$F$6:$F$455,"мун")</f>
        <v>0</v>
      </c>
      <c r="CR150" s="94">
        <f>SUMIFS(Свод!$AN$6:$AN$455,Свод!$G$6:$G$455,Расчеты!CR$1,Свод!$F$6:$F$455,"мун")</f>
        <v>0</v>
      </c>
      <c r="CS150" s="94">
        <f>SUMIFS(Свод!$AN$6:$AN$455,Свод!$G$6:$G$455,Расчеты!CS$1,Свод!$F$6:$F$455,"мун")</f>
        <v>0</v>
      </c>
      <c r="CT150" s="94">
        <f>SUMIFS(Свод!$AN$6:$AN$455,Свод!$G$6:$G$455,Расчеты!CT$1,Свод!$F$6:$F$455,"мун")</f>
        <v>0</v>
      </c>
      <c r="CU150" s="94">
        <f>SUMIFS(Свод!$AN$6:$AN$455,Свод!$G$6:$G$455,Расчеты!CU$1,Свод!$F$6:$F$455,"мун")</f>
        <v>0</v>
      </c>
      <c r="CV150" s="94">
        <f>SUMIFS(Свод!$AN$6:$AN$455,Свод!$G$6:$G$455,Расчеты!CV$1,Свод!$F$6:$F$455,"мун")</f>
        <v>0</v>
      </c>
      <c r="CW150" s="94">
        <f>SUMIFS(Свод!$AN$6:$AN$455,Свод!$G$6:$G$455,Расчеты!CW$1,Свод!$F$6:$F$455,"мун")</f>
        <v>0</v>
      </c>
      <c r="CX150" s="94">
        <f>SUMIFS(Свод!$AN$6:$AN$455,Свод!$G$6:$G$455,Расчеты!CX$1,Свод!$F$6:$F$455,"мун")</f>
        <v>0</v>
      </c>
    </row>
    <row r="151" spans="3:102" ht="34" x14ac:dyDescent="0.2">
      <c r="D151" s="97"/>
      <c r="E151" s="94" t="s">
        <v>8886</v>
      </c>
      <c r="F151" s="97" t="s">
        <v>9431</v>
      </c>
      <c r="G151" s="94" t="s">
        <v>64</v>
      </c>
      <c r="H151" s="97" t="s">
        <v>8980</v>
      </c>
      <c r="L151" s="94" t="s">
        <v>4906</v>
      </c>
    </row>
    <row r="152" spans="3:102" ht="85" x14ac:dyDescent="0.2">
      <c r="C152" s="94" t="s">
        <v>8897</v>
      </c>
      <c r="D152" s="97" t="s">
        <v>8981</v>
      </c>
      <c r="E152" s="94" t="s">
        <v>8886</v>
      </c>
      <c r="F152" s="97" t="s">
        <v>9432</v>
      </c>
      <c r="G152" s="94" t="s">
        <v>8974</v>
      </c>
      <c r="H152" s="94" t="s">
        <v>8895</v>
      </c>
      <c r="K152" s="94" t="s">
        <v>479</v>
      </c>
      <c r="L152" s="94" t="s">
        <v>4906</v>
      </c>
      <c r="M152" s="94">
        <v>478.54404999999997</v>
      </c>
      <c r="N152" s="94">
        <v>736.40348783999991</v>
      </c>
      <c r="P152" s="94">
        <v>2098.3286128490004</v>
      </c>
      <c r="Q152" s="94">
        <f t="shared" ref="Q152:Q163" ca="1" si="30">SUM(R152:CX152)</f>
        <v>2820.588077840001</v>
      </c>
      <c r="R152" s="94">
        <f>SUMIFS(Свод!$AQ$6:$AQ$455,Свод!$G$6:$G$455,Расчеты!R$1,Свод!$F$6:$F$455,"мун")</f>
        <v>0</v>
      </c>
      <c r="S152" s="94">
        <f>SUMIFS(Свод!$AQ$6:$AQ$455,Свод!$G$6:$G$455,Расчеты!S$1,Свод!$F$6:$F$455,"мун")</f>
        <v>0</v>
      </c>
      <c r="T152" s="94">
        <f>SUMIFS(Свод!$AQ$6:$AQ$455,Свод!$G$6:$G$455,Расчеты!T$1,Свод!$F$6:$F$455,"мун")</f>
        <v>0</v>
      </c>
      <c r="U152" s="94">
        <f>SUMIFS(Свод!$AQ$6:$AQ$455,Свод!$G$6:$G$455,Расчеты!U$1,Свод!$F$6:$F$455,"мун")</f>
        <v>0</v>
      </c>
      <c r="V152" s="94">
        <f>SUMIFS(Свод!$AQ$6:$AQ$455,Свод!$G$6:$G$455,Расчеты!V$1,Свод!$F$6:$F$455,"мун")</f>
        <v>13.574999999999999</v>
      </c>
      <c r="W152" s="94">
        <f>SUMIFS(Свод!$AQ$6:$AQ$455,Свод!$G$6:$G$455,Расчеты!W$1,Свод!$F$6:$F$455,"мун")</f>
        <v>0</v>
      </c>
      <c r="X152" s="94">
        <f>SUMIFS(Свод!$AQ$6:$AQ$455,Свод!$G$6:$G$455,Расчеты!X$1,Свод!$F$6:$F$455,"мун")</f>
        <v>2.6071150000000003</v>
      </c>
      <c r="Y152" s="94">
        <f>SUMIFS(Свод!$AQ$6:$AQ$455,Свод!$G$6:$G$455,Расчеты!Y$1,Свод!$F$6:$F$455,"мун")</f>
        <v>26.730713999999999</v>
      </c>
      <c r="Z152" s="94">
        <f>SUMIFS(Свод!$AQ$6:$AQ$455,Свод!$G$6:$G$455,Расчеты!Z$1,Свод!$F$6:$F$455,"мун")</f>
        <v>0.59152000000000005</v>
      </c>
      <c r="AA152" s="94">
        <f>SUMIFS(Свод!$AQ$6:$AQ$455,Свод!$G$6:$G$455,Расчеты!AA$1,Свод!$F$6:$F$455,"мун")</f>
        <v>0</v>
      </c>
      <c r="AB152" s="94">
        <f>SUMIFS(Свод!$AQ$6:$AQ$455,Свод!$G$6:$G$455,Расчеты!AB$1,Свод!$F$6:$F$455,"мун")</f>
        <v>1.0489594</v>
      </c>
      <c r="AC152" s="94">
        <f>SUMIFS(Свод!$AQ$6:$AQ$455,Свод!$G$6:$G$455,Расчеты!AC$1,Свод!$F$6:$F$455,"мун")</f>
        <v>0</v>
      </c>
      <c r="AD152" s="94">
        <f>SUMIFS(Свод!$AQ$6:$AQ$455,Свод!$G$6:$G$455,Расчеты!AD$1,Свод!$F$6:$F$455,"мун")</f>
        <v>329.60399999999998</v>
      </c>
      <c r="AE152" s="94">
        <f>SUMIFS(Свод!$AQ$6:$AQ$455,Свод!$G$6:$G$455,Расчеты!AE$1,Свод!$F$6:$F$455,"мун")</f>
        <v>0</v>
      </c>
      <c r="AF152" s="94">
        <f>SUMIFS(Свод!$AQ$6:$AQ$455,Свод!$G$6:$G$455,Расчеты!AF$1,Свод!$F$6:$F$455,"мун")</f>
        <v>0</v>
      </c>
      <c r="AG152" s="94">
        <f>SUMIFS(Свод!$AQ$6:$AQ$455,Свод!$G$6:$G$455,Расчеты!AG$1,Свод!$F$6:$F$455,"мун")</f>
        <v>0</v>
      </c>
      <c r="AH152" s="94">
        <f>SUMIFS(Свод!$AQ$6:$AQ$455,Свод!$G$6:$G$455,Расчеты!AH$1,Свод!$F$6:$F$455,"мун")</f>
        <v>0</v>
      </c>
      <c r="AI152" s="94">
        <f>SUMIFS(Свод!$AQ$6:$AQ$455,Свод!$G$6:$G$455,Расчеты!AI$1,Свод!$F$6:$F$455,"мун")</f>
        <v>0</v>
      </c>
      <c r="AJ152" s="94">
        <f>SUMIFS(Свод!$AQ$6:$AQ$455,Свод!$G$6:$G$455,Расчеты!AJ$1,Свод!$F$6:$F$455,"мун")</f>
        <v>0</v>
      </c>
      <c r="AK152" s="94">
        <f>SUMIFS(Свод!$AQ$6:$AQ$455,Свод!$G$6:$G$455,Расчеты!AK$1,Свод!$F$6:$F$455,"мун")</f>
        <v>0</v>
      </c>
      <c r="AL152" s="94">
        <f>SUMIFS(Свод!$AQ$6:$AQ$455,Свод!$G$6:$G$455,Расчеты!AL$1,Свод!$F$6:$F$455,"мун")</f>
        <v>0</v>
      </c>
      <c r="AM152" s="94">
        <f>SUMIFS(Свод!$AQ$6:$AQ$455,Свод!$G$6:$G$455,Расчеты!AM$1,Свод!$F$6:$F$455,"мун")</f>
        <v>9.1580999999999992</v>
      </c>
      <c r="AN152" s="94">
        <f>SUMIFS(Свод!$AQ$6:$AQ$455,Свод!$G$6:$G$455,Расчеты!AN$1,Свод!$F$6:$F$455,"мун")</f>
        <v>0</v>
      </c>
      <c r="AO152" s="94">
        <f>SUMIFS(Свод!$AQ$6:$AQ$455,Свод!$G$6:$G$455,Расчеты!AO$1,Свод!$F$6:$F$455,"мун")</f>
        <v>12.901</v>
      </c>
      <c r="AP152" s="94">
        <f>SUMIFS(Свод!$AQ$6:$AQ$455,Свод!$G$6:$G$455,Расчеты!AP$1,Свод!$F$6:$F$455,"мун")</f>
        <v>0</v>
      </c>
      <c r="AQ152" s="94">
        <f>SUMIFS(Свод!$AQ$6:$AQ$455,Свод!$G$6:$G$455,Расчеты!AQ$1,Свод!$F$6:$F$455,"мун")</f>
        <v>0</v>
      </c>
      <c r="AR152" s="94">
        <f>SUMIFS(Свод!$AQ$6:$AQ$455,Свод!$G$6:$G$455,Расчеты!AR$1,Свод!$F$6:$F$455,"мун")</f>
        <v>0</v>
      </c>
      <c r="AS152" s="94">
        <f>SUMIFS(Свод!$AQ$6:$AQ$455,Свод!$G$6:$G$455,Расчеты!AS$1,Свод!$F$6:$F$455,"мун")</f>
        <v>0</v>
      </c>
      <c r="AT152" s="94">
        <f>SUMIFS(Свод!$AQ$6:$AQ$455,Свод!$G$6:$G$455,Расчеты!AT$1,Свод!$F$6:$F$455,"мун")</f>
        <v>7.7660000000000009</v>
      </c>
      <c r="AU152" s="94">
        <f ca="1">SUMIFS(Свод!$AQ$6:$AQ$455,Свод!$G$6:$G$455,Расчеты!AU$1,Свод!$F$6:$F$455,"мун")</f>
        <v>65.200280529999986</v>
      </c>
      <c r="AV152" s="94">
        <f>SUMIFS(Свод!$AQ$6:$AQ$455,Свод!$G$6:$G$455,Расчеты!AV$1,Свод!$F$6:$F$455,"мун")</f>
        <v>0</v>
      </c>
      <c r="AW152" s="94">
        <f>SUMIFS(Свод!$AQ$6:$AQ$455,Свод!$G$6:$G$455,Расчеты!AW$1,Свод!$F$6:$F$455,"мун")</f>
        <v>1089.3510554000002</v>
      </c>
      <c r="AX152" s="94">
        <f>SUMIFS(Свод!$AQ$6:$AQ$455,Свод!$G$6:$G$455,Расчеты!AX$1,Свод!$F$6:$F$455,"мун")</f>
        <v>50.214999999999996</v>
      </c>
      <c r="AY152" s="94">
        <f>SUMIFS(Свод!$AQ$6:$AQ$455,Свод!$G$6:$G$455,Расчеты!AY$1,Свод!$F$6:$F$455,"мун")</f>
        <v>0.40500000000000003</v>
      </c>
      <c r="AZ152" s="94">
        <f>SUMIFS(Свод!$AQ$6:$AQ$455,Свод!$G$6:$G$455,Расчеты!AZ$1,Свод!$F$6:$F$455,"мун")</f>
        <v>0</v>
      </c>
      <c r="BA152" s="94">
        <f>SUMIFS(Свод!$AQ$6:$AQ$455,Свод!$G$6:$G$455,Расчеты!BA$1,Свод!$F$6:$F$455,"мун")</f>
        <v>7.88</v>
      </c>
      <c r="BB152" s="94">
        <f>SUMIFS(Свод!$AQ$6:$AQ$455,Свод!$G$6:$G$455,Расчеты!BB$1,Свод!$F$6:$F$455,"мун")</f>
        <v>13.4</v>
      </c>
      <c r="BC152" s="94">
        <f>SUMIFS(Свод!$AQ$6:$AQ$455,Свод!$G$6:$G$455,Расчеты!BC$1,Свод!$F$6:$F$455,"мун")</f>
        <v>0</v>
      </c>
      <c r="BD152" s="94">
        <f>SUMIFS(Свод!$AQ$6:$AQ$455,Свод!$G$6:$G$455,Расчеты!BD$1,Свод!$F$6:$F$455,"мун")</f>
        <v>0.75354399999999999</v>
      </c>
      <c r="BE152" s="94">
        <f>SUMIFS(Свод!$AQ$6:$AQ$455,Свод!$G$6:$G$455,Расчеты!BE$1,Свод!$F$6:$F$455,"мун")</f>
        <v>0</v>
      </c>
      <c r="BF152" s="94">
        <f>SUMIFS(Свод!$AQ$6:$AQ$455,Свод!$G$6:$G$455,Расчеты!BF$1,Свод!$F$6:$F$455,"мун")</f>
        <v>0</v>
      </c>
      <c r="BG152" s="94">
        <f>SUMIFS(Свод!$AQ$6:$AQ$455,Свод!$G$6:$G$455,Расчеты!BG$1,Свод!$F$6:$F$455,"мун")</f>
        <v>0</v>
      </c>
      <c r="BH152" s="94">
        <f>SUMIFS(Свод!$AQ$6:$AQ$455,Свод!$G$6:$G$455,Расчеты!BH$1,Свод!$F$6:$F$455,"мун")</f>
        <v>0</v>
      </c>
      <c r="BI152" s="94">
        <f>SUMIFS(Свод!$AQ$6:$AQ$455,Свод!$G$6:$G$455,Расчеты!BI$1,Свод!$F$6:$F$455,"мун")</f>
        <v>0</v>
      </c>
      <c r="BJ152" s="94">
        <f>SUMIFS(Свод!$AQ$6:$AQ$455,Свод!$G$6:$G$455,Расчеты!BJ$1,Свод!$F$6:$F$455,"мун")</f>
        <v>0</v>
      </c>
      <c r="BK152" s="94">
        <f>SUMIFS(Свод!$AQ$6:$AQ$455,Свод!$G$6:$G$455,Расчеты!BK$1,Свод!$F$6:$F$455,"мун")</f>
        <v>64.524051790000001</v>
      </c>
      <c r="BL152" s="94">
        <f>SUMIFS(Свод!$AQ$6:$AQ$455,Свод!$G$6:$G$455,Расчеты!BL$1,Свод!$F$6:$F$455,"мун")</f>
        <v>1.4000000000000004</v>
      </c>
      <c r="BM152" s="94">
        <f>SUMIFS(Свод!$AQ$6:$AQ$455,Свод!$G$6:$G$455,Расчеты!BM$1,Свод!$F$6:$F$455,"мун")</f>
        <v>0.191</v>
      </c>
      <c r="BN152" s="94">
        <f>SUMIFS(Свод!$AQ$6:$AQ$455,Свод!$G$6:$G$455,Расчеты!BN$1,Свод!$F$6:$F$455,"мун")</f>
        <v>14.190420999999999</v>
      </c>
      <c r="BO152" s="94">
        <f>SUMIFS(Свод!$AQ$6:$AQ$455,Свод!$G$6:$G$455,Расчеты!BO$1,Свод!$F$6:$F$455,"мун")</f>
        <v>26.398780000000006</v>
      </c>
      <c r="BP152" s="94">
        <f>SUMIFS(Свод!$AQ$6:$AQ$455,Свод!$G$6:$G$455,Расчеты!BP$1,Свод!$F$6:$F$455,"мун")</f>
        <v>0</v>
      </c>
      <c r="BQ152" s="94">
        <f>SUMIFS(Свод!$AQ$6:$AQ$455,Свод!$G$6:$G$455,Расчеты!BQ$1,Свод!$F$6:$F$455,"мун")</f>
        <v>17.027000000000001</v>
      </c>
      <c r="BR152" s="94">
        <f>SUMIFS(Свод!$AQ$6:$AQ$455,Свод!$G$6:$G$455,Расчеты!BR$1,Свод!$F$6:$F$455,"мун")</f>
        <v>19.978846599999997</v>
      </c>
      <c r="BS152" s="94">
        <f>SUMIFS(Свод!$AQ$6:$AQ$455,Свод!$G$6:$G$455,Расчеты!BS$1,Свод!$F$6:$F$455,"мун")</f>
        <v>17.458773300000001</v>
      </c>
      <c r="BT152" s="94">
        <f>SUMIFS(Свод!$AQ$6:$AQ$455,Свод!$G$6:$G$455,Расчеты!BT$1,Свод!$F$6:$F$455,"мун")</f>
        <v>0</v>
      </c>
      <c r="BU152" s="94">
        <f>SUMIFS(Свод!$AQ$6:$AQ$455,Свод!$G$6:$G$455,Расчеты!BU$1,Свод!$F$6:$F$455,"мун")</f>
        <v>311.23</v>
      </c>
      <c r="BV152" s="94">
        <f>SUMIFS(Свод!$AQ$6:$AQ$455,Свод!$G$6:$G$455,Расчеты!BV$1,Свод!$F$6:$F$455,"мун")</f>
        <v>0</v>
      </c>
      <c r="BW152" s="94">
        <f ca="1">SUMIFS(Свод!$AQ$6:$AQ$455,Свод!$G$6:$G$455,Расчеты!BW$1,Свод!$F$6:$F$455,"мун")</f>
        <v>38.878361329999983</v>
      </c>
      <c r="BX152" s="94">
        <f>SUMIFS(Свод!$AQ$6:$AQ$455,Свод!$G$6:$G$455,Расчеты!BX$1,Свод!$F$6:$F$455,"мун")</f>
        <v>0</v>
      </c>
      <c r="BY152" s="94">
        <f>SUMIFS(Свод!$AQ$6:$AQ$455,Свод!$G$6:$G$455,Расчеты!BY$1,Свод!$F$6:$F$455,"мун")</f>
        <v>0</v>
      </c>
      <c r="BZ152" s="94">
        <f>SUMIFS(Свод!$AQ$6:$AQ$455,Свод!$G$6:$G$455,Расчеты!BZ$1,Свод!$F$6:$F$455,"мун")</f>
        <v>0</v>
      </c>
      <c r="CA152" s="94">
        <f>SUMIFS(Свод!$AQ$6:$AQ$455,Свод!$G$6:$G$455,Расчеты!CA$1,Свод!$F$6:$F$455,"мун")</f>
        <v>0</v>
      </c>
      <c r="CB152" s="94">
        <f>SUMIFS(Свод!$AQ$6:$AQ$455,Свод!$G$6:$G$455,Расчеты!CB$1,Свод!$F$6:$F$455,"мун")</f>
        <v>31.57</v>
      </c>
      <c r="CC152" s="94">
        <f>SUMIFS(Свод!$AQ$6:$AQ$455,Свод!$G$6:$G$455,Расчеты!CC$1,Свод!$F$6:$F$455,"мун")</f>
        <v>0</v>
      </c>
      <c r="CD152" s="94">
        <f>SUMIFS(Свод!$AQ$6:$AQ$455,Свод!$G$6:$G$455,Расчеты!CD$1,Свод!$F$6:$F$455,"мун")</f>
        <v>0</v>
      </c>
      <c r="CE152" s="94">
        <f>SUMIFS(Свод!$AQ$6:$AQ$455,Свод!$G$6:$G$455,Расчеты!CE$1,Свод!$F$6:$F$455,"мун")</f>
        <v>0</v>
      </c>
      <c r="CF152" s="94">
        <f>SUMIFS(Свод!$AQ$6:$AQ$455,Свод!$G$6:$G$455,Расчеты!CF$1,Свод!$F$6:$F$455,"мун")</f>
        <v>128.22437776000001</v>
      </c>
      <c r="CG152" s="94">
        <f>SUMIFS(Свод!$AQ$6:$AQ$455,Свод!$G$6:$G$455,Расчеты!CG$1,Свод!$F$6:$F$455,"мун")</f>
        <v>0.44700000000000001</v>
      </c>
      <c r="CH152" s="94">
        <f>SUMIFS(Свод!$AQ$6:$AQ$455,Свод!$G$6:$G$455,Расчеты!CH$1,Свод!$F$6:$F$455,"мун")</f>
        <v>0</v>
      </c>
      <c r="CI152" s="94">
        <f>SUMIFS(Свод!$AQ$6:$AQ$455,Свод!$G$6:$G$455,Расчеты!CI$1,Свод!$F$6:$F$455,"мун")</f>
        <v>0</v>
      </c>
      <c r="CJ152" s="94">
        <f>SUMIFS(Свод!$AQ$6:$AQ$455,Свод!$G$6:$G$455,Расчеты!CJ$1,Свод!$F$6:$F$455,"мун")</f>
        <v>0</v>
      </c>
      <c r="CK152" s="94">
        <f>SUMIFS(Свод!$AQ$6:$AQ$455,Свод!$G$6:$G$455,Расчеты!CK$1,Свод!$F$6:$F$455,"мун")</f>
        <v>0</v>
      </c>
      <c r="CL152" s="94">
        <f>SUMIFS(Свод!$AQ$6:$AQ$455,Свод!$G$6:$G$455,Расчеты!CL$1,Свод!$F$6:$F$455,"мун")</f>
        <v>0</v>
      </c>
      <c r="CM152" s="94">
        <f>SUMIFS(Свод!$AQ$6:$AQ$455,Свод!$G$6:$G$455,Расчеты!CM$1,Свод!$F$6:$F$455,"мун")</f>
        <v>17.689</v>
      </c>
      <c r="CN152" s="94">
        <f>SUMIFS(Свод!$AQ$6:$AQ$455,Свод!$G$6:$G$455,Расчеты!CN$1,Свод!$F$6:$F$455,"мун")</f>
        <v>0.18279999999999999</v>
      </c>
      <c r="CO152" s="94">
        <f>SUMIFS(Свод!$AQ$6:$AQ$455,Свод!$G$6:$G$455,Расчеты!CO$1,Свод!$F$6:$F$455,"мун")</f>
        <v>3.56386</v>
      </c>
      <c r="CP152" s="94">
        <f>SUMIFS(Свод!$AQ$6:$AQ$455,Свод!$G$6:$G$455,Расчеты!CP$1,Свод!$F$6:$F$455,"мун")</f>
        <v>10.1686</v>
      </c>
      <c r="CQ152" s="94">
        <f>SUMIFS(Свод!$AQ$6:$AQ$455,Свод!$G$6:$G$455,Расчеты!CQ$1,Свод!$F$6:$F$455,"мун")</f>
        <v>0</v>
      </c>
      <c r="CR152" s="94">
        <f>SUMIFS(Свод!$AQ$6:$AQ$455,Свод!$G$6:$G$455,Расчеты!CR$1,Свод!$F$6:$F$455,"мун")</f>
        <v>230.47099999999998</v>
      </c>
      <c r="CS152" s="94">
        <f>SUMIFS(Свод!$AQ$6:$AQ$455,Свод!$G$6:$G$455,Расчеты!CS$1,Свод!$F$6:$F$455,"мун")</f>
        <v>0</v>
      </c>
      <c r="CT152" s="94">
        <f>SUMIFS(Свод!$AQ$6:$AQ$455,Свод!$G$6:$G$455,Расчеты!CT$1,Свод!$F$6:$F$455,"мун")</f>
        <v>0</v>
      </c>
      <c r="CU152" s="94">
        <f>SUMIFS(Свод!$AQ$6:$AQ$455,Свод!$G$6:$G$455,Расчеты!CU$1,Свод!$F$6:$F$455,"мун")</f>
        <v>0</v>
      </c>
      <c r="CV152" s="94">
        <f>SUMIFS(Свод!$AQ$6:$AQ$455,Свод!$G$6:$G$455,Расчеты!CV$1,Свод!$F$6:$F$455,"мун")</f>
        <v>0</v>
      </c>
      <c r="CW152" s="94">
        <f>SUMIFS(Свод!$AQ$6:$AQ$455,Свод!$G$6:$G$455,Расчеты!CW$1,Свод!$F$6:$F$455,"мун")</f>
        <v>463.74295373000007</v>
      </c>
      <c r="CX152" s="94">
        <f>SUMIFS(Свод!$AQ$6:$AQ$455,Свод!$G$6:$G$455,Расчеты!CX$1,Свод!$F$6:$F$455,"мун")</f>
        <v>0</v>
      </c>
    </row>
    <row r="153" spans="3:102" ht="34" x14ac:dyDescent="0.2">
      <c r="D153" s="97"/>
      <c r="E153" s="94" t="s">
        <v>8886</v>
      </c>
      <c r="F153" s="97" t="s">
        <v>9431</v>
      </c>
      <c r="G153" s="94" t="s">
        <v>64</v>
      </c>
      <c r="H153" s="97" t="s">
        <v>8980</v>
      </c>
      <c r="L153" s="94" t="s">
        <v>4906</v>
      </c>
      <c r="M153" s="510">
        <v>0.64154385617763277</v>
      </c>
      <c r="N153" s="510">
        <v>0.78833100866037853</v>
      </c>
      <c r="Q153" s="94">
        <f ca="1">Q152/Q162</f>
        <v>0.85382825424343978</v>
      </c>
    </row>
    <row r="154" spans="3:102" ht="68" x14ac:dyDescent="0.2">
      <c r="C154" s="94" t="s">
        <v>8897</v>
      </c>
      <c r="D154" s="97" t="s">
        <v>8984</v>
      </c>
      <c r="E154" s="94" t="s">
        <v>8886</v>
      </c>
      <c r="F154" s="97" t="s">
        <v>9433</v>
      </c>
      <c r="G154" s="94" t="s">
        <v>8974</v>
      </c>
      <c r="H154" s="94" t="s">
        <v>8895</v>
      </c>
      <c r="K154" s="94" t="s">
        <v>479</v>
      </c>
      <c r="L154" s="94" t="s">
        <v>4906</v>
      </c>
      <c r="M154" s="510">
        <v>103.2469</v>
      </c>
      <c r="N154" s="510">
        <v>112.27286693000001</v>
      </c>
      <c r="P154" s="94">
        <v>68.704458000000002</v>
      </c>
      <c r="Q154" s="94">
        <f t="shared" si="30"/>
        <v>148.60382477920749</v>
      </c>
      <c r="R154" s="94">
        <f>SUMIFS(Свод!$AT$6:$AT$455,Свод!$G$6:$G$455,Расчеты!R$1,Свод!$F$6:$F$455,"мун")</f>
        <v>0</v>
      </c>
      <c r="S154" s="94">
        <f>SUMIFS(Свод!$AT$6:$AT$455,Свод!$G$6:$G$455,Расчеты!S$1,Свод!$F$6:$F$455,"мун")</f>
        <v>0</v>
      </c>
      <c r="T154" s="94">
        <f>SUMIFS(Свод!$AT$6:$AT$455,Свод!$G$6:$G$455,Расчеты!T$1,Свод!$F$6:$F$455,"мун")</f>
        <v>0</v>
      </c>
      <c r="U154" s="94">
        <f>SUMIFS(Свод!$AT$6:$AT$455,Свод!$G$6:$G$455,Расчеты!U$1,Свод!$F$6:$F$455,"мун")</f>
        <v>0</v>
      </c>
      <c r="V154" s="94">
        <f>SUMIFS(Свод!$AT$6:$AT$455,Свод!$G$6:$G$455,Расчеты!V$1,Свод!$F$6:$F$455,"мун")</f>
        <v>0</v>
      </c>
      <c r="W154" s="94">
        <f>SUMIFS(Свод!$AT$6:$AT$455,Свод!$G$6:$G$455,Расчеты!W$1,Свод!$F$6:$F$455,"мун")</f>
        <v>0</v>
      </c>
      <c r="X154" s="94">
        <f>SUMIFS(Свод!$AT$6:$AT$455,Свод!$G$6:$G$455,Расчеты!X$1,Свод!$F$6:$F$455,"мун")</f>
        <v>0.53828500000000001</v>
      </c>
      <c r="Y154" s="94">
        <f>SUMIFS(Свод!$AT$6:$AT$455,Свод!$G$6:$G$455,Расчеты!Y$1,Свод!$F$6:$F$455,"мун")</f>
        <v>0.606958</v>
      </c>
      <c r="Z154" s="94">
        <f>SUMIFS(Свод!$AT$6:$AT$455,Свод!$G$6:$G$455,Расчеты!Z$1,Свод!$F$6:$F$455,"мун")</f>
        <v>5.3865999999999997E-2</v>
      </c>
      <c r="AA154" s="94">
        <f>SUMIFS(Свод!$AT$6:$AT$455,Свод!$G$6:$G$455,Расчеты!AA$1,Свод!$F$6:$F$455,"мун")</f>
        <v>0</v>
      </c>
      <c r="AB154" s="94">
        <f>SUMIFS(Свод!$AT$6:$AT$455,Свод!$G$6:$G$455,Расчеты!AB$1,Свод!$F$6:$F$455,"мун")</f>
        <v>6.1450000000000003E-3</v>
      </c>
      <c r="AC154" s="94">
        <f>SUMIFS(Свод!$AT$6:$AT$455,Свод!$G$6:$G$455,Расчеты!AC$1,Свод!$F$6:$F$455,"мун")</f>
        <v>0</v>
      </c>
      <c r="AD154" s="94">
        <f>SUMIFS(Свод!$AT$6:$AT$455,Свод!$G$6:$G$455,Расчеты!AD$1,Свод!$F$6:$F$455,"мун")</f>
        <v>0</v>
      </c>
      <c r="AE154" s="94">
        <f>SUMIFS(Свод!$AT$6:$AT$455,Свод!$G$6:$G$455,Расчеты!AE$1,Свод!$F$6:$F$455,"мун")</f>
        <v>0</v>
      </c>
      <c r="AF154" s="94">
        <f>SUMIFS(Свод!$AT$6:$AT$455,Свод!$G$6:$G$455,Расчеты!AF$1,Свод!$F$6:$F$455,"мун")</f>
        <v>0</v>
      </c>
      <c r="AG154" s="94">
        <f>SUMIFS(Свод!$AT$6:$AT$455,Свод!$G$6:$G$455,Расчеты!AG$1,Свод!$F$6:$F$455,"мун")</f>
        <v>0</v>
      </c>
      <c r="AH154" s="94">
        <f>SUMIFS(Свод!$AT$6:$AT$455,Свод!$G$6:$G$455,Расчеты!AH$1,Свод!$F$6:$F$455,"мун")</f>
        <v>0</v>
      </c>
      <c r="AI154" s="94">
        <f>SUMIFS(Свод!$AT$6:$AT$455,Свод!$G$6:$G$455,Расчеты!AI$1,Свод!$F$6:$F$455,"мун")</f>
        <v>0</v>
      </c>
      <c r="AJ154" s="94">
        <f>SUMIFS(Свод!$AT$6:$AT$455,Свод!$G$6:$G$455,Расчеты!AJ$1,Свод!$F$6:$F$455,"мун")</f>
        <v>0</v>
      </c>
      <c r="AK154" s="94">
        <f>SUMIFS(Свод!$AT$6:$AT$455,Свод!$G$6:$G$455,Расчеты!AK$1,Свод!$F$6:$F$455,"мун")</f>
        <v>0</v>
      </c>
      <c r="AL154" s="94">
        <f>SUMIFS(Свод!$AT$6:$AT$455,Свод!$G$6:$G$455,Расчеты!AL$1,Свод!$F$6:$F$455,"мун")</f>
        <v>0</v>
      </c>
      <c r="AM154" s="94">
        <f>SUMIFS(Свод!$AT$6:$AT$455,Свод!$G$6:$G$455,Расчеты!AM$1,Свод!$F$6:$F$455,"мун")</f>
        <v>0.42936999999999997</v>
      </c>
      <c r="AN154" s="94">
        <f>SUMIFS(Свод!$AT$6:$AT$455,Свод!$G$6:$G$455,Расчеты!AN$1,Свод!$F$6:$F$455,"мун")</f>
        <v>0</v>
      </c>
      <c r="AO154" s="94">
        <f>SUMIFS(Свод!$AT$6:$AT$455,Свод!$G$6:$G$455,Расчеты!AO$1,Свод!$F$6:$F$455,"мун")</f>
        <v>1.0030000000000001</v>
      </c>
      <c r="AP154" s="94">
        <f>SUMIFS(Свод!$AT$6:$AT$455,Свод!$G$6:$G$455,Расчеты!AP$1,Свод!$F$6:$F$455,"мун")</f>
        <v>0</v>
      </c>
      <c r="AQ154" s="94">
        <f>SUMIFS(Свод!$AT$6:$AT$455,Свод!$G$6:$G$455,Расчеты!AQ$1,Свод!$F$6:$F$455,"мун")</f>
        <v>0</v>
      </c>
      <c r="AR154" s="94">
        <f>SUMIFS(Свод!$AT$6:$AT$455,Свод!$G$6:$G$455,Расчеты!AR$1,Свод!$F$6:$F$455,"мун")</f>
        <v>0</v>
      </c>
      <c r="AS154" s="94">
        <f>SUMIFS(Свод!$AT$6:$AT$455,Свод!$G$6:$G$455,Расчеты!AS$1,Свод!$F$6:$F$455,"мун")</f>
        <v>0</v>
      </c>
      <c r="AT154" s="94">
        <f>SUMIFS(Свод!$AT$6:$AT$455,Свод!$G$6:$G$455,Расчеты!AT$1,Свод!$F$6:$F$455,"мун")</f>
        <v>6.0000000000000001E-3</v>
      </c>
      <c r="AU154" s="94">
        <f>SUMIFS(Свод!$AT$6:$AT$455,Свод!$G$6:$G$455,Расчеты!AU$1,Свод!$F$6:$F$455,"мун")</f>
        <v>0.20300000000000001</v>
      </c>
      <c r="AV154" s="94">
        <f>SUMIFS(Свод!$AT$6:$AT$455,Свод!$G$6:$G$455,Расчеты!AV$1,Свод!$F$6:$F$455,"мун")</f>
        <v>0</v>
      </c>
      <c r="AW154" s="94">
        <f>SUMIFS(Свод!$AT$6:$AT$455,Свод!$G$6:$G$455,Расчеты!AW$1,Свод!$F$6:$F$455,"мун")</f>
        <v>104.33483</v>
      </c>
      <c r="AX154" s="94">
        <f>SUMIFS(Свод!$AT$6:$AT$455,Свод!$G$6:$G$455,Расчеты!AX$1,Свод!$F$6:$F$455,"мун")</f>
        <v>3.3449999999999998</v>
      </c>
      <c r="AY154" s="94">
        <f>SUMIFS(Свод!$AT$6:$AT$455,Свод!$G$6:$G$455,Расчеты!AY$1,Свод!$F$6:$F$455,"мун")</f>
        <v>0</v>
      </c>
      <c r="AZ154" s="94">
        <f>SUMIFS(Свод!$AT$6:$AT$455,Свод!$G$6:$G$455,Расчеты!AZ$1,Свод!$F$6:$F$455,"мун")</f>
        <v>0</v>
      </c>
      <c r="BA154" s="94">
        <f>SUMIFS(Свод!$AT$6:$AT$455,Свод!$G$6:$G$455,Расчеты!BA$1,Свод!$F$6:$F$455,"мун")</f>
        <v>5.6000000000000001E-2</v>
      </c>
      <c r="BB154" s="94">
        <f>SUMIFS(Свод!$AT$6:$AT$455,Свод!$G$6:$G$455,Расчеты!BB$1,Свод!$F$6:$F$455,"мун")</f>
        <v>0</v>
      </c>
      <c r="BC154" s="94">
        <f>SUMIFS(Свод!$AT$6:$AT$455,Свод!$G$6:$G$455,Расчеты!BC$1,Свод!$F$6:$F$455,"мун")</f>
        <v>0</v>
      </c>
      <c r="BD154" s="94">
        <f>SUMIFS(Свод!$AT$6:$AT$455,Свод!$G$6:$G$455,Расчеты!BD$1,Свод!$F$6:$F$455,"мун")</f>
        <v>0</v>
      </c>
      <c r="BE154" s="94">
        <f>SUMIFS(Свод!$AT$6:$AT$455,Свод!$G$6:$G$455,Расчеты!BE$1,Свод!$F$6:$F$455,"мун")</f>
        <v>0</v>
      </c>
      <c r="BF154" s="94">
        <f>SUMIFS(Свод!$AT$6:$AT$455,Свод!$G$6:$G$455,Расчеты!BF$1,Свод!$F$6:$F$455,"мун")</f>
        <v>0</v>
      </c>
      <c r="BG154" s="94">
        <f>SUMIFS(Свод!$AT$6:$AT$455,Свод!$G$6:$G$455,Расчеты!BG$1,Свод!$F$6:$F$455,"мун")</f>
        <v>0</v>
      </c>
      <c r="BH154" s="94">
        <f>SUMIFS(Свод!$AT$6:$AT$455,Свод!$G$6:$G$455,Расчеты!BH$1,Свод!$F$6:$F$455,"мун")</f>
        <v>0</v>
      </c>
      <c r="BI154" s="94">
        <f>SUMIFS(Свод!$AT$6:$AT$455,Свод!$G$6:$G$455,Расчеты!BI$1,Свод!$F$6:$F$455,"мун")</f>
        <v>0</v>
      </c>
      <c r="BJ154" s="94">
        <f>SUMIFS(Свод!$AT$6:$AT$455,Свод!$G$6:$G$455,Расчеты!BJ$1,Свод!$F$6:$F$455,"мун")</f>
        <v>0</v>
      </c>
      <c r="BK154" s="94">
        <f>SUMIFS(Свод!$AT$6:$AT$455,Свод!$G$6:$G$455,Расчеты!BK$1,Свод!$F$6:$F$455,"мун")</f>
        <v>2.359</v>
      </c>
      <c r="BL154" s="94">
        <f>SUMIFS(Свод!$AT$6:$AT$455,Свод!$G$6:$G$455,Расчеты!BL$1,Свод!$F$6:$F$455,"мун")</f>
        <v>0</v>
      </c>
      <c r="BM154" s="94">
        <f>SUMIFS(Свод!$AT$6:$AT$455,Свод!$G$6:$G$455,Расчеты!BM$1,Свод!$F$6:$F$455,"мун")</f>
        <v>0</v>
      </c>
      <c r="BN154" s="94">
        <f>SUMIFS(Свод!$AT$6:$AT$455,Свод!$G$6:$G$455,Расчеты!BN$1,Свод!$F$6:$F$455,"мун")</f>
        <v>0.66199999999999992</v>
      </c>
      <c r="BO154" s="94">
        <f>SUMIFS(Свод!$AT$6:$AT$455,Свод!$G$6:$G$455,Расчеты!BO$1,Свод!$F$6:$F$455,"мун")</f>
        <v>0.81390000000000007</v>
      </c>
      <c r="BP154" s="94">
        <f>SUMIFS(Свод!$AT$6:$AT$455,Свод!$G$6:$G$455,Расчеты!BP$1,Свод!$F$6:$F$455,"мун")</f>
        <v>0</v>
      </c>
      <c r="BQ154" s="94">
        <f>SUMIFS(Свод!$AT$6:$AT$455,Свод!$G$6:$G$455,Расчеты!BQ$1,Свод!$F$6:$F$455,"мун")</f>
        <v>16.5</v>
      </c>
      <c r="BR154" s="94">
        <f>SUMIFS(Свод!$AT$6:$AT$455,Свод!$G$6:$G$455,Расчеты!BR$1,Свод!$F$6:$F$455,"мун")</f>
        <v>2.2786799999999999E-2</v>
      </c>
      <c r="BS154" s="94">
        <f>SUMIFS(Свод!$AT$6:$AT$455,Свод!$G$6:$G$455,Расчеты!BS$1,Свод!$F$6:$F$455,"мун")</f>
        <v>0</v>
      </c>
      <c r="BT154" s="94">
        <f>SUMIFS(Свод!$AT$6:$AT$455,Свод!$G$6:$G$455,Расчеты!BT$1,Свод!$F$6:$F$455,"мун")</f>
        <v>0</v>
      </c>
      <c r="BU154" s="94">
        <f>SUMIFS(Свод!$AT$6:$AT$455,Свод!$G$6:$G$455,Расчеты!BU$1,Свод!$F$6:$F$455,"мун")</f>
        <v>6.9390000000000001</v>
      </c>
      <c r="BV154" s="94">
        <f>SUMIFS(Свод!$AT$6:$AT$455,Свод!$G$6:$G$455,Расчеты!BV$1,Свод!$F$6:$F$455,"мун")</f>
        <v>0</v>
      </c>
      <c r="BW154" s="94">
        <f>SUMIFS(Свод!$AT$6:$AT$455,Свод!$G$6:$G$455,Расчеты!BW$1,Свод!$F$6:$F$455,"мун")</f>
        <v>0.82199999999999995</v>
      </c>
      <c r="BX154" s="94">
        <f>SUMIFS(Свод!$AT$6:$AT$455,Свод!$G$6:$G$455,Расчеты!BX$1,Свод!$F$6:$F$455,"мун")</f>
        <v>0</v>
      </c>
      <c r="BY154" s="94">
        <f>SUMIFS(Свод!$AT$6:$AT$455,Свод!$G$6:$G$455,Расчеты!BY$1,Свод!$F$6:$F$455,"мун")</f>
        <v>0</v>
      </c>
      <c r="BZ154" s="94">
        <f>SUMIFS(Свод!$AT$6:$AT$455,Свод!$G$6:$G$455,Расчеты!BZ$1,Свод!$F$6:$F$455,"мун")</f>
        <v>0</v>
      </c>
      <c r="CA154" s="94">
        <f>SUMIFS(Свод!$AT$6:$AT$455,Свод!$G$6:$G$455,Расчеты!CA$1,Свод!$F$6:$F$455,"мун")</f>
        <v>0</v>
      </c>
      <c r="CB154" s="94">
        <f>SUMIFS(Свод!$AT$6:$AT$455,Свод!$G$6:$G$455,Расчеты!CB$1,Свод!$F$6:$F$455,"мун")</f>
        <v>6.3052999999999999</v>
      </c>
      <c r="CC154" s="94">
        <f>SUMIFS(Свод!$AT$6:$AT$455,Свод!$G$6:$G$455,Расчеты!CC$1,Свод!$F$6:$F$455,"мун")</f>
        <v>0</v>
      </c>
      <c r="CD154" s="94">
        <f>SUMIFS(Свод!$AT$6:$AT$455,Свод!$G$6:$G$455,Расчеты!CD$1,Свод!$F$6:$F$455,"мун")</f>
        <v>0</v>
      </c>
      <c r="CE154" s="94">
        <f>SUMIFS(Свод!$AT$6:$AT$455,Свод!$G$6:$G$455,Расчеты!CE$1,Свод!$F$6:$F$455,"мун")</f>
        <v>0</v>
      </c>
      <c r="CF154" s="94">
        <f>SUMIFS(Свод!$AT$6:$AT$455,Свод!$G$6:$G$455,Расчеты!CF$1,Свод!$F$6:$F$455,"мун")</f>
        <v>0</v>
      </c>
      <c r="CG154" s="94">
        <f>SUMIFS(Свод!$AT$6:$AT$455,Свод!$G$6:$G$455,Расчеты!CG$1,Свод!$F$6:$F$455,"мун")</f>
        <v>0.83400000000000007</v>
      </c>
      <c r="CH154" s="94">
        <f>SUMIFS(Свод!$AT$6:$AT$455,Свод!$G$6:$G$455,Расчеты!CH$1,Свод!$F$6:$F$455,"мун")</f>
        <v>0</v>
      </c>
      <c r="CI154" s="94">
        <f>SUMIFS(Свод!$AT$6:$AT$455,Свод!$G$6:$G$455,Расчеты!CI$1,Свод!$F$6:$F$455,"мун")</f>
        <v>0</v>
      </c>
      <c r="CJ154" s="94">
        <f>SUMIFS(Свод!$AT$6:$AT$455,Свод!$G$6:$G$455,Расчеты!CJ$1,Свод!$F$6:$F$455,"мун")</f>
        <v>0</v>
      </c>
      <c r="CK154" s="94">
        <f>SUMIFS(Свод!$AT$6:$AT$455,Свод!$G$6:$G$455,Расчеты!CK$1,Свод!$F$6:$F$455,"мун")</f>
        <v>0</v>
      </c>
      <c r="CL154" s="94">
        <f>SUMIFS(Свод!$AT$6:$AT$455,Свод!$G$6:$G$455,Расчеты!CL$1,Свод!$F$6:$F$455,"мун")</f>
        <v>0</v>
      </c>
      <c r="CM154" s="94">
        <f>SUMIFS(Свод!$AT$6:$AT$455,Свод!$G$6:$G$455,Расчеты!CM$1,Свод!$F$6:$F$455,"мун")</f>
        <v>0</v>
      </c>
      <c r="CN154" s="94">
        <f>SUMIFS(Свод!$AT$6:$AT$455,Свод!$G$6:$G$455,Расчеты!CN$1,Свод!$F$6:$F$455,"мун")</f>
        <v>0.18279999999999999</v>
      </c>
      <c r="CO154" s="94">
        <f>SUMIFS(Свод!$AT$6:$AT$455,Свод!$G$6:$G$455,Расчеты!CO$1,Свод!$F$6:$F$455,"мун")</f>
        <v>0</v>
      </c>
      <c r="CP154" s="94">
        <f>SUMIFS(Свод!$AT$6:$AT$455,Свод!$G$6:$G$455,Расчеты!CP$1,Свод!$F$6:$F$455,"мун")</f>
        <v>0.11181359920753475</v>
      </c>
      <c r="CQ154" s="94">
        <f>SUMIFS(Свод!$AT$6:$AT$455,Свод!$G$6:$G$455,Расчеты!CQ$1,Свод!$F$6:$F$455,"мун")</f>
        <v>0</v>
      </c>
      <c r="CR154" s="94">
        <f>SUMIFS(Свод!$AT$6:$AT$455,Свод!$G$6:$G$455,Расчеты!CR$1,Свод!$F$6:$F$455,"мун")</f>
        <v>0.59700000000000009</v>
      </c>
      <c r="CS154" s="94">
        <f>SUMIFS(Свод!$AT$6:$AT$455,Свод!$G$6:$G$455,Расчеты!CS$1,Свод!$F$6:$F$455,"мун")</f>
        <v>0</v>
      </c>
      <c r="CT154" s="94">
        <f>SUMIFS(Свод!$AT$6:$AT$455,Свод!$G$6:$G$455,Расчеты!CT$1,Свод!$F$6:$F$455,"мун")</f>
        <v>0</v>
      </c>
      <c r="CU154" s="94">
        <f>SUMIFS(Свод!$AT$6:$AT$455,Свод!$G$6:$G$455,Расчеты!CU$1,Свод!$F$6:$F$455,"мун")</f>
        <v>0</v>
      </c>
      <c r="CV154" s="94">
        <f>SUMIFS(Свод!$AT$6:$AT$455,Свод!$G$6:$G$455,Расчеты!CV$1,Свод!$F$6:$F$455,"мун")</f>
        <v>0</v>
      </c>
      <c r="CW154" s="94">
        <f>SUMIFS(Свод!$AT$6:$AT$455,Свод!$G$6:$G$455,Расчеты!CW$1,Свод!$F$6:$F$455,"мун")</f>
        <v>1.8717703799999998</v>
      </c>
      <c r="CX154" s="94">
        <f>SUMIFS(Свод!$AT$6:$AT$455,Свод!$G$6:$G$455,Расчеты!CX$1,Свод!$F$6:$F$455,"мун")</f>
        <v>0</v>
      </c>
    </row>
    <row r="155" spans="3:102" ht="34" x14ac:dyDescent="0.2">
      <c r="D155" s="97"/>
      <c r="E155" s="94" t="s">
        <v>8886</v>
      </c>
      <c r="F155" s="97" t="s">
        <v>9431</v>
      </c>
      <c r="G155" s="94" t="s">
        <v>64</v>
      </c>
      <c r="H155" s="97" t="s">
        <v>8980</v>
      </c>
      <c r="L155" s="94" t="s">
        <v>4906</v>
      </c>
      <c r="M155" s="510">
        <v>0.13841445602423944</v>
      </c>
      <c r="N155" s="510">
        <v>0.12018979254393447</v>
      </c>
      <c r="Q155" s="94">
        <f ca="1">Q154/Q162</f>
        <v>4.4984287242075684E-2</v>
      </c>
    </row>
    <row r="156" spans="3:102" ht="119" x14ac:dyDescent="0.2">
      <c r="C156" s="94" t="s">
        <v>8897</v>
      </c>
      <c r="D156" s="97" t="s">
        <v>8987</v>
      </c>
      <c r="E156" s="94" t="s">
        <v>8886</v>
      </c>
      <c r="F156" s="97" t="s">
        <v>9434</v>
      </c>
      <c r="G156" s="94" t="s">
        <v>8974</v>
      </c>
      <c r="H156" s="94" t="s">
        <v>8895</v>
      </c>
      <c r="K156" s="94" t="s">
        <v>479</v>
      </c>
      <c r="L156" s="94" t="s">
        <v>4906</v>
      </c>
      <c r="M156" s="510">
        <v>136.98660000000001</v>
      </c>
      <c r="N156" s="510">
        <v>67.55206475</v>
      </c>
      <c r="P156" s="94">
        <v>451.50820449999992</v>
      </c>
      <c r="Q156" s="94">
        <f t="shared" si="30"/>
        <v>290.64157799999998</v>
      </c>
      <c r="R156" s="94">
        <f>SUMIFS(Свод!$AV$6:$AV$455,Свод!$G$6:$G$455,Расчеты!R$1,Свод!$F$6:$F$455,"мун")</f>
        <v>0</v>
      </c>
      <c r="S156" s="94">
        <f>SUMIFS(Свод!$AV$6:$AV$455,Свод!$G$6:$G$455,Расчеты!S$1,Свод!$F$6:$F$455,"мун")</f>
        <v>0</v>
      </c>
      <c r="T156" s="94">
        <f>SUMIFS(Свод!$AV$6:$AV$455,Свод!$G$6:$G$455,Расчеты!T$1,Свод!$F$6:$F$455,"мун")</f>
        <v>0</v>
      </c>
      <c r="U156" s="94">
        <f>SUMIFS(Свод!$AV$6:$AV$455,Свод!$G$6:$G$455,Расчеты!U$1,Свод!$F$6:$F$455,"мун")</f>
        <v>0</v>
      </c>
      <c r="V156" s="94">
        <f>SUMIFS(Свод!$AV$6:$AV$455,Свод!$G$6:$G$455,Расчеты!V$1,Свод!$F$6:$F$455,"мун")</f>
        <v>0.505</v>
      </c>
      <c r="W156" s="94">
        <f>SUMIFS(Свод!$AV$6:$AV$455,Свод!$G$6:$G$455,Расчеты!W$1,Свод!$F$6:$F$455,"мун")</f>
        <v>0</v>
      </c>
      <c r="X156" s="94">
        <f>SUMIFS(Свод!$AV$6:$AV$455,Свод!$G$6:$G$455,Расчеты!X$1,Свод!$F$6:$F$455,"мун")</f>
        <v>0.62004799999999993</v>
      </c>
      <c r="Y156" s="94">
        <f>SUMIFS(Свод!$AV$6:$AV$455,Свод!$G$6:$G$455,Расчеты!Y$1,Свод!$F$6:$F$455,"мун")</f>
        <v>0</v>
      </c>
      <c r="Z156" s="94">
        <f>SUMIFS(Свод!$AV$6:$AV$455,Свод!$G$6:$G$455,Расчеты!Z$1,Свод!$F$6:$F$455,"мун")</f>
        <v>7.4740000000000001E-2</v>
      </c>
      <c r="AA156" s="94">
        <f>SUMIFS(Свод!$AV$6:$AV$455,Свод!$G$6:$G$455,Расчеты!AA$1,Свод!$F$6:$F$455,"мун")</f>
        <v>0</v>
      </c>
      <c r="AB156" s="94">
        <f>SUMIFS(Свод!$AV$6:$AV$455,Свод!$G$6:$G$455,Расчеты!AB$1,Свод!$F$6:$F$455,"мун")</f>
        <v>0</v>
      </c>
      <c r="AC156" s="94">
        <f>SUMIFS(Свод!$AV$6:$AV$455,Свод!$G$6:$G$455,Расчеты!AC$1,Свод!$F$6:$F$455,"мун")</f>
        <v>0</v>
      </c>
      <c r="AD156" s="94">
        <f>SUMIFS(Свод!$AV$6:$AV$455,Свод!$G$6:$G$455,Расчеты!AD$1,Свод!$F$6:$F$455,"мун")</f>
        <v>0</v>
      </c>
      <c r="AE156" s="94">
        <f>SUMIFS(Свод!$AV$6:$AV$455,Свод!$G$6:$G$455,Расчеты!AE$1,Свод!$F$6:$F$455,"мун")</f>
        <v>0</v>
      </c>
      <c r="AF156" s="94">
        <f>SUMIFS(Свод!$AV$6:$AV$455,Свод!$G$6:$G$455,Расчеты!AF$1,Свод!$F$6:$F$455,"мун")</f>
        <v>0</v>
      </c>
      <c r="AG156" s="94">
        <f>SUMIFS(Свод!$AV$6:$AV$455,Свод!$G$6:$G$455,Расчеты!AG$1,Свод!$F$6:$F$455,"мун")</f>
        <v>0</v>
      </c>
      <c r="AH156" s="94">
        <f>SUMIFS(Свод!$AV$6:$AV$455,Свод!$G$6:$G$455,Расчеты!AH$1,Свод!$F$6:$F$455,"мун")</f>
        <v>0</v>
      </c>
      <c r="AI156" s="94">
        <f>SUMIFS(Свод!$AV$6:$AV$455,Свод!$G$6:$G$455,Расчеты!AI$1,Свод!$F$6:$F$455,"мун")</f>
        <v>0</v>
      </c>
      <c r="AJ156" s="94">
        <f>SUMIFS(Свод!$AV$6:$AV$455,Свод!$G$6:$G$455,Расчеты!AJ$1,Свод!$F$6:$F$455,"мун")</f>
        <v>0</v>
      </c>
      <c r="AK156" s="94">
        <f>SUMIFS(Свод!$AV$6:$AV$455,Свод!$G$6:$G$455,Расчеты!AK$1,Свод!$F$6:$F$455,"мун")</f>
        <v>0</v>
      </c>
      <c r="AL156" s="94">
        <f>SUMIFS(Свод!$AV$6:$AV$455,Свод!$G$6:$G$455,Расчеты!AL$1,Свод!$F$6:$F$455,"мун")</f>
        <v>0</v>
      </c>
      <c r="AM156" s="94">
        <f>SUMIFS(Свод!$AV$6:$AV$455,Свод!$G$6:$G$455,Расчеты!AM$1,Свод!$F$6:$F$455,"мун")</f>
        <v>0</v>
      </c>
      <c r="AN156" s="94">
        <f>SUMIFS(Свод!$AV$6:$AV$455,Свод!$G$6:$G$455,Расчеты!AN$1,Свод!$F$6:$F$455,"мун")</f>
        <v>0</v>
      </c>
      <c r="AO156" s="94">
        <f>SUMIFS(Свод!$AV$6:$AV$455,Свод!$G$6:$G$455,Расчеты!AO$1,Свод!$F$6:$F$455,"мун")</f>
        <v>1.393</v>
      </c>
      <c r="AP156" s="94">
        <f>SUMIFS(Свод!$AV$6:$AV$455,Свод!$G$6:$G$455,Расчеты!AP$1,Свод!$F$6:$F$455,"мун")</f>
        <v>0</v>
      </c>
      <c r="AQ156" s="94">
        <f>SUMIFS(Свод!$AV$6:$AV$455,Свод!$G$6:$G$455,Расчеты!AQ$1,Свод!$F$6:$F$455,"мун")</f>
        <v>0</v>
      </c>
      <c r="AR156" s="94">
        <f>SUMIFS(Свод!$AV$6:$AV$455,Свод!$G$6:$G$455,Расчеты!AR$1,Свод!$F$6:$F$455,"мун")</f>
        <v>0</v>
      </c>
      <c r="AS156" s="94">
        <f>SUMIFS(Свод!$AV$6:$AV$455,Свод!$G$6:$G$455,Расчеты!AS$1,Свод!$F$6:$F$455,"мун")</f>
        <v>0</v>
      </c>
      <c r="AT156" s="94">
        <f>SUMIFS(Свод!$AV$6:$AV$455,Свод!$G$6:$G$455,Расчеты!AT$1,Свод!$F$6:$F$455,"мун")</f>
        <v>0</v>
      </c>
      <c r="AU156" s="94">
        <f>SUMIFS(Свод!$AV$6:$AV$455,Свод!$G$6:$G$455,Расчеты!AU$1,Свод!$F$6:$F$455,"мун")</f>
        <v>1.0640000000000001</v>
      </c>
      <c r="AV156" s="94">
        <f>SUMIFS(Свод!$AV$6:$AV$455,Свод!$G$6:$G$455,Расчеты!AV$1,Свод!$F$6:$F$455,"мун")</f>
        <v>0</v>
      </c>
      <c r="AW156" s="94">
        <f>SUMIFS(Свод!$AV$6:$AV$455,Свод!$G$6:$G$455,Расчеты!AW$1,Свод!$F$6:$F$455,"мун")</f>
        <v>243.96609999999998</v>
      </c>
      <c r="AX156" s="94">
        <f>SUMIFS(Свод!$AV$6:$AV$455,Свод!$G$6:$G$455,Расчеты!AX$1,Свод!$F$6:$F$455,"мун")</f>
        <v>7.2850000000000001</v>
      </c>
      <c r="AY156" s="94">
        <f>SUMIFS(Свод!$AV$6:$AV$455,Свод!$G$6:$G$455,Расчеты!AY$1,Свод!$F$6:$F$455,"мун")</f>
        <v>0.1</v>
      </c>
      <c r="AZ156" s="94">
        <f>SUMIFS(Свод!$AV$6:$AV$455,Свод!$G$6:$G$455,Расчеты!AZ$1,Свод!$F$6:$F$455,"мун")</f>
        <v>0</v>
      </c>
      <c r="BA156" s="94">
        <f>SUMIFS(Свод!$AV$6:$AV$455,Свод!$G$6:$G$455,Расчеты!BA$1,Свод!$F$6:$F$455,"мун")</f>
        <v>0</v>
      </c>
      <c r="BB156" s="94">
        <f>SUMIFS(Свод!$AV$6:$AV$455,Свод!$G$6:$G$455,Расчеты!BB$1,Свод!$F$6:$F$455,"мун")</f>
        <v>0</v>
      </c>
      <c r="BC156" s="94">
        <f>SUMIFS(Свод!$AV$6:$AV$455,Свод!$G$6:$G$455,Расчеты!BC$1,Свод!$F$6:$F$455,"мун")</f>
        <v>0</v>
      </c>
      <c r="BD156" s="94">
        <f>SUMIFS(Свод!$AV$6:$AV$455,Свод!$G$6:$G$455,Расчеты!BD$1,Свод!$F$6:$F$455,"мун")</f>
        <v>0</v>
      </c>
      <c r="BE156" s="94">
        <f>SUMIFS(Свод!$AV$6:$AV$455,Свод!$G$6:$G$455,Расчеты!BE$1,Свод!$F$6:$F$455,"мун")</f>
        <v>0</v>
      </c>
      <c r="BF156" s="94">
        <f>SUMIFS(Свод!$AV$6:$AV$455,Свод!$G$6:$G$455,Расчеты!BF$1,Свод!$F$6:$F$455,"мун")</f>
        <v>0</v>
      </c>
      <c r="BG156" s="94">
        <f>SUMIFS(Свод!$AV$6:$AV$455,Свод!$G$6:$G$455,Расчеты!BG$1,Свод!$F$6:$F$455,"мун")</f>
        <v>0</v>
      </c>
      <c r="BH156" s="94">
        <f>SUMIFS(Свод!$AV$6:$AV$455,Свод!$G$6:$G$455,Расчеты!BH$1,Свод!$F$6:$F$455,"мун")</f>
        <v>0</v>
      </c>
      <c r="BI156" s="94">
        <f>SUMIFS(Свод!$AV$6:$AV$455,Свод!$G$6:$G$455,Расчеты!BI$1,Свод!$F$6:$F$455,"мун")</f>
        <v>0</v>
      </c>
      <c r="BJ156" s="94">
        <f>SUMIFS(Свод!$AV$6:$AV$455,Свод!$G$6:$G$455,Расчеты!BJ$1,Свод!$F$6:$F$455,"мун")</f>
        <v>0</v>
      </c>
      <c r="BK156" s="94">
        <f>SUMIFS(Свод!$AV$6:$AV$455,Свод!$G$6:$G$455,Расчеты!BK$1,Свод!$F$6:$F$455,"мун")</f>
        <v>0.81200000000000006</v>
      </c>
      <c r="BL156" s="94">
        <f>SUMIFS(Свод!$AV$6:$AV$455,Свод!$G$6:$G$455,Расчеты!BL$1,Свод!$F$6:$F$455,"мун")</f>
        <v>0</v>
      </c>
      <c r="BM156" s="94">
        <f>SUMIFS(Свод!$AV$6:$AV$455,Свод!$G$6:$G$455,Расчеты!BM$1,Свод!$F$6:$F$455,"мун")</f>
        <v>0</v>
      </c>
      <c r="BN156" s="94">
        <f>SUMIFS(Свод!$AV$6:$AV$455,Свод!$G$6:$G$455,Расчеты!BN$1,Свод!$F$6:$F$455,"мун")</f>
        <v>0.14315</v>
      </c>
      <c r="BO156" s="94">
        <f>SUMIFS(Свод!$AV$6:$AV$455,Свод!$G$6:$G$455,Расчеты!BO$1,Свод!$F$6:$F$455,"мун")</f>
        <v>0.6431</v>
      </c>
      <c r="BP156" s="94">
        <f>SUMIFS(Свод!$AV$6:$AV$455,Свод!$G$6:$G$455,Расчеты!BP$1,Свод!$F$6:$F$455,"мун")</f>
        <v>0</v>
      </c>
      <c r="BQ156" s="94">
        <f>SUMIFS(Свод!$AV$6:$AV$455,Свод!$G$6:$G$455,Расчеты!BQ$1,Свод!$F$6:$F$455,"мун")</f>
        <v>0</v>
      </c>
      <c r="BR156" s="94">
        <f>SUMIFS(Свод!$AV$6:$AV$455,Свод!$G$6:$G$455,Расчеты!BR$1,Свод!$F$6:$F$455,"мун")</f>
        <v>1.0860000000000001</v>
      </c>
      <c r="BS156" s="94">
        <f>SUMIFS(Свод!$AV$6:$AV$455,Свод!$G$6:$G$455,Расчеты!BS$1,Свод!$F$6:$F$455,"мун")</f>
        <v>0</v>
      </c>
      <c r="BT156" s="94">
        <f>SUMIFS(Свод!$AV$6:$AV$455,Свод!$G$6:$G$455,Расчеты!BT$1,Свод!$F$6:$F$455,"мун")</f>
        <v>0</v>
      </c>
      <c r="BU156" s="94">
        <f>SUMIFS(Свод!$AV$6:$AV$455,Свод!$G$6:$G$455,Расчеты!BU$1,Свод!$F$6:$F$455,"мун")</f>
        <v>20.818000000000001</v>
      </c>
      <c r="BV156" s="94">
        <f>SUMIFS(Свод!$AV$6:$AV$455,Свод!$G$6:$G$455,Расчеты!BV$1,Свод!$F$6:$F$455,"мун")</f>
        <v>0</v>
      </c>
      <c r="BW156" s="94">
        <f>SUMIFS(Свод!$AV$6:$AV$455,Свод!$G$6:$G$455,Расчеты!BW$1,Свод!$F$6:$F$455,"мун")</f>
        <v>1.4128399999999999</v>
      </c>
      <c r="BX156" s="94">
        <f>SUMIFS(Свод!$AV$6:$AV$455,Свод!$G$6:$G$455,Расчеты!BX$1,Свод!$F$6:$F$455,"мун")</f>
        <v>0</v>
      </c>
      <c r="BY156" s="94">
        <f>SUMIFS(Свод!$AV$6:$AV$455,Свод!$G$6:$G$455,Расчеты!BY$1,Свод!$F$6:$F$455,"мун")</f>
        <v>0</v>
      </c>
      <c r="BZ156" s="94">
        <f>SUMIFS(Свод!$AV$6:$AV$455,Свод!$G$6:$G$455,Расчеты!BZ$1,Свод!$F$6:$F$455,"мун")</f>
        <v>0</v>
      </c>
      <c r="CA156" s="94">
        <f>SUMIFS(Свод!$AV$6:$AV$455,Свод!$G$6:$G$455,Расчеты!CA$1,Свод!$F$6:$F$455,"мун")</f>
        <v>0</v>
      </c>
      <c r="CB156" s="94">
        <f>SUMIFS(Свод!$AV$6:$AV$455,Свод!$G$6:$G$455,Расчеты!CB$1,Свод!$F$6:$F$455,"мун")</f>
        <v>6.7959999999999994</v>
      </c>
      <c r="CC156" s="94">
        <f>SUMIFS(Свод!$AV$6:$AV$455,Свод!$G$6:$G$455,Расчеты!CC$1,Свод!$F$6:$F$455,"мун")</f>
        <v>0</v>
      </c>
      <c r="CD156" s="94">
        <f>SUMIFS(Свод!$AV$6:$AV$455,Свод!$G$6:$G$455,Расчеты!CD$1,Свод!$F$6:$F$455,"мун")</f>
        <v>0</v>
      </c>
      <c r="CE156" s="94">
        <f>SUMIFS(Свод!$AV$6:$AV$455,Свод!$G$6:$G$455,Расчеты!CE$1,Свод!$F$6:$F$455,"мун")</f>
        <v>0</v>
      </c>
      <c r="CF156" s="94">
        <f>SUMIFS(Свод!$AV$6:$AV$455,Свод!$G$6:$G$455,Расчеты!CF$1,Свод!$F$6:$F$455,"мун")</f>
        <v>0</v>
      </c>
      <c r="CG156" s="94">
        <f>SUMIFS(Свод!$AV$6:$AV$455,Свод!$G$6:$G$455,Расчеты!CG$1,Свод!$F$6:$F$455,"мун")</f>
        <v>0</v>
      </c>
      <c r="CH156" s="94">
        <f>SUMIFS(Свод!$AV$6:$AV$455,Свод!$G$6:$G$455,Расчеты!CH$1,Свод!$F$6:$F$455,"мун")</f>
        <v>0</v>
      </c>
      <c r="CI156" s="94">
        <f>SUMIFS(Свод!$AV$6:$AV$455,Свод!$G$6:$G$455,Расчеты!CI$1,Свод!$F$6:$F$455,"мун")</f>
        <v>0</v>
      </c>
      <c r="CJ156" s="94">
        <f>SUMIFS(Свод!$AV$6:$AV$455,Свод!$G$6:$G$455,Расчеты!CJ$1,Свод!$F$6:$F$455,"мун")</f>
        <v>0</v>
      </c>
      <c r="CK156" s="94">
        <f>SUMIFS(Свод!$AV$6:$AV$455,Свод!$G$6:$G$455,Расчеты!CK$1,Свод!$F$6:$F$455,"мун")</f>
        <v>0</v>
      </c>
      <c r="CL156" s="94">
        <f>SUMIFS(Свод!$AV$6:$AV$455,Свод!$G$6:$G$455,Расчеты!CL$1,Свод!$F$6:$F$455,"мун")</f>
        <v>0</v>
      </c>
      <c r="CM156" s="94">
        <f>SUMIFS(Свод!$AV$6:$AV$455,Свод!$G$6:$G$455,Расчеты!CM$1,Свод!$F$6:$F$455,"мун")</f>
        <v>0</v>
      </c>
      <c r="CN156" s="94">
        <f>SUMIFS(Свод!$AV$6:$AV$455,Свод!$G$6:$G$455,Расчеты!CN$1,Свод!$F$6:$F$455,"мун")</f>
        <v>0</v>
      </c>
      <c r="CO156" s="94">
        <f>SUMIFS(Свод!$AV$6:$AV$455,Свод!$G$6:$G$455,Расчеты!CO$1,Свод!$F$6:$F$455,"мун")</f>
        <v>0</v>
      </c>
      <c r="CP156" s="94">
        <f>SUMIFS(Свод!$AV$6:$AV$455,Свод!$G$6:$G$455,Расчеты!CP$1,Свод!$F$6:$F$455,"мун")</f>
        <v>0</v>
      </c>
      <c r="CQ156" s="94">
        <f>SUMIFS(Свод!$AV$6:$AV$455,Свод!$G$6:$G$455,Расчеты!CQ$1,Свод!$F$6:$F$455,"мун")</f>
        <v>0</v>
      </c>
      <c r="CR156" s="94">
        <f>SUMIFS(Свод!$AV$6:$AV$455,Свод!$G$6:$G$455,Расчеты!CR$1,Свод!$F$6:$F$455,"мун")</f>
        <v>0.41259999999999997</v>
      </c>
      <c r="CS156" s="94">
        <f>SUMIFS(Свод!$AV$6:$AV$455,Свод!$G$6:$G$455,Расчеты!CS$1,Свод!$F$6:$F$455,"мун")</f>
        <v>0</v>
      </c>
      <c r="CT156" s="94">
        <f>SUMIFS(Свод!$AV$6:$AV$455,Свод!$G$6:$G$455,Расчеты!CT$1,Свод!$F$6:$F$455,"мун")</f>
        <v>0</v>
      </c>
      <c r="CU156" s="94">
        <f>SUMIFS(Свод!$AV$6:$AV$455,Свод!$G$6:$G$455,Расчеты!CU$1,Свод!$F$6:$F$455,"мун")</f>
        <v>0</v>
      </c>
      <c r="CV156" s="94">
        <f>SUMIFS(Свод!$AV$6:$AV$455,Свод!$G$6:$G$455,Расчеты!CV$1,Свод!$F$6:$F$455,"мун")</f>
        <v>0</v>
      </c>
      <c r="CW156" s="94">
        <f>SUMIFS(Свод!$AV$6:$AV$455,Свод!$G$6:$G$455,Расчеты!CW$1,Свод!$F$6:$F$455,"мун")</f>
        <v>3.5100000000000002</v>
      </c>
      <c r="CX156" s="94">
        <f>SUMIFS(Свод!$AV$6:$AV$455,Свод!$G$6:$G$455,Расчеты!CX$1,Свод!$F$6:$F$455,"мун")</f>
        <v>0</v>
      </c>
    </row>
    <row r="157" spans="3:102" ht="34" x14ac:dyDescent="0.2">
      <c r="E157" s="94" t="s">
        <v>8886</v>
      </c>
      <c r="F157" s="97" t="s">
        <v>9431</v>
      </c>
      <c r="G157" s="94" t="s">
        <v>64</v>
      </c>
      <c r="H157" s="97" t="s">
        <v>8980</v>
      </c>
      <c r="L157" s="94" t="s">
        <v>4906</v>
      </c>
      <c r="M157" s="510">
        <v>0.18364644092568472</v>
      </c>
      <c r="N157" s="510">
        <v>7.231550124465079E-2</v>
      </c>
      <c r="Q157" s="94">
        <f ca="1">Q156/Q162</f>
        <v>8.7980940252834525E-2</v>
      </c>
    </row>
    <row r="158" spans="3:102" ht="34" x14ac:dyDescent="0.2">
      <c r="D158" s="97" t="s">
        <v>9440</v>
      </c>
      <c r="F158" s="97" t="s">
        <v>9436</v>
      </c>
      <c r="G158" s="94" t="s">
        <v>8974</v>
      </c>
      <c r="Q158" s="94">
        <f t="shared" si="30"/>
        <v>43.627213989999994</v>
      </c>
      <c r="R158" s="94">
        <f>SUMIFS(Свод!$AX$6:$AX$455,Свод!$G$6:$G$455,Расчеты!R$1,Свод!$F$6:$F$455,"мун")</f>
        <v>0</v>
      </c>
      <c r="S158" s="94">
        <f>SUMIFS(Свод!$AX$6:$AX$455,Свод!$G$6:$G$455,Расчеты!S$1,Свод!$F$6:$F$455,"мун")</f>
        <v>0</v>
      </c>
      <c r="T158" s="94">
        <f>SUMIFS(Свод!$AX$6:$AX$455,Свод!$G$6:$G$455,Расчеты!T$1,Свод!$F$6:$F$455,"мун")</f>
        <v>0</v>
      </c>
      <c r="U158" s="94">
        <f>SUMIFS(Свод!$AX$6:$AX$455,Свод!$G$6:$G$455,Расчеты!U$1,Свод!$F$6:$F$455,"мун")</f>
        <v>0</v>
      </c>
      <c r="V158" s="94">
        <f>SUMIFS(Свод!$AX$6:$AX$455,Свод!$G$6:$G$455,Расчеты!V$1,Свод!$F$6:$F$455,"мун")</f>
        <v>0</v>
      </c>
      <c r="W158" s="94">
        <f>SUMIFS(Свод!$AX$6:$AX$455,Свод!$G$6:$G$455,Расчеты!W$1,Свод!$F$6:$F$455,"мун")</f>
        <v>0</v>
      </c>
      <c r="X158" s="94">
        <f>SUMIFS(Свод!$AX$6:$AX$455,Свод!$G$6:$G$455,Расчеты!X$1,Свод!$F$6:$F$455,"мун")</f>
        <v>0.16</v>
      </c>
      <c r="Y158" s="94">
        <f>SUMIFS(Свод!$AX$6:$AX$455,Свод!$G$6:$G$455,Расчеты!Y$1,Свод!$F$6:$F$455,"мун")</f>
        <v>0</v>
      </c>
      <c r="Z158" s="94">
        <f>SUMIFS(Свод!$AX$6:$AX$455,Свод!$G$6:$G$455,Расчеты!Z$1,Свод!$F$6:$F$455,"мун")</f>
        <v>0.23</v>
      </c>
      <c r="AA158" s="94">
        <f>SUMIFS(Свод!$AX$6:$AX$455,Свод!$G$6:$G$455,Расчеты!AA$1,Свод!$F$6:$F$455,"мун")</f>
        <v>0</v>
      </c>
      <c r="AB158" s="94">
        <f>SUMIFS(Свод!$AX$6:$AX$455,Свод!$G$6:$G$455,Расчеты!AB$1,Свод!$F$6:$F$455,"мун")</f>
        <v>0</v>
      </c>
      <c r="AC158" s="94">
        <f>SUMIFS(Свод!$AX$6:$AX$455,Свод!$G$6:$G$455,Расчеты!AC$1,Свод!$F$6:$F$455,"мун")</f>
        <v>0</v>
      </c>
      <c r="AD158" s="94">
        <f>SUMIFS(Свод!$AX$6:$AX$455,Свод!$G$6:$G$455,Расчеты!AD$1,Свод!$F$6:$F$455,"мун")</f>
        <v>0</v>
      </c>
      <c r="AE158" s="94">
        <f>SUMIFS(Свод!$AX$6:$AX$455,Свод!$G$6:$G$455,Расчеты!AE$1,Свод!$F$6:$F$455,"мун")</f>
        <v>0</v>
      </c>
      <c r="AF158" s="94">
        <f>SUMIFS(Свод!$AX$6:$AX$455,Свод!$G$6:$G$455,Расчеты!AF$1,Свод!$F$6:$F$455,"мун")</f>
        <v>0</v>
      </c>
      <c r="AG158" s="94">
        <f>SUMIFS(Свод!$AX$6:$AX$455,Свод!$G$6:$G$455,Расчеты!AG$1,Свод!$F$6:$F$455,"мун")</f>
        <v>0</v>
      </c>
      <c r="AH158" s="94">
        <f>SUMIFS(Свод!$AX$6:$AX$455,Свод!$G$6:$G$455,Расчеты!AH$1,Свод!$F$6:$F$455,"мун")</f>
        <v>0</v>
      </c>
      <c r="AI158" s="94">
        <f>SUMIFS(Свод!$AX$6:$AX$455,Свод!$G$6:$G$455,Расчеты!AI$1,Свод!$F$6:$F$455,"мун")</f>
        <v>0</v>
      </c>
      <c r="AJ158" s="94">
        <f>SUMIFS(Свод!$AX$6:$AX$455,Свод!$G$6:$G$455,Расчеты!AJ$1,Свод!$F$6:$F$455,"мун")</f>
        <v>0</v>
      </c>
      <c r="AK158" s="94">
        <f>SUMIFS(Свод!$AX$6:$AX$455,Свод!$G$6:$G$455,Расчеты!AK$1,Свод!$F$6:$F$455,"мун")</f>
        <v>0</v>
      </c>
      <c r="AL158" s="94">
        <f>SUMIFS(Свод!$AX$6:$AX$455,Свод!$G$6:$G$455,Расчеты!AL$1,Свод!$F$6:$F$455,"мун")</f>
        <v>0</v>
      </c>
      <c r="AM158" s="94">
        <f>SUMIFS(Свод!$AX$6:$AX$455,Свод!$G$6:$G$455,Расчеты!AM$1,Свод!$F$6:$F$455,"мун")</f>
        <v>0.02</v>
      </c>
      <c r="AN158" s="94">
        <f>SUMIFS(Свод!$AX$6:$AX$455,Свод!$G$6:$G$455,Расчеты!AN$1,Свод!$F$6:$F$455,"мун")</f>
        <v>0</v>
      </c>
      <c r="AO158" s="94">
        <f>SUMIFS(Свод!$AX$6:$AX$455,Свод!$G$6:$G$455,Расчеты!AO$1,Свод!$F$6:$F$455,"мун")</f>
        <v>0.01</v>
      </c>
      <c r="AP158" s="94">
        <f>SUMIFS(Свод!$AX$6:$AX$455,Свод!$G$6:$G$455,Расчеты!AP$1,Свод!$F$6:$F$455,"мун")</f>
        <v>0</v>
      </c>
      <c r="AQ158" s="94">
        <f>SUMIFS(Свод!$AX$6:$AX$455,Свод!$G$6:$G$455,Расчеты!AQ$1,Свод!$F$6:$F$455,"мун")</f>
        <v>0</v>
      </c>
      <c r="AR158" s="94">
        <f>SUMIFS(Свод!$AX$6:$AX$455,Свод!$G$6:$G$455,Расчеты!AR$1,Свод!$F$6:$F$455,"мун")</f>
        <v>0</v>
      </c>
      <c r="AS158" s="94">
        <f>SUMIFS(Свод!$AX$6:$AX$455,Свод!$G$6:$G$455,Расчеты!AS$1,Свод!$F$6:$F$455,"мун")</f>
        <v>0</v>
      </c>
      <c r="AT158" s="94">
        <f>SUMIFS(Свод!$AX$6:$AX$455,Свод!$G$6:$G$455,Расчеты!AT$1,Свод!$F$6:$F$455,"мун")</f>
        <v>0.13800000000000001</v>
      </c>
      <c r="AU158" s="94">
        <f>SUMIFS(Свод!$AX$6:$AX$455,Свод!$G$6:$G$455,Расчеты!AU$1,Свод!$F$6:$F$455,"мун")</f>
        <v>0</v>
      </c>
      <c r="AV158" s="94">
        <f>SUMIFS(Свод!$AX$6:$AX$455,Свод!$G$6:$G$455,Расчеты!AV$1,Свод!$F$6:$F$455,"мун")</f>
        <v>0</v>
      </c>
      <c r="AW158" s="94">
        <f>SUMIFS(Свод!$AX$6:$AX$455,Свод!$G$6:$G$455,Расчеты!AW$1,Свод!$F$6:$F$455,"мун")</f>
        <v>4.7987539999999997</v>
      </c>
      <c r="AX158" s="94">
        <f>SUMIFS(Свод!$AX$6:$AX$455,Свод!$G$6:$G$455,Расчеты!AX$1,Свод!$F$6:$F$455,"мун")</f>
        <v>0.40100000000000002</v>
      </c>
      <c r="AY158" s="94">
        <f>SUMIFS(Свод!$AX$6:$AX$455,Свод!$G$6:$G$455,Расчеты!AY$1,Свод!$F$6:$F$455,"мун")</f>
        <v>0</v>
      </c>
      <c r="AZ158" s="94">
        <f>SUMIFS(Свод!$AX$6:$AX$455,Свод!$G$6:$G$455,Расчеты!AZ$1,Свод!$F$6:$F$455,"мун")</f>
        <v>0</v>
      </c>
      <c r="BA158" s="94">
        <f>SUMIFS(Свод!$AX$6:$AX$455,Свод!$G$6:$G$455,Расчеты!BA$1,Свод!$F$6:$F$455,"мун")</f>
        <v>0.318</v>
      </c>
      <c r="BB158" s="94">
        <f>SUMIFS(Свод!$AX$6:$AX$455,Свод!$G$6:$G$455,Расчеты!BB$1,Свод!$F$6:$F$455,"мун")</f>
        <v>0</v>
      </c>
      <c r="BC158" s="94">
        <f>SUMIFS(Свод!$AX$6:$AX$455,Свод!$G$6:$G$455,Расчеты!BC$1,Свод!$F$6:$F$455,"мун")</f>
        <v>0</v>
      </c>
      <c r="BD158" s="94">
        <f>SUMIFS(Свод!$AX$6:$AX$455,Свод!$G$6:$G$455,Расчеты!BD$1,Свод!$F$6:$F$455,"мун")</f>
        <v>0.13883400000000001</v>
      </c>
      <c r="BE158" s="94">
        <f>SUMIFS(Свод!$AX$6:$AX$455,Свод!$G$6:$G$455,Расчеты!BE$1,Свод!$F$6:$F$455,"мун")</f>
        <v>0</v>
      </c>
      <c r="BF158" s="94">
        <f>SUMIFS(Свод!$AX$6:$AX$455,Свод!$G$6:$G$455,Расчеты!BF$1,Свод!$F$6:$F$455,"мун")</f>
        <v>0</v>
      </c>
      <c r="BG158" s="94">
        <f>SUMIFS(Свод!$AX$6:$AX$455,Свод!$G$6:$G$455,Расчеты!BG$1,Свод!$F$6:$F$455,"мун")</f>
        <v>0</v>
      </c>
      <c r="BH158" s="94">
        <f>SUMIFS(Свод!$AX$6:$AX$455,Свод!$G$6:$G$455,Расчеты!BH$1,Свод!$F$6:$F$455,"мун")</f>
        <v>0</v>
      </c>
      <c r="BI158" s="94">
        <f>SUMIFS(Свод!$AX$6:$AX$455,Свод!$G$6:$G$455,Расчеты!BI$1,Свод!$F$6:$F$455,"мун")</f>
        <v>0</v>
      </c>
      <c r="BJ158" s="94">
        <f>SUMIFS(Свод!$AX$6:$AX$455,Свод!$G$6:$G$455,Расчеты!BJ$1,Свод!$F$6:$F$455,"мун")</f>
        <v>0</v>
      </c>
      <c r="BK158" s="94">
        <f>SUMIFS(Свод!$AX$6:$AX$455,Свод!$G$6:$G$455,Расчеты!BK$1,Свод!$F$6:$F$455,"мун")</f>
        <v>2.8520172600000002</v>
      </c>
      <c r="BL158" s="94">
        <f>SUMIFS(Свод!$AX$6:$AX$455,Свод!$G$6:$G$455,Расчеты!BL$1,Свод!$F$6:$F$455,"мун")</f>
        <v>0</v>
      </c>
      <c r="BM158" s="94">
        <f>SUMIFS(Свод!$AX$6:$AX$455,Свод!$G$6:$G$455,Расчеты!BM$1,Свод!$F$6:$F$455,"мун")</f>
        <v>0.02</v>
      </c>
      <c r="BN158" s="94">
        <f>SUMIFS(Свод!$AX$6:$AX$455,Свод!$G$6:$G$455,Расчеты!BN$1,Свод!$F$6:$F$455,"мун")</f>
        <v>1.2769999999999999</v>
      </c>
      <c r="BO158" s="94">
        <f>SUMIFS(Свод!$AX$6:$AX$455,Свод!$G$6:$G$455,Расчеты!BO$1,Свод!$F$6:$F$455,"мун")</f>
        <v>2.7546452000000001</v>
      </c>
      <c r="BP158" s="94">
        <f>SUMIFS(Свод!$AX$6:$AX$455,Свод!$G$6:$G$455,Расчеты!BP$1,Свод!$F$6:$F$455,"мун")</f>
        <v>0</v>
      </c>
      <c r="BQ158" s="94">
        <f>SUMIFS(Свод!$AX$6:$AX$455,Свод!$G$6:$G$455,Расчеты!BQ$1,Свод!$F$6:$F$455,"мун")</f>
        <v>0</v>
      </c>
      <c r="BR158" s="94">
        <f>SUMIFS(Свод!$AX$6:$AX$455,Свод!$G$6:$G$455,Расчеты!BR$1,Свод!$F$6:$F$455,"мун")</f>
        <v>3.415</v>
      </c>
      <c r="BS158" s="94">
        <f>SUMIFS(Свод!$AX$6:$AX$455,Свод!$G$6:$G$455,Расчеты!BS$1,Свод!$F$6:$F$455,"мун")</f>
        <v>0.03</v>
      </c>
      <c r="BT158" s="94">
        <f>SUMIFS(Свод!$AX$6:$AX$455,Свод!$G$6:$G$455,Расчеты!BT$1,Свод!$F$6:$F$455,"мун")</f>
        <v>0</v>
      </c>
      <c r="BU158" s="94">
        <f>SUMIFS(Свод!$AX$6:$AX$455,Свод!$G$6:$G$455,Расчеты!BU$1,Свод!$F$6:$F$455,"мун")</f>
        <v>8.5169999999999995</v>
      </c>
      <c r="BV158" s="94">
        <f>SUMIFS(Свод!$AX$6:$AX$455,Свод!$G$6:$G$455,Расчеты!BV$1,Свод!$F$6:$F$455,"мун")</f>
        <v>0</v>
      </c>
      <c r="BW158" s="94">
        <f>SUMIFS(Свод!$AX$6:$AX$455,Свод!$G$6:$G$455,Расчеты!BW$1,Свод!$F$6:$F$455,"мун")</f>
        <v>1.756249999999999</v>
      </c>
      <c r="BX158" s="94">
        <f>SUMIFS(Свод!$AX$6:$AX$455,Свод!$G$6:$G$455,Расчеты!BX$1,Свод!$F$6:$F$455,"мун")</f>
        <v>0</v>
      </c>
      <c r="BY158" s="94">
        <f>SUMIFS(Свод!$AX$6:$AX$455,Свод!$G$6:$G$455,Расчеты!BY$1,Свод!$F$6:$F$455,"мун")</f>
        <v>0</v>
      </c>
      <c r="BZ158" s="94">
        <f>SUMIFS(Свод!$AX$6:$AX$455,Свод!$G$6:$G$455,Расчеты!BZ$1,Свод!$F$6:$F$455,"мун")</f>
        <v>0</v>
      </c>
      <c r="CA158" s="94">
        <f>SUMIFS(Свод!$AX$6:$AX$455,Свод!$G$6:$G$455,Расчеты!CA$1,Свод!$F$6:$F$455,"мун")</f>
        <v>0</v>
      </c>
      <c r="CB158" s="94">
        <f>SUMIFS(Свод!$AX$6:$AX$455,Свод!$G$6:$G$455,Расчеты!CB$1,Свод!$F$6:$F$455,"мун")</f>
        <v>0</v>
      </c>
      <c r="CC158" s="94">
        <f>SUMIFS(Свод!$AX$6:$AX$455,Свод!$G$6:$G$455,Расчеты!CC$1,Свод!$F$6:$F$455,"мун")</f>
        <v>0</v>
      </c>
      <c r="CD158" s="94">
        <f>SUMIFS(Свод!$AX$6:$AX$455,Свод!$G$6:$G$455,Расчеты!CD$1,Свод!$F$6:$F$455,"мун")</f>
        <v>0</v>
      </c>
      <c r="CE158" s="94">
        <f>SUMIFS(Свод!$AX$6:$AX$455,Свод!$G$6:$G$455,Расчеты!CE$1,Свод!$F$6:$F$455,"мун")</f>
        <v>0</v>
      </c>
      <c r="CF158" s="94">
        <f>SUMIFS(Свод!$AX$6:$AX$455,Свод!$G$6:$G$455,Расчеты!CF$1,Свод!$F$6:$F$455,"мун")</f>
        <v>11.941430269999998</v>
      </c>
      <c r="CG158" s="94">
        <f>SUMIFS(Свод!$AX$6:$AX$455,Свод!$G$6:$G$455,Расчеты!CG$1,Свод!$F$6:$F$455,"мун")</f>
        <v>0</v>
      </c>
      <c r="CH158" s="94">
        <f>SUMIFS(Свод!$AX$6:$AX$455,Свод!$G$6:$G$455,Расчеты!CH$1,Свод!$F$6:$F$455,"мун")</f>
        <v>0</v>
      </c>
      <c r="CI158" s="94">
        <f>SUMIFS(Свод!$AX$6:$AX$455,Свод!$G$6:$G$455,Расчеты!CI$1,Свод!$F$6:$F$455,"мун")</f>
        <v>0</v>
      </c>
      <c r="CJ158" s="94">
        <f>SUMIFS(Свод!$AX$6:$AX$455,Свод!$G$6:$G$455,Расчеты!CJ$1,Свод!$F$6:$F$455,"мун")</f>
        <v>0</v>
      </c>
      <c r="CK158" s="94">
        <f>SUMIFS(Свод!$AX$6:$AX$455,Свод!$G$6:$G$455,Расчеты!CK$1,Свод!$F$6:$F$455,"мун")</f>
        <v>0</v>
      </c>
      <c r="CL158" s="94">
        <f>SUMIFS(Свод!$AX$6:$AX$455,Свод!$G$6:$G$455,Расчеты!CL$1,Свод!$F$6:$F$455,"мун")</f>
        <v>0</v>
      </c>
      <c r="CM158" s="94">
        <f>SUMIFS(Свод!$AX$6:$AX$455,Свод!$G$6:$G$455,Расчеты!CM$1,Свод!$F$6:$F$455,"мун")</f>
        <v>1.093</v>
      </c>
      <c r="CN158" s="94">
        <f>SUMIFS(Свод!$AX$6:$AX$455,Свод!$G$6:$G$455,Расчеты!CN$1,Свод!$F$6:$F$455,"мун")</f>
        <v>0.18279999999999999</v>
      </c>
      <c r="CO158" s="94">
        <f>SUMIFS(Свод!$AX$6:$AX$455,Свод!$G$6:$G$455,Расчеты!CO$1,Свод!$F$6:$F$455,"мун")</f>
        <v>0</v>
      </c>
      <c r="CP158" s="94">
        <f>SUMIFS(Свод!$AX$6:$AX$455,Свод!$G$6:$G$455,Расчеты!CP$1,Свод!$F$6:$F$455,"мун")</f>
        <v>0</v>
      </c>
      <c r="CQ158" s="94">
        <f>SUMIFS(Свод!$AX$6:$AX$455,Свод!$G$6:$G$455,Расчеты!CQ$1,Свод!$F$6:$F$455,"мун")</f>
        <v>0</v>
      </c>
      <c r="CR158" s="94">
        <f>SUMIFS(Свод!$AX$6:$AX$455,Свод!$G$6:$G$455,Расчеты!CR$1,Свод!$F$6:$F$455,"мун")</f>
        <v>3.5734832599999993</v>
      </c>
      <c r="CS158" s="94">
        <f>SUMIFS(Свод!$AX$6:$AX$455,Свод!$G$6:$G$455,Расчеты!CS$1,Свод!$F$6:$F$455,"мун")</f>
        <v>0</v>
      </c>
      <c r="CT158" s="94">
        <f>SUMIFS(Свод!$AX$6:$AX$455,Свод!$G$6:$G$455,Расчеты!CT$1,Свод!$F$6:$F$455,"мун")</f>
        <v>0</v>
      </c>
      <c r="CU158" s="94">
        <f>SUMIFS(Свод!$AX$6:$AX$455,Свод!$G$6:$G$455,Расчеты!CU$1,Свод!$F$6:$F$455,"мун")</f>
        <v>0</v>
      </c>
      <c r="CV158" s="94">
        <f>SUMIFS(Свод!$AX$6:$AX$455,Свод!$G$6:$G$455,Расчеты!CV$1,Свод!$F$6:$F$455,"мун")</f>
        <v>0</v>
      </c>
      <c r="CW158" s="94">
        <f>SUMIFS(Свод!$AX$6:$AX$455,Свод!$G$6:$G$455,Расчеты!CW$1,Свод!$F$6:$F$455,"мун")</f>
        <v>0</v>
      </c>
      <c r="CX158" s="94">
        <f>SUMIFS(Свод!$AX$6:$AX$455,Свод!$G$6:$G$455,Расчеты!CX$1,Свод!$F$6:$F$455,"мун")</f>
        <v>0</v>
      </c>
    </row>
    <row r="159" spans="3:102" ht="34" x14ac:dyDescent="0.2">
      <c r="D159" s="97"/>
      <c r="F159" s="97" t="s">
        <v>9431</v>
      </c>
      <c r="G159" s="94" t="s">
        <v>64</v>
      </c>
      <c r="Q159" s="94">
        <f ca="1">Q158/Q162</f>
        <v>1.320651826165015E-2</v>
      </c>
    </row>
    <row r="160" spans="3:102" ht="51" x14ac:dyDescent="0.2">
      <c r="D160" s="97" t="s">
        <v>9438</v>
      </c>
      <c r="F160" s="97" t="s">
        <v>9442</v>
      </c>
      <c r="G160" s="94" t="s">
        <v>8974</v>
      </c>
      <c r="Q160" s="94">
        <f t="shared" si="30"/>
        <v>0</v>
      </c>
      <c r="R160" s="94">
        <f>SUMIFS(Свод!$AZ$6:$AZ$455,Свод!$G$6:$G$455,Расчеты!R$1,Свод!$F$6:$F$455,"мун")</f>
        <v>0</v>
      </c>
      <c r="S160" s="94">
        <f>SUMIFS(Свод!$AZ$6:$AZ$455,Свод!$G$6:$G$455,Расчеты!S$1,Свод!$F$6:$F$455,"мун")</f>
        <v>0</v>
      </c>
      <c r="T160" s="94">
        <f>SUMIFS(Свод!$AZ$6:$AZ$455,Свод!$G$6:$G$455,Расчеты!T$1,Свод!$F$6:$F$455,"мун")</f>
        <v>0</v>
      </c>
      <c r="U160" s="94">
        <f>SUMIFS(Свод!$AZ$6:$AZ$455,Свод!$G$6:$G$455,Расчеты!U$1,Свод!$F$6:$F$455,"мун")</f>
        <v>0</v>
      </c>
      <c r="V160" s="94">
        <f>SUMIFS(Свод!$AZ$6:$AZ$455,Свод!$G$6:$G$455,Расчеты!V$1,Свод!$F$6:$F$455,"мун")</f>
        <v>0</v>
      </c>
      <c r="W160" s="94">
        <f>SUMIFS(Свод!$AZ$6:$AZ$455,Свод!$G$6:$G$455,Расчеты!W$1,Свод!$F$6:$F$455,"мун")</f>
        <v>0</v>
      </c>
      <c r="X160" s="94">
        <f>SUMIFS(Свод!$AZ$6:$AZ$455,Свод!$G$6:$G$455,Расчеты!X$1,Свод!$F$6:$F$455,"мун")</f>
        <v>0</v>
      </c>
      <c r="Y160" s="94">
        <f>SUMIFS(Свод!$AZ$6:$AZ$455,Свод!$G$6:$G$455,Расчеты!Y$1,Свод!$F$6:$F$455,"мун")</f>
        <v>0</v>
      </c>
      <c r="Z160" s="94">
        <f>SUMIFS(Свод!$AZ$6:$AZ$455,Свод!$G$6:$G$455,Расчеты!Z$1,Свод!$F$6:$F$455,"мун")</f>
        <v>0</v>
      </c>
      <c r="AA160" s="94">
        <f>SUMIFS(Свод!$AZ$6:$AZ$455,Свод!$G$6:$G$455,Расчеты!AA$1,Свод!$F$6:$F$455,"мун")</f>
        <v>0</v>
      </c>
      <c r="AB160" s="94">
        <f>SUMIFS(Свод!$AZ$6:$AZ$455,Свод!$G$6:$G$455,Расчеты!AB$1,Свод!$F$6:$F$455,"мун")</f>
        <v>0</v>
      </c>
      <c r="AC160" s="94">
        <f>SUMIFS(Свод!$AZ$6:$AZ$455,Свод!$G$6:$G$455,Расчеты!AC$1,Свод!$F$6:$F$455,"мун")</f>
        <v>0</v>
      </c>
      <c r="AD160" s="94">
        <f>SUMIFS(Свод!$AZ$6:$AZ$455,Свод!$G$6:$G$455,Расчеты!AD$1,Свод!$F$6:$F$455,"мун")</f>
        <v>0</v>
      </c>
      <c r="AE160" s="94">
        <f>SUMIFS(Свод!$AZ$6:$AZ$455,Свод!$G$6:$G$455,Расчеты!AE$1,Свод!$F$6:$F$455,"мун")</f>
        <v>0</v>
      </c>
      <c r="AF160" s="94">
        <f>SUMIFS(Свод!$AZ$6:$AZ$455,Свод!$G$6:$G$455,Расчеты!AF$1,Свод!$F$6:$F$455,"мун")</f>
        <v>0</v>
      </c>
      <c r="AG160" s="94">
        <f>SUMIFS(Свод!$AZ$6:$AZ$455,Свод!$G$6:$G$455,Расчеты!AG$1,Свод!$F$6:$F$455,"мун")</f>
        <v>0</v>
      </c>
      <c r="AH160" s="94">
        <f>SUMIFS(Свод!$AZ$6:$AZ$455,Свод!$G$6:$G$455,Расчеты!AH$1,Свод!$F$6:$F$455,"мун")</f>
        <v>0</v>
      </c>
      <c r="AI160" s="94">
        <f>SUMIFS(Свод!$AZ$6:$AZ$455,Свод!$G$6:$G$455,Расчеты!AI$1,Свод!$F$6:$F$455,"мун")</f>
        <v>0</v>
      </c>
      <c r="AJ160" s="94">
        <f>SUMIFS(Свод!$AZ$6:$AZ$455,Свод!$G$6:$G$455,Расчеты!AJ$1,Свод!$F$6:$F$455,"мун")</f>
        <v>0</v>
      </c>
      <c r="AK160" s="94">
        <f>SUMIFS(Свод!$AZ$6:$AZ$455,Свод!$G$6:$G$455,Расчеты!AK$1,Свод!$F$6:$F$455,"мун")</f>
        <v>0</v>
      </c>
      <c r="AL160" s="94">
        <f>SUMIFS(Свод!$AZ$6:$AZ$455,Свод!$G$6:$G$455,Расчеты!AL$1,Свод!$F$6:$F$455,"мун")</f>
        <v>0</v>
      </c>
      <c r="AM160" s="94">
        <f>SUMIFS(Свод!$AZ$6:$AZ$455,Свод!$G$6:$G$455,Расчеты!AM$1,Свод!$F$6:$F$455,"мун")</f>
        <v>0</v>
      </c>
      <c r="AN160" s="94">
        <f>SUMIFS(Свод!$AZ$6:$AZ$455,Свод!$G$6:$G$455,Расчеты!AN$1,Свод!$F$6:$F$455,"мун")</f>
        <v>0</v>
      </c>
      <c r="AO160" s="94">
        <f>SUMIFS(Свод!$AZ$6:$AZ$455,Свод!$G$6:$G$455,Расчеты!AO$1,Свод!$F$6:$F$455,"мун")</f>
        <v>0</v>
      </c>
      <c r="AP160" s="94">
        <f>SUMIFS(Свод!$AZ$6:$AZ$455,Свод!$G$6:$G$455,Расчеты!AP$1,Свод!$F$6:$F$455,"мун")</f>
        <v>0</v>
      </c>
      <c r="AQ160" s="94">
        <f>SUMIFS(Свод!$AZ$6:$AZ$455,Свод!$G$6:$G$455,Расчеты!AQ$1,Свод!$F$6:$F$455,"мун")</f>
        <v>0</v>
      </c>
      <c r="AR160" s="94">
        <f>SUMIFS(Свод!$AZ$6:$AZ$455,Свод!$G$6:$G$455,Расчеты!AR$1,Свод!$F$6:$F$455,"мун")</f>
        <v>0</v>
      </c>
      <c r="AS160" s="94">
        <f>SUMIFS(Свод!$AZ$6:$AZ$455,Свод!$G$6:$G$455,Расчеты!AS$1,Свод!$F$6:$F$455,"мун")</f>
        <v>0</v>
      </c>
      <c r="AT160" s="94">
        <f>SUMIFS(Свод!$AZ$6:$AZ$455,Свод!$G$6:$G$455,Расчеты!AT$1,Свод!$F$6:$F$455,"мун")</f>
        <v>0</v>
      </c>
      <c r="AU160" s="94">
        <f>SUMIFS(Свод!$AZ$6:$AZ$455,Свод!$G$6:$G$455,Расчеты!AU$1,Свод!$F$6:$F$455,"мун")</f>
        <v>0</v>
      </c>
      <c r="AV160" s="94">
        <f>SUMIFS(Свод!$AZ$6:$AZ$455,Свод!$G$6:$G$455,Расчеты!AV$1,Свод!$F$6:$F$455,"мун")</f>
        <v>0</v>
      </c>
      <c r="AW160" s="94">
        <f>SUMIFS(Свод!$AZ$6:$AZ$455,Свод!$G$6:$G$455,Расчеты!AW$1,Свод!$F$6:$F$455,"мун")</f>
        <v>0</v>
      </c>
      <c r="AX160" s="94">
        <f>SUMIFS(Свод!$AZ$6:$AZ$455,Свод!$G$6:$G$455,Расчеты!AX$1,Свод!$F$6:$F$455,"мун")</f>
        <v>0</v>
      </c>
      <c r="AY160" s="94">
        <f>SUMIFS(Свод!$AZ$6:$AZ$455,Свод!$G$6:$G$455,Расчеты!AY$1,Свод!$F$6:$F$455,"мун")</f>
        <v>0</v>
      </c>
      <c r="AZ160" s="94">
        <f>SUMIFS(Свод!$AZ$6:$AZ$455,Свод!$G$6:$G$455,Расчеты!AZ$1,Свод!$F$6:$F$455,"мун")</f>
        <v>0</v>
      </c>
      <c r="BA160" s="94">
        <f>SUMIFS(Свод!$AZ$6:$AZ$455,Свод!$G$6:$G$455,Расчеты!BA$1,Свод!$F$6:$F$455,"мун")</f>
        <v>0</v>
      </c>
      <c r="BB160" s="94">
        <f>SUMIFS(Свод!$AZ$6:$AZ$455,Свод!$G$6:$G$455,Расчеты!BB$1,Свод!$F$6:$F$455,"мун")</f>
        <v>0</v>
      </c>
      <c r="BC160" s="94">
        <f>SUMIFS(Свод!$AZ$6:$AZ$455,Свод!$G$6:$G$455,Расчеты!BC$1,Свод!$F$6:$F$455,"мун")</f>
        <v>0</v>
      </c>
      <c r="BD160" s="94">
        <f>SUMIFS(Свод!$AZ$6:$AZ$455,Свод!$G$6:$G$455,Расчеты!BD$1,Свод!$F$6:$F$455,"мун")</f>
        <v>0</v>
      </c>
      <c r="BE160" s="94">
        <f>SUMIFS(Свод!$AZ$6:$AZ$455,Свод!$G$6:$G$455,Расчеты!BE$1,Свод!$F$6:$F$455,"мун")</f>
        <v>0</v>
      </c>
      <c r="BF160" s="94">
        <f>SUMIFS(Свод!$AZ$6:$AZ$455,Свод!$G$6:$G$455,Расчеты!BF$1,Свод!$F$6:$F$455,"мун")</f>
        <v>0</v>
      </c>
      <c r="BG160" s="94">
        <f>SUMIFS(Свод!$AZ$6:$AZ$455,Свод!$G$6:$G$455,Расчеты!BG$1,Свод!$F$6:$F$455,"мун")</f>
        <v>0</v>
      </c>
      <c r="BH160" s="94">
        <f>SUMIFS(Свод!$AZ$6:$AZ$455,Свод!$G$6:$G$455,Расчеты!BH$1,Свод!$F$6:$F$455,"мун")</f>
        <v>0</v>
      </c>
      <c r="BI160" s="94">
        <f>SUMIFS(Свод!$AZ$6:$AZ$455,Свод!$G$6:$G$455,Расчеты!BI$1,Свод!$F$6:$F$455,"мун")</f>
        <v>0</v>
      </c>
      <c r="BJ160" s="94">
        <f>SUMIFS(Свод!$AZ$6:$AZ$455,Свод!$G$6:$G$455,Расчеты!BJ$1,Свод!$F$6:$F$455,"мун")</f>
        <v>0</v>
      </c>
      <c r="BK160" s="94">
        <f>SUMIFS(Свод!$AZ$6:$AZ$455,Свод!$G$6:$G$455,Расчеты!BK$1,Свод!$F$6:$F$455,"мун")</f>
        <v>0</v>
      </c>
      <c r="BL160" s="94">
        <f>SUMIFS(Свод!$AZ$6:$AZ$455,Свод!$G$6:$G$455,Расчеты!BL$1,Свод!$F$6:$F$455,"мун")</f>
        <v>0</v>
      </c>
      <c r="BM160" s="94">
        <f>SUMIFS(Свод!$AZ$6:$AZ$455,Свод!$G$6:$G$455,Расчеты!BM$1,Свод!$F$6:$F$455,"мун")</f>
        <v>0</v>
      </c>
      <c r="BN160" s="94">
        <f>SUMIFS(Свод!$AZ$6:$AZ$455,Свод!$G$6:$G$455,Расчеты!BN$1,Свод!$F$6:$F$455,"мун")</f>
        <v>0</v>
      </c>
      <c r="BO160" s="94">
        <f>SUMIFS(Свод!$AZ$6:$AZ$455,Свод!$G$6:$G$455,Расчеты!BO$1,Свод!$F$6:$F$455,"мун")</f>
        <v>0</v>
      </c>
      <c r="BP160" s="94">
        <f>SUMIFS(Свод!$AZ$6:$AZ$455,Свод!$G$6:$G$455,Расчеты!BP$1,Свод!$F$6:$F$455,"мун")</f>
        <v>0</v>
      </c>
      <c r="BQ160" s="94">
        <f>SUMIFS(Свод!$AZ$6:$AZ$455,Свод!$G$6:$G$455,Расчеты!BQ$1,Свод!$F$6:$F$455,"мун")</f>
        <v>0</v>
      </c>
      <c r="BR160" s="94">
        <f>SUMIFS(Свод!$AZ$6:$AZ$455,Свод!$G$6:$G$455,Расчеты!BR$1,Свод!$F$6:$F$455,"мун")</f>
        <v>0</v>
      </c>
      <c r="BS160" s="94">
        <f>SUMIFS(Свод!$AZ$6:$AZ$455,Свод!$G$6:$G$455,Расчеты!BS$1,Свод!$F$6:$F$455,"мун")</f>
        <v>0</v>
      </c>
      <c r="BT160" s="94">
        <f>SUMIFS(Свод!$AZ$6:$AZ$455,Свод!$G$6:$G$455,Расчеты!BT$1,Свод!$F$6:$F$455,"мун")</f>
        <v>0</v>
      </c>
      <c r="BU160" s="94">
        <f>SUMIFS(Свод!$AZ$6:$AZ$455,Свод!$G$6:$G$455,Расчеты!BU$1,Свод!$F$6:$F$455,"мун")</f>
        <v>0</v>
      </c>
      <c r="BV160" s="94">
        <f>SUMIFS(Свод!$AZ$6:$AZ$455,Свод!$G$6:$G$455,Расчеты!BV$1,Свод!$F$6:$F$455,"мун")</f>
        <v>0</v>
      </c>
      <c r="BW160" s="94">
        <f>SUMIFS(Свод!$AZ$6:$AZ$455,Свод!$G$6:$G$455,Расчеты!BW$1,Свод!$F$6:$F$455,"мун")</f>
        <v>0</v>
      </c>
      <c r="BX160" s="94">
        <f>SUMIFS(Свод!$AZ$6:$AZ$455,Свод!$G$6:$G$455,Расчеты!BX$1,Свод!$F$6:$F$455,"мун")</f>
        <v>0</v>
      </c>
      <c r="BY160" s="94">
        <f>SUMIFS(Свод!$AZ$6:$AZ$455,Свод!$G$6:$G$455,Расчеты!BY$1,Свод!$F$6:$F$455,"мун")</f>
        <v>0</v>
      </c>
      <c r="BZ160" s="94">
        <f>SUMIFS(Свод!$AZ$6:$AZ$455,Свод!$G$6:$G$455,Расчеты!BZ$1,Свод!$F$6:$F$455,"мун")</f>
        <v>0</v>
      </c>
      <c r="CA160" s="94">
        <f>SUMIFS(Свод!$AZ$6:$AZ$455,Свод!$G$6:$G$455,Расчеты!CA$1,Свод!$F$6:$F$455,"мун")</f>
        <v>0</v>
      </c>
      <c r="CB160" s="94">
        <f>SUMIFS(Свод!$AZ$6:$AZ$455,Свод!$G$6:$G$455,Расчеты!CB$1,Свод!$F$6:$F$455,"мун")</f>
        <v>0</v>
      </c>
      <c r="CC160" s="94">
        <f>SUMIFS(Свод!$AZ$6:$AZ$455,Свод!$G$6:$G$455,Расчеты!CC$1,Свод!$F$6:$F$455,"мун")</f>
        <v>0</v>
      </c>
      <c r="CD160" s="94">
        <f>SUMIFS(Свод!$AZ$6:$AZ$455,Свод!$G$6:$G$455,Расчеты!CD$1,Свод!$F$6:$F$455,"мун")</f>
        <v>0</v>
      </c>
      <c r="CE160" s="94">
        <f>SUMIFS(Свод!$AZ$6:$AZ$455,Свод!$G$6:$G$455,Расчеты!CE$1,Свод!$F$6:$F$455,"мун")</f>
        <v>0</v>
      </c>
      <c r="CF160" s="94">
        <f>SUMIFS(Свод!$AZ$6:$AZ$455,Свод!$G$6:$G$455,Расчеты!CF$1,Свод!$F$6:$F$455,"мун")</f>
        <v>0</v>
      </c>
      <c r="CG160" s="94">
        <f>SUMIFS(Свод!$AZ$6:$AZ$455,Свод!$G$6:$G$455,Расчеты!CG$1,Свод!$F$6:$F$455,"мун")</f>
        <v>0</v>
      </c>
      <c r="CH160" s="94">
        <f>SUMIFS(Свод!$AZ$6:$AZ$455,Свод!$G$6:$G$455,Расчеты!CH$1,Свод!$F$6:$F$455,"мун")</f>
        <v>0</v>
      </c>
      <c r="CI160" s="94">
        <f>SUMIFS(Свод!$AZ$6:$AZ$455,Свод!$G$6:$G$455,Расчеты!CI$1,Свод!$F$6:$F$455,"мун")</f>
        <v>0</v>
      </c>
      <c r="CJ160" s="94">
        <f>SUMIFS(Свод!$AZ$6:$AZ$455,Свод!$G$6:$G$455,Расчеты!CJ$1,Свод!$F$6:$F$455,"мун")</f>
        <v>0</v>
      </c>
      <c r="CK160" s="94">
        <f>SUMIFS(Свод!$AZ$6:$AZ$455,Свод!$G$6:$G$455,Расчеты!CK$1,Свод!$F$6:$F$455,"мун")</f>
        <v>0</v>
      </c>
      <c r="CL160" s="94">
        <f>SUMIFS(Свод!$AZ$6:$AZ$455,Свод!$G$6:$G$455,Расчеты!CL$1,Свод!$F$6:$F$455,"мун")</f>
        <v>0</v>
      </c>
      <c r="CM160" s="94">
        <f>SUMIFS(Свод!$AZ$6:$AZ$455,Свод!$G$6:$G$455,Расчеты!CM$1,Свод!$F$6:$F$455,"мун")</f>
        <v>0</v>
      </c>
      <c r="CN160" s="94">
        <f>SUMIFS(Свод!$AZ$6:$AZ$455,Свод!$G$6:$G$455,Расчеты!CN$1,Свод!$F$6:$F$455,"мун")</f>
        <v>0</v>
      </c>
      <c r="CO160" s="94">
        <f>SUMIFS(Свод!$AZ$6:$AZ$455,Свод!$G$6:$G$455,Расчеты!CO$1,Свод!$F$6:$F$455,"мун")</f>
        <v>0</v>
      </c>
      <c r="CP160" s="94">
        <f>SUMIFS(Свод!$AZ$6:$AZ$455,Свод!$G$6:$G$455,Расчеты!CP$1,Свод!$F$6:$F$455,"мун")</f>
        <v>0</v>
      </c>
      <c r="CQ160" s="94">
        <f>SUMIFS(Свод!$AZ$6:$AZ$455,Свод!$G$6:$G$455,Расчеты!CQ$1,Свод!$F$6:$F$455,"мун")</f>
        <v>0</v>
      </c>
      <c r="CR160" s="94">
        <f>SUMIFS(Свод!$AZ$6:$AZ$455,Свод!$G$6:$G$455,Расчеты!CR$1,Свод!$F$6:$F$455,"мун")</f>
        <v>0</v>
      </c>
      <c r="CS160" s="94">
        <f>SUMIFS(Свод!$AZ$6:$AZ$455,Свод!$G$6:$G$455,Расчеты!CS$1,Свод!$F$6:$F$455,"мун")</f>
        <v>0</v>
      </c>
      <c r="CT160" s="94">
        <f>SUMIFS(Свод!$AZ$6:$AZ$455,Свод!$G$6:$G$455,Расчеты!CT$1,Свод!$F$6:$F$455,"мун")</f>
        <v>0</v>
      </c>
      <c r="CU160" s="94">
        <f>SUMIFS(Свод!$AZ$6:$AZ$455,Свод!$G$6:$G$455,Расчеты!CU$1,Свод!$F$6:$F$455,"мун")</f>
        <v>0</v>
      </c>
      <c r="CV160" s="94">
        <f>SUMIFS(Свод!$AZ$6:$AZ$455,Свод!$G$6:$G$455,Расчеты!CV$1,Свод!$F$6:$F$455,"мун")</f>
        <v>0</v>
      </c>
      <c r="CW160" s="94">
        <f>SUMIFS(Свод!$AZ$6:$AZ$455,Свод!$G$6:$G$455,Расчеты!CW$1,Свод!$F$6:$F$455,"мун")</f>
        <v>0</v>
      </c>
      <c r="CX160" s="94">
        <f>SUMIFS(Свод!$AZ$6:$AZ$455,Свод!$G$6:$G$455,Расчеты!CX$1,Свод!$F$6:$F$455,"мун")</f>
        <v>0</v>
      </c>
    </row>
    <row r="161" spans="4:102" ht="34" x14ac:dyDescent="0.2">
      <c r="D161" s="97"/>
      <c r="F161" s="97" t="s">
        <v>9431</v>
      </c>
      <c r="G161" s="94" t="s">
        <v>64</v>
      </c>
    </row>
    <row r="162" spans="4:102" ht="34" x14ac:dyDescent="0.2">
      <c r="D162" s="97" t="s">
        <v>9443</v>
      </c>
      <c r="F162" s="97"/>
      <c r="Q162" s="94">
        <f t="shared" ca="1" si="30"/>
        <v>3303.4606946092081</v>
      </c>
      <c r="R162" s="94">
        <f>SUMIFS(Свод!$AL$6:$AL$455,Свод!$G$6:$G$455,Расчеты!R$1,Свод!$F$6:$F$455,"мун")</f>
        <v>0</v>
      </c>
      <c r="S162" s="94">
        <f>SUMIFS(Свод!$AL$6:$AL$455,Свод!$G$6:$G$455,Расчеты!S$1,Свод!$F$6:$F$455,"мун")</f>
        <v>0</v>
      </c>
      <c r="T162" s="94">
        <f>SUMIFS(Свод!$AL$6:$AL$455,Свод!$G$6:$G$455,Расчеты!T$1,Свод!$F$6:$F$455,"мун")</f>
        <v>0</v>
      </c>
      <c r="U162" s="94">
        <f>SUMIFS(Свод!$AL$6:$AL$455,Свод!$G$6:$G$455,Расчеты!U$1,Свод!$F$6:$F$455,"мун")</f>
        <v>0</v>
      </c>
      <c r="V162" s="94">
        <f>SUMIFS(Свод!$AL$6:$AL$455,Свод!$G$6:$G$455,Расчеты!V$1,Свод!$F$6:$F$455,"мун")</f>
        <v>14.079999999999998</v>
      </c>
      <c r="W162" s="94">
        <f>SUMIFS(Свод!$AL$6:$AL$455,Свод!$G$6:$G$455,Расчеты!W$1,Свод!$F$6:$F$455,"мун")</f>
        <v>0</v>
      </c>
      <c r="X162" s="94">
        <f>SUMIFS(Свод!$AL$6:$AL$455,Свод!$G$6:$G$455,Расчеты!X$1,Свод!$F$6:$F$455,"мун")</f>
        <v>3.9254479999999998</v>
      </c>
      <c r="Y162" s="94">
        <f>SUMIFS(Свод!$AL$6:$AL$455,Свод!$G$6:$G$455,Расчеты!Y$1,Свод!$F$6:$F$455,"мун")</f>
        <v>27.337672000000001</v>
      </c>
      <c r="Z162" s="94">
        <f>SUMIFS(Свод!$AL$6:$AL$455,Свод!$G$6:$G$455,Расчеты!Z$1,Свод!$F$6:$F$455,"мун")</f>
        <v>0.95012600000000003</v>
      </c>
      <c r="AA162" s="94">
        <f>SUMIFS(Свод!$AL$6:$AL$455,Свод!$G$6:$G$455,Расчеты!AA$1,Свод!$F$6:$F$455,"мун")</f>
        <v>0</v>
      </c>
      <c r="AB162" s="94">
        <f>SUMIFS(Свод!$AL$6:$AL$455,Свод!$G$6:$G$455,Расчеты!AB$1,Свод!$F$6:$F$455,"мун")</f>
        <v>1.0551043999999998</v>
      </c>
      <c r="AC162" s="94">
        <f>SUMIFS(Свод!$AL$6:$AL$455,Свод!$G$6:$G$455,Расчеты!AC$1,Свод!$F$6:$F$455,"мун")</f>
        <v>0</v>
      </c>
      <c r="AD162" s="94">
        <f>SUMIFS(Свод!$AL$6:$AL$455,Свод!$G$6:$G$455,Расчеты!AD$1,Свод!$F$6:$F$455,"мун")</f>
        <v>329.60399999999998</v>
      </c>
      <c r="AE162" s="94">
        <f>SUMIFS(Свод!$AL$6:$AL$455,Свод!$G$6:$G$455,Расчеты!AE$1,Свод!$F$6:$F$455,"мун")</f>
        <v>0</v>
      </c>
      <c r="AF162" s="94">
        <f>SUMIFS(Свод!$AL$6:$AL$455,Свод!$G$6:$G$455,Расчеты!AF$1,Свод!$F$6:$F$455,"мун")</f>
        <v>0</v>
      </c>
      <c r="AG162" s="94">
        <f>SUMIFS(Свод!$AL$6:$AL$455,Свод!$G$6:$G$455,Расчеты!AG$1,Свод!$F$6:$F$455,"мун")</f>
        <v>0</v>
      </c>
      <c r="AH162" s="94">
        <f>SUMIFS(Свод!$AL$6:$AL$455,Свод!$G$6:$G$455,Расчеты!AH$1,Свод!$F$6:$F$455,"мун")</f>
        <v>0</v>
      </c>
      <c r="AI162" s="94">
        <f>SUMIFS(Свод!$AL$6:$AL$455,Свод!$G$6:$G$455,Расчеты!AI$1,Свод!$F$6:$F$455,"мун")</f>
        <v>0</v>
      </c>
      <c r="AJ162" s="94">
        <f>SUMIFS(Свод!$AL$6:$AL$455,Свод!$G$6:$G$455,Расчеты!AJ$1,Свод!$F$6:$F$455,"мун")</f>
        <v>0</v>
      </c>
      <c r="AK162" s="94">
        <f>SUMIFS(Свод!$AL$6:$AL$455,Свод!$G$6:$G$455,Расчеты!AK$1,Свод!$F$6:$F$455,"мун")</f>
        <v>0</v>
      </c>
      <c r="AL162" s="94">
        <f>SUMIFS(Свод!$AL$6:$AL$455,Свод!$G$6:$G$455,Расчеты!AL$1,Свод!$F$6:$F$455,"мун")</f>
        <v>0</v>
      </c>
      <c r="AM162" s="94">
        <f>SUMIFS(Свод!$AL$6:$AL$455,Свод!$G$6:$G$455,Расчеты!AM$1,Свод!$F$6:$F$455,"мун")</f>
        <v>9.6074699999999993</v>
      </c>
      <c r="AN162" s="94">
        <f>SUMIFS(Свод!$AL$6:$AL$455,Свод!$G$6:$G$455,Расчеты!AN$1,Свод!$F$6:$F$455,"мун")</f>
        <v>0</v>
      </c>
      <c r="AO162" s="94">
        <f>SUMIFS(Свод!$AL$6:$AL$455,Свод!$G$6:$G$455,Расчеты!AO$1,Свод!$F$6:$F$455,"мун")</f>
        <v>15.307</v>
      </c>
      <c r="AP162" s="94">
        <f>SUMIFS(Свод!$AL$6:$AL$455,Свод!$G$6:$G$455,Расчеты!AP$1,Свод!$F$6:$F$455,"мун")</f>
        <v>0</v>
      </c>
      <c r="AQ162" s="94">
        <f>SUMIFS(Свод!$AL$6:$AL$455,Свод!$G$6:$G$455,Расчеты!AQ$1,Свод!$F$6:$F$455,"мун")</f>
        <v>0</v>
      </c>
      <c r="AR162" s="94">
        <f>SUMIFS(Свод!$AL$6:$AL$455,Свод!$G$6:$G$455,Расчеты!AR$1,Свод!$F$6:$F$455,"мун")</f>
        <v>0</v>
      </c>
      <c r="AS162" s="94">
        <f>SUMIFS(Свод!$AL$6:$AL$455,Свод!$G$6:$G$455,Расчеты!AS$1,Свод!$F$6:$F$455,"мун")</f>
        <v>0</v>
      </c>
      <c r="AT162" s="94">
        <f>SUMIFS(Свод!$AL$6:$AL$455,Свод!$G$6:$G$455,Расчеты!AT$1,Свод!$F$6:$F$455,"мун")</f>
        <v>7.91</v>
      </c>
      <c r="AU162" s="94">
        <f ca="1">SUMIFS(Свод!$AL$6:$AL$455,Свод!$G$6:$G$455,Расчеты!AU$1,Свод!$F$6:$F$455,"мун")</f>
        <v>66.467280529999996</v>
      </c>
      <c r="AV162" s="94">
        <f>SUMIFS(Свод!$AL$6:$AL$455,Свод!$G$6:$G$455,Расчеты!AV$1,Свод!$F$6:$F$455,"мун")</f>
        <v>0</v>
      </c>
      <c r="AW162" s="94">
        <f>SUMIFS(Свод!$AL$6:$AL$455,Свод!$G$6:$G$455,Расчеты!AW$1,Свод!$F$6:$F$455,"мун")</f>
        <v>1442.4507394000004</v>
      </c>
      <c r="AX162" s="94">
        <f>SUMIFS(Свод!$AL$6:$AL$455,Свод!$G$6:$G$455,Расчеты!AX$1,Свод!$F$6:$F$455,"мун")</f>
        <v>61.245999999999995</v>
      </c>
      <c r="AY162" s="94">
        <f>SUMIFS(Свод!$AL$6:$AL$455,Свод!$G$6:$G$455,Расчеты!AY$1,Свод!$F$6:$F$455,"мун")</f>
        <v>0.505</v>
      </c>
      <c r="AZ162" s="94">
        <f>SUMIFS(Свод!$AL$6:$AL$455,Свод!$G$6:$G$455,Расчеты!AZ$1,Свод!$F$6:$F$455,"мун")</f>
        <v>0</v>
      </c>
      <c r="BA162" s="94">
        <f>SUMIFS(Свод!$AL$6:$AL$455,Свод!$G$6:$G$455,Расчеты!BA$1,Свод!$F$6:$F$455,"мун")</f>
        <v>8.2539999999999996</v>
      </c>
      <c r="BB162" s="94">
        <f>SUMIFS(Свод!$AL$6:$AL$455,Свод!$G$6:$G$455,Расчеты!BB$1,Свод!$F$6:$F$455,"мун")</f>
        <v>13.4</v>
      </c>
      <c r="BC162" s="94">
        <f>SUMIFS(Свод!$AL$6:$AL$455,Свод!$G$6:$G$455,Расчеты!BC$1,Свод!$F$6:$F$455,"мун")</f>
        <v>0</v>
      </c>
      <c r="BD162" s="94">
        <f>SUMIFS(Свод!$AL$6:$AL$455,Свод!$G$6:$G$455,Расчеты!BD$1,Свод!$F$6:$F$455,"мун")</f>
        <v>0.89237799999999989</v>
      </c>
      <c r="BE162" s="94">
        <f>SUMIFS(Свод!$AL$6:$AL$455,Свод!$G$6:$G$455,Расчеты!BE$1,Свод!$F$6:$F$455,"мун")</f>
        <v>0</v>
      </c>
      <c r="BF162" s="94">
        <f>SUMIFS(Свод!$AL$6:$AL$455,Свод!$G$6:$G$455,Расчеты!BF$1,Свод!$F$6:$F$455,"мун")</f>
        <v>0</v>
      </c>
      <c r="BG162" s="94">
        <f>SUMIFS(Свод!$AL$6:$AL$455,Свод!$G$6:$G$455,Расчеты!BG$1,Свод!$F$6:$F$455,"мун")</f>
        <v>0</v>
      </c>
      <c r="BH162" s="94">
        <f>SUMIFS(Свод!$AL$6:$AL$455,Свод!$G$6:$G$455,Расчеты!BH$1,Свод!$F$6:$F$455,"мун")</f>
        <v>0</v>
      </c>
      <c r="BI162" s="94">
        <f>SUMIFS(Свод!$AL$6:$AL$455,Свод!$G$6:$G$455,Расчеты!BI$1,Свод!$F$6:$F$455,"мун")</f>
        <v>0</v>
      </c>
      <c r="BJ162" s="94">
        <f>SUMIFS(Свод!$AL$6:$AL$455,Свод!$G$6:$G$455,Расчеты!BJ$1,Свод!$F$6:$F$455,"мун")</f>
        <v>0</v>
      </c>
      <c r="BK162" s="94">
        <f>SUMIFS(Свод!$AL$6:$AL$455,Свод!$G$6:$G$455,Расчеты!BK$1,Свод!$F$6:$F$455,"мун")</f>
        <v>70.547069050000005</v>
      </c>
      <c r="BL162" s="94">
        <f>SUMIFS(Свод!$AL$6:$AL$455,Свод!$G$6:$G$455,Расчеты!BL$1,Свод!$F$6:$F$455,"мун")</f>
        <v>1.4000000000000004</v>
      </c>
      <c r="BM162" s="94">
        <f>SUMIFS(Свод!$AL$6:$AL$455,Свод!$G$6:$G$455,Расчеты!BM$1,Свод!$F$6:$F$455,"мун")</f>
        <v>0.21099999999999999</v>
      </c>
      <c r="BN162" s="94">
        <f>SUMIFS(Свод!$AL$6:$AL$455,Свод!$G$6:$G$455,Расчеты!BN$1,Свод!$F$6:$F$455,"мун")</f>
        <v>16.272570999999999</v>
      </c>
      <c r="BO162" s="94">
        <f>SUMIFS(Свод!$AL$6:$AL$455,Свод!$G$6:$G$455,Расчеты!BO$1,Свод!$F$6:$F$455,"мун")</f>
        <v>30.610425200000002</v>
      </c>
      <c r="BP162" s="94">
        <f>SUMIFS(Свод!$AL$6:$AL$455,Свод!$G$6:$G$455,Расчеты!BP$1,Свод!$F$6:$F$455,"мун")</f>
        <v>0</v>
      </c>
      <c r="BQ162" s="94">
        <f>SUMIFS(Свод!$AL$6:$AL$455,Свод!$G$6:$G$455,Расчеты!BQ$1,Свод!$F$6:$F$455,"мун")</f>
        <v>33.527000000000001</v>
      </c>
      <c r="BR162" s="94">
        <f>SUMIFS(Свод!$AL$6:$AL$455,Свод!$G$6:$G$455,Расчеты!BR$1,Свод!$F$6:$F$455,"мун")</f>
        <v>24.502633400000001</v>
      </c>
      <c r="BS162" s="94">
        <f>SUMIFS(Свод!$AL$6:$AL$455,Свод!$G$6:$G$455,Расчеты!BS$1,Свод!$F$6:$F$455,"мун")</f>
        <v>17.488773299999998</v>
      </c>
      <c r="BT162" s="94">
        <f>SUMIFS(Свод!$AL$6:$AL$455,Свод!$G$6:$G$455,Расчеты!BT$1,Свод!$F$6:$F$455,"мун")</f>
        <v>0</v>
      </c>
      <c r="BU162" s="94">
        <f>SUMIFS(Свод!$AL$6:$AL$455,Свод!$G$6:$G$455,Расчеты!BU$1,Свод!$F$6:$F$455,"мун")</f>
        <v>347.50400000000002</v>
      </c>
      <c r="BV162" s="94">
        <f>SUMIFS(Свод!$AL$6:$AL$455,Свод!$G$6:$G$455,Расчеты!BV$1,Свод!$F$6:$F$455,"мун")</f>
        <v>0</v>
      </c>
      <c r="BW162" s="94">
        <f ca="1">SUMIFS(Свод!$AL$6:$AL$455,Свод!$G$6:$G$455,Расчеты!BW$1,Свод!$F$6:$F$455,"мун")</f>
        <v>42.869451329999983</v>
      </c>
      <c r="BX162" s="94">
        <f>SUMIFS(Свод!$AL$6:$AL$455,Свод!$G$6:$G$455,Расчеты!BX$1,Свод!$F$6:$F$455,"мун")</f>
        <v>0</v>
      </c>
      <c r="BY162" s="94">
        <f>SUMIFS(Свод!$AL$6:$AL$455,Свод!$G$6:$G$455,Расчеты!BY$1,Свод!$F$6:$F$455,"мун")</f>
        <v>0</v>
      </c>
      <c r="BZ162" s="94">
        <f>SUMIFS(Свод!$AL$6:$AL$455,Свод!$G$6:$G$455,Расчеты!BZ$1,Свод!$F$6:$F$455,"мун")</f>
        <v>0</v>
      </c>
      <c r="CA162" s="94">
        <f>SUMIFS(Свод!$AL$6:$AL$455,Свод!$G$6:$G$455,Расчеты!CA$1,Свод!$F$6:$F$455,"мун")</f>
        <v>0</v>
      </c>
      <c r="CB162" s="94">
        <f>SUMIFS(Свод!$AL$6:$AL$455,Свод!$G$6:$G$455,Расчеты!CB$1,Свод!$F$6:$F$455,"мун")</f>
        <v>44.671300000000002</v>
      </c>
      <c r="CC162" s="94">
        <f>SUMIFS(Свод!$AL$6:$AL$455,Свод!$G$6:$G$455,Расчеты!CC$1,Свод!$F$6:$F$455,"мун")</f>
        <v>0</v>
      </c>
      <c r="CD162" s="94">
        <f>SUMIFS(Свод!$AL$6:$AL$455,Свод!$G$6:$G$455,Расчеты!CD$1,Свод!$F$6:$F$455,"мун")</f>
        <v>0</v>
      </c>
      <c r="CE162" s="94">
        <f>SUMIFS(Свод!$AL$6:$AL$455,Свод!$G$6:$G$455,Расчеты!CE$1,Свод!$F$6:$F$455,"мун")</f>
        <v>0</v>
      </c>
      <c r="CF162" s="94">
        <f>SUMIFS(Свод!$AL$6:$AL$455,Свод!$G$6:$G$455,Расчеты!CF$1,Свод!$F$6:$F$455,"мун")</f>
        <v>140.16580802999999</v>
      </c>
      <c r="CG162" s="94">
        <f>SUMIFS(Свод!$AL$6:$AL$455,Свод!$G$6:$G$455,Расчеты!CG$1,Свод!$F$6:$F$455,"мун")</f>
        <v>1.2810000000000001</v>
      </c>
      <c r="CH162" s="94">
        <f>SUMIFS(Свод!$AL$6:$AL$455,Свод!$G$6:$G$455,Расчеты!CH$1,Свод!$F$6:$F$455,"мун")</f>
        <v>0</v>
      </c>
      <c r="CI162" s="94">
        <f>SUMIFS(Свод!$AL$6:$AL$455,Свод!$G$6:$G$455,Расчеты!CI$1,Свод!$F$6:$F$455,"мун")</f>
        <v>0</v>
      </c>
      <c r="CJ162" s="94">
        <f>SUMIFS(Свод!$AL$6:$AL$455,Свод!$G$6:$G$455,Расчеты!CJ$1,Свод!$F$6:$F$455,"мун")</f>
        <v>0</v>
      </c>
      <c r="CK162" s="94">
        <f>SUMIFS(Свод!$AL$6:$AL$455,Свод!$G$6:$G$455,Расчеты!CK$1,Свод!$F$6:$F$455,"мун")</f>
        <v>0</v>
      </c>
      <c r="CL162" s="94">
        <f>SUMIFS(Свод!$AL$6:$AL$455,Свод!$G$6:$G$455,Расчеты!CL$1,Свод!$F$6:$F$455,"мун")</f>
        <v>0</v>
      </c>
      <c r="CM162" s="94">
        <f>SUMIFS(Свод!$AL$6:$AL$455,Свод!$G$6:$G$455,Расчеты!CM$1,Свод!$F$6:$F$455,"мун")</f>
        <v>18.782</v>
      </c>
      <c r="CN162" s="94">
        <f>SUMIFS(Свод!$AL$6:$AL$455,Свод!$G$6:$G$455,Расчеты!CN$1,Свод!$F$6:$F$455,"мун")</f>
        <v>0.5484</v>
      </c>
      <c r="CO162" s="94">
        <f>SUMIFS(Свод!$AL$6:$AL$455,Свод!$G$6:$G$455,Расчеты!CO$1,Свод!$F$6:$F$455,"мун")</f>
        <v>3.56386</v>
      </c>
      <c r="CP162" s="94">
        <f>SUMIFS(Свод!$AL$6:$AL$455,Свод!$G$6:$G$455,Расчеты!CP$1,Свод!$F$6:$F$455,"мун")</f>
        <v>10.280413599207535</v>
      </c>
      <c r="CQ162" s="94">
        <f>SUMIFS(Свод!$AL$6:$AL$455,Свод!$G$6:$G$455,Расчеты!CQ$1,Свод!$F$6:$F$455,"мун")</f>
        <v>0</v>
      </c>
      <c r="CR162" s="94">
        <f>SUMIFS(Свод!$AL$6:$AL$455,Свод!$G$6:$G$455,Расчеты!CR$1,Свод!$F$6:$F$455,"мун")</f>
        <v>235.05408325999997</v>
      </c>
      <c r="CS162" s="94">
        <f>SUMIFS(Свод!$AL$6:$AL$455,Свод!$G$6:$G$455,Расчеты!CS$1,Свод!$F$6:$F$455,"мун")</f>
        <v>0</v>
      </c>
      <c r="CT162" s="94">
        <f>SUMIFS(Свод!$AL$6:$AL$455,Свод!$G$6:$G$455,Расчеты!CT$1,Свод!$F$6:$F$455,"мун")</f>
        <v>0</v>
      </c>
      <c r="CU162" s="94">
        <f>SUMIFS(Свод!$AL$6:$AL$455,Свод!$G$6:$G$455,Расчеты!CU$1,Свод!$F$6:$F$455,"мун")</f>
        <v>0</v>
      </c>
      <c r="CV162" s="94">
        <f>SUMIFS(Свод!$AL$6:$AL$455,Свод!$G$6:$G$455,Расчеты!CV$1,Свод!$F$6:$F$455,"мун")</f>
        <v>0</v>
      </c>
      <c r="CW162" s="94">
        <f>SUMIFS(Свод!$AL$6:$AL$455,Свод!$G$6:$G$455,Расчеты!CW$1,Свод!$F$6:$F$455,"мун")</f>
        <v>469.12472410999999</v>
      </c>
      <c r="CX162" s="94">
        <f>SUMIFS(Свод!$AL$6:$AL$455,Свод!$G$6:$G$455,Расчеты!CX$1,Свод!$F$6:$F$455,"мун")</f>
        <v>0</v>
      </c>
    </row>
    <row r="163" spans="4:102" ht="51" x14ac:dyDescent="0.2">
      <c r="D163" s="97" t="s">
        <v>9445</v>
      </c>
      <c r="Q163" s="94">
        <f t="shared" si="30"/>
        <v>2326</v>
      </c>
      <c r="R163" s="94">
        <f>SUMIFS(Свод!$CL$6:$CL$455,Свод!$G$6:$G$455,Расчеты!R$1,Свод!$F$6:$F$455,"мун")</f>
        <v>0</v>
      </c>
      <c r="S163" s="94">
        <f>SUMIFS(Свод!$CL$6:$CL$455,Свод!$G$6:$G$455,Расчеты!S$1,Свод!$F$6:$F$455,"мун")</f>
        <v>0</v>
      </c>
      <c r="T163" s="94">
        <f>SUMIFS(Свод!$CL$6:$CL$455,Свод!$G$6:$G$455,Расчеты!T$1,Свод!$F$6:$F$455,"мун")</f>
        <v>0</v>
      </c>
      <c r="U163" s="94">
        <f>SUMIFS(Свод!$CL$6:$CL$455,Свод!$G$6:$G$455,Расчеты!U$1,Свод!$F$6:$F$455,"мун")</f>
        <v>0</v>
      </c>
      <c r="V163" s="94">
        <f>SUMIFS(Свод!$CL$6:$CL$455,Свод!$G$6:$G$455,Расчеты!V$1,Свод!$F$6:$F$455,"мун")</f>
        <v>8</v>
      </c>
      <c r="W163" s="94">
        <f>SUMIFS(Свод!$CL$6:$CL$455,Свод!$G$6:$G$455,Расчеты!W$1,Свод!$F$6:$F$455,"мун")</f>
        <v>0</v>
      </c>
      <c r="X163" s="94">
        <f>SUMIFS(Свод!$CL$6:$CL$455,Свод!$G$6:$G$455,Расчеты!X$1,Свод!$F$6:$F$455,"мун")</f>
        <v>15</v>
      </c>
      <c r="Y163" s="94">
        <f>SUMIFS(Свод!$CL$6:$CL$455,Свод!$G$6:$G$455,Расчеты!Y$1,Свод!$F$6:$F$455,"мун")</f>
        <v>202</v>
      </c>
      <c r="Z163" s="94">
        <f>SUMIFS(Свод!$CL$6:$CL$455,Свод!$G$6:$G$455,Расчеты!Z$1,Свод!$F$6:$F$455,"мун")</f>
        <v>4</v>
      </c>
      <c r="AA163" s="94">
        <f>SUMIFS(Свод!$CL$6:$CL$455,Свод!$G$6:$G$455,Расчеты!AA$1,Свод!$F$6:$F$455,"мун")</f>
        <v>0</v>
      </c>
      <c r="AB163" s="94">
        <f>SUMIFS(Свод!$CL$6:$CL$455,Свод!$G$6:$G$455,Расчеты!AB$1,Свод!$F$6:$F$455,"мун")</f>
        <v>6</v>
      </c>
      <c r="AC163" s="94">
        <f>SUMIFS(Свод!$CL$6:$CL$455,Свод!$G$6:$G$455,Расчеты!AC$1,Свод!$F$6:$F$455,"мун")</f>
        <v>0</v>
      </c>
      <c r="AD163" s="94">
        <f>SUMIFS(Свод!$CL$6:$CL$455,Свод!$G$6:$G$455,Расчеты!AD$1,Свод!$F$6:$F$455,"мун")</f>
        <v>27</v>
      </c>
      <c r="AE163" s="94">
        <f>SUMIFS(Свод!$CL$6:$CL$455,Свод!$G$6:$G$455,Расчеты!AE$1,Свод!$F$6:$F$455,"мун")</f>
        <v>0</v>
      </c>
      <c r="AF163" s="94">
        <f>SUMIFS(Свод!$CL$6:$CL$455,Свод!$G$6:$G$455,Расчеты!AF$1,Свод!$F$6:$F$455,"мун")</f>
        <v>0</v>
      </c>
      <c r="AG163" s="94">
        <f>SUMIFS(Свод!$CL$6:$CL$455,Свод!$G$6:$G$455,Расчеты!AG$1,Свод!$F$6:$F$455,"мун")</f>
        <v>0</v>
      </c>
      <c r="AH163" s="94">
        <f>SUMIFS(Свод!$CL$6:$CL$455,Свод!$G$6:$G$455,Расчеты!AH$1,Свод!$F$6:$F$455,"мун")</f>
        <v>0</v>
      </c>
      <c r="AI163" s="94">
        <f>SUMIFS(Свод!$CL$6:$CL$455,Свод!$G$6:$G$455,Расчеты!AI$1,Свод!$F$6:$F$455,"мун")</f>
        <v>0</v>
      </c>
      <c r="AJ163" s="94">
        <f>SUMIFS(Свод!$CL$6:$CL$455,Свод!$G$6:$G$455,Расчеты!AJ$1,Свод!$F$6:$F$455,"мун")</f>
        <v>0</v>
      </c>
      <c r="AK163" s="94">
        <f>SUMIFS(Свод!$CL$6:$CL$455,Свод!$G$6:$G$455,Расчеты!AK$1,Свод!$F$6:$F$455,"мун")</f>
        <v>0</v>
      </c>
      <c r="AL163" s="94">
        <f>SUMIFS(Свод!$CL$6:$CL$455,Свод!$G$6:$G$455,Расчеты!AL$1,Свод!$F$6:$F$455,"мун")</f>
        <v>0</v>
      </c>
      <c r="AM163" s="94">
        <f>SUMIFS(Свод!$CL$6:$CL$455,Свод!$G$6:$G$455,Расчеты!AM$1,Свод!$F$6:$F$455,"мун")</f>
        <v>7</v>
      </c>
      <c r="AN163" s="94">
        <f>SUMIFS(Свод!$CL$6:$CL$455,Свод!$G$6:$G$455,Расчеты!AN$1,Свод!$F$6:$F$455,"мун")</f>
        <v>0</v>
      </c>
      <c r="AO163" s="94">
        <f>SUMIFS(Свод!$CL$6:$CL$455,Свод!$G$6:$G$455,Расчеты!AO$1,Свод!$F$6:$F$455,"мун")</f>
        <v>9</v>
      </c>
      <c r="AP163" s="94">
        <f>SUMIFS(Свод!$CL$6:$CL$455,Свод!$G$6:$G$455,Расчеты!AP$1,Свод!$F$6:$F$455,"мун")</f>
        <v>0</v>
      </c>
      <c r="AQ163" s="94">
        <f>SUMIFS(Свод!$CL$6:$CL$455,Свод!$G$6:$G$455,Расчеты!AQ$1,Свод!$F$6:$F$455,"мун")</f>
        <v>0</v>
      </c>
      <c r="AR163" s="94">
        <f>SUMIFS(Свод!$CL$6:$CL$455,Свод!$G$6:$G$455,Расчеты!AR$1,Свод!$F$6:$F$455,"мун")</f>
        <v>0</v>
      </c>
      <c r="AS163" s="94">
        <f>SUMIFS(Свод!$CL$6:$CL$455,Свод!$G$6:$G$455,Расчеты!AS$1,Свод!$F$6:$F$455,"мун")</f>
        <v>0</v>
      </c>
      <c r="AT163" s="94">
        <f>SUMIFS(Свод!$CL$6:$CL$455,Свод!$G$6:$G$455,Расчеты!AT$1,Свод!$F$6:$F$455,"мун")</f>
        <v>51</v>
      </c>
      <c r="AU163" s="94">
        <f>SUMIFS(Свод!$CL$6:$CL$455,Свод!$G$6:$G$455,Расчеты!AU$1,Свод!$F$6:$F$455,"мун")</f>
        <v>169</v>
      </c>
      <c r="AV163" s="94">
        <f>SUMIFS(Свод!$CL$6:$CL$455,Свод!$G$6:$G$455,Расчеты!AV$1,Свод!$F$6:$F$455,"мун")</f>
        <v>0</v>
      </c>
      <c r="AW163" s="94">
        <f>SUMIFS(Свод!$CL$6:$CL$455,Свод!$G$6:$G$455,Расчеты!AW$1,Свод!$F$6:$F$455,"мун")</f>
        <v>635</v>
      </c>
      <c r="AX163" s="94">
        <f>SUMIFS(Свод!$CL$6:$CL$455,Свод!$G$6:$G$455,Расчеты!AX$1,Свод!$F$6:$F$455,"мун")</f>
        <v>33</v>
      </c>
      <c r="AY163" s="94">
        <f>SUMIFS(Свод!$CL$6:$CL$455,Свод!$G$6:$G$455,Расчеты!AY$1,Свод!$F$6:$F$455,"мун")</f>
        <v>3</v>
      </c>
      <c r="AZ163" s="94">
        <f>SUMIFS(Свод!$CL$6:$CL$455,Свод!$G$6:$G$455,Расчеты!AZ$1,Свод!$F$6:$F$455,"мун")</f>
        <v>0</v>
      </c>
      <c r="BA163" s="94">
        <f>SUMIFS(Свод!$CL$6:$CL$455,Свод!$G$6:$G$455,Расчеты!BA$1,Свод!$F$6:$F$455,"мун")</f>
        <v>21</v>
      </c>
      <c r="BB163" s="94">
        <f>SUMIFS(Свод!$CL$6:$CL$455,Свод!$G$6:$G$455,Расчеты!BB$1,Свод!$F$6:$F$455,"мун")</f>
        <v>5</v>
      </c>
      <c r="BC163" s="94">
        <f>SUMIFS(Свод!$CL$6:$CL$455,Свод!$G$6:$G$455,Расчеты!BC$1,Свод!$F$6:$F$455,"мун")</f>
        <v>0</v>
      </c>
      <c r="BD163" s="94">
        <f>SUMIFS(Свод!$CL$6:$CL$455,Свод!$G$6:$G$455,Расчеты!BD$1,Свод!$F$6:$F$455,"мун")</f>
        <v>2</v>
      </c>
      <c r="BE163" s="94">
        <f>SUMIFS(Свод!$CL$6:$CL$455,Свод!$G$6:$G$455,Расчеты!BE$1,Свод!$F$6:$F$455,"мун")</f>
        <v>0</v>
      </c>
      <c r="BF163" s="94">
        <f>SUMIFS(Свод!$CL$6:$CL$455,Свод!$G$6:$G$455,Расчеты!BF$1,Свод!$F$6:$F$455,"мун")</f>
        <v>0</v>
      </c>
      <c r="BG163" s="94">
        <f>SUMIFS(Свод!$CL$6:$CL$455,Свод!$G$6:$G$455,Расчеты!BG$1,Свод!$F$6:$F$455,"мун")</f>
        <v>0</v>
      </c>
      <c r="BH163" s="94">
        <f>SUMIFS(Свод!$CL$6:$CL$455,Свод!$G$6:$G$455,Расчеты!BH$1,Свод!$F$6:$F$455,"мун")</f>
        <v>0</v>
      </c>
      <c r="BI163" s="94">
        <f>SUMIFS(Свод!$CL$6:$CL$455,Свод!$G$6:$G$455,Расчеты!BI$1,Свод!$F$6:$F$455,"мун")</f>
        <v>0</v>
      </c>
      <c r="BJ163" s="94">
        <f>SUMIFS(Свод!$CL$6:$CL$455,Свод!$G$6:$G$455,Расчеты!BJ$1,Свод!$F$6:$F$455,"мун")</f>
        <v>0</v>
      </c>
      <c r="BK163" s="94">
        <f>SUMIFS(Свод!$CL$6:$CL$455,Свод!$G$6:$G$455,Расчеты!BK$1,Свод!$F$6:$F$455,"мун")</f>
        <v>35</v>
      </c>
      <c r="BL163" s="94">
        <f>SUMIFS(Свод!$CL$6:$CL$455,Свод!$G$6:$G$455,Расчеты!BL$1,Свод!$F$6:$F$455,"мун")</f>
        <v>12</v>
      </c>
      <c r="BM163" s="94">
        <f>SUMIFS(Свод!$CL$6:$CL$455,Свод!$G$6:$G$455,Расчеты!BM$1,Свод!$F$6:$F$455,"мун")</f>
        <v>1</v>
      </c>
      <c r="BN163" s="94">
        <f>SUMIFS(Свод!$CL$6:$CL$455,Свод!$G$6:$G$455,Расчеты!BN$1,Свод!$F$6:$F$455,"мун")</f>
        <v>8</v>
      </c>
      <c r="BO163" s="94">
        <f>SUMIFS(Свод!$CL$6:$CL$455,Свод!$G$6:$G$455,Расчеты!BO$1,Свод!$F$6:$F$455,"мун")</f>
        <v>90</v>
      </c>
      <c r="BP163" s="94">
        <f>SUMIFS(Свод!$CL$6:$CL$455,Свод!$G$6:$G$455,Расчеты!BP$1,Свод!$F$6:$F$455,"мун")</f>
        <v>0</v>
      </c>
      <c r="BQ163" s="94">
        <f>SUMIFS(Свод!$CL$6:$CL$455,Свод!$G$6:$G$455,Расчеты!BQ$1,Свод!$F$6:$F$455,"мун")</f>
        <v>30</v>
      </c>
      <c r="BR163" s="94">
        <f>SUMIFS(Свод!$CL$6:$CL$455,Свод!$G$6:$G$455,Расчеты!BR$1,Свод!$F$6:$F$455,"мун")</f>
        <v>25</v>
      </c>
      <c r="BS163" s="94">
        <f>SUMIFS(Свод!$CL$6:$CL$455,Свод!$G$6:$G$455,Расчеты!BS$1,Свод!$F$6:$F$455,"мун")</f>
        <v>8</v>
      </c>
      <c r="BT163" s="94">
        <f>SUMIFS(Свод!$CL$6:$CL$455,Свод!$G$6:$G$455,Расчеты!BT$1,Свод!$F$6:$F$455,"мун")</f>
        <v>0</v>
      </c>
      <c r="BU163" s="94">
        <f>SUMIFS(Свод!$CL$6:$CL$455,Свод!$G$6:$G$455,Расчеты!BU$1,Свод!$F$6:$F$455,"мун")</f>
        <v>135</v>
      </c>
      <c r="BV163" s="94">
        <f>SUMIFS(Свод!$CL$6:$CL$455,Свод!$G$6:$G$455,Расчеты!BV$1,Свод!$F$6:$F$455,"мун")</f>
        <v>0</v>
      </c>
      <c r="BW163" s="94">
        <f>SUMIFS(Свод!$CL$6:$CL$455,Свод!$G$6:$G$455,Расчеты!BW$1,Свод!$F$6:$F$455,"мун")</f>
        <v>135</v>
      </c>
      <c r="BX163" s="94">
        <f>SUMIFS(Свод!$CL$6:$CL$455,Свод!$G$6:$G$455,Расчеты!BX$1,Свод!$F$6:$F$455,"мун")</f>
        <v>0</v>
      </c>
      <c r="BY163" s="94">
        <f>SUMIFS(Свод!$CL$6:$CL$455,Свод!$G$6:$G$455,Расчеты!BY$1,Свод!$F$6:$F$455,"мун")</f>
        <v>0</v>
      </c>
      <c r="BZ163" s="94">
        <f>SUMIFS(Свод!$CL$6:$CL$455,Свод!$G$6:$G$455,Расчеты!BZ$1,Свод!$F$6:$F$455,"мун")</f>
        <v>0</v>
      </c>
      <c r="CA163" s="94">
        <f>SUMIFS(Свод!$CL$6:$CL$455,Свод!$G$6:$G$455,Расчеты!CA$1,Свод!$F$6:$F$455,"мун")</f>
        <v>0</v>
      </c>
      <c r="CB163" s="94">
        <f>SUMIFS(Свод!$CL$6:$CL$455,Свод!$G$6:$G$455,Расчеты!CB$1,Свод!$F$6:$F$455,"мун")</f>
        <v>89</v>
      </c>
      <c r="CC163" s="94">
        <f>SUMIFS(Свод!$CL$6:$CL$455,Свод!$G$6:$G$455,Расчеты!CC$1,Свод!$F$6:$F$455,"мун")</f>
        <v>0</v>
      </c>
      <c r="CD163" s="94">
        <f>SUMIFS(Свод!$CL$6:$CL$455,Свод!$G$6:$G$455,Расчеты!CD$1,Свод!$F$6:$F$455,"мун")</f>
        <v>0</v>
      </c>
      <c r="CE163" s="94">
        <f>SUMIFS(Свод!$CL$6:$CL$455,Свод!$G$6:$G$455,Расчеты!CE$1,Свод!$F$6:$F$455,"мун")</f>
        <v>0</v>
      </c>
      <c r="CF163" s="94">
        <f>SUMIFS(Свод!$CL$6:$CL$455,Свод!$G$6:$G$455,Расчеты!CF$1,Свод!$F$6:$F$455,"мун")</f>
        <v>126</v>
      </c>
      <c r="CG163" s="94">
        <f>SUMIFS(Свод!$CL$6:$CL$455,Свод!$G$6:$G$455,Расчеты!CG$1,Свод!$F$6:$F$455,"мун")</f>
        <v>6</v>
      </c>
      <c r="CH163" s="94">
        <f>SUMIFS(Свод!$CL$6:$CL$455,Свод!$G$6:$G$455,Расчеты!CH$1,Свод!$F$6:$F$455,"мун")</f>
        <v>0</v>
      </c>
      <c r="CI163" s="94">
        <f>SUMIFS(Свод!$CL$6:$CL$455,Свод!$G$6:$G$455,Расчеты!CI$1,Свод!$F$6:$F$455,"мун")</f>
        <v>0</v>
      </c>
      <c r="CJ163" s="94">
        <f>SUMIFS(Свод!$CL$6:$CL$455,Свод!$G$6:$G$455,Расчеты!CJ$1,Свод!$F$6:$F$455,"мун")</f>
        <v>0</v>
      </c>
      <c r="CK163" s="94">
        <f>SUMIFS(Свод!$CL$6:$CL$455,Свод!$G$6:$G$455,Расчеты!CK$1,Свод!$F$6:$F$455,"мун")</f>
        <v>0</v>
      </c>
      <c r="CL163" s="94">
        <f>SUMIFS(Свод!$CL$6:$CL$455,Свод!$G$6:$G$455,Расчеты!CL$1,Свод!$F$6:$F$455,"мун")</f>
        <v>0</v>
      </c>
      <c r="CM163" s="94">
        <f>SUMIFS(Свод!$CL$6:$CL$455,Свод!$G$6:$G$455,Расчеты!CM$1,Свод!$F$6:$F$455,"мун")</f>
        <v>12</v>
      </c>
      <c r="CN163" s="94">
        <f>SUMIFS(Свод!$CL$6:$CL$455,Свод!$G$6:$G$455,Расчеты!CN$1,Свод!$F$6:$F$455,"мун")</f>
        <v>2</v>
      </c>
      <c r="CO163" s="94">
        <f>SUMIFS(Свод!$CL$6:$CL$455,Свод!$G$6:$G$455,Расчеты!CO$1,Свод!$F$6:$F$455,"мун")</f>
        <v>16</v>
      </c>
      <c r="CP163" s="94">
        <f>SUMIFS(Свод!$CL$6:$CL$455,Свод!$G$6:$G$455,Расчеты!CP$1,Свод!$F$6:$F$455,"мун")</f>
        <v>30</v>
      </c>
      <c r="CQ163" s="94">
        <f>SUMIFS(Свод!$CL$6:$CL$455,Свод!$G$6:$G$455,Расчеты!CQ$1,Свод!$F$6:$F$455,"мун")</f>
        <v>0</v>
      </c>
      <c r="CR163" s="94">
        <f>SUMIFS(Свод!$CL$6:$CL$455,Свод!$G$6:$G$455,Расчеты!CR$1,Свод!$F$6:$F$455,"мун")</f>
        <v>80</v>
      </c>
      <c r="CS163" s="94">
        <f>SUMIFS(Свод!$CL$6:$CL$455,Свод!$G$6:$G$455,Расчеты!CS$1,Свод!$F$6:$F$455,"мун")</f>
        <v>0</v>
      </c>
      <c r="CT163" s="94">
        <f>SUMIFS(Свод!$CL$6:$CL$455,Свод!$G$6:$G$455,Расчеты!CT$1,Свод!$F$6:$F$455,"мун")</f>
        <v>0</v>
      </c>
      <c r="CU163" s="94">
        <f>SUMIFS(Свод!$CL$6:$CL$455,Свод!$G$6:$G$455,Расчеты!CU$1,Свод!$F$6:$F$455,"мун")</f>
        <v>0</v>
      </c>
      <c r="CV163" s="94">
        <f>SUMIFS(Свод!$CL$6:$CL$455,Свод!$G$6:$G$455,Расчеты!CV$1,Свод!$F$6:$F$455,"мун")</f>
        <v>0</v>
      </c>
      <c r="CW163" s="94">
        <f>SUMIFS(Свод!$CL$6:$CL$455,Свод!$G$6:$G$455,Расчеты!CW$1,Свод!$F$6:$F$455,"мун")</f>
        <v>289</v>
      </c>
      <c r="CX163" s="94">
        <f>SUMIFS(Свод!$CL$6:$CL$455,Свод!$G$6:$G$455,Расчеты!CX$1,Свод!$F$6:$F$455,"мун")</f>
        <v>0</v>
      </c>
    </row>
  </sheetData>
  <mergeCells count="60">
    <mergeCell ref="F95:F96"/>
    <mergeCell ref="F97:F98"/>
    <mergeCell ref="F99:F100"/>
    <mergeCell ref="F101:F102"/>
    <mergeCell ref="A127:A128"/>
    <mergeCell ref="B127:B128"/>
    <mergeCell ref="F105:F106"/>
    <mergeCell ref="F107:F108"/>
    <mergeCell ref="F115:F116"/>
    <mergeCell ref="A119:A120"/>
    <mergeCell ref="B119:B120"/>
    <mergeCell ref="A121:A126"/>
    <mergeCell ref="B121:B126"/>
    <mergeCell ref="F109:F110"/>
    <mergeCell ref="F111:F112"/>
    <mergeCell ref="F113:F114"/>
    <mergeCell ref="A69:A116"/>
    <mergeCell ref="B69:B116"/>
    <mergeCell ref="F69:F70"/>
    <mergeCell ref="F71:F72"/>
    <mergeCell ref="F73:F74"/>
    <mergeCell ref="F75:F76"/>
    <mergeCell ref="F77:F78"/>
    <mergeCell ref="F79:F80"/>
    <mergeCell ref="F103:F104"/>
    <mergeCell ref="F81:F82"/>
    <mergeCell ref="F83:F84"/>
    <mergeCell ref="F85:F86"/>
    <mergeCell ref="F87:F88"/>
    <mergeCell ref="F89:F90"/>
    <mergeCell ref="F91:F92"/>
    <mergeCell ref="F93:F94"/>
    <mergeCell ref="A57:A58"/>
    <mergeCell ref="B57:B58"/>
    <mergeCell ref="A60:A61"/>
    <mergeCell ref="B60:B61"/>
    <mergeCell ref="A66:A67"/>
    <mergeCell ref="B66:B67"/>
    <mergeCell ref="A51:A52"/>
    <mergeCell ref="B51:B52"/>
    <mergeCell ref="A53:A54"/>
    <mergeCell ref="B53:B54"/>
    <mergeCell ref="A55:A56"/>
    <mergeCell ref="B55:B56"/>
    <mergeCell ref="C149:F149"/>
    <mergeCell ref="C133:H133"/>
    <mergeCell ref="B20:B28"/>
    <mergeCell ref="A5:A8"/>
    <mergeCell ref="B5:B8"/>
    <mergeCell ref="A11:A12"/>
    <mergeCell ref="B11:B13"/>
    <mergeCell ref="B14:B19"/>
    <mergeCell ref="A29:A34"/>
    <mergeCell ref="B29:B35"/>
    <mergeCell ref="B36:B43"/>
    <mergeCell ref="B44:B46"/>
    <mergeCell ref="A47:A48"/>
    <mergeCell ref="B47:B48"/>
    <mergeCell ref="A49:A50"/>
    <mergeCell ref="B49:B5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E836-386A-BE49-9155-C20E9E61C670}">
  <dimension ref="B2:AW169"/>
  <sheetViews>
    <sheetView zoomScale="70" zoomScaleNormal="70" workbookViewId="0">
      <selection activeCell="M5" sqref="M5"/>
    </sheetView>
  </sheetViews>
  <sheetFormatPr baseColWidth="10" defaultRowHeight="16" x14ac:dyDescent="0.2"/>
  <cols>
    <col min="1" max="1" width="10.83203125" style="170"/>
    <col min="2" max="2" width="34.1640625" style="170" customWidth="1"/>
    <col min="3" max="3" width="21.33203125" style="170" customWidth="1"/>
    <col min="4" max="4" width="18.1640625" style="170" customWidth="1"/>
    <col min="5" max="5" width="16.83203125" style="170" customWidth="1"/>
    <col min="6" max="6" width="15" style="170" customWidth="1"/>
    <col min="7" max="7" width="14.33203125" style="170" customWidth="1"/>
    <col min="8" max="8" width="13.6640625" style="170" customWidth="1"/>
    <col min="9" max="10" width="15" style="170" customWidth="1"/>
    <col min="11" max="11" width="12.6640625" style="170" customWidth="1"/>
    <col min="12" max="12" width="10.83203125" style="170"/>
    <col min="13" max="13" width="41" style="170" customWidth="1"/>
    <col min="14" max="20" width="10.83203125" style="170"/>
    <col min="21" max="21" width="32.1640625" style="170" customWidth="1"/>
    <col min="22" max="24" width="10.83203125" style="170"/>
    <col min="25" max="25" width="15.6640625" style="567" customWidth="1"/>
    <col min="26" max="16384" width="10.83203125" style="170"/>
  </cols>
  <sheetData>
    <row r="2" spans="2:13" ht="40" customHeight="1" x14ac:dyDescent="0.2">
      <c r="B2" s="1245" t="s">
        <v>9336</v>
      </c>
      <c r="C2" s="1245"/>
      <c r="D2" s="1245"/>
      <c r="E2" s="1245"/>
      <c r="F2" s="1245"/>
      <c r="G2" s="1245"/>
      <c r="H2" s="1245"/>
      <c r="I2" s="1245"/>
      <c r="J2" s="1245"/>
    </row>
    <row r="3" spans="2:13" ht="17" x14ac:dyDescent="0.2">
      <c r="B3" s="2" t="s">
        <v>9325</v>
      </c>
      <c r="C3" s="2">
        <v>2015</v>
      </c>
      <c r="D3" s="2">
        <v>2016</v>
      </c>
      <c r="E3" s="2">
        <v>2017</v>
      </c>
      <c r="F3" s="2">
        <v>2018</v>
      </c>
      <c r="G3" s="2">
        <v>2019</v>
      </c>
      <c r="H3" s="2">
        <v>2020</v>
      </c>
      <c r="I3" s="2">
        <v>2021</v>
      </c>
      <c r="J3" s="7">
        <v>2022</v>
      </c>
      <c r="K3" s="624"/>
      <c r="L3" s="624"/>
      <c r="M3" s="624"/>
    </row>
    <row r="4" spans="2:13" ht="34" x14ac:dyDescent="0.2">
      <c r="B4" s="3" t="s">
        <v>9326</v>
      </c>
      <c r="C4" s="4">
        <v>2394.98</v>
      </c>
      <c r="D4" s="4">
        <v>6995.6</v>
      </c>
      <c r="E4" s="4">
        <v>14501.73</v>
      </c>
      <c r="F4" s="4">
        <v>19314.3</v>
      </c>
      <c r="G4" s="4">
        <v>24064.19</v>
      </c>
      <c r="H4" s="5">
        <v>31808.48</v>
      </c>
      <c r="I4" s="6">
        <v>39459.15065659579</v>
      </c>
      <c r="J4" s="6">
        <f>Расчеты!Q44</f>
        <v>44668.221613475805</v>
      </c>
      <c r="K4" s="625">
        <f>(J4-I4)/I4</f>
        <v>0.13201173543276187</v>
      </c>
      <c r="L4" s="625">
        <f>J4-I4</f>
        <v>5209.0709568800157</v>
      </c>
      <c r="M4" s="624"/>
    </row>
    <row r="5" spans="2:13" ht="51" x14ac:dyDescent="0.2">
      <c r="B5" s="3" t="s">
        <v>9327</v>
      </c>
      <c r="C5" s="4">
        <v>1375.84</v>
      </c>
      <c r="D5" s="5">
        <v>5132.6000000000004</v>
      </c>
      <c r="E5" s="4">
        <v>7678.96</v>
      </c>
      <c r="F5" s="5" t="s">
        <v>9328</v>
      </c>
      <c r="G5" s="4">
        <v>13110.69</v>
      </c>
      <c r="H5" s="5">
        <v>16810.28</v>
      </c>
      <c r="I5" s="6">
        <v>21102.786539860001</v>
      </c>
      <c r="J5" s="6">
        <f>Расчеты!Q47</f>
        <v>23893.96293924535</v>
      </c>
      <c r="K5" s="624"/>
      <c r="L5" s="624"/>
      <c r="M5" s="624"/>
    </row>
    <row r="6" spans="2:13" ht="34" x14ac:dyDescent="0.2">
      <c r="B6" s="3" t="s">
        <v>9329</v>
      </c>
      <c r="C6" s="4">
        <v>1019.14</v>
      </c>
      <c r="D6" s="4">
        <v>1863</v>
      </c>
      <c r="E6" s="4">
        <v>6822.77</v>
      </c>
      <c r="F6" s="4">
        <v>8814.98</v>
      </c>
      <c r="G6" s="4">
        <v>10953.61</v>
      </c>
      <c r="H6" s="5">
        <v>14998.26</v>
      </c>
      <c r="I6" s="6">
        <v>18356.364326115807</v>
      </c>
      <c r="J6" s="6">
        <f ca="1">SUM(J7:J12)</f>
        <v>20566.322638230486</v>
      </c>
      <c r="K6" s="624"/>
      <c r="L6" s="624"/>
      <c r="M6" s="624"/>
    </row>
    <row r="7" spans="2:13" ht="51" x14ac:dyDescent="0.2">
      <c r="B7" s="3" t="s">
        <v>9330</v>
      </c>
      <c r="C7" s="5" t="s">
        <v>9007</v>
      </c>
      <c r="D7" s="5">
        <v>22.3</v>
      </c>
      <c r="E7" s="4">
        <v>3782.68</v>
      </c>
      <c r="F7" s="4">
        <v>3907.33</v>
      </c>
      <c r="G7" s="4">
        <v>4835.66</v>
      </c>
      <c r="H7" s="5">
        <v>7944.08</v>
      </c>
      <c r="I7" s="6">
        <v>8763.8037385299976</v>
      </c>
      <c r="J7" s="6">
        <f>Расчеты!Q60</f>
        <v>9963.2831509050138</v>
      </c>
      <c r="K7" s="624"/>
      <c r="L7" s="624"/>
      <c r="M7" s="624"/>
    </row>
    <row r="8" spans="2:13" ht="51" x14ac:dyDescent="0.2">
      <c r="B8" s="3" t="s">
        <v>9331</v>
      </c>
      <c r="C8" s="5">
        <v>614.91</v>
      </c>
      <c r="D8" s="4">
        <v>1137</v>
      </c>
      <c r="E8" s="4">
        <v>1910.85</v>
      </c>
      <c r="F8" s="4">
        <v>2964.57</v>
      </c>
      <c r="G8" s="4">
        <v>3937.54</v>
      </c>
      <c r="H8" s="5">
        <v>5040.1499999999996</v>
      </c>
      <c r="I8" s="6">
        <v>6758.5748266958071</v>
      </c>
      <c r="J8" s="6">
        <f ca="1">Расчеты!Q49</f>
        <v>7552.2109729462627</v>
      </c>
      <c r="K8" s="625">
        <f ca="1">J8-I8</f>
        <v>793.63614625045557</v>
      </c>
      <c r="L8" s="624"/>
      <c r="M8" s="624"/>
    </row>
    <row r="9" spans="2:13" ht="68" x14ac:dyDescent="0.2">
      <c r="B9" s="3" t="s">
        <v>9332</v>
      </c>
      <c r="C9" s="5">
        <v>205.45</v>
      </c>
      <c r="D9" s="5">
        <v>478.1</v>
      </c>
      <c r="E9" s="5">
        <v>776.55</v>
      </c>
      <c r="F9" s="4">
        <v>1123.1099999999999</v>
      </c>
      <c r="G9" s="4">
        <v>1267.25</v>
      </c>
      <c r="H9" s="5">
        <v>1085.25</v>
      </c>
      <c r="I9" s="6">
        <v>1669.6752473699996</v>
      </c>
      <c r="J9" s="6">
        <f>Расчеты!Q51</f>
        <v>1542.3997791692075</v>
      </c>
      <c r="K9" s="624"/>
      <c r="L9" s="624"/>
      <c r="M9" s="624"/>
    </row>
    <row r="10" spans="2:13" ht="85" x14ac:dyDescent="0.2">
      <c r="B10" s="3" t="s">
        <v>9333</v>
      </c>
      <c r="C10" s="5">
        <v>182.07</v>
      </c>
      <c r="D10" s="5">
        <v>218.9</v>
      </c>
      <c r="E10" s="5">
        <v>344.5</v>
      </c>
      <c r="F10" s="5">
        <v>714.58</v>
      </c>
      <c r="G10" s="5">
        <v>811.3</v>
      </c>
      <c r="H10" s="5">
        <v>928.77</v>
      </c>
      <c r="I10" s="6">
        <v>1140.4649449200001</v>
      </c>
      <c r="J10" s="6">
        <f>Расчеты!Q53</f>
        <v>706.18002823000006</v>
      </c>
    </row>
    <row r="11" spans="2:13" ht="34" x14ac:dyDescent="0.2">
      <c r="B11" s="3" t="s">
        <v>9334</v>
      </c>
      <c r="C11" s="5" t="s">
        <v>656</v>
      </c>
      <c r="D11" s="5" t="s">
        <v>656</v>
      </c>
      <c r="E11" s="5" t="s">
        <v>656</v>
      </c>
      <c r="F11" s="5" t="s">
        <v>656</v>
      </c>
      <c r="G11" s="5" t="s">
        <v>656</v>
      </c>
      <c r="H11" s="5" t="s">
        <v>656</v>
      </c>
      <c r="I11" s="6">
        <v>23.8455686</v>
      </c>
      <c r="J11" s="6">
        <f>Расчеты!Q55</f>
        <v>802.24870697999995</v>
      </c>
    </row>
    <row r="12" spans="2:13" ht="17" x14ac:dyDescent="0.2">
      <c r="B12" s="3" t="s">
        <v>9335</v>
      </c>
      <c r="C12" s="5">
        <v>16.71</v>
      </c>
      <c r="D12" s="5">
        <v>6.7</v>
      </c>
      <c r="E12" s="5">
        <v>8.19</v>
      </c>
      <c r="F12" s="5">
        <v>105.39</v>
      </c>
      <c r="G12" s="5">
        <v>101.86</v>
      </c>
      <c r="H12" s="5" t="s">
        <v>656</v>
      </c>
      <c r="I12" s="6" t="s">
        <v>656</v>
      </c>
      <c r="J12" s="6" t="s">
        <v>656</v>
      </c>
    </row>
    <row r="15" spans="2:13" ht="43" customHeight="1" x14ac:dyDescent="0.2">
      <c r="B15" s="1241" t="s">
        <v>9344</v>
      </c>
      <c r="C15" s="1242"/>
      <c r="D15" s="1242"/>
      <c r="E15" s="1242"/>
      <c r="F15" s="1242"/>
      <c r="G15" s="1242"/>
      <c r="H15" s="1242"/>
      <c r="I15" s="1242"/>
      <c r="J15" s="1242"/>
    </row>
    <row r="16" spans="2:13" ht="17" x14ac:dyDescent="0.2">
      <c r="B16" s="628" t="s">
        <v>9325</v>
      </c>
      <c r="C16" s="629">
        <v>2015</v>
      </c>
      <c r="D16" s="629">
        <v>2016</v>
      </c>
      <c r="E16" s="630">
        <v>2017</v>
      </c>
      <c r="F16" s="630">
        <v>2018</v>
      </c>
      <c r="G16" s="630">
        <v>2019</v>
      </c>
      <c r="H16" s="630">
        <v>2020</v>
      </c>
      <c r="I16" s="630">
        <v>2021</v>
      </c>
      <c r="J16" s="631">
        <v>2022</v>
      </c>
    </row>
    <row r="17" spans="2:49" ht="34" x14ac:dyDescent="0.2">
      <c r="B17" s="628" t="s">
        <v>9326</v>
      </c>
      <c r="C17" s="632">
        <v>0.99999999999999989</v>
      </c>
      <c r="D17" s="632">
        <v>1</v>
      </c>
      <c r="E17" s="632">
        <v>1.0000000000000002</v>
      </c>
      <c r="F17" s="632">
        <v>1.0000001486955599</v>
      </c>
      <c r="G17" s="632">
        <v>1.0000001486955599</v>
      </c>
      <c r="H17" s="633">
        <v>1</v>
      </c>
      <c r="I17" s="634">
        <v>1.0000000053062474</v>
      </c>
      <c r="J17" s="634">
        <f ca="1">J18+J19</f>
        <v>1.0000000000000007</v>
      </c>
    </row>
    <row r="18" spans="2:49" ht="51" x14ac:dyDescent="0.2">
      <c r="B18" s="628" t="s">
        <v>9327</v>
      </c>
      <c r="C18" s="635">
        <v>0.57446826278298768</v>
      </c>
      <c r="D18" s="635">
        <v>0.73368974784150043</v>
      </c>
      <c r="E18" s="635">
        <v>0.52952022181701863</v>
      </c>
      <c r="F18" s="635">
        <v>0.54360325285491307</v>
      </c>
      <c r="G18" s="633">
        <v>0.54479999999999995</v>
      </c>
      <c r="H18" s="634">
        <v>0.52848422810520967</v>
      </c>
      <c r="I18" s="634">
        <v>0.53480083044647508</v>
      </c>
      <c r="J18" s="634">
        <f>J5/J4</f>
        <v>0.5349208469951009</v>
      </c>
    </row>
    <row r="19" spans="2:49" ht="34" x14ac:dyDescent="0.2">
      <c r="B19" s="628" t="s">
        <v>9337</v>
      </c>
      <c r="C19" s="635">
        <v>0.42553173721701221</v>
      </c>
      <c r="D19" s="635">
        <v>0.26631025215849963</v>
      </c>
      <c r="E19" s="635">
        <v>0.47047977818298153</v>
      </c>
      <c r="F19" s="635">
        <v>0.4563968958406468</v>
      </c>
      <c r="G19" s="633">
        <v>0.45519999999999999</v>
      </c>
      <c r="H19" s="634">
        <v>0.47151734380265892</v>
      </c>
      <c r="I19" s="634">
        <v>0.46519917485977236</v>
      </c>
      <c r="J19" s="634">
        <f ca="1">J6/J4</f>
        <v>0.46257738498759593</v>
      </c>
    </row>
    <row r="20" spans="2:49" ht="51" x14ac:dyDescent="0.2">
      <c r="B20" s="628" t="s">
        <v>9338</v>
      </c>
      <c r="C20" s="635" t="s">
        <v>9007</v>
      </c>
      <c r="D20" s="635">
        <v>3.1877179941677625E-3</v>
      </c>
      <c r="E20" s="635">
        <v>0.2608432991940508</v>
      </c>
      <c r="F20" s="635">
        <v>0.20230264972150513</v>
      </c>
      <c r="G20" s="633">
        <v>0.2009</v>
      </c>
      <c r="H20" s="634">
        <v>0.24974723721473016</v>
      </c>
      <c r="I20" s="634">
        <v>0.22209813421478408</v>
      </c>
      <c r="J20" s="634">
        <f>J7/J4</f>
        <v>0.22305081310645294</v>
      </c>
    </row>
    <row r="21" spans="2:49" ht="51" x14ac:dyDescent="0.2">
      <c r="B21" s="628" t="s">
        <v>9339</v>
      </c>
      <c r="C21" s="635">
        <v>0.25674953444287635</v>
      </c>
      <c r="D21" s="635">
        <v>0.16253073360397963</v>
      </c>
      <c r="E21" s="635">
        <v>0.13176722032155133</v>
      </c>
      <c r="F21" s="635">
        <v>0.15349089891588938</v>
      </c>
      <c r="G21" s="633">
        <v>0.1636</v>
      </c>
      <c r="H21" s="634">
        <v>0.15845302887783383</v>
      </c>
      <c r="I21" s="634">
        <v>0.17128029149725446</v>
      </c>
      <c r="J21" s="634">
        <f ca="1">J8/J4</f>
        <v>0.16986420295897328</v>
      </c>
    </row>
    <row r="22" spans="2:49" ht="68" x14ac:dyDescent="0.2">
      <c r="B22" s="628" t="s">
        <v>9340</v>
      </c>
      <c r="C22" s="635">
        <v>8.5783597357806746E-2</v>
      </c>
      <c r="D22" s="635">
        <v>6.8342958431013776E-2</v>
      </c>
      <c r="E22" s="635">
        <v>5.3548971582494602E-2</v>
      </c>
      <c r="F22" s="635">
        <v>5.8149393078979143E-2</v>
      </c>
      <c r="G22" s="633">
        <v>5.2699999999999997E-2</v>
      </c>
      <c r="H22" s="634">
        <v>3.4118260287822617E-2</v>
      </c>
      <c r="I22" s="634">
        <v>4.2314018917964352E-2</v>
      </c>
      <c r="J22" s="634">
        <f>J9/J4</f>
        <v>3.4530136268149214E-2</v>
      </c>
    </row>
    <row r="23" spans="2:49" ht="68" x14ac:dyDescent="0.2">
      <c r="B23" s="628" t="s">
        <v>9341</v>
      </c>
      <c r="C23" s="635">
        <v>7.6021511661892791E-2</v>
      </c>
      <c r="D23" s="635">
        <v>3.1291097261135568E-2</v>
      </c>
      <c r="E23" s="635">
        <v>2.3755754574201378E-2</v>
      </c>
      <c r="F23" s="635">
        <v>3.6997468696845275E-2</v>
      </c>
      <c r="G23" s="633">
        <v>3.3700000000000001E-2</v>
      </c>
      <c r="H23" s="634">
        <v>2.9198817422272299E-2</v>
      </c>
      <c r="I23" s="634">
        <v>2.8902419994926216E-2</v>
      </c>
      <c r="J23" s="634">
        <f>J10/J4</f>
        <v>1.5809450269606323E-2</v>
      </c>
    </row>
    <row r="24" spans="2:49" ht="34" x14ac:dyDescent="0.2">
      <c r="B24" s="628" t="s">
        <v>9342</v>
      </c>
      <c r="C24" s="634" t="s">
        <v>656</v>
      </c>
      <c r="D24" s="634" t="s">
        <v>656</v>
      </c>
      <c r="E24" s="634" t="s">
        <v>656</v>
      </c>
      <c r="F24" s="634" t="s">
        <v>656</v>
      </c>
      <c r="G24" s="634" t="s">
        <v>656</v>
      </c>
      <c r="H24" s="634" t="s">
        <v>656</v>
      </c>
      <c r="I24" s="634">
        <v>6.0431023484318455E-4</v>
      </c>
      <c r="J24" s="634">
        <f>J11/J4</f>
        <v>1.7960166713643515E-2</v>
      </c>
    </row>
    <row r="25" spans="2:49" ht="17" x14ac:dyDescent="0.2">
      <c r="B25" s="628" t="s">
        <v>9343</v>
      </c>
      <c r="C25" s="635">
        <v>6.9770937544363634E-3</v>
      </c>
      <c r="D25" s="635">
        <v>9.5774486820287034E-4</v>
      </c>
      <c r="E25" s="635">
        <v>5.6453251068341371E-4</v>
      </c>
      <c r="F25" s="635">
        <v>5.4564854274279278E-3</v>
      </c>
      <c r="G25" s="633">
        <v>4.1999999999999997E-3</v>
      </c>
      <c r="H25" s="634" t="s">
        <v>656</v>
      </c>
      <c r="I25" s="634" t="s">
        <v>656</v>
      </c>
      <c r="J25" s="634" t="s">
        <v>656</v>
      </c>
      <c r="Y25" s="650"/>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row>
    <row r="26" spans="2:49" x14ac:dyDescent="0.2">
      <c r="Y26" s="650"/>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row>
    <row r="27" spans="2:49" x14ac:dyDescent="0.2">
      <c r="B27" s="1241" t="s">
        <v>9353</v>
      </c>
      <c r="C27" s="1242"/>
      <c r="D27" s="1242"/>
      <c r="E27" s="1242"/>
      <c r="F27" s="1242"/>
      <c r="G27" s="1242"/>
      <c r="H27" s="1242"/>
      <c r="I27" s="1242"/>
      <c r="J27" s="1242"/>
      <c r="Y27" s="650"/>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row>
    <row r="28" spans="2:49" ht="17" x14ac:dyDescent="0.2">
      <c r="B28" s="19" t="s">
        <v>9325</v>
      </c>
      <c r="C28" s="564">
        <v>2015</v>
      </c>
      <c r="D28" s="564">
        <v>2016</v>
      </c>
      <c r="E28" s="564">
        <v>2017</v>
      </c>
      <c r="F28" s="564">
        <v>2018</v>
      </c>
      <c r="G28" s="564">
        <v>2019</v>
      </c>
      <c r="H28" s="564">
        <v>2020</v>
      </c>
      <c r="I28" s="564">
        <v>2021</v>
      </c>
      <c r="J28" s="564">
        <v>2022</v>
      </c>
      <c r="Y28" s="650"/>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row>
    <row r="29" spans="2:49" ht="51" x14ac:dyDescent="0.2">
      <c r="B29" s="19" t="s">
        <v>9543</v>
      </c>
      <c r="C29" s="562">
        <v>2.39</v>
      </c>
      <c r="D29" s="562">
        <v>7</v>
      </c>
      <c r="E29" s="562">
        <v>14.5</v>
      </c>
      <c r="F29" s="562">
        <v>19.309999999999999</v>
      </c>
      <c r="G29" s="562">
        <v>24.06</v>
      </c>
      <c r="H29" s="562">
        <v>31.81</v>
      </c>
      <c r="I29" s="18">
        <v>39.46</v>
      </c>
      <c r="J29" s="18">
        <v>44.46</v>
      </c>
      <c r="Y29" s="650" t="s">
        <v>9325</v>
      </c>
      <c r="Z29" s="651">
        <v>2015</v>
      </c>
      <c r="AA29" s="651">
        <v>2016</v>
      </c>
      <c r="AB29" s="651">
        <v>2017</v>
      </c>
      <c r="AC29" s="651">
        <v>2018</v>
      </c>
      <c r="AD29" s="651">
        <v>2019</v>
      </c>
      <c r="AE29" s="651">
        <v>2020</v>
      </c>
      <c r="AF29" s="651">
        <v>2021</v>
      </c>
      <c r="AG29" s="651">
        <v>2022</v>
      </c>
      <c r="AH29" s="651"/>
      <c r="AI29" s="651"/>
      <c r="AJ29" s="651"/>
      <c r="AK29" s="651"/>
      <c r="AL29" s="651"/>
      <c r="AM29" s="651"/>
      <c r="AN29" s="651"/>
      <c r="AO29" s="651"/>
      <c r="AP29" s="651"/>
      <c r="AQ29" s="651"/>
      <c r="AR29" s="651"/>
      <c r="AS29" s="651"/>
      <c r="AT29" s="651"/>
      <c r="AU29" s="651"/>
      <c r="AV29" s="651"/>
      <c r="AW29" s="651"/>
    </row>
    <row r="30" spans="2:49" ht="68" x14ac:dyDescent="0.2">
      <c r="B30" s="19" t="s">
        <v>9542</v>
      </c>
      <c r="C30" s="562">
        <v>1.99</v>
      </c>
      <c r="D30" s="562">
        <v>6.3</v>
      </c>
      <c r="E30" s="562">
        <v>13.37</v>
      </c>
      <c r="F30" s="562">
        <v>17.37</v>
      </c>
      <c r="G30" s="562">
        <v>21.88</v>
      </c>
      <c r="H30" s="562">
        <v>29.8</v>
      </c>
      <c r="I30" s="18">
        <v>36.630000000000003</v>
      </c>
      <c r="J30" s="18">
        <v>41.41</v>
      </c>
      <c r="Y30" s="650" t="s">
        <v>9448</v>
      </c>
      <c r="Z30" s="652">
        <v>2394.98</v>
      </c>
      <c r="AA30" s="652">
        <v>6995.6</v>
      </c>
      <c r="AB30" s="652">
        <v>14501.733461</v>
      </c>
      <c r="AC30" s="652">
        <v>19314.295638039996</v>
      </c>
      <c r="AD30" s="652">
        <v>24064.186236270001</v>
      </c>
      <c r="AE30" s="652">
        <v>31808.48</v>
      </c>
      <c r="AF30" s="653">
        <v>39459.15065659579</v>
      </c>
      <c r="AG30" s="653">
        <v>44440.471577475808</v>
      </c>
      <c r="AH30" s="651"/>
      <c r="AI30" s="651"/>
      <c r="AJ30" s="651"/>
      <c r="AK30" s="651"/>
      <c r="AL30" s="651"/>
      <c r="AM30" s="651"/>
      <c r="AN30" s="651"/>
      <c r="AO30" s="651"/>
      <c r="AP30" s="651"/>
      <c r="AQ30" s="651"/>
      <c r="AR30" s="651"/>
      <c r="AS30" s="651"/>
      <c r="AT30" s="651"/>
      <c r="AU30" s="651"/>
      <c r="AV30" s="651"/>
      <c r="AW30" s="651"/>
    </row>
    <row r="31" spans="2:49" ht="85" x14ac:dyDescent="0.2">
      <c r="B31" s="19" t="s">
        <v>9346</v>
      </c>
      <c r="C31" s="562"/>
      <c r="D31" s="562">
        <f>22.3/1000</f>
        <v>2.23E-2</v>
      </c>
      <c r="E31" s="562">
        <f>3782.68/1000</f>
        <v>3.78268</v>
      </c>
      <c r="F31" s="562">
        <f>3907.33318508/1000</f>
        <v>3.9073331850800002</v>
      </c>
      <c r="G31" s="562">
        <f>4835.66317192/1000</f>
        <v>4.8356631719200003</v>
      </c>
      <c r="H31" s="562">
        <f>7944.0801941/1000</f>
        <v>7.9440801940999997</v>
      </c>
      <c r="I31" s="18">
        <f>8763.80373853/1000</f>
        <v>8.7638037385299992</v>
      </c>
      <c r="J31" s="18">
        <f>J7/1000</f>
        <v>9.9632831509050135</v>
      </c>
      <c r="K31" s="568"/>
      <c r="Y31" s="650" t="s">
        <v>9345</v>
      </c>
      <c r="Z31" s="652">
        <v>1990.75</v>
      </c>
      <c r="AA31" s="652">
        <v>6291.9000000000005</v>
      </c>
      <c r="AB31" s="652">
        <v>13372.494227000001</v>
      </c>
      <c r="AC31" s="652">
        <v>17371.215719929998</v>
      </c>
      <c r="AD31" s="652">
        <v>21883.891302889999</v>
      </c>
      <c r="AE31" s="652">
        <v>29794.580194099999</v>
      </c>
      <c r="AF31" s="653">
        <v>36625.165105085805</v>
      </c>
      <c r="AG31" s="653">
        <v>41389.643063096628</v>
      </c>
      <c r="AH31" s="651"/>
      <c r="AI31" s="651"/>
      <c r="AJ31" s="651"/>
      <c r="AK31" s="651"/>
      <c r="AL31" s="651"/>
      <c r="AM31" s="651"/>
      <c r="AN31" s="651"/>
      <c r="AO31" s="651"/>
      <c r="AP31" s="651"/>
      <c r="AQ31" s="651"/>
      <c r="AR31" s="651"/>
      <c r="AS31" s="651"/>
      <c r="AT31" s="651"/>
      <c r="AU31" s="651"/>
      <c r="AV31" s="651"/>
      <c r="AW31" s="651"/>
    </row>
    <row r="32" spans="2:49" ht="119" x14ac:dyDescent="0.2">
      <c r="B32" s="19" t="s">
        <v>9347</v>
      </c>
      <c r="C32" s="562">
        <f>1375.84/1000</f>
        <v>1.37584</v>
      </c>
      <c r="D32" s="562">
        <f>5132.6/1000</f>
        <v>5.1326000000000001</v>
      </c>
      <c r="E32" s="562">
        <f>7678.961119/1000</f>
        <v>7.6789611189999993</v>
      </c>
      <c r="F32" s="562">
        <f>10499.31393544/1000</f>
        <v>10.499313935439998</v>
      </c>
      <c r="G32" s="562">
        <f>13110.686485/1000</f>
        <v>13.110686485</v>
      </c>
      <c r="H32" s="562">
        <f>16810.28/1000</f>
        <v>16.810279999999999</v>
      </c>
      <c r="I32" s="18">
        <f>21102.78653986/1000</f>
        <v>21.102786539860002</v>
      </c>
      <c r="J32" s="18">
        <f>J5/1000</f>
        <v>23.893962939245348</v>
      </c>
      <c r="Y32" s="650" t="s">
        <v>9346</v>
      </c>
      <c r="Z32" s="652" t="s">
        <v>9007</v>
      </c>
      <c r="AA32" s="652">
        <v>22.3</v>
      </c>
      <c r="AB32" s="652">
        <v>3782.6800000000007</v>
      </c>
      <c r="AC32" s="652">
        <v>3907.3331850799996</v>
      </c>
      <c r="AD32" s="652">
        <v>4835.6631719199995</v>
      </c>
      <c r="AE32" s="652">
        <v>7944.0801941</v>
      </c>
      <c r="AF32" s="653">
        <v>8763.8037385299976</v>
      </c>
      <c r="AG32" s="653">
        <v>9963.2831509050138</v>
      </c>
      <c r="AH32" s="651"/>
      <c r="AI32" s="651"/>
      <c r="AJ32" s="651"/>
      <c r="AK32" s="651"/>
      <c r="AL32" s="651"/>
      <c r="AM32" s="651"/>
      <c r="AN32" s="651"/>
      <c r="AO32" s="651"/>
      <c r="AP32" s="651"/>
      <c r="AQ32" s="651"/>
      <c r="AR32" s="651"/>
      <c r="AS32" s="651"/>
      <c r="AT32" s="651"/>
      <c r="AU32" s="651"/>
      <c r="AV32" s="651"/>
      <c r="AW32" s="651"/>
    </row>
    <row r="33" spans="2:49" ht="119" x14ac:dyDescent="0.2">
      <c r="B33" s="19" t="s">
        <v>9348</v>
      </c>
      <c r="C33" s="562">
        <f>614.91/1000</f>
        <v>0.61490999999999996</v>
      </c>
      <c r="D33" s="562">
        <f>1137/1000</f>
        <v>1.137</v>
      </c>
      <c r="E33" s="562">
        <f>1910.853108/1000</f>
        <v>1.910853108</v>
      </c>
      <c r="F33" s="562">
        <f>2964.56859941/1000</f>
        <v>2.9645685994099997</v>
      </c>
      <c r="G33" s="562">
        <f>3937.54164597/1000</f>
        <v>3.9375416459700001</v>
      </c>
      <c r="H33" s="562">
        <f>5040.15/1000</f>
        <v>5.0401499999999997</v>
      </c>
      <c r="I33" s="18">
        <f>6758.57482669581/1000</f>
        <v>6.7585748266958099</v>
      </c>
      <c r="J33" s="18">
        <f ca="1">J8/1000</f>
        <v>7.5522109729462628</v>
      </c>
      <c r="Y33" s="650" t="s">
        <v>9347</v>
      </c>
      <c r="Z33" s="652">
        <v>1375.84</v>
      </c>
      <c r="AA33" s="652">
        <v>5132.6000000000004</v>
      </c>
      <c r="AB33" s="652">
        <v>7678.9611190000014</v>
      </c>
      <c r="AC33" s="652">
        <v>10499.313935439999</v>
      </c>
      <c r="AD33" s="652">
        <v>13110.686485000002</v>
      </c>
      <c r="AE33" s="652">
        <v>16810.28</v>
      </c>
      <c r="AF33" s="653">
        <v>21102.786539860001</v>
      </c>
      <c r="AG33" s="653">
        <v>23893.96293924535</v>
      </c>
      <c r="AH33" s="651"/>
      <c r="AI33" s="651"/>
      <c r="AJ33" s="651"/>
      <c r="AK33" s="651"/>
      <c r="AL33" s="651"/>
      <c r="AM33" s="651"/>
      <c r="AN33" s="651"/>
      <c r="AO33" s="651"/>
      <c r="AP33" s="651"/>
      <c r="AQ33" s="651"/>
      <c r="AR33" s="651"/>
      <c r="AS33" s="651"/>
      <c r="AT33" s="651"/>
      <c r="AU33" s="651"/>
      <c r="AV33" s="651"/>
      <c r="AW33" s="651"/>
    </row>
    <row r="34" spans="2:49" ht="136" x14ac:dyDescent="0.2">
      <c r="B34" s="19" t="s">
        <v>9544</v>
      </c>
      <c r="C34" s="562">
        <v>0.4</v>
      </c>
      <c r="D34" s="562">
        <v>0.7</v>
      </c>
      <c r="E34" s="562">
        <v>1.1299999999999999</v>
      </c>
      <c r="F34" s="562">
        <v>1.94</v>
      </c>
      <c r="G34" s="562">
        <v>2.1800000000000002</v>
      </c>
      <c r="H34" s="562">
        <v>2.0099999999999998</v>
      </c>
      <c r="I34" s="18">
        <v>2.83</v>
      </c>
      <c r="J34" s="18">
        <v>3.05</v>
      </c>
      <c r="Y34" s="650" t="s">
        <v>9348</v>
      </c>
      <c r="Z34" s="652">
        <v>614.91</v>
      </c>
      <c r="AA34" s="652">
        <v>1137</v>
      </c>
      <c r="AB34" s="652">
        <v>1910.853108</v>
      </c>
      <c r="AC34" s="652">
        <v>2964.5685994099999</v>
      </c>
      <c r="AD34" s="652">
        <v>3937.5416459700004</v>
      </c>
      <c r="AE34" s="652">
        <v>5040.1499999999996</v>
      </c>
      <c r="AF34" s="653">
        <v>6758.5748266958071</v>
      </c>
      <c r="AG34" s="653">
        <v>7532.3969729462606</v>
      </c>
      <c r="AH34" s="651"/>
      <c r="AI34" s="651"/>
      <c r="AJ34" s="651"/>
      <c r="AK34" s="651"/>
      <c r="AL34" s="651"/>
      <c r="AM34" s="651"/>
      <c r="AN34" s="651"/>
      <c r="AO34" s="651"/>
      <c r="AP34" s="651"/>
      <c r="AQ34" s="651"/>
      <c r="AR34" s="651"/>
      <c r="AS34" s="651"/>
      <c r="AT34" s="651"/>
      <c r="AU34" s="651"/>
      <c r="AV34" s="651"/>
      <c r="AW34" s="651"/>
    </row>
    <row r="35" spans="2:49" ht="102" x14ac:dyDescent="0.2">
      <c r="B35" s="19" t="s">
        <v>9350</v>
      </c>
      <c r="C35" s="562">
        <f>205.45/1000</f>
        <v>0.20544999999999999</v>
      </c>
      <c r="D35" s="562">
        <f>478.1/1000</f>
        <v>0.47810000000000002</v>
      </c>
      <c r="E35" s="562">
        <f>776.552913/1000</f>
        <v>0.77655291299999996</v>
      </c>
      <c r="F35" s="562">
        <f>1123.1145691/1000</f>
        <v>1.1231145691</v>
      </c>
      <c r="G35" s="562">
        <f>1267.24715909/1000</f>
        <v>1.2672471590900001</v>
      </c>
      <c r="H35" s="562">
        <f>1085.25/1000</f>
        <v>1.08525</v>
      </c>
      <c r="I35" s="18">
        <f>1669.67524737/1000</f>
        <v>1.6696752473700001</v>
      </c>
      <c r="J35" s="18">
        <f>J9/1000</f>
        <v>1.5423997791692075</v>
      </c>
      <c r="Y35" s="650" t="s">
        <v>9349</v>
      </c>
      <c r="Z35" s="652">
        <v>404.22999999999996</v>
      </c>
      <c r="AA35" s="652">
        <v>703.7</v>
      </c>
      <c r="AB35" s="652">
        <v>1129.2392339999999</v>
      </c>
      <c r="AC35" s="652">
        <v>1943.0827900599998</v>
      </c>
      <c r="AD35" s="652">
        <v>2180.4039977400002</v>
      </c>
      <c r="AE35" s="652">
        <v>2014.0696599999997</v>
      </c>
      <c r="AF35" s="653">
        <v>2833.9857608899997</v>
      </c>
      <c r="AG35" s="653">
        <v>3050.8285143792073</v>
      </c>
      <c r="AH35" s="653">
        <f>AG35-AF35</f>
        <v>216.84275348920755</v>
      </c>
      <c r="AI35" s="651"/>
      <c r="AJ35" s="651"/>
      <c r="AK35" s="651"/>
      <c r="AL35" s="651"/>
      <c r="AM35" s="651"/>
      <c r="AN35" s="651"/>
      <c r="AO35" s="651"/>
      <c r="AP35" s="651"/>
      <c r="AQ35" s="651"/>
      <c r="AR35" s="651"/>
      <c r="AS35" s="651"/>
      <c r="AT35" s="651"/>
      <c r="AU35" s="651"/>
      <c r="AV35" s="651"/>
      <c r="AW35" s="651"/>
    </row>
    <row r="36" spans="2:49" ht="136" x14ac:dyDescent="0.2">
      <c r="B36" s="19" t="s">
        <v>9351</v>
      </c>
      <c r="C36" s="562">
        <f>182.07/1000</f>
        <v>0.18206999999999998</v>
      </c>
      <c r="D36" s="562">
        <f>218.9/1000</f>
        <v>0.21890000000000001</v>
      </c>
      <c r="E36" s="562">
        <f>344.499621/1000</f>
        <v>0.34449962099999998</v>
      </c>
      <c r="F36" s="562">
        <f>714.58004827/1000</f>
        <v>0.71458004826999999</v>
      </c>
      <c r="G36" s="562">
        <f>811.29691905/1000</f>
        <v>0.81129691905000001</v>
      </c>
      <c r="H36" s="562">
        <f>928.76966/1000</f>
        <v>0.92876966000000005</v>
      </c>
      <c r="I36" s="18">
        <f>1140.46494492/1000</f>
        <v>1.1404649449200002</v>
      </c>
      <c r="J36" s="18">
        <f>J10/1000</f>
        <v>0.70618002823000003</v>
      </c>
      <c r="Y36" s="650" t="s">
        <v>9350</v>
      </c>
      <c r="Z36" s="652">
        <v>205.45</v>
      </c>
      <c r="AA36" s="652">
        <v>478.1</v>
      </c>
      <c r="AB36" s="652">
        <v>776.5529130000001</v>
      </c>
      <c r="AC36" s="652">
        <v>1123.1145690999999</v>
      </c>
      <c r="AD36" s="652">
        <v>1267.2471590900002</v>
      </c>
      <c r="AE36" s="652">
        <v>1085.25</v>
      </c>
      <c r="AF36" s="653">
        <v>1669.6752473699996</v>
      </c>
      <c r="AG36" s="653">
        <v>1542.3997791692075</v>
      </c>
      <c r="AH36" s="651"/>
      <c r="AI36" s="651"/>
      <c r="AJ36" s="651"/>
      <c r="AK36" s="651"/>
      <c r="AL36" s="651"/>
      <c r="AM36" s="651"/>
      <c r="AN36" s="651"/>
      <c r="AO36" s="651"/>
      <c r="AP36" s="651"/>
      <c r="AQ36" s="651"/>
      <c r="AR36" s="651"/>
      <c r="AS36" s="651"/>
      <c r="AT36" s="651"/>
      <c r="AU36" s="651"/>
      <c r="AV36" s="651"/>
      <c r="AW36" s="651"/>
    </row>
    <row r="37" spans="2:49" ht="153" x14ac:dyDescent="0.2">
      <c r="B37" s="3" t="s">
        <v>9334</v>
      </c>
      <c r="C37" s="562"/>
      <c r="D37" s="562"/>
      <c r="E37" s="562"/>
      <c r="F37" s="562"/>
      <c r="G37" s="562"/>
      <c r="H37" s="562"/>
      <c r="I37" s="18">
        <f>23.8455686/1000</f>
        <v>2.3845568599999999E-2</v>
      </c>
      <c r="J37" s="18">
        <f>J11/1000</f>
        <v>0.80224870697999995</v>
      </c>
      <c r="Y37" s="650" t="s">
        <v>9351</v>
      </c>
      <c r="Z37" s="652">
        <v>182.07</v>
      </c>
      <c r="AA37" s="652">
        <v>218.9</v>
      </c>
      <c r="AB37" s="652">
        <v>344.49962099999993</v>
      </c>
      <c r="AC37" s="652">
        <v>714.58004827000002</v>
      </c>
      <c r="AD37" s="652">
        <v>811.29691905000004</v>
      </c>
      <c r="AE37" s="652">
        <v>928.76965999999982</v>
      </c>
      <c r="AF37" s="653">
        <v>1140.4649449200001</v>
      </c>
      <c r="AG37" s="653">
        <v>706.18002823000006</v>
      </c>
      <c r="AH37" s="651"/>
      <c r="AI37" s="651"/>
      <c r="AJ37" s="651"/>
      <c r="AK37" s="651"/>
      <c r="AL37" s="651"/>
      <c r="AM37" s="651"/>
      <c r="AN37" s="651"/>
      <c r="AO37" s="651"/>
      <c r="AP37" s="651"/>
      <c r="AQ37" s="651"/>
      <c r="AR37" s="651"/>
      <c r="AS37" s="651"/>
      <c r="AT37" s="651"/>
      <c r="AU37" s="651"/>
      <c r="AV37" s="651"/>
      <c r="AW37" s="651"/>
    </row>
    <row r="38" spans="2:49" ht="102" x14ac:dyDescent="0.2">
      <c r="B38" s="19" t="s">
        <v>9352</v>
      </c>
      <c r="C38" s="562">
        <f>16.71/1000</f>
        <v>1.6709999999999999E-2</v>
      </c>
      <c r="D38" s="562">
        <f>6.7/1000</f>
        <v>6.7000000000000002E-3</v>
      </c>
      <c r="E38" s="562">
        <f>8.1867/1000</f>
        <v>8.1866999999999999E-3</v>
      </c>
      <c r="F38" s="562">
        <f>105.38817269/1000</f>
        <v>0.10538817269</v>
      </c>
      <c r="G38" s="562">
        <f>101.8599196/1000</f>
        <v>0.1018599196</v>
      </c>
      <c r="H38" s="562"/>
      <c r="I38" s="17"/>
      <c r="J38" s="17"/>
      <c r="Y38" s="650" t="s">
        <v>9334</v>
      </c>
      <c r="Z38" s="652" t="s">
        <v>656</v>
      </c>
      <c r="AA38" s="652" t="s">
        <v>656</v>
      </c>
      <c r="AB38" s="652" t="s">
        <v>656</v>
      </c>
      <c r="AC38" s="652" t="s">
        <v>656</v>
      </c>
      <c r="AD38" s="652" t="s">
        <v>656</v>
      </c>
      <c r="AE38" s="652" t="s">
        <v>656</v>
      </c>
      <c r="AF38" s="653">
        <v>23.8455686</v>
      </c>
      <c r="AG38" s="653">
        <v>802.24870697999995</v>
      </c>
      <c r="AH38" s="651">
        <f>AG38/AF38</f>
        <v>33.64351341070558</v>
      </c>
      <c r="AI38" s="651"/>
      <c r="AJ38" s="651"/>
      <c r="AK38" s="651"/>
      <c r="AL38" s="651"/>
      <c r="AM38" s="651"/>
      <c r="AN38" s="651"/>
      <c r="AO38" s="651"/>
      <c r="AP38" s="651"/>
      <c r="AQ38" s="651"/>
      <c r="AR38" s="651"/>
      <c r="AS38" s="651"/>
      <c r="AT38" s="651"/>
      <c r="AU38" s="651"/>
      <c r="AV38" s="651"/>
      <c r="AW38" s="651"/>
    </row>
    <row r="39" spans="2:49" ht="51" x14ac:dyDescent="0.2">
      <c r="Y39" s="650" t="s">
        <v>9352</v>
      </c>
      <c r="Z39" s="652">
        <v>16.71</v>
      </c>
      <c r="AA39" s="652">
        <v>6.7</v>
      </c>
      <c r="AB39" s="652">
        <v>8.1867000000000001</v>
      </c>
      <c r="AC39" s="652">
        <v>105.38817269000002</v>
      </c>
      <c r="AD39" s="652">
        <v>101.8599196</v>
      </c>
      <c r="AE39" s="652" t="s">
        <v>656</v>
      </c>
      <c r="AF39" s="651" t="s">
        <v>656</v>
      </c>
      <c r="AG39" s="651" t="s">
        <v>656</v>
      </c>
      <c r="AH39" s="651"/>
      <c r="AI39" s="651"/>
      <c r="AJ39" s="651"/>
      <c r="AK39" s="651"/>
      <c r="AL39" s="651"/>
      <c r="AM39" s="651"/>
      <c r="AN39" s="651"/>
      <c r="AO39" s="651"/>
      <c r="AP39" s="651"/>
      <c r="AQ39" s="651"/>
      <c r="AR39" s="651"/>
      <c r="AS39" s="651"/>
      <c r="AT39" s="651"/>
      <c r="AU39" s="651"/>
      <c r="AV39" s="651"/>
      <c r="AW39" s="651"/>
    </row>
    <row r="40" spans="2:49" ht="63" customHeight="1" x14ac:dyDescent="0.2">
      <c r="B40" s="1244" t="s">
        <v>9354</v>
      </c>
      <c r="C40" s="1239"/>
      <c r="D40" s="1239"/>
      <c r="E40" s="1239"/>
      <c r="F40" s="1239"/>
      <c r="G40" s="1239"/>
      <c r="H40" s="1239"/>
      <c r="I40" s="1239"/>
      <c r="J40" s="1239"/>
      <c r="Y40" s="650"/>
      <c r="Z40" s="651"/>
      <c r="AA40" s="651"/>
      <c r="AB40" s="651"/>
      <c r="AC40" s="651"/>
      <c r="AD40" s="651"/>
      <c r="AE40" s="651"/>
      <c r="AF40" s="651"/>
      <c r="AG40" s="651"/>
      <c r="AH40" s="651"/>
      <c r="AI40" s="651"/>
      <c r="AJ40" s="651"/>
      <c r="AK40" s="651"/>
      <c r="AL40" s="651"/>
      <c r="AM40" s="651"/>
      <c r="AN40" s="651"/>
      <c r="AO40" s="651"/>
      <c r="AP40" s="651"/>
      <c r="AQ40" s="651"/>
      <c r="AR40" s="651"/>
      <c r="AS40" s="651"/>
      <c r="AT40" s="651"/>
      <c r="AU40" s="651"/>
      <c r="AV40" s="651"/>
      <c r="AW40" s="651"/>
    </row>
    <row r="41" spans="2:49" ht="17" x14ac:dyDescent="0.2">
      <c r="B41" s="19" t="s">
        <v>9325</v>
      </c>
      <c r="C41" s="19">
        <v>2015</v>
      </c>
      <c r="D41" s="19">
        <v>2016</v>
      </c>
      <c r="E41" s="19">
        <v>2017</v>
      </c>
      <c r="F41" s="19">
        <v>2018</v>
      </c>
      <c r="G41" s="19">
        <v>2019</v>
      </c>
      <c r="H41" s="19">
        <v>2020</v>
      </c>
      <c r="I41" s="19">
        <v>2021</v>
      </c>
      <c r="J41" s="19">
        <v>2022</v>
      </c>
      <c r="Y41" s="650"/>
      <c r="Z41" s="651"/>
      <c r="AA41" s="651"/>
      <c r="AB41" s="651"/>
      <c r="AC41" s="651"/>
      <c r="AD41" s="651"/>
      <c r="AE41" s="651"/>
      <c r="AF41" s="651"/>
      <c r="AG41" s="651"/>
      <c r="AH41" s="651"/>
      <c r="AI41" s="651"/>
      <c r="AJ41" s="651"/>
      <c r="AK41" s="651"/>
      <c r="AL41" s="651"/>
      <c r="AM41" s="651"/>
      <c r="AN41" s="651"/>
      <c r="AO41" s="651"/>
      <c r="AP41" s="651"/>
      <c r="AQ41" s="651"/>
      <c r="AR41" s="651"/>
      <c r="AS41" s="651"/>
      <c r="AT41" s="651"/>
      <c r="AU41" s="651"/>
      <c r="AV41" s="651"/>
      <c r="AW41" s="651"/>
    </row>
    <row r="42" spans="2:49" ht="34" x14ac:dyDescent="0.2">
      <c r="B42" s="636" t="s">
        <v>9326</v>
      </c>
      <c r="C42" s="637">
        <v>1</v>
      </c>
      <c r="D42" s="637">
        <v>1</v>
      </c>
      <c r="E42" s="637">
        <v>1.0000000000000002</v>
      </c>
      <c r="F42" s="637">
        <v>1.0000001486955599</v>
      </c>
      <c r="G42" s="637">
        <v>1.0000001486955599</v>
      </c>
      <c r="H42" s="637">
        <v>1.0000001486955599</v>
      </c>
      <c r="I42" s="637">
        <v>1</v>
      </c>
      <c r="J42" s="637">
        <v>1</v>
      </c>
      <c r="Y42" s="650"/>
      <c r="Z42" s="651"/>
      <c r="AA42" s="651"/>
      <c r="AB42" s="651"/>
      <c r="AC42" s="651"/>
      <c r="AD42" s="651"/>
      <c r="AE42" s="651"/>
      <c r="AF42" s="651"/>
      <c r="AG42" s="651"/>
      <c r="AH42" s="651"/>
      <c r="AI42" s="651"/>
      <c r="AJ42" s="651"/>
      <c r="AK42" s="651"/>
      <c r="AL42" s="651"/>
      <c r="AM42" s="651"/>
      <c r="AN42" s="651"/>
      <c r="AO42" s="651"/>
      <c r="AP42" s="651"/>
      <c r="AQ42" s="651"/>
      <c r="AR42" s="651"/>
      <c r="AS42" s="651"/>
      <c r="AT42" s="651"/>
      <c r="AU42" s="651"/>
      <c r="AV42" s="651"/>
      <c r="AW42" s="651"/>
    </row>
    <row r="43" spans="2:49" ht="51" x14ac:dyDescent="0.2">
      <c r="B43" s="636" t="s">
        <v>9345</v>
      </c>
      <c r="C43" s="637">
        <v>0.83121779722586409</v>
      </c>
      <c r="D43" s="637">
        <v>0.89940819943964778</v>
      </c>
      <c r="E43" s="637">
        <v>0.92213074133262074</v>
      </c>
      <c r="F43" s="637">
        <v>0.89939680149230761</v>
      </c>
      <c r="G43" s="637">
        <v>0.9093966896709843</v>
      </c>
      <c r="H43" s="637">
        <v>0.93668022252088257</v>
      </c>
      <c r="I43" s="637">
        <v>0.9281792561585136</v>
      </c>
      <c r="J43" s="565">
        <f ca="1">SUM(J44:J46)</f>
        <v>0.9313808160529502</v>
      </c>
      <c r="Y43" s="650"/>
      <c r="Z43" s="651"/>
      <c r="AA43" s="651"/>
      <c r="AB43" s="651"/>
      <c r="AC43" s="651"/>
      <c r="AD43" s="651"/>
      <c r="AE43" s="651"/>
      <c r="AF43" s="651"/>
      <c r="AG43" s="651"/>
      <c r="AH43" s="651"/>
      <c r="AI43" s="651"/>
      <c r="AJ43" s="651"/>
      <c r="AK43" s="651"/>
      <c r="AL43" s="651"/>
      <c r="AM43" s="651"/>
      <c r="AN43" s="651"/>
      <c r="AO43" s="651"/>
      <c r="AP43" s="651"/>
      <c r="AQ43" s="651"/>
      <c r="AR43" s="651"/>
      <c r="AS43" s="651"/>
      <c r="AT43" s="651"/>
      <c r="AU43" s="651"/>
      <c r="AV43" s="651"/>
      <c r="AW43" s="651"/>
    </row>
    <row r="44" spans="2:49" ht="51" x14ac:dyDescent="0.2">
      <c r="B44" s="19" t="s">
        <v>9346</v>
      </c>
      <c r="C44" s="638" t="s">
        <v>9007</v>
      </c>
      <c r="D44" s="639">
        <v>3.1877179941677625E-3</v>
      </c>
      <c r="E44" s="639">
        <v>0.2608432991940508</v>
      </c>
      <c r="F44" s="639">
        <v>0.20230264972150513</v>
      </c>
      <c r="G44" s="639">
        <v>0.20094854338484114</v>
      </c>
      <c r="H44" s="639">
        <v>0.24974551597833297</v>
      </c>
      <c r="I44" s="639">
        <v>0.22209813421478408</v>
      </c>
      <c r="J44" s="561">
        <f>J20</f>
        <v>0.22305081310645294</v>
      </c>
      <c r="Y44" s="650"/>
      <c r="Z44" s="651"/>
      <c r="AA44" s="651"/>
      <c r="AB44" s="651"/>
      <c r="AC44" s="651"/>
      <c r="AD44" s="651"/>
      <c r="AE44" s="651"/>
      <c r="AF44" s="651"/>
      <c r="AG44" s="651"/>
      <c r="AH44" s="651"/>
      <c r="AI44" s="651"/>
      <c r="AJ44" s="651"/>
      <c r="AK44" s="651"/>
      <c r="AL44" s="651"/>
      <c r="AM44" s="651"/>
      <c r="AN44" s="651"/>
      <c r="AO44" s="651"/>
      <c r="AP44" s="651"/>
      <c r="AQ44" s="651"/>
      <c r="AR44" s="651"/>
      <c r="AS44" s="651"/>
      <c r="AT44" s="651"/>
      <c r="AU44" s="651"/>
      <c r="AV44" s="651"/>
      <c r="AW44" s="651"/>
    </row>
    <row r="45" spans="2:49" ht="51" x14ac:dyDescent="0.2">
      <c r="B45" s="19" t="s">
        <v>9347</v>
      </c>
      <c r="C45" s="639">
        <v>0.57446826278298768</v>
      </c>
      <c r="D45" s="639">
        <v>0.73368974784150043</v>
      </c>
      <c r="E45" s="639">
        <v>0.52952022181701863</v>
      </c>
      <c r="F45" s="639">
        <v>0.54360325285491307</v>
      </c>
      <c r="G45" s="639">
        <v>0.54482151842888105</v>
      </c>
      <c r="H45" s="639">
        <v>0.52848120168381607</v>
      </c>
      <c r="I45" s="639">
        <v>0.53480083044647508</v>
      </c>
      <c r="J45" s="561">
        <f>J18</f>
        <v>0.5349208469951009</v>
      </c>
      <c r="Y45" s="650"/>
      <c r="Z45" s="651"/>
      <c r="AA45" s="651"/>
      <c r="AB45" s="651"/>
      <c r="AC45" s="651"/>
      <c r="AD45" s="651"/>
      <c r="AE45" s="651"/>
      <c r="AF45" s="651"/>
      <c r="AG45" s="651"/>
      <c r="AH45" s="651"/>
      <c r="AI45" s="651"/>
      <c r="AJ45" s="651"/>
      <c r="AK45" s="651"/>
      <c r="AL45" s="651"/>
      <c r="AM45" s="651"/>
      <c r="AN45" s="651"/>
      <c r="AO45" s="651"/>
      <c r="AP45" s="651"/>
      <c r="AQ45" s="651"/>
      <c r="AR45" s="651"/>
      <c r="AS45" s="651"/>
      <c r="AT45" s="651"/>
      <c r="AU45" s="651"/>
      <c r="AV45" s="651"/>
      <c r="AW45" s="651"/>
    </row>
    <row r="46" spans="2:49" ht="51" x14ac:dyDescent="0.2">
      <c r="B46" s="19" t="s">
        <v>9348</v>
      </c>
      <c r="C46" s="639">
        <v>0.25674953444287635</v>
      </c>
      <c r="D46" s="639">
        <v>0.16253073360397963</v>
      </c>
      <c r="E46" s="639">
        <v>0.13176722032155133</v>
      </c>
      <c r="F46" s="639">
        <v>0.15349089891588938</v>
      </c>
      <c r="G46" s="639">
        <v>0.16362662785726212</v>
      </c>
      <c r="H46" s="639">
        <v>0.15845350485873361</v>
      </c>
      <c r="I46" s="639">
        <v>0.17128029149725446</v>
      </c>
      <c r="J46" s="561">
        <f ca="1">J21</f>
        <v>0.16986420295897328</v>
      </c>
      <c r="Y46" s="650"/>
      <c r="Z46" s="651"/>
      <c r="AA46" s="651"/>
      <c r="AB46" s="651"/>
      <c r="AC46" s="651"/>
      <c r="AD46" s="651"/>
      <c r="AE46" s="651"/>
      <c r="AF46" s="651"/>
      <c r="AG46" s="651"/>
      <c r="AH46" s="651"/>
      <c r="AI46" s="651"/>
      <c r="AJ46" s="651"/>
      <c r="AK46" s="651"/>
      <c r="AL46" s="651"/>
      <c r="AM46" s="651"/>
      <c r="AN46" s="651"/>
      <c r="AO46" s="651"/>
      <c r="AP46" s="651"/>
      <c r="AQ46" s="651"/>
      <c r="AR46" s="651"/>
      <c r="AS46" s="651"/>
      <c r="AT46" s="651"/>
      <c r="AU46" s="651"/>
      <c r="AV46" s="651"/>
      <c r="AW46" s="651"/>
    </row>
    <row r="47" spans="2:49" ht="51" x14ac:dyDescent="0.2">
      <c r="B47" s="636" t="s">
        <v>9349</v>
      </c>
      <c r="C47" s="637">
        <v>0.16878220277413589</v>
      </c>
      <c r="D47" s="637">
        <v>0.1005918005603522</v>
      </c>
      <c r="E47" s="637">
        <v>7.7869258667379398E-2</v>
      </c>
      <c r="F47" s="637">
        <v>0.10060334720325234</v>
      </c>
      <c r="G47" s="637">
        <v>9.0607842556240423E-2</v>
      </c>
      <c r="H47" s="637">
        <v>6.3318200995325175E-2</v>
      </c>
      <c r="I47" s="637">
        <v>7.1820749147733745E-2</v>
      </c>
      <c r="J47" s="565">
        <f>SUM(J48:J50)</f>
        <v>6.8299753251399059E-2</v>
      </c>
      <c r="Y47" s="650"/>
      <c r="Z47" s="651"/>
      <c r="AA47" s="651"/>
      <c r="AB47" s="651"/>
      <c r="AC47" s="651"/>
      <c r="AD47" s="651"/>
      <c r="AE47" s="651"/>
      <c r="AF47" s="651"/>
      <c r="AG47" s="651"/>
      <c r="AH47" s="651"/>
      <c r="AI47" s="651"/>
      <c r="AJ47" s="651"/>
      <c r="AK47" s="651"/>
      <c r="AL47" s="651"/>
      <c r="AM47" s="651"/>
      <c r="AN47" s="651"/>
      <c r="AO47" s="651"/>
      <c r="AP47" s="651"/>
      <c r="AQ47" s="651"/>
      <c r="AR47" s="651"/>
      <c r="AS47" s="651"/>
      <c r="AT47" s="651"/>
      <c r="AU47" s="651"/>
      <c r="AV47" s="651"/>
      <c r="AW47" s="651"/>
    </row>
    <row r="48" spans="2:49" ht="51" x14ac:dyDescent="0.2">
      <c r="B48" s="19" t="s">
        <v>9350</v>
      </c>
      <c r="C48" s="639">
        <v>8.5783597357806746E-2</v>
      </c>
      <c r="D48" s="639">
        <v>6.8342958431013776E-2</v>
      </c>
      <c r="E48" s="639">
        <v>5.3548971582494602E-2</v>
      </c>
      <c r="F48" s="639">
        <v>5.8149393078979143E-2</v>
      </c>
      <c r="G48" s="639">
        <v>5.2661126648861328E-2</v>
      </c>
      <c r="H48" s="639">
        <v>3.411959621109948E-2</v>
      </c>
      <c r="I48" s="639">
        <v>4.2314018917964352E-2</v>
      </c>
      <c r="J48" s="561">
        <f>J22</f>
        <v>3.4530136268149214E-2</v>
      </c>
      <c r="Y48" s="650"/>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row>
    <row r="49" spans="2:49" ht="68" x14ac:dyDescent="0.2">
      <c r="B49" s="19" t="s">
        <v>9351</v>
      </c>
      <c r="C49" s="639">
        <v>7.6021511661892791E-2</v>
      </c>
      <c r="D49" s="639">
        <v>3.1291097261135568E-2</v>
      </c>
      <c r="E49" s="639">
        <v>2.3755754574201378E-2</v>
      </c>
      <c r="F49" s="639">
        <v>3.6997468696845275E-2</v>
      </c>
      <c r="G49" s="639">
        <v>3.3713873017953866E-2</v>
      </c>
      <c r="H49" s="639">
        <v>2.9198604784225694E-2</v>
      </c>
      <c r="I49" s="639">
        <v>2.8902419994926216E-2</v>
      </c>
      <c r="J49" s="561">
        <f>J23</f>
        <v>1.5809450269606323E-2</v>
      </c>
      <c r="Y49" s="650"/>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row>
    <row r="50" spans="2:49" ht="34" x14ac:dyDescent="0.2">
      <c r="B50" s="3" t="s">
        <v>9334</v>
      </c>
      <c r="C50" s="639" t="s">
        <v>656</v>
      </c>
      <c r="D50" s="19" t="s">
        <v>656</v>
      </c>
      <c r="E50" s="639" t="s">
        <v>656</v>
      </c>
      <c r="F50" s="19" t="s">
        <v>656</v>
      </c>
      <c r="G50" s="639" t="s">
        <v>656</v>
      </c>
      <c r="H50" s="19" t="s">
        <v>656</v>
      </c>
      <c r="I50" s="639">
        <v>6.0431023484318455E-4</v>
      </c>
      <c r="J50" s="561">
        <f>J24</f>
        <v>1.7960166713643515E-2</v>
      </c>
      <c r="Y50" s="650"/>
      <c r="Z50" s="651"/>
      <c r="AA50" s="651"/>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row>
    <row r="51" spans="2:49" ht="17" x14ac:dyDescent="0.2">
      <c r="B51" s="19" t="s">
        <v>9352</v>
      </c>
      <c r="C51" s="639">
        <v>6.9770937544363634E-3</v>
      </c>
      <c r="D51" s="639">
        <v>9.5774486820287034E-4</v>
      </c>
      <c r="E51" s="639">
        <v>5.6453251068341371E-4</v>
      </c>
      <c r="F51" s="639">
        <v>5.4564854274279278E-3</v>
      </c>
      <c r="G51" s="639">
        <v>4.2328428894252311E-3</v>
      </c>
      <c r="H51" s="639" t="s">
        <v>656</v>
      </c>
      <c r="I51" s="19" t="s">
        <v>656</v>
      </c>
      <c r="J51" s="19" t="s">
        <v>656</v>
      </c>
      <c r="Y51" s="650"/>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row>
    <row r="52" spans="2:49" x14ac:dyDescent="0.2">
      <c r="Y52" s="650"/>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row>
    <row r="53" spans="2:49" x14ac:dyDescent="0.2">
      <c r="Y53" s="650"/>
      <c r="Z53" s="651"/>
      <c r="AA53" s="651"/>
      <c r="AB53" s="651"/>
      <c r="AC53" s="651"/>
      <c r="AD53" s="651"/>
      <c r="AE53" s="651"/>
      <c r="AF53" s="651"/>
      <c r="AG53" s="651"/>
      <c r="AH53" s="651"/>
      <c r="AI53" s="651"/>
      <c r="AJ53" s="651"/>
      <c r="AK53" s="651"/>
      <c r="AL53" s="651"/>
      <c r="AM53" s="651"/>
      <c r="AN53" s="651"/>
      <c r="AO53" s="651"/>
      <c r="AP53" s="651"/>
      <c r="AQ53" s="651"/>
      <c r="AR53" s="651"/>
      <c r="AS53" s="651"/>
      <c r="AT53" s="651"/>
      <c r="AU53" s="651"/>
      <c r="AV53" s="651"/>
      <c r="AW53" s="651"/>
    </row>
    <row r="54" spans="2:49" ht="55" customHeight="1" x14ac:dyDescent="0.2">
      <c r="B54" s="1244" t="s">
        <v>9355</v>
      </c>
      <c r="C54" s="1239"/>
      <c r="D54" s="1239"/>
      <c r="E54" s="1239"/>
      <c r="F54" s="1239"/>
      <c r="G54" s="1239"/>
      <c r="H54" s="1239"/>
      <c r="I54" s="1239"/>
      <c r="Y54" s="650"/>
      <c r="Z54" s="651"/>
      <c r="AA54" s="651"/>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row>
    <row r="55" spans="2:49" ht="17" x14ac:dyDescent="0.2">
      <c r="B55" s="100" t="s">
        <v>9356</v>
      </c>
      <c r="C55" s="22" t="s">
        <v>9161</v>
      </c>
      <c r="D55" s="22" t="s">
        <v>9357</v>
      </c>
      <c r="E55" s="22" t="s">
        <v>9358</v>
      </c>
      <c r="F55" s="22" t="s">
        <v>9359</v>
      </c>
      <c r="G55" s="22" t="s">
        <v>9360</v>
      </c>
      <c r="H55" s="22" t="s">
        <v>1576</v>
      </c>
      <c r="I55" s="22" t="s">
        <v>8335</v>
      </c>
      <c r="Y55" s="650"/>
      <c r="Z55" s="651"/>
      <c r="AA55" s="651"/>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row>
    <row r="56" spans="2:49" ht="17" x14ac:dyDescent="0.2">
      <c r="B56" s="100" t="s">
        <v>125</v>
      </c>
      <c r="C56" s="566">
        <v>0.10971922246220302</v>
      </c>
      <c r="D56" s="566">
        <v>9.7478359051561908E-2</v>
      </c>
      <c r="E56" s="566">
        <v>8.5105254785513548E-2</v>
      </c>
      <c r="F56" s="566">
        <v>7.1013231994872028E-2</v>
      </c>
      <c r="G56" s="566">
        <v>5.1540442155731156E-2</v>
      </c>
      <c r="H56" s="566">
        <v>7.2679810400494607E-2</v>
      </c>
      <c r="I56" s="566">
        <v>6.7802991409111141E-2</v>
      </c>
      <c r="Y56" s="650"/>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row>
    <row r="57" spans="2:49" ht="34" x14ac:dyDescent="0.2">
      <c r="B57" s="100" t="s">
        <v>127</v>
      </c>
      <c r="C57" s="566">
        <v>0.14514038876889848</v>
      </c>
      <c r="D57" s="566">
        <v>0.13041023710952201</v>
      </c>
      <c r="E57" s="566">
        <v>0.15128055570284746</v>
      </c>
      <c r="F57" s="566">
        <v>0.1505425575752026</v>
      </c>
      <c r="G57" s="566">
        <v>0.12385687649826867</v>
      </c>
      <c r="H57" s="566">
        <v>0.16497217833344782</v>
      </c>
      <c r="I57" s="566">
        <v>0.15846938426258686</v>
      </c>
      <c r="Y57" s="650"/>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c r="AV57" s="651"/>
      <c r="AW57" s="651"/>
    </row>
    <row r="58" spans="2:49" ht="17" x14ac:dyDescent="0.2">
      <c r="B58" s="100" t="s">
        <v>129</v>
      </c>
      <c r="C58" s="566">
        <v>8.6933045356371488E-2</v>
      </c>
      <c r="D58" s="566">
        <v>7.182285785974156E-2</v>
      </c>
      <c r="E58" s="566">
        <v>8.356752744047935E-2</v>
      </c>
      <c r="F58" s="566">
        <v>6.0345222288356759E-2</v>
      </c>
      <c r="G58" s="566">
        <v>4.9720323182100686E-2</v>
      </c>
      <c r="H58" s="566">
        <v>5.7223328982620045E-2</v>
      </c>
      <c r="I58" s="566">
        <v>5.4112331861587433E-2</v>
      </c>
      <c r="Y58" s="650"/>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row>
    <row r="59" spans="2:49" ht="17" x14ac:dyDescent="0.2">
      <c r="B59" s="100" t="s">
        <v>131</v>
      </c>
      <c r="C59" s="566">
        <v>2.775377969762419E-2</v>
      </c>
      <c r="D59" s="566">
        <v>2.7349140634801154E-2</v>
      </c>
      <c r="E59" s="566">
        <v>2.6671615674213903E-2</v>
      </c>
      <c r="F59" s="566">
        <v>2.6097706148985853E-2</v>
      </c>
      <c r="G59" s="566">
        <v>1.9932522418538576E-2</v>
      </c>
      <c r="H59" s="566">
        <v>2.136429209315106E-2</v>
      </c>
      <c r="I59" s="566">
        <v>2.1460108840743404E-2</v>
      </c>
      <c r="Y59" s="650"/>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row>
    <row r="60" spans="2:49" ht="34" x14ac:dyDescent="0.2">
      <c r="B60" s="100" t="s">
        <v>9361</v>
      </c>
      <c r="C60" s="566">
        <v>2.0518358531317494E-3</v>
      </c>
      <c r="D60" s="566">
        <v>2.2581859239744072E-3</v>
      </c>
      <c r="E60" s="566">
        <v>9.5445145553846973E-4</v>
      </c>
      <c r="F60" s="566">
        <v>6.8678174076278555E-4</v>
      </c>
      <c r="G60" s="566">
        <v>1.3761875166474296E-3</v>
      </c>
      <c r="H60" s="566">
        <v>1.5456481417874563E-3</v>
      </c>
      <c r="I60" s="566">
        <v>1.2663860081459425E-3</v>
      </c>
      <c r="Y60" s="650"/>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row>
    <row r="61" spans="2:49" ht="34" x14ac:dyDescent="0.2">
      <c r="B61" s="100" t="s">
        <v>9362</v>
      </c>
      <c r="C61" s="566">
        <v>2.0626349892008639E-2</v>
      </c>
      <c r="D61" s="566">
        <v>2.2080040145527537E-2</v>
      </c>
      <c r="E61" s="566">
        <v>2.1846333315658308E-2</v>
      </c>
      <c r="F61" s="566">
        <v>2.8615905865116066E-2</v>
      </c>
      <c r="G61" s="566">
        <v>3.9243540797300899E-2</v>
      </c>
      <c r="H61" s="566">
        <v>2.3493851755169333E-2</v>
      </c>
      <c r="I61" s="566">
        <v>2.1665468733956257E-2</v>
      </c>
      <c r="Y61" s="650"/>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row>
    <row r="62" spans="2:49" ht="17" x14ac:dyDescent="0.2">
      <c r="B62" s="100" t="s">
        <v>9363</v>
      </c>
      <c r="C62" s="566" t="s">
        <v>4906</v>
      </c>
      <c r="D62" s="566" t="s">
        <v>4906</v>
      </c>
      <c r="E62" s="566">
        <v>5.5729359987273984E-2</v>
      </c>
      <c r="F62" s="566">
        <v>7.202051188132412E-2</v>
      </c>
      <c r="G62" s="566">
        <v>8.7188138151469419E-2</v>
      </c>
      <c r="H62" s="566">
        <v>5.8631586178470842E-2</v>
      </c>
      <c r="I62" s="566">
        <v>5.5173357976520516E-2</v>
      </c>
      <c r="Y62" s="650"/>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row>
    <row r="63" spans="2:49" ht="110" customHeight="1" x14ac:dyDescent="0.2">
      <c r="B63" s="100" t="s">
        <v>9364</v>
      </c>
      <c r="C63" s="566">
        <v>0.11684665226781857</v>
      </c>
      <c r="D63" s="566">
        <v>0.1014929118052942</v>
      </c>
      <c r="E63" s="566">
        <v>7.6939392332573311E-2</v>
      </c>
      <c r="F63" s="566">
        <v>6.7625108740442294E-2</v>
      </c>
      <c r="G63" s="566">
        <v>6.8099085501198614E-2</v>
      </c>
      <c r="H63" s="566">
        <v>5.234595040186852E-2</v>
      </c>
      <c r="I63" s="566">
        <v>5.2058732929458874E-2</v>
      </c>
      <c r="Y63" s="650"/>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row>
    <row r="64" spans="2:49" ht="34" x14ac:dyDescent="0.2">
      <c r="B64" s="100" t="s">
        <v>141</v>
      </c>
      <c r="C64" s="566">
        <v>4.5896328293736501E-2</v>
      </c>
      <c r="D64" s="566">
        <v>4.5979174507590016E-2</v>
      </c>
      <c r="E64" s="566">
        <v>5.3396256429291057E-2</v>
      </c>
      <c r="F64" s="566">
        <v>6.6526257955221824E-2</v>
      </c>
      <c r="G64" s="566">
        <v>7.5201988812927278E-2</v>
      </c>
      <c r="H64" s="566">
        <v>5.7463763138009202E-2</v>
      </c>
      <c r="I64" s="566">
        <v>7.3313481876989425E-2</v>
      </c>
      <c r="Y64" s="650"/>
      <c r="Z64" s="651"/>
      <c r="AA64" s="651"/>
      <c r="AB64" s="651"/>
      <c r="AC64" s="651"/>
      <c r="AD64" s="651"/>
      <c r="AE64" s="651"/>
      <c r="AF64" s="651"/>
      <c r="AG64" s="651"/>
      <c r="AH64" s="651"/>
      <c r="AI64" s="651"/>
      <c r="AJ64" s="651"/>
      <c r="AK64" s="651"/>
      <c r="AL64" s="651"/>
      <c r="AM64" s="651"/>
      <c r="AN64" s="651"/>
      <c r="AO64" s="651"/>
      <c r="AP64" s="651"/>
      <c r="AQ64" s="651"/>
      <c r="AR64" s="651"/>
      <c r="AS64" s="651"/>
      <c r="AT64" s="651"/>
      <c r="AU64" s="651"/>
      <c r="AV64" s="651"/>
      <c r="AW64" s="651"/>
    </row>
    <row r="65" spans="2:49" ht="34" x14ac:dyDescent="0.2">
      <c r="B65" s="100" t="s">
        <v>9048</v>
      </c>
      <c r="C65" s="566" t="s">
        <v>4906</v>
      </c>
      <c r="D65" s="566" t="s">
        <v>4906</v>
      </c>
      <c r="E65" s="566">
        <v>8.367357760220584E-2</v>
      </c>
      <c r="F65" s="566">
        <v>0.11171649649741312</v>
      </c>
      <c r="G65" s="566">
        <v>0.11053893278877741</v>
      </c>
      <c r="H65" s="566">
        <v>5.7532458610977534E-2</v>
      </c>
      <c r="I65" s="566">
        <v>0.11346134100010268</v>
      </c>
      <c r="Y65" s="650"/>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row>
    <row r="66" spans="2:49" ht="17" x14ac:dyDescent="0.2">
      <c r="B66" s="100" t="s">
        <v>145</v>
      </c>
      <c r="C66" s="566">
        <v>8.8444924406047509E-2</v>
      </c>
      <c r="D66" s="566">
        <v>8.123196587630159E-2</v>
      </c>
      <c r="E66" s="566">
        <v>7.8211994273291272E-2</v>
      </c>
      <c r="F66" s="566">
        <v>8.0399249118630098E-2</v>
      </c>
      <c r="G66" s="566">
        <v>9.1938204741187954E-2</v>
      </c>
      <c r="H66" s="566">
        <v>0.10366146870921206</v>
      </c>
      <c r="I66" s="566">
        <v>8.3170756751206484E-2</v>
      </c>
      <c r="Y66" s="650"/>
      <c r="Z66" s="651"/>
      <c r="AA66" s="651"/>
      <c r="AB66" s="651"/>
      <c r="AC66" s="651"/>
      <c r="AD66" s="651"/>
      <c r="AE66" s="651"/>
      <c r="AF66" s="651"/>
      <c r="AG66" s="651"/>
      <c r="AH66" s="651"/>
      <c r="AI66" s="651"/>
      <c r="AJ66" s="651"/>
      <c r="AK66" s="651"/>
      <c r="AL66" s="651"/>
      <c r="AM66" s="651"/>
      <c r="AN66" s="651"/>
      <c r="AO66" s="651"/>
      <c r="AP66" s="651"/>
      <c r="AQ66" s="651"/>
      <c r="AR66" s="651"/>
      <c r="AS66" s="651"/>
      <c r="AT66" s="651"/>
      <c r="AU66" s="651"/>
      <c r="AV66" s="651"/>
      <c r="AW66" s="651"/>
    </row>
    <row r="67" spans="2:49" ht="34" x14ac:dyDescent="0.2">
      <c r="B67" s="100" t="s">
        <v>6192</v>
      </c>
      <c r="C67" s="566">
        <v>0.18066954643628511</v>
      </c>
      <c r="D67" s="566">
        <v>0.17902396186174885</v>
      </c>
      <c r="E67" s="566">
        <v>9.4331618855718752E-2</v>
      </c>
      <c r="F67" s="566">
        <v>0.10695480976145781</v>
      </c>
      <c r="G67" s="566">
        <v>0.13668649560507859</v>
      </c>
      <c r="H67" s="566">
        <v>0.14707700762519749</v>
      </c>
      <c r="I67" s="566">
        <v>0.13943936749152891</v>
      </c>
      <c r="Y67" s="650"/>
      <c r="Z67" s="651"/>
      <c r="AA67" s="651"/>
      <c r="AB67" s="651"/>
      <c r="AC67" s="651"/>
      <c r="AD67" s="651"/>
      <c r="AE67" s="651"/>
      <c r="AF67" s="651"/>
      <c r="AG67" s="651"/>
      <c r="AH67" s="651"/>
      <c r="AI67" s="651"/>
      <c r="AJ67" s="651"/>
      <c r="AK67" s="651"/>
      <c r="AL67" s="651"/>
      <c r="AM67" s="651"/>
      <c r="AN67" s="651"/>
      <c r="AO67" s="651"/>
      <c r="AP67" s="651"/>
      <c r="AQ67" s="651"/>
      <c r="AR67" s="651"/>
      <c r="AS67" s="651"/>
      <c r="AT67" s="651"/>
      <c r="AU67" s="651"/>
      <c r="AV67" s="651"/>
      <c r="AW67" s="651"/>
    </row>
    <row r="68" spans="2:49" ht="17" x14ac:dyDescent="0.2">
      <c r="B68" s="100" t="s">
        <v>9365</v>
      </c>
      <c r="C68" s="566">
        <v>3.6825053995680347E-2</v>
      </c>
      <c r="D68" s="566">
        <v>3.7824614226571324E-2</v>
      </c>
      <c r="E68" s="566">
        <v>4.8730049313325204E-2</v>
      </c>
      <c r="F68" s="566">
        <v>4.908200173984708E-2</v>
      </c>
      <c r="G68" s="566">
        <v>4.3549675930036405E-2</v>
      </c>
      <c r="H68" s="566">
        <v>5.3513773442330152E-2</v>
      </c>
      <c r="I68" s="566">
        <v>5.1511106547557931E-2</v>
      </c>
    </row>
    <row r="69" spans="2:49" ht="34" x14ac:dyDescent="0.2">
      <c r="B69" s="100" t="s">
        <v>9366</v>
      </c>
      <c r="C69" s="566">
        <v>5.3023758099352052E-2</v>
      </c>
      <c r="D69" s="566">
        <v>2.9858236105883829E-2</v>
      </c>
      <c r="E69" s="566">
        <v>3.0701521819820776E-2</v>
      </c>
      <c r="F69" s="566">
        <v>3.4613799734444395E-2</v>
      </c>
      <c r="G69" s="566">
        <v>1.4827310663233596E-2</v>
      </c>
      <c r="H69" s="566">
        <v>3.0432094524970803E-2</v>
      </c>
      <c r="I69" s="566">
        <v>2.2007735222644351E-2</v>
      </c>
    </row>
    <row r="70" spans="2:49" ht="34" x14ac:dyDescent="0.2">
      <c r="B70" s="100" t="s">
        <v>153</v>
      </c>
      <c r="C70" s="566">
        <v>4.5896328293736501E-2</v>
      </c>
      <c r="D70" s="566">
        <v>3.7260067745577719E-2</v>
      </c>
      <c r="E70" s="566">
        <v>2.9747070364282306E-2</v>
      </c>
      <c r="F70" s="566">
        <v>4.3954031408818279E-3</v>
      </c>
      <c r="G70" s="566">
        <v>5.105211755304981E-3</v>
      </c>
      <c r="H70" s="566">
        <v>2.0436903208078588E-2</v>
      </c>
      <c r="I70" s="566">
        <v>4.7575041927644867E-3</v>
      </c>
    </row>
    <row r="71" spans="2:49" ht="51" x14ac:dyDescent="0.2">
      <c r="B71" s="100" t="s">
        <v>9367</v>
      </c>
      <c r="C71" s="566" t="s">
        <v>4906</v>
      </c>
      <c r="D71" s="566">
        <v>1.3360933383515242E-2</v>
      </c>
      <c r="E71" s="566">
        <v>1.9036004029906146E-2</v>
      </c>
      <c r="F71" s="566">
        <v>9.0655189780687699E-3</v>
      </c>
      <c r="G71" s="566">
        <v>8.0795525170913613E-3</v>
      </c>
      <c r="H71" s="566">
        <v>7.8999793913581088E-3</v>
      </c>
      <c r="I71" s="566">
        <v>5.7158503610911454E-3</v>
      </c>
    </row>
    <row r="72" spans="2:49" ht="51" x14ac:dyDescent="0.2">
      <c r="B72" s="100" t="s">
        <v>9368</v>
      </c>
      <c r="C72" s="566" t="s">
        <v>4906</v>
      </c>
      <c r="D72" s="566">
        <v>2.5090954710826749E-3</v>
      </c>
      <c r="E72" s="566">
        <v>2.1740283153931809E-3</v>
      </c>
      <c r="F72" s="566">
        <v>2.6555560642827708E-3</v>
      </c>
      <c r="G72" s="566">
        <v>1.243008079552517E-3</v>
      </c>
      <c r="H72" s="566">
        <v>2.026516452565776E-3</v>
      </c>
      <c r="I72" s="566">
        <v>9.2411951945784983E-4</v>
      </c>
    </row>
    <row r="73" spans="2:49" ht="34" x14ac:dyDescent="0.2">
      <c r="B73" s="100" t="s">
        <v>9369</v>
      </c>
      <c r="C73" s="566" t="s">
        <v>4906</v>
      </c>
      <c r="D73" s="566">
        <v>4.0521891857985194E-2</v>
      </c>
      <c r="E73" s="566">
        <v>1.6490800148470226E-2</v>
      </c>
      <c r="F73" s="566">
        <v>1.9092532393205439E-2</v>
      </c>
      <c r="G73" s="566">
        <v>1.8645121193287758E-2</v>
      </c>
      <c r="H73" s="566">
        <v>1.5799958782716218E-2</v>
      </c>
      <c r="I73" s="566">
        <v>1.8721976931238664E-2</v>
      </c>
    </row>
    <row r="74" spans="2:49" ht="51" x14ac:dyDescent="0.2">
      <c r="B74" s="100" t="s">
        <v>161</v>
      </c>
      <c r="C74" s="566" t="s">
        <v>4906</v>
      </c>
      <c r="D74" s="566" t="s">
        <v>4906</v>
      </c>
      <c r="E74" s="566">
        <v>2.9534970040829313E-2</v>
      </c>
      <c r="F74" s="566">
        <v>5.0363994322604275E-3</v>
      </c>
      <c r="G74" s="566">
        <v>1.8201189736304715E-3</v>
      </c>
      <c r="H74" s="566">
        <v>3.8125987497423918E-3</v>
      </c>
      <c r="I74" s="566">
        <v>4.928637437108533E-3</v>
      </c>
      <c r="J74" s="21"/>
      <c r="K74" s="21"/>
      <c r="L74" s="21"/>
    </row>
    <row r="75" spans="2:49" ht="34" x14ac:dyDescent="0.2">
      <c r="B75" s="100" t="s">
        <v>163</v>
      </c>
      <c r="C75" s="566" t="s">
        <v>4906</v>
      </c>
      <c r="D75" s="566" t="s">
        <v>4906</v>
      </c>
      <c r="E75" s="566" t="s">
        <v>4906</v>
      </c>
      <c r="F75" s="566" t="s">
        <v>4906</v>
      </c>
      <c r="G75" s="566">
        <v>1.6913788511053893E-2</v>
      </c>
      <c r="H75" s="566">
        <v>2.4592979322662637E-2</v>
      </c>
      <c r="I75" s="566">
        <v>2.7278639148440975E-2</v>
      </c>
      <c r="J75" s="626"/>
      <c r="K75" s="626"/>
      <c r="L75" s="626"/>
    </row>
    <row r="76" spans="2:49" ht="34" x14ac:dyDescent="0.2">
      <c r="B76" s="100" t="s">
        <v>165</v>
      </c>
      <c r="C76" s="566" t="s">
        <v>4906</v>
      </c>
      <c r="D76" s="566" t="s">
        <v>4906</v>
      </c>
      <c r="E76" s="566" t="s">
        <v>4906</v>
      </c>
      <c r="F76" s="566" t="s">
        <v>4906</v>
      </c>
      <c r="G76" s="566" t="s">
        <v>4906</v>
      </c>
      <c r="H76" s="566" t="s">
        <v>4906</v>
      </c>
      <c r="I76" s="566">
        <v>1.6428791457028442E-3</v>
      </c>
      <c r="J76" s="626"/>
      <c r="K76" s="626"/>
      <c r="L76" s="626"/>
    </row>
    <row r="77" spans="2:49" ht="34" x14ac:dyDescent="0.2">
      <c r="B77" s="100" t="s">
        <v>167</v>
      </c>
      <c r="C77" s="566" t="s">
        <v>4906</v>
      </c>
      <c r="D77" s="566" t="s">
        <v>4906</v>
      </c>
      <c r="E77" s="566" t="s">
        <v>4906</v>
      </c>
      <c r="F77" s="566" t="s">
        <v>4906</v>
      </c>
      <c r="G77" s="566" t="s">
        <v>4906</v>
      </c>
      <c r="H77" s="566" t="s">
        <v>4906</v>
      </c>
      <c r="I77" s="566">
        <v>2.2247321764726014E-3</v>
      </c>
      <c r="J77" s="626"/>
      <c r="K77" s="626"/>
      <c r="L77" s="626"/>
    </row>
    <row r="78" spans="2:49" ht="34" x14ac:dyDescent="0.2">
      <c r="B78" s="100" t="s">
        <v>169</v>
      </c>
      <c r="C78" s="566" t="s">
        <v>4906</v>
      </c>
      <c r="D78" s="566" t="s">
        <v>4906</v>
      </c>
      <c r="E78" s="566" t="s">
        <v>4906</v>
      </c>
      <c r="F78" s="566" t="s">
        <v>4906</v>
      </c>
      <c r="G78" s="566" t="s">
        <v>4906</v>
      </c>
      <c r="H78" s="566" t="s">
        <v>4906</v>
      </c>
      <c r="I78" s="566">
        <v>3.7649313755690178E-4</v>
      </c>
      <c r="J78" s="626"/>
      <c r="K78" s="626"/>
      <c r="L78" s="626"/>
    </row>
    <row r="79" spans="2:49" ht="17" x14ac:dyDescent="0.2">
      <c r="B79" s="100" t="s">
        <v>9370</v>
      </c>
      <c r="C79" s="566">
        <v>4.0172786177105832E-2</v>
      </c>
      <c r="D79" s="566">
        <v>7.9538326433320788E-2</v>
      </c>
      <c r="E79" s="566">
        <v>1.1877618113367622E-2</v>
      </c>
      <c r="F79" s="566">
        <v>3.3514948949223938E-2</v>
      </c>
      <c r="G79" s="566">
        <v>3.449347420758235E-2</v>
      </c>
      <c r="H79" s="566">
        <v>2.3493851755169333E-2</v>
      </c>
      <c r="I79" s="566">
        <v>1.8516617038025807E-2</v>
      </c>
    </row>
    <row r="80" spans="2:49" ht="17" x14ac:dyDescent="0.2">
      <c r="B80" s="100" t="s">
        <v>9371</v>
      </c>
      <c r="C80" s="566">
        <v>0.99999999999999989</v>
      </c>
      <c r="D80" s="566">
        <v>1</v>
      </c>
      <c r="E80" s="566">
        <v>1</v>
      </c>
      <c r="F80" s="566">
        <v>1</v>
      </c>
      <c r="G80" s="566">
        <v>1</v>
      </c>
      <c r="H80" s="566">
        <v>1</v>
      </c>
      <c r="I80" s="566">
        <v>1</v>
      </c>
    </row>
    <row r="81" spans="2:30" x14ac:dyDescent="0.2">
      <c r="T81" s="654"/>
      <c r="U81" s="654"/>
      <c r="V81" s="654"/>
      <c r="W81" s="654"/>
      <c r="X81" s="654"/>
      <c r="Y81" s="655"/>
      <c r="Z81" s="654"/>
      <c r="AA81" s="654"/>
      <c r="AB81" s="654"/>
      <c r="AC81" s="654"/>
      <c r="AD81" s="654"/>
    </row>
    <row r="82" spans="2:30" x14ac:dyDescent="0.2">
      <c r="T82" s="654"/>
      <c r="U82" s="654"/>
      <c r="V82" s="654"/>
      <c r="W82" s="654"/>
      <c r="X82" s="654"/>
      <c r="Y82" s="655"/>
      <c r="Z82" s="654"/>
      <c r="AA82" s="654"/>
      <c r="AB82" s="654"/>
      <c r="AC82" s="654"/>
      <c r="AD82" s="654"/>
    </row>
    <row r="83" spans="2:30" x14ac:dyDescent="0.2">
      <c r="T83" s="654"/>
      <c r="U83" s="654"/>
      <c r="V83" s="654"/>
      <c r="W83" s="654"/>
      <c r="X83" s="654"/>
      <c r="Y83" s="655"/>
      <c r="Z83" s="654"/>
      <c r="AA83" s="654"/>
      <c r="AB83" s="654"/>
      <c r="AC83" s="654"/>
      <c r="AD83" s="654"/>
    </row>
    <row r="84" spans="2:30" x14ac:dyDescent="0.2">
      <c r="B84" s="1241" t="s">
        <v>9378</v>
      </c>
      <c r="C84" s="1242"/>
      <c r="D84" s="1242"/>
      <c r="E84" s="1242"/>
      <c r="F84" s="1242"/>
      <c r="G84" s="1242"/>
      <c r="H84" s="1242"/>
      <c r="I84" s="1242"/>
      <c r="J84" s="1242"/>
      <c r="T84" s="654"/>
      <c r="U84" s="654"/>
      <c r="V84" s="654"/>
      <c r="W84" s="654"/>
      <c r="X84" s="654"/>
      <c r="Y84" s="655"/>
      <c r="Z84" s="654"/>
      <c r="AA84" s="654"/>
      <c r="AB84" s="654"/>
      <c r="AC84" s="654"/>
      <c r="AD84" s="654"/>
    </row>
    <row r="85" spans="2:30" ht="17" x14ac:dyDescent="0.2">
      <c r="B85" s="168" t="s">
        <v>9325</v>
      </c>
      <c r="C85" s="640">
        <v>2015</v>
      </c>
      <c r="D85" s="640">
        <v>2016</v>
      </c>
      <c r="E85" s="640">
        <v>2017</v>
      </c>
      <c r="F85" s="640">
        <v>2018</v>
      </c>
      <c r="G85" s="640">
        <v>2019</v>
      </c>
      <c r="H85" s="640">
        <v>2020</v>
      </c>
      <c r="I85" s="640">
        <v>2021</v>
      </c>
      <c r="J85" s="640">
        <v>2022</v>
      </c>
      <c r="T85" s="654"/>
      <c r="U85" s="655" t="s">
        <v>9325</v>
      </c>
      <c r="V85" s="655">
        <v>2015</v>
      </c>
      <c r="W85" s="654">
        <v>2016</v>
      </c>
      <c r="X85" s="654">
        <v>2017</v>
      </c>
      <c r="Y85" s="654">
        <v>2018</v>
      </c>
      <c r="Z85" s="654">
        <v>2019</v>
      </c>
      <c r="AA85" s="654">
        <v>2020</v>
      </c>
      <c r="AB85" s="654">
        <v>2021</v>
      </c>
      <c r="AC85" s="654">
        <v>2022</v>
      </c>
      <c r="AD85" s="654"/>
    </row>
    <row r="86" spans="2:30" ht="34" x14ac:dyDescent="0.2">
      <c r="B86" s="168" t="s">
        <v>9373</v>
      </c>
      <c r="C86" s="640" t="s">
        <v>4906</v>
      </c>
      <c r="D86" s="640" t="s">
        <v>4906</v>
      </c>
      <c r="E86" s="640" t="s">
        <v>4906</v>
      </c>
      <c r="F86" s="640">
        <v>79285</v>
      </c>
      <c r="G86" s="640">
        <v>152385</v>
      </c>
      <c r="H86" s="641">
        <v>586371.00150000001</v>
      </c>
      <c r="I86" s="640">
        <v>349087</v>
      </c>
      <c r="J86" s="162">
        <f>Расчеты!Q121</f>
        <v>258177</v>
      </c>
      <c r="P86" s="627"/>
      <c r="T86" s="654"/>
      <c r="U86" s="655" t="s">
        <v>9373</v>
      </c>
      <c r="V86" s="655" t="s">
        <v>4906</v>
      </c>
      <c r="W86" s="654" t="s">
        <v>4906</v>
      </c>
      <c r="X86" s="654" t="s">
        <v>4906</v>
      </c>
      <c r="Y86" s="654">
        <v>79285</v>
      </c>
      <c r="Z86" s="654">
        <v>152385</v>
      </c>
      <c r="AA86" s="656">
        <v>586371.00150000001</v>
      </c>
      <c r="AB86" s="654">
        <v>349087</v>
      </c>
      <c r="AC86" s="654">
        <v>258023</v>
      </c>
      <c r="AD86" s="654"/>
    </row>
    <row r="87" spans="2:30" ht="133" customHeight="1" x14ac:dyDescent="0.2">
      <c r="B87" s="168" t="s">
        <v>9374</v>
      </c>
      <c r="C87" s="640">
        <v>4237</v>
      </c>
      <c r="D87" s="640">
        <v>13531</v>
      </c>
      <c r="E87" s="640">
        <v>22253</v>
      </c>
      <c r="F87" s="640">
        <v>19154</v>
      </c>
      <c r="G87" s="640">
        <v>24380</v>
      </c>
      <c r="H87" s="640">
        <v>27963</v>
      </c>
      <c r="I87" s="640">
        <v>31219</v>
      </c>
      <c r="J87" s="162">
        <f>Расчеты!Q122</f>
        <v>41561</v>
      </c>
      <c r="T87" s="654"/>
      <c r="U87" s="655" t="s">
        <v>9374</v>
      </c>
      <c r="V87" s="655">
        <v>4237</v>
      </c>
      <c r="W87" s="654">
        <v>13531</v>
      </c>
      <c r="X87" s="654">
        <v>22253</v>
      </c>
      <c r="Y87" s="654">
        <v>19154</v>
      </c>
      <c r="Z87" s="654">
        <v>24380</v>
      </c>
      <c r="AA87" s="654">
        <v>27963</v>
      </c>
      <c r="AB87" s="654">
        <v>31219</v>
      </c>
      <c r="AC87" s="654">
        <v>41407</v>
      </c>
      <c r="AD87" s="654"/>
    </row>
    <row r="88" spans="2:30" ht="68" x14ac:dyDescent="0.2">
      <c r="B88" s="168" t="s">
        <v>9375</v>
      </c>
      <c r="C88" s="640">
        <v>2657</v>
      </c>
      <c r="D88" s="640">
        <v>9461</v>
      </c>
      <c r="E88" s="640">
        <v>13964</v>
      </c>
      <c r="F88" s="640">
        <v>18725</v>
      </c>
      <c r="G88" s="640">
        <v>20369</v>
      </c>
      <c r="H88" s="640">
        <v>21151</v>
      </c>
      <c r="I88" s="640">
        <v>28717</v>
      </c>
      <c r="J88" s="162">
        <f>Расчеты!Q123</f>
        <v>28070</v>
      </c>
      <c r="T88" s="654"/>
      <c r="U88" s="655" t="s">
        <v>9376</v>
      </c>
      <c r="V88" s="654" t="s">
        <v>9007</v>
      </c>
      <c r="W88" s="654">
        <v>8732</v>
      </c>
      <c r="X88" s="654">
        <v>15942</v>
      </c>
      <c r="Y88" s="655">
        <v>18859</v>
      </c>
      <c r="Z88" s="654">
        <v>21841</v>
      </c>
      <c r="AA88" s="654">
        <v>22526</v>
      </c>
      <c r="AB88" s="654">
        <v>29114</v>
      </c>
      <c r="AC88" s="654">
        <v>29217</v>
      </c>
      <c r="AD88" s="654"/>
    </row>
    <row r="89" spans="2:30" ht="68" x14ac:dyDescent="0.2">
      <c r="B89" s="168" t="s">
        <v>9376</v>
      </c>
      <c r="C89" s="640" t="s">
        <v>9007</v>
      </c>
      <c r="D89" s="640">
        <v>8732</v>
      </c>
      <c r="E89" s="640">
        <v>15942</v>
      </c>
      <c r="F89" s="640">
        <v>18859</v>
      </c>
      <c r="G89" s="640">
        <v>21841</v>
      </c>
      <c r="H89" s="640">
        <v>22887</v>
      </c>
      <c r="I89" s="640">
        <v>29114</v>
      </c>
      <c r="J89" s="162">
        <f>Расчеты!Q117</f>
        <v>29371</v>
      </c>
      <c r="T89" s="654"/>
      <c r="U89" s="655" t="s">
        <v>9377</v>
      </c>
      <c r="V89" s="654" t="s">
        <v>9007</v>
      </c>
      <c r="W89" s="654">
        <v>729</v>
      </c>
      <c r="X89" s="654">
        <v>452</v>
      </c>
      <c r="Y89" s="655" t="s">
        <v>4906</v>
      </c>
      <c r="Z89" s="654" t="s">
        <v>4906</v>
      </c>
      <c r="AA89" s="654" t="s">
        <v>4906</v>
      </c>
      <c r="AB89" s="654" t="s">
        <v>4906</v>
      </c>
      <c r="AC89" s="654" t="s">
        <v>4906</v>
      </c>
      <c r="AD89" s="654"/>
    </row>
    <row r="90" spans="2:30" ht="34" x14ac:dyDescent="0.2">
      <c r="B90" s="168" t="s">
        <v>9377</v>
      </c>
      <c r="C90" s="640" t="s">
        <v>9007</v>
      </c>
      <c r="D90" s="640">
        <v>729</v>
      </c>
      <c r="E90" s="640">
        <v>452</v>
      </c>
      <c r="F90" s="640" t="s">
        <v>4906</v>
      </c>
      <c r="G90" s="640" t="s">
        <v>4906</v>
      </c>
      <c r="H90" s="640" t="s">
        <v>4906</v>
      </c>
      <c r="I90" s="640" t="s">
        <v>4906</v>
      </c>
      <c r="J90" s="640" t="s">
        <v>4906</v>
      </c>
      <c r="T90" s="654"/>
      <c r="U90" s="654"/>
      <c r="V90" s="654"/>
      <c r="W90" s="654"/>
      <c r="X90" s="654"/>
      <c r="Y90" s="655"/>
      <c r="Z90" s="654"/>
      <c r="AA90" s="654"/>
      <c r="AB90" s="654"/>
      <c r="AC90" s="654"/>
      <c r="AD90" s="654"/>
    </row>
    <row r="92" spans="2:30" ht="34" customHeight="1" x14ac:dyDescent="0.2">
      <c r="B92" s="1243" t="s">
        <v>9380</v>
      </c>
      <c r="C92" s="1243"/>
      <c r="D92" s="1243"/>
      <c r="E92" s="1243"/>
      <c r="F92" s="1243"/>
      <c r="G92" s="1243"/>
      <c r="H92" s="1243"/>
      <c r="I92" s="1243"/>
      <c r="J92" s="1243"/>
    </row>
    <row r="93" spans="2:30" x14ac:dyDescent="0.2">
      <c r="B93" s="640"/>
      <c r="C93" s="640">
        <v>2015</v>
      </c>
      <c r="D93" s="640">
        <v>2016</v>
      </c>
      <c r="E93" s="640">
        <v>2017</v>
      </c>
      <c r="F93" s="640">
        <v>2018</v>
      </c>
      <c r="G93" s="640">
        <v>2019</v>
      </c>
      <c r="H93" s="640">
        <v>2020</v>
      </c>
      <c r="I93" s="640">
        <v>2021</v>
      </c>
      <c r="J93" s="640">
        <v>2022</v>
      </c>
    </row>
    <row r="94" spans="2:30" ht="34" x14ac:dyDescent="0.2">
      <c r="B94" s="563" t="s">
        <v>9079</v>
      </c>
      <c r="C94" s="640" t="s">
        <v>4906</v>
      </c>
      <c r="D94" s="640">
        <v>8732</v>
      </c>
      <c r="E94" s="640">
        <v>15942</v>
      </c>
      <c r="F94" s="640">
        <v>18859</v>
      </c>
      <c r="G94" s="640">
        <v>21841</v>
      </c>
      <c r="H94" s="640">
        <v>22887</v>
      </c>
      <c r="I94" s="640">
        <v>29114</v>
      </c>
      <c r="J94" s="164">
        <f>J89</f>
        <v>29371</v>
      </c>
    </row>
    <row r="95" spans="2:30" ht="34" x14ac:dyDescent="0.2">
      <c r="B95" s="563" t="s">
        <v>9423</v>
      </c>
      <c r="C95" s="640" t="s">
        <v>4906</v>
      </c>
      <c r="D95" s="642">
        <v>0.80114521300961983</v>
      </c>
      <c r="E95" s="642">
        <v>0.90965584374607955</v>
      </c>
      <c r="F95" s="642">
        <v>1.0241420880237551</v>
      </c>
      <c r="G95" s="642">
        <v>1.1017895808923586</v>
      </c>
      <c r="H95" s="642">
        <v>1.3898151789225324</v>
      </c>
      <c r="I95" s="642">
        <v>1.3553325086417458</v>
      </c>
      <c r="J95" s="163">
        <f>J4/J94</f>
        <v>1.5208274016368462</v>
      </c>
      <c r="K95" s="568">
        <f>J95-I95</f>
        <v>0.16549489299510034</v>
      </c>
    </row>
    <row r="96" spans="2:30" ht="68" x14ac:dyDescent="0.2">
      <c r="B96" s="563" t="s">
        <v>9379</v>
      </c>
      <c r="C96" s="640" t="s">
        <v>4906</v>
      </c>
      <c r="D96" s="642">
        <v>0.72055657352267533</v>
      </c>
      <c r="E96" s="642">
        <v>0.83882161755112283</v>
      </c>
      <c r="F96" s="642">
        <v>0.92111011824221845</v>
      </c>
      <c r="G96" s="642">
        <v>1.0019637975774918</v>
      </c>
      <c r="H96" s="642">
        <v>1.3018123910560579</v>
      </c>
      <c r="I96" s="642">
        <v>1.2579915197185481</v>
      </c>
      <c r="J96" s="163">
        <f>AG31/J94</f>
        <v>1.409201016754507</v>
      </c>
    </row>
    <row r="97" spans="2:10" ht="51" x14ac:dyDescent="0.2">
      <c r="B97" s="563" t="s">
        <v>9451</v>
      </c>
      <c r="C97" s="640" t="s">
        <v>4906</v>
      </c>
      <c r="D97" s="642">
        <v>0.58779202931745311</v>
      </c>
      <c r="E97" s="642">
        <v>0.48168116415757128</v>
      </c>
      <c r="F97" s="642">
        <v>0.55672697043533592</v>
      </c>
      <c r="G97" s="642">
        <v>0.60027867245089517</v>
      </c>
      <c r="H97" s="642">
        <v>0.73449119587538769</v>
      </c>
      <c r="I97" s="642">
        <v>0.72483295115271007</v>
      </c>
      <c r="J97" s="163">
        <f>J5/J94</f>
        <v>0.8135222818169402</v>
      </c>
    </row>
    <row r="98" spans="2:10" ht="51" x14ac:dyDescent="0.2">
      <c r="B98" s="563" t="s">
        <v>9419</v>
      </c>
      <c r="C98" s="640" t="s">
        <v>4906</v>
      </c>
      <c r="D98" s="642">
        <v>0.13021071919377003</v>
      </c>
      <c r="E98" s="642">
        <v>0.11986282197967633</v>
      </c>
      <c r="F98" s="642">
        <v>0.15719648970836206</v>
      </c>
      <c r="G98" s="642">
        <v>0.18028211372968272</v>
      </c>
      <c r="H98" s="642">
        <v>0.22022108620614322</v>
      </c>
      <c r="I98" s="642">
        <v>0.23214174715586341</v>
      </c>
      <c r="J98" s="163">
        <f ca="1">J8/J94</f>
        <v>0.25713155741875532</v>
      </c>
    </row>
    <row r="99" spans="2:10" ht="51" x14ac:dyDescent="0.2">
      <c r="B99" s="563" t="s">
        <v>9090</v>
      </c>
      <c r="C99" s="640" t="s">
        <v>4906</v>
      </c>
      <c r="D99" s="642">
        <v>8.0588639486944572E-2</v>
      </c>
      <c r="E99" s="642">
        <v>7.0834226194956718E-2</v>
      </c>
      <c r="F99" s="642">
        <v>0.10303212206691764</v>
      </c>
      <c r="G99" s="642">
        <v>9.9830776875600949E-2</v>
      </c>
      <c r="H99" s="642">
        <v>8.8000596845370718E-2</v>
      </c>
      <c r="I99" s="642">
        <v>9.7340996114927511E-2</v>
      </c>
      <c r="J99" s="163">
        <f>AG35/J94</f>
        <v>0.10387213626976294</v>
      </c>
    </row>
    <row r="104" spans="2:10" ht="27" customHeight="1" x14ac:dyDescent="0.2">
      <c r="B104" s="1239" t="s">
        <v>9421</v>
      </c>
      <c r="C104" s="1239"/>
      <c r="D104" s="1239"/>
      <c r="E104" s="1239"/>
    </row>
    <row r="105" spans="2:10" x14ac:dyDescent="0.2">
      <c r="B105" s="22"/>
      <c r="C105" s="22" t="s">
        <v>9388</v>
      </c>
      <c r="D105" s="22" t="s">
        <v>9389</v>
      </c>
      <c r="E105" s="643" t="s">
        <v>9387</v>
      </c>
    </row>
    <row r="106" spans="2:10" x14ac:dyDescent="0.2">
      <c r="B106" s="22" t="s">
        <v>9310</v>
      </c>
      <c r="C106" s="22">
        <v>2</v>
      </c>
      <c r="D106" s="22"/>
      <c r="E106" s="643">
        <v>2</v>
      </c>
    </row>
    <row r="107" spans="2:10" x14ac:dyDescent="0.2">
      <c r="B107" s="22" t="s">
        <v>9302</v>
      </c>
      <c r="C107" s="22">
        <v>71</v>
      </c>
      <c r="D107" s="22">
        <v>73</v>
      </c>
      <c r="E107" s="643">
        <v>144</v>
      </c>
    </row>
    <row r="108" spans="2:10" x14ac:dyDescent="0.2">
      <c r="B108" s="22" t="s">
        <v>9390</v>
      </c>
      <c r="C108" s="22">
        <v>4</v>
      </c>
      <c r="D108" s="22">
        <v>15</v>
      </c>
      <c r="E108" s="643">
        <v>19</v>
      </c>
    </row>
    <row r="109" spans="2:10" x14ac:dyDescent="0.2">
      <c r="B109" s="22" t="s">
        <v>9305</v>
      </c>
      <c r="C109" s="22">
        <v>0</v>
      </c>
      <c r="D109" s="22">
        <v>162</v>
      </c>
      <c r="E109" s="643">
        <v>162</v>
      </c>
    </row>
    <row r="110" spans="2:10" x14ac:dyDescent="0.2">
      <c r="B110" s="22" t="s">
        <v>9391</v>
      </c>
      <c r="C110" s="22"/>
      <c r="D110" s="22">
        <v>1</v>
      </c>
      <c r="E110" s="643">
        <v>1</v>
      </c>
    </row>
    <row r="111" spans="2:10" x14ac:dyDescent="0.2">
      <c r="B111" s="22" t="s">
        <v>9392</v>
      </c>
      <c r="C111" s="22">
        <v>21</v>
      </c>
      <c r="D111" s="22"/>
      <c r="E111" s="643">
        <v>21</v>
      </c>
    </row>
    <row r="112" spans="2:10" x14ac:dyDescent="0.2">
      <c r="B112" s="22" t="s">
        <v>9393</v>
      </c>
      <c r="C112" s="22">
        <v>2</v>
      </c>
      <c r="D112" s="22">
        <v>2</v>
      </c>
      <c r="E112" s="643">
        <v>4</v>
      </c>
    </row>
    <row r="113" spans="2:5" x14ac:dyDescent="0.2">
      <c r="B113" s="22" t="s">
        <v>9394</v>
      </c>
      <c r="C113" s="22">
        <v>1</v>
      </c>
      <c r="D113" s="22">
        <v>1</v>
      </c>
      <c r="E113" s="643">
        <v>2</v>
      </c>
    </row>
    <row r="114" spans="2:5" x14ac:dyDescent="0.2">
      <c r="B114" s="22" t="s">
        <v>9307</v>
      </c>
      <c r="C114" s="22">
        <v>10</v>
      </c>
      <c r="D114" s="22">
        <v>9</v>
      </c>
      <c r="E114" s="643">
        <v>19</v>
      </c>
    </row>
    <row r="115" spans="2:5" x14ac:dyDescent="0.2">
      <c r="B115" s="22" t="s">
        <v>9304</v>
      </c>
      <c r="C115" s="22">
        <v>19</v>
      </c>
      <c r="D115" s="22"/>
      <c r="E115" s="643">
        <v>19</v>
      </c>
    </row>
    <row r="116" spans="2:5" x14ac:dyDescent="0.2">
      <c r="B116" s="22" t="s">
        <v>3236</v>
      </c>
      <c r="C116" s="22">
        <v>9</v>
      </c>
      <c r="D116" s="22">
        <v>19</v>
      </c>
      <c r="E116" s="643">
        <v>28</v>
      </c>
    </row>
    <row r="117" spans="2:5" x14ac:dyDescent="0.2">
      <c r="B117" s="22" t="s">
        <v>6701</v>
      </c>
      <c r="C117" s="22">
        <v>2</v>
      </c>
      <c r="D117" s="22">
        <v>15</v>
      </c>
      <c r="E117" s="643">
        <v>17</v>
      </c>
    </row>
    <row r="118" spans="2:5" x14ac:dyDescent="0.2">
      <c r="B118" s="644" t="s">
        <v>9387</v>
      </c>
      <c r="C118" s="643">
        <f>SUM(C106:C117)</f>
        <v>141</v>
      </c>
      <c r="D118" s="643">
        <f t="shared" ref="D118:E118" si="0">SUM(D106:D117)</f>
        <v>297</v>
      </c>
      <c r="E118" s="643">
        <f t="shared" si="0"/>
        <v>438</v>
      </c>
    </row>
    <row r="120" spans="2:5" ht="17" thickBot="1" x14ac:dyDescent="0.25"/>
    <row r="121" spans="2:5" ht="59" customHeight="1" thickBot="1" x14ac:dyDescent="0.25">
      <c r="B121" s="1240" t="s">
        <v>9420</v>
      </c>
      <c r="C121" s="1240"/>
      <c r="D121" s="1240"/>
    </row>
    <row r="122" spans="2:5" ht="35" thickBot="1" x14ac:dyDescent="0.25">
      <c r="B122" s="645" t="s">
        <v>9325</v>
      </c>
      <c r="C122" s="646" t="s">
        <v>9417</v>
      </c>
      <c r="D122" s="646" t="s">
        <v>9418</v>
      </c>
    </row>
    <row r="123" spans="2:5" ht="35" thickBot="1" x14ac:dyDescent="0.25">
      <c r="B123" s="647" t="s">
        <v>9326</v>
      </c>
      <c r="C123" s="648">
        <f>Расчеты!Q45</f>
        <v>41156.824882866604</v>
      </c>
      <c r="D123" s="648">
        <f>Расчеты!Q46</f>
        <v>3511.3967306092081</v>
      </c>
    </row>
    <row r="124" spans="2:5" ht="52" thickBot="1" x14ac:dyDescent="0.25">
      <c r="B124" s="647" t="s">
        <v>9345</v>
      </c>
      <c r="C124" s="648">
        <f ca="1">SUM(C125:C127)</f>
        <v>38588.868985256624</v>
      </c>
      <c r="D124" s="648">
        <f ca="1">SUM(D125:D127)</f>
        <v>2820.588077840001</v>
      </c>
    </row>
    <row r="125" spans="2:5" ht="52" thickBot="1" x14ac:dyDescent="0.25">
      <c r="B125" s="646" t="s">
        <v>9346</v>
      </c>
      <c r="C125" s="649">
        <f>Расчеты!Q144</f>
        <v>9963.2831509050138</v>
      </c>
      <c r="D125" s="649">
        <f>Расчеты!Q160</f>
        <v>0</v>
      </c>
    </row>
    <row r="126" spans="2:5" ht="52" thickBot="1" x14ac:dyDescent="0.25">
      <c r="B126" s="646" t="s">
        <v>9347</v>
      </c>
      <c r="C126" s="649">
        <f>Расчеты!Q134</f>
        <v>23893.96293924535</v>
      </c>
      <c r="D126" s="649">
        <f>Расчеты!Q150</f>
        <v>0</v>
      </c>
    </row>
    <row r="127" spans="2:5" ht="52" thickBot="1" x14ac:dyDescent="0.25">
      <c r="B127" s="646" t="s">
        <v>9348</v>
      </c>
      <c r="C127" s="649">
        <f ca="1">Расчеты!Q136</f>
        <v>4731.6228951062612</v>
      </c>
      <c r="D127" s="649">
        <f ca="1">Расчеты!Q152</f>
        <v>2820.588077840001</v>
      </c>
    </row>
    <row r="128" spans="2:5" ht="52" thickBot="1" x14ac:dyDescent="0.25">
      <c r="B128" s="647" t="s">
        <v>9349</v>
      </c>
      <c r="C128" s="648">
        <f>SUM(C129:C131)</f>
        <v>2567.9558976100002</v>
      </c>
      <c r="D128" s="648">
        <f>SUM(D129:D131)</f>
        <v>482.87261676920741</v>
      </c>
    </row>
    <row r="129" spans="2:4" ht="52" thickBot="1" x14ac:dyDescent="0.25">
      <c r="B129" s="646" t="s">
        <v>9350</v>
      </c>
      <c r="C129" s="649">
        <f>Расчеты!Q138</f>
        <v>1393.7959543899999</v>
      </c>
      <c r="D129" s="649">
        <f>Расчеты!Q154</f>
        <v>148.60382477920749</v>
      </c>
    </row>
    <row r="130" spans="2:4" ht="69" thickBot="1" x14ac:dyDescent="0.25">
      <c r="B130" s="646" t="s">
        <v>9351</v>
      </c>
      <c r="C130" s="649">
        <f>Расчеты!Q140</f>
        <v>415.53845023000002</v>
      </c>
      <c r="D130" s="649">
        <f>Расчеты!Q156</f>
        <v>290.64157799999998</v>
      </c>
    </row>
    <row r="131" spans="2:4" ht="18" thickBot="1" x14ac:dyDescent="0.25">
      <c r="B131" s="646" t="s">
        <v>9441</v>
      </c>
      <c r="C131" s="649">
        <f>Расчеты!Q142</f>
        <v>758.62149299000009</v>
      </c>
      <c r="D131" s="649">
        <f>Расчеты!Q158</f>
        <v>43.627213989999994</v>
      </c>
    </row>
    <row r="134" spans="2:4" ht="17" thickBot="1" x14ac:dyDescent="0.25"/>
    <row r="135" spans="2:4" ht="37" customHeight="1" thickBot="1" x14ac:dyDescent="0.25">
      <c r="B135" s="1240" t="s">
        <v>9446</v>
      </c>
      <c r="C135" s="1240"/>
      <c r="D135" s="1240"/>
    </row>
    <row r="136" spans="2:4" ht="35" thickBot="1" x14ac:dyDescent="0.25">
      <c r="B136" s="646"/>
      <c r="C136" s="646" t="s">
        <v>9417</v>
      </c>
      <c r="D136" s="646" t="s">
        <v>9418</v>
      </c>
    </row>
    <row r="137" spans="2:4" ht="45" customHeight="1" thickBot="1" x14ac:dyDescent="0.25">
      <c r="B137" s="646" t="s">
        <v>9079</v>
      </c>
      <c r="C137" s="645">
        <f>Расчеты!Q147</f>
        <v>27045</v>
      </c>
      <c r="D137" s="645">
        <f>Расчеты!Q163</f>
        <v>2326</v>
      </c>
    </row>
    <row r="138" spans="2:4" ht="35" thickBot="1" x14ac:dyDescent="0.25">
      <c r="B138" s="646" t="s">
        <v>9422</v>
      </c>
      <c r="C138" s="649">
        <f>C123/C137</f>
        <v>1.5217905299636385</v>
      </c>
      <c r="D138" s="649">
        <f>D123/D137</f>
        <v>1.5096288609669855</v>
      </c>
    </row>
    <row r="139" spans="2:4" ht="52" thickBot="1" x14ac:dyDescent="0.25">
      <c r="B139" s="646" t="s">
        <v>9087</v>
      </c>
      <c r="C139" s="649">
        <f>C126/C137</f>
        <v>0.88348910849492879</v>
      </c>
      <c r="D139" s="649">
        <f>D126/D137</f>
        <v>0</v>
      </c>
    </row>
    <row r="140" spans="2:4" ht="52" thickBot="1" x14ac:dyDescent="0.25">
      <c r="B140" s="646" t="s">
        <v>9419</v>
      </c>
      <c r="C140" s="649">
        <f ca="1">C127/C137</f>
        <v>0.17495370290649884</v>
      </c>
      <c r="D140" s="649">
        <f ca="1">D127/D137</f>
        <v>1.2126345992433367</v>
      </c>
    </row>
    <row r="141" spans="2:4" ht="52" thickBot="1" x14ac:dyDescent="0.25">
      <c r="B141" s="646" t="s">
        <v>9090</v>
      </c>
      <c r="C141" s="649">
        <f>C128/C137</f>
        <v>9.4951225646515078E-2</v>
      </c>
      <c r="D141" s="649">
        <f>D128/D137</f>
        <v>0.20759785759639185</v>
      </c>
    </row>
    <row r="146" spans="2:7" x14ac:dyDescent="0.2">
      <c r="B146" s="170">
        <v>2017</v>
      </c>
      <c r="C146" s="170">
        <v>2018</v>
      </c>
      <c r="D146" s="170">
        <v>2019</v>
      </c>
      <c r="E146" s="170">
        <v>2020</v>
      </c>
      <c r="F146" s="170">
        <v>2021</v>
      </c>
      <c r="G146" s="170">
        <v>2022</v>
      </c>
    </row>
    <row r="147" spans="2:7" x14ac:dyDescent="0.2">
      <c r="B147" s="170">
        <v>30.42</v>
      </c>
      <c r="C147" s="170">
        <v>23.27</v>
      </c>
      <c r="D147" s="170">
        <v>34.299999999999997</v>
      </c>
      <c r="E147" s="170">
        <v>43.16</v>
      </c>
      <c r="F147" s="170">
        <v>40.39</v>
      </c>
      <c r="G147" s="170">
        <v>38.92</v>
      </c>
    </row>
    <row r="169" spans="3:3" x14ac:dyDescent="0.2">
      <c r="C169" s="170" t="s">
        <v>9588</v>
      </c>
    </row>
  </sheetData>
  <mergeCells count="10">
    <mergeCell ref="B40:J40"/>
    <mergeCell ref="B54:I54"/>
    <mergeCell ref="B2:J2"/>
    <mergeCell ref="B15:J15"/>
    <mergeCell ref="B27:J27"/>
    <mergeCell ref="B104:E104"/>
    <mergeCell ref="B121:D121"/>
    <mergeCell ref="B135:D135"/>
    <mergeCell ref="B84:J84"/>
    <mergeCell ref="B92:J92"/>
  </mergeCells>
  <phoneticPr fontId="17"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0EBD1-42FD-874D-A3D5-B710689F6DF5}">
  <dimension ref="D3:Q56"/>
  <sheetViews>
    <sheetView topLeftCell="C1" workbookViewId="0">
      <selection activeCell="H15" sqref="H15"/>
    </sheetView>
  </sheetViews>
  <sheetFormatPr baseColWidth="10" defaultRowHeight="16" x14ac:dyDescent="0.2"/>
  <cols>
    <col min="4" max="4" width="15.33203125" customWidth="1"/>
    <col min="5" max="5" width="20" customWidth="1"/>
    <col min="6" max="6" width="19.5" customWidth="1"/>
    <col min="7" max="7" width="19.6640625" customWidth="1"/>
    <col min="8" max="8" width="20.33203125" customWidth="1"/>
  </cols>
  <sheetData>
    <row r="3" spans="4:17" ht="95" x14ac:dyDescent="0.2">
      <c r="D3" s="8" t="s">
        <v>9450</v>
      </c>
      <c r="E3" s="8" t="s">
        <v>9395</v>
      </c>
      <c r="F3" s="8" t="s">
        <v>9396</v>
      </c>
      <c r="G3" s="8" t="s">
        <v>9397</v>
      </c>
      <c r="H3" s="8" t="s">
        <v>9449</v>
      </c>
    </row>
    <row r="4" spans="4:17" ht="18" x14ac:dyDescent="0.2">
      <c r="D4" s="9" t="s">
        <v>9398</v>
      </c>
      <c r="E4" s="9">
        <v>18</v>
      </c>
      <c r="F4" s="9">
        <v>17</v>
      </c>
      <c r="G4" s="9">
        <v>35</v>
      </c>
      <c r="H4" s="11">
        <v>17</v>
      </c>
    </row>
    <row r="5" spans="4:17" ht="18" x14ac:dyDescent="0.2">
      <c r="D5" s="9" t="s">
        <v>9399</v>
      </c>
      <c r="E5" s="9">
        <v>11</v>
      </c>
      <c r="F5" s="9">
        <v>11</v>
      </c>
      <c r="G5" s="9">
        <v>26</v>
      </c>
      <c r="H5" s="11">
        <v>31</v>
      </c>
    </row>
    <row r="6" spans="4:17" ht="18" x14ac:dyDescent="0.2">
      <c r="D6" s="9" t="s">
        <v>9400</v>
      </c>
      <c r="E6" s="9">
        <v>8</v>
      </c>
      <c r="F6" s="9">
        <v>8</v>
      </c>
      <c r="G6" s="9">
        <v>9</v>
      </c>
      <c r="H6" s="11">
        <v>64</v>
      </c>
    </row>
    <row r="7" spans="4:17" ht="18" x14ac:dyDescent="0.2">
      <c r="D7" s="9" t="s">
        <v>9401</v>
      </c>
      <c r="E7" s="9">
        <v>11</v>
      </c>
      <c r="F7" s="9">
        <v>9</v>
      </c>
      <c r="G7" s="9">
        <v>14</v>
      </c>
      <c r="H7" s="11">
        <v>8</v>
      </c>
    </row>
    <row r="8" spans="4:17" ht="18" x14ac:dyDescent="0.2">
      <c r="D8" s="9" t="s">
        <v>9402</v>
      </c>
      <c r="E8" s="9">
        <v>8</v>
      </c>
      <c r="F8" s="9">
        <v>5</v>
      </c>
      <c r="G8" s="9">
        <v>6</v>
      </c>
      <c r="H8" s="11">
        <v>25</v>
      </c>
    </row>
    <row r="9" spans="4:17" ht="18" x14ac:dyDescent="0.2">
      <c r="D9" s="9" t="s">
        <v>9403</v>
      </c>
      <c r="E9" s="9">
        <v>14</v>
      </c>
      <c r="F9" s="9">
        <v>13</v>
      </c>
      <c r="G9" s="9">
        <v>25</v>
      </c>
      <c r="H9" s="11">
        <v>105</v>
      </c>
    </row>
    <row r="10" spans="4:17" ht="18" x14ac:dyDescent="0.2">
      <c r="D10" s="9" t="s">
        <v>9404</v>
      </c>
      <c r="E10" s="9">
        <v>6</v>
      </c>
      <c r="F10" s="9">
        <v>6</v>
      </c>
      <c r="G10" s="9">
        <v>12</v>
      </c>
      <c r="H10" s="11">
        <v>40</v>
      </c>
    </row>
    <row r="11" spans="4:17" ht="18" x14ac:dyDescent="0.2">
      <c r="D11" s="9" t="s">
        <v>9405</v>
      </c>
      <c r="E11" s="9">
        <v>10</v>
      </c>
      <c r="F11" s="9">
        <v>8</v>
      </c>
      <c r="G11" s="9">
        <v>14</v>
      </c>
      <c r="H11" s="12">
        <v>8</v>
      </c>
      <c r="I11" s="13"/>
      <c r="J11" s="13"/>
      <c r="K11" s="13"/>
      <c r="L11" s="13"/>
      <c r="M11" s="13"/>
      <c r="N11" s="13"/>
      <c r="O11" s="13"/>
      <c r="P11" s="13"/>
      <c r="Q11" s="13"/>
    </row>
    <row r="12" spans="4:17" ht="63" customHeight="1" x14ac:dyDescent="0.2">
      <c r="D12" s="1246" t="s">
        <v>9447</v>
      </c>
      <c r="E12" s="1247"/>
      <c r="F12" s="1247"/>
      <c r="G12" s="1247"/>
      <c r="H12" s="1247"/>
      <c r="I12" s="13"/>
      <c r="J12" s="13"/>
      <c r="K12" s="13"/>
      <c r="L12" s="13"/>
      <c r="M12" s="13"/>
      <c r="N12" s="13"/>
      <c r="O12" s="13"/>
      <c r="P12" s="13"/>
      <c r="Q12" s="13"/>
    </row>
    <row r="13" spans="4:17" x14ac:dyDescent="0.2">
      <c r="I13" s="13"/>
      <c r="J13" s="13"/>
      <c r="K13" s="13"/>
      <c r="L13" s="13"/>
      <c r="M13" s="13"/>
      <c r="N13" s="13"/>
      <c r="O13" s="13"/>
      <c r="P13" s="13"/>
      <c r="Q13" s="13"/>
    </row>
    <row r="14" spans="4:17" x14ac:dyDescent="0.2">
      <c r="I14" s="13"/>
      <c r="J14" s="13"/>
      <c r="K14" s="13"/>
      <c r="L14" s="13"/>
      <c r="M14" s="13"/>
      <c r="N14" s="13"/>
      <c r="O14" s="13"/>
      <c r="P14" s="13"/>
      <c r="Q14" s="13"/>
    </row>
    <row r="15" spans="4:17" ht="85" x14ac:dyDescent="0.2">
      <c r="I15" s="13"/>
      <c r="J15" s="14" t="s">
        <v>9406</v>
      </c>
      <c r="K15" s="14" t="s">
        <v>12</v>
      </c>
      <c r="L15" s="15" t="s">
        <v>9407</v>
      </c>
      <c r="M15" s="15" t="s">
        <v>9408</v>
      </c>
      <c r="N15" s="15" t="s">
        <v>9409</v>
      </c>
      <c r="O15" s="13"/>
      <c r="P15" s="13"/>
      <c r="Q15" s="13"/>
    </row>
    <row r="16" spans="4:17" ht="34" x14ac:dyDescent="0.2">
      <c r="I16" s="13"/>
      <c r="J16" s="1248" t="s">
        <v>9401</v>
      </c>
      <c r="K16" s="15" t="s">
        <v>9410</v>
      </c>
      <c r="L16" s="16">
        <v>5.4000000000000003E-3</v>
      </c>
      <c r="M16" s="14">
        <v>3</v>
      </c>
      <c r="N16" s="14">
        <v>1890.1</v>
      </c>
      <c r="O16" s="13"/>
      <c r="P16" s="13"/>
      <c r="Q16" s="13"/>
    </row>
    <row r="17" spans="9:17" ht="51" x14ac:dyDescent="0.2">
      <c r="I17" s="13"/>
      <c r="J17" s="1248"/>
      <c r="K17" s="15" t="s">
        <v>9411</v>
      </c>
      <c r="L17" s="16">
        <v>2.2000000000000001E-3</v>
      </c>
      <c r="M17" s="14">
        <v>1</v>
      </c>
      <c r="N17" s="14">
        <v>514.41</v>
      </c>
      <c r="O17" s="13"/>
      <c r="P17" s="13"/>
      <c r="Q17" s="13"/>
    </row>
    <row r="18" spans="9:17" ht="34" x14ac:dyDescent="0.2">
      <c r="I18" s="13"/>
      <c r="J18" s="1248"/>
      <c r="K18" s="15" t="s">
        <v>379</v>
      </c>
      <c r="L18" s="16">
        <v>1.6000000000000001E-3</v>
      </c>
      <c r="M18" s="14">
        <v>1</v>
      </c>
      <c r="N18" s="14">
        <v>183.13</v>
      </c>
      <c r="O18" s="13"/>
      <c r="P18" s="13"/>
      <c r="Q18" s="13"/>
    </row>
    <row r="19" spans="9:17" ht="34" x14ac:dyDescent="0.2">
      <c r="I19" s="13"/>
      <c r="J19" s="1248"/>
      <c r="K19" s="15" t="s">
        <v>458</v>
      </c>
      <c r="L19" s="16">
        <v>8.0000000000000004E-4</v>
      </c>
      <c r="M19" s="14">
        <v>2</v>
      </c>
      <c r="N19" s="14">
        <v>723.83</v>
      </c>
      <c r="O19" s="13"/>
      <c r="P19" s="13"/>
      <c r="Q19" s="13"/>
    </row>
    <row r="20" spans="9:17" ht="34" x14ac:dyDescent="0.2">
      <c r="I20" s="13"/>
      <c r="J20" s="1248"/>
      <c r="K20" s="15" t="s">
        <v>452</v>
      </c>
      <c r="L20" s="16">
        <v>5.0000000000000001E-4</v>
      </c>
      <c r="M20" s="14">
        <v>5</v>
      </c>
      <c r="N20" s="14">
        <v>98.87</v>
      </c>
      <c r="O20" s="13"/>
      <c r="P20" s="13"/>
      <c r="Q20" s="13"/>
    </row>
    <row r="21" spans="9:17" ht="51" x14ac:dyDescent="0.2">
      <c r="I21" s="13"/>
      <c r="J21" s="1248" t="s">
        <v>9403</v>
      </c>
      <c r="K21" s="15" t="s">
        <v>9412</v>
      </c>
      <c r="L21" s="16">
        <v>8.6E-3</v>
      </c>
      <c r="M21" s="14">
        <v>7</v>
      </c>
      <c r="N21" s="14">
        <v>554.01</v>
      </c>
      <c r="O21" s="13"/>
      <c r="P21" s="13"/>
      <c r="Q21" s="13"/>
    </row>
    <row r="22" spans="9:17" ht="34" x14ac:dyDescent="0.2">
      <c r="I22" s="13"/>
      <c r="J22" s="1248"/>
      <c r="K22" s="15" t="s">
        <v>9413</v>
      </c>
      <c r="L22" s="16">
        <v>6.3E-3</v>
      </c>
      <c r="M22" s="14">
        <v>2</v>
      </c>
      <c r="N22" s="14">
        <v>372.85</v>
      </c>
      <c r="O22" s="13"/>
      <c r="P22" s="13"/>
      <c r="Q22" s="13"/>
    </row>
    <row r="23" spans="9:17" ht="51" x14ac:dyDescent="0.2">
      <c r="I23" s="13"/>
      <c r="J23" s="1248"/>
      <c r="K23" s="15" t="s">
        <v>421</v>
      </c>
      <c r="L23" s="16">
        <v>6.0000000000000001E-3</v>
      </c>
      <c r="M23" s="14">
        <v>3</v>
      </c>
      <c r="N23" s="14">
        <v>379.48</v>
      </c>
      <c r="O23" s="13"/>
      <c r="P23" s="13"/>
      <c r="Q23" s="13"/>
    </row>
    <row r="24" spans="9:17" ht="34" x14ac:dyDescent="0.2">
      <c r="I24" s="13"/>
      <c r="J24" s="1248"/>
      <c r="K24" s="15" t="s">
        <v>9414</v>
      </c>
      <c r="L24" s="16">
        <v>3.7000000000000002E-3</v>
      </c>
      <c r="M24" s="14">
        <v>2</v>
      </c>
      <c r="N24" s="14">
        <v>6.12</v>
      </c>
      <c r="O24" s="13"/>
      <c r="P24" s="13"/>
      <c r="Q24" s="13"/>
    </row>
    <row r="25" spans="9:17" ht="34" x14ac:dyDescent="0.2">
      <c r="I25" s="13"/>
      <c r="J25" s="1248"/>
      <c r="K25" s="15" t="s">
        <v>404</v>
      </c>
      <c r="L25" s="16">
        <v>3.3999999999999998E-3</v>
      </c>
      <c r="M25" s="14">
        <v>3</v>
      </c>
      <c r="N25" s="14">
        <v>188.27</v>
      </c>
      <c r="O25" s="13"/>
      <c r="P25" s="13"/>
      <c r="Q25" s="13"/>
    </row>
    <row r="26" spans="9:17" ht="34" x14ac:dyDescent="0.2">
      <c r="I26" s="13"/>
      <c r="J26" s="14" t="s">
        <v>9402</v>
      </c>
      <c r="K26" s="15" t="s">
        <v>442</v>
      </c>
      <c r="L26" s="16">
        <v>2.8999999999999998E-3</v>
      </c>
      <c r="M26" s="14">
        <v>4</v>
      </c>
      <c r="N26" s="14">
        <v>153.93</v>
      </c>
      <c r="O26" s="13"/>
      <c r="P26" s="13"/>
      <c r="Q26" s="13"/>
    </row>
    <row r="27" spans="9:17" ht="34" x14ac:dyDescent="0.2">
      <c r="I27" s="13"/>
      <c r="J27" s="1248" t="s">
        <v>9400</v>
      </c>
      <c r="K27" s="15" t="s">
        <v>439</v>
      </c>
      <c r="L27" s="16">
        <v>1.2999999999999999E-3</v>
      </c>
      <c r="M27" s="14">
        <v>1</v>
      </c>
      <c r="N27" s="14">
        <v>166.99</v>
      </c>
      <c r="O27" s="13"/>
      <c r="P27" s="13"/>
      <c r="Q27" s="13"/>
    </row>
    <row r="28" spans="9:17" ht="34" x14ac:dyDescent="0.2">
      <c r="I28" s="13"/>
      <c r="J28" s="1248"/>
      <c r="K28" s="15" t="s">
        <v>9415</v>
      </c>
      <c r="L28" s="16">
        <v>1E-3</v>
      </c>
      <c r="M28" s="14">
        <v>2</v>
      </c>
      <c r="N28" s="14">
        <v>85.47</v>
      </c>
      <c r="O28" s="13"/>
      <c r="P28" s="13"/>
      <c r="Q28" s="13"/>
    </row>
    <row r="29" spans="9:17" ht="34" x14ac:dyDescent="0.2">
      <c r="I29" s="13"/>
      <c r="J29" s="1249" t="s">
        <v>9398</v>
      </c>
      <c r="K29" s="15" t="s">
        <v>447</v>
      </c>
      <c r="L29" s="16">
        <v>6.3E-3</v>
      </c>
      <c r="M29" s="14">
        <v>1</v>
      </c>
      <c r="N29" s="14">
        <v>245.07</v>
      </c>
      <c r="O29" s="13"/>
      <c r="P29" s="13"/>
      <c r="Q29" s="13"/>
    </row>
    <row r="30" spans="9:17" ht="34" x14ac:dyDescent="0.2">
      <c r="I30" s="13"/>
      <c r="J30" s="1249"/>
      <c r="K30" s="15" t="s">
        <v>443</v>
      </c>
      <c r="L30" s="16">
        <v>3.7000000000000002E-3</v>
      </c>
      <c r="M30" s="14">
        <v>4</v>
      </c>
      <c r="N30" s="14">
        <v>205.13</v>
      </c>
      <c r="O30" s="13"/>
      <c r="P30" s="13"/>
      <c r="Q30" s="13"/>
    </row>
    <row r="31" spans="9:17" ht="34" x14ac:dyDescent="0.2">
      <c r="I31" s="13"/>
      <c r="J31" s="1249"/>
      <c r="K31" s="15" t="s">
        <v>460</v>
      </c>
      <c r="L31" s="16">
        <v>2E-3</v>
      </c>
      <c r="M31" s="14">
        <v>1</v>
      </c>
      <c r="N31" s="14">
        <v>117.2</v>
      </c>
      <c r="O31" s="13"/>
      <c r="P31" s="13"/>
      <c r="Q31" s="13"/>
    </row>
    <row r="32" spans="9:17" ht="51" x14ac:dyDescent="0.2">
      <c r="I32" s="13"/>
      <c r="J32" s="1248" t="s">
        <v>9399</v>
      </c>
      <c r="K32" s="15" t="s">
        <v>397</v>
      </c>
      <c r="L32" s="16">
        <v>5.28E-2</v>
      </c>
      <c r="M32" s="14">
        <v>4</v>
      </c>
      <c r="N32" s="14">
        <v>194.68</v>
      </c>
      <c r="O32" s="13"/>
      <c r="P32" s="13"/>
      <c r="Q32" s="13"/>
    </row>
    <row r="33" spans="9:17" ht="34" x14ac:dyDescent="0.2">
      <c r="I33" s="13"/>
      <c r="J33" s="1248"/>
      <c r="K33" s="15" t="s">
        <v>422</v>
      </c>
      <c r="L33" s="16">
        <v>1.3299999999999999E-2</v>
      </c>
      <c r="M33" s="14">
        <v>13</v>
      </c>
      <c r="N33" s="14">
        <v>542.44000000000005</v>
      </c>
      <c r="O33" s="13"/>
      <c r="P33" s="13"/>
      <c r="Q33" s="13"/>
    </row>
    <row r="34" spans="9:17" ht="34" x14ac:dyDescent="0.2">
      <c r="I34" s="13"/>
      <c r="J34" s="1248"/>
      <c r="K34" s="15" t="s">
        <v>412</v>
      </c>
      <c r="L34" s="16">
        <v>2.5999999999999999E-3</v>
      </c>
      <c r="M34" s="14">
        <v>2</v>
      </c>
      <c r="N34" s="14">
        <v>239.42</v>
      </c>
      <c r="O34" s="13"/>
      <c r="P34" s="13"/>
      <c r="Q34" s="13"/>
    </row>
    <row r="35" spans="9:17" ht="34" x14ac:dyDescent="0.2">
      <c r="I35" s="13"/>
      <c r="J35" s="1248"/>
      <c r="K35" s="15" t="s">
        <v>9416</v>
      </c>
      <c r="L35" s="16">
        <v>1.1999999999999999E-3</v>
      </c>
      <c r="M35" s="14">
        <v>1</v>
      </c>
      <c r="N35" s="14">
        <v>135.82</v>
      </c>
      <c r="O35" s="13"/>
      <c r="P35" s="13"/>
      <c r="Q35" s="13"/>
    </row>
    <row r="36" spans="9:17" ht="51" x14ac:dyDescent="0.2">
      <c r="I36" s="13"/>
      <c r="J36" s="1248" t="s">
        <v>9405</v>
      </c>
      <c r="K36" s="15" t="s">
        <v>423</v>
      </c>
      <c r="L36" s="16">
        <v>0.06</v>
      </c>
      <c r="M36" s="14">
        <v>1</v>
      </c>
      <c r="N36" s="14">
        <v>41.16</v>
      </c>
      <c r="O36" s="13"/>
      <c r="P36" s="13"/>
      <c r="Q36" s="13"/>
    </row>
    <row r="37" spans="9:17" ht="34" x14ac:dyDescent="0.2">
      <c r="I37" s="13"/>
      <c r="J37" s="1248"/>
      <c r="K37" s="15" t="s">
        <v>395</v>
      </c>
      <c r="L37" s="16">
        <v>3.8E-3</v>
      </c>
      <c r="M37" s="14">
        <v>1</v>
      </c>
      <c r="N37" s="14">
        <v>355.47</v>
      </c>
      <c r="O37" s="13"/>
      <c r="P37" s="13"/>
      <c r="Q37" s="13"/>
    </row>
    <row r="38" spans="9:17" ht="34" x14ac:dyDescent="0.2">
      <c r="I38" s="13"/>
      <c r="J38" s="1248"/>
      <c r="K38" s="15" t="s">
        <v>378</v>
      </c>
      <c r="L38" s="16">
        <v>1.8E-3</v>
      </c>
      <c r="M38" s="14">
        <v>2</v>
      </c>
      <c r="N38" s="14">
        <v>106.8</v>
      </c>
      <c r="O38" s="13"/>
      <c r="P38" s="13"/>
      <c r="Q38" s="13"/>
    </row>
    <row r="39" spans="9:17" ht="34" x14ac:dyDescent="0.2">
      <c r="I39" s="13"/>
      <c r="J39" s="1248" t="s">
        <v>9404</v>
      </c>
      <c r="K39" s="15" t="s">
        <v>449</v>
      </c>
      <c r="L39" s="16">
        <v>1.6999999999999999E-3</v>
      </c>
      <c r="M39" s="14">
        <v>4</v>
      </c>
      <c r="N39" s="14">
        <v>91.73</v>
      </c>
      <c r="O39" s="13"/>
      <c r="P39" s="13"/>
      <c r="Q39" s="13"/>
    </row>
    <row r="40" spans="9:17" ht="34" x14ac:dyDescent="0.2">
      <c r="I40" s="13"/>
      <c r="J40" s="1248"/>
      <c r="K40" s="15" t="s">
        <v>438</v>
      </c>
      <c r="L40" s="16">
        <v>4.0000000000000002E-4</v>
      </c>
      <c r="M40" s="14">
        <v>10</v>
      </c>
      <c r="N40" s="14">
        <v>29.91</v>
      </c>
      <c r="O40" s="13"/>
      <c r="P40" s="13"/>
      <c r="Q40" s="13"/>
    </row>
    <row r="41" spans="9:17" x14ac:dyDescent="0.2">
      <c r="I41" s="13"/>
      <c r="J41" s="13"/>
      <c r="K41" s="13"/>
      <c r="L41" s="13"/>
      <c r="M41" s="13"/>
      <c r="N41" s="13"/>
      <c r="O41" s="13"/>
      <c r="P41" s="13"/>
      <c r="Q41" s="13"/>
    </row>
    <row r="42" spans="9:17" x14ac:dyDescent="0.2">
      <c r="I42" s="13"/>
      <c r="J42" s="13"/>
      <c r="K42" s="13"/>
      <c r="L42" s="13"/>
      <c r="M42" s="13"/>
      <c r="N42" s="13"/>
      <c r="O42" s="13"/>
      <c r="P42" s="13"/>
      <c r="Q42" s="13"/>
    </row>
    <row r="43" spans="9:17" x14ac:dyDescent="0.2">
      <c r="I43" s="13"/>
      <c r="J43" s="13"/>
      <c r="K43" s="13"/>
      <c r="L43" s="13"/>
      <c r="M43" s="13"/>
      <c r="N43" s="13"/>
      <c r="O43" s="13"/>
      <c r="P43" s="13"/>
      <c r="Q43" s="13"/>
    </row>
    <row r="44" spans="9:17" x14ac:dyDescent="0.2">
      <c r="I44" s="13"/>
      <c r="J44" s="13"/>
      <c r="K44" s="13"/>
      <c r="L44" s="13"/>
      <c r="M44" s="13"/>
      <c r="N44" s="13"/>
      <c r="O44" s="13"/>
      <c r="P44" s="13"/>
      <c r="Q44" s="13"/>
    </row>
    <row r="45" spans="9:17" x14ac:dyDescent="0.2">
      <c r="I45" s="13"/>
      <c r="J45" s="13"/>
      <c r="K45" s="13"/>
      <c r="L45" s="13"/>
      <c r="M45" s="13"/>
      <c r="N45" s="13"/>
      <c r="O45" s="13"/>
      <c r="P45" s="13"/>
      <c r="Q45" s="13"/>
    </row>
    <row r="46" spans="9:17" x14ac:dyDescent="0.2">
      <c r="I46" s="13"/>
      <c r="J46" s="13"/>
      <c r="K46" s="13"/>
      <c r="L46" s="13"/>
      <c r="M46" s="13"/>
      <c r="N46" s="13"/>
      <c r="O46" s="13"/>
      <c r="P46" s="13"/>
      <c r="Q46" s="13"/>
    </row>
    <row r="47" spans="9:17" x14ac:dyDescent="0.2">
      <c r="I47" s="13"/>
      <c r="J47" s="13"/>
      <c r="K47" s="13"/>
      <c r="L47" s="13"/>
      <c r="M47" s="13"/>
      <c r="N47" s="13"/>
      <c r="O47" s="13"/>
      <c r="P47" s="13"/>
      <c r="Q47" s="13"/>
    </row>
    <row r="48" spans="9:17" x14ac:dyDescent="0.2">
      <c r="I48" s="13"/>
      <c r="J48" s="13"/>
      <c r="K48" s="13"/>
      <c r="L48" s="13"/>
      <c r="M48" s="13"/>
      <c r="N48" s="13"/>
      <c r="O48" s="13"/>
      <c r="P48" s="13"/>
      <c r="Q48" s="13"/>
    </row>
    <row r="49" spans="4:17" x14ac:dyDescent="0.2">
      <c r="I49" s="13"/>
      <c r="J49" s="13"/>
      <c r="K49" s="13"/>
      <c r="L49" s="13"/>
      <c r="M49" s="13"/>
      <c r="N49" s="13"/>
      <c r="O49" s="13"/>
      <c r="P49" s="13"/>
      <c r="Q49" s="13"/>
    </row>
    <row r="55" spans="4:17" ht="34" x14ac:dyDescent="0.2">
      <c r="D55" s="10" t="s">
        <v>9474</v>
      </c>
      <c r="E55" s="1">
        <v>8732</v>
      </c>
      <c r="F55" s="1">
        <v>15942</v>
      </c>
      <c r="G55" s="1">
        <v>18859</v>
      </c>
      <c r="H55" s="1">
        <v>21841</v>
      </c>
      <c r="I55" s="1">
        <v>22526</v>
      </c>
      <c r="J55" s="1">
        <v>29114</v>
      </c>
      <c r="K55" s="1">
        <v>29371</v>
      </c>
    </row>
    <row r="56" spans="4:17" x14ac:dyDescent="0.2">
      <c r="D56" s="1" t="s">
        <v>9473</v>
      </c>
      <c r="E56" s="1">
        <v>2016</v>
      </c>
      <c r="F56" s="1">
        <v>2017</v>
      </c>
      <c r="G56" s="1">
        <v>2018</v>
      </c>
      <c r="H56" s="1">
        <v>2019</v>
      </c>
      <c r="I56" s="1">
        <v>2020</v>
      </c>
      <c r="J56" s="1">
        <v>2021</v>
      </c>
      <c r="K56" s="1">
        <v>2022</v>
      </c>
    </row>
  </sheetData>
  <mergeCells count="8">
    <mergeCell ref="D12:H12"/>
    <mergeCell ref="J39:J40"/>
    <mergeCell ref="J16:J20"/>
    <mergeCell ref="J21:J25"/>
    <mergeCell ref="J27:J28"/>
    <mergeCell ref="J29:J31"/>
    <mergeCell ref="J32:J35"/>
    <mergeCell ref="J36:J3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51FA-3F9C-EF4B-9B56-479659FDE247}">
  <dimension ref="C2:Y127"/>
  <sheetViews>
    <sheetView workbookViewId="0">
      <selection activeCell="K15" sqref="K15"/>
    </sheetView>
  </sheetViews>
  <sheetFormatPr baseColWidth="10" defaultRowHeight="16" x14ac:dyDescent="0.2"/>
  <cols>
    <col min="1" max="2" width="10.83203125" style="170"/>
    <col min="3" max="3" width="22.5" style="170" customWidth="1"/>
    <col min="4" max="4" width="19.33203125" style="170" customWidth="1"/>
    <col min="5" max="5" width="18.33203125" style="170" customWidth="1"/>
    <col min="6" max="6" width="17.83203125" style="170" customWidth="1"/>
    <col min="7" max="7" width="18.33203125" style="170" customWidth="1"/>
    <col min="8" max="8" width="16.1640625" style="170" customWidth="1"/>
    <col min="9" max="10" width="10.83203125" style="170"/>
    <col min="11" max="11" width="25.83203125" style="170" customWidth="1"/>
    <col min="12" max="12" width="15.33203125" style="170" customWidth="1"/>
    <col min="13" max="13" width="20" style="170" customWidth="1"/>
    <col min="14" max="14" width="18.1640625" style="170" customWidth="1"/>
    <col min="15" max="15" width="19.5" style="170" customWidth="1"/>
    <col min="16" max="16" width="23.5" style="170" customWidth="1"/>
    <col min="17" max="16384" width="10.83203125" style="170"/>
  </cols>
  <sheetData>
    <row r="2" spans="3:25" x14ac:dyDescent="0.2">
      <c r="K2" s="654"/>
      <c r="L2" s="654"/>
      <c r="M2" s="654"/>
      <c r="N2" s="654"/>
      <c r="O2" s="654"/>
      <c r="P2" s="654"/>
      <c r="Q2" s="654"/>
      <c r="R2" s="654"/>
      <c r="S2" s="654"/>
      <c r="T2" s="654"/>
      <c r="U2" s="654"/>
      <c r="V2" s="654"/>
      <c r="W2" s="654"/>
      <c r="X2" s="654"/>
      <c r="Y2" s="654"/>
    </row>
    <row r="3" spans="3:25" x14ac:dyDescent="0.2">
      <c r="K3" s="654"/>
      <c r="L3" s="654"/>
      <c r="M3" s="654"/>
      <c r="N3" s="654"/>
      <c r="O3" s="654"/>
      <c r="P3" s="654"/>
      <c r="Q3" s="654"/>
      <c r="R3" s="654"/>
      <c r="S3" s="654"/>
      <c r="T3" s="654"/>
      <c r="U3" s="654"/>
      <c r="V3" s="654"/>
      <c r="W3" s="654"/>
      <c r="X3" s="654"/>
      <c r="Y3" s="654"/>
    </row>
    <row r="4" spans="3:25" ht="85" x14ac:dyDescent="0.2">
      <c r="C4" s="657" t="s">
        <v>12</v>
      </c>
      <c r="D4" s="657" t="s">
        <v>9475</v>
      </c>
      <c r="E4" s="657" t="s">
        <v>9476</v>
      </c>
      <c r="F4" s="657" t="s">
        <v>9477</v>
      </c>
      <c r="G4" s="657" t="s">
        <v>9079</v>
      </c>
      <c r="H4" s="657" t="s">
        <v>9478</v>
      </c>
      <c r="J4" s="20"/>
      <c r="K4" s="655"/>
      <c r="L4" s="655"/>
      <c r="M4" s="655"/>
      <c r="N4" s="655"/>
      <c r="O4" s="655"/>
      <c r="P4" s="655"/>
      <c r="Q4" s="654"/>
      <c r="R4" s="654"/>
      <c r="S4" s="654"/>
      <c r="T4" s="654"/>
      <c r="U4" s="654"/>
      <c r="V4" s="654"/>
      <c r="W4" s="654"/>
      <c r="X4" s="654"/>
      <c r="Y4" s="654"/>
    </row>
    <row r="5" spans="3:25" x14ac:dyDescent="0.2">
      <c r="C5" s="17" t="s">
        <v>407</v>
      </c>
      <c r="D5" s="17">
        <v>60</v>
      </c>
      <c r="E5" s="17">
        <v>1089.3510554000002</v>
      </c>
      <c r="F5" s="17">
        <v>1442.4507394000004</v>
      </c>
      <c r="G5" s="17">
        <v>635</v>
      </c>
      <c r="H5" s="18">
        <f>F5/G5</f>
        <v>2.2715759675590559</v>
      </c>
      <c r="J5" s="21"/>
      <c r="K5" s="654"/>
      <c r="L5" s="654"/>
      <c r="M5" s="658"/>
      <c r="N5" s="658"/>
      <c r="O5" s="654"/>
      <c r="P5" s="658"/>
      <c r="Q5" s="654"/>
      <c r="R5" s="654"/>
      <c r="S5" s="654"/>
      <c r="T5" s="654"/>
      <c r="U5" s="654"/>
      <c r="V5" s="654"/>
      <c r="W5" s="654"/>
      <c r="X5" s="654"/>
      <c r="Y5" s="654"/>
    </row>
    <row r="6" spans="3:25" x14ac:dyDescent="0.2">
      <c r="C6" s="17" t="s">
        <v>388</v>
      </c>
      <c r="D6" s="17">
        <v>1</v>
      </c>
      <c r="E6" s="17">
        <v>329.60399999999998</v>
      </c>
      <c r="F6" s="17">
        <v>329.60399999999998</v>
      </c>
      <c r="G6" s="17">
        <v>27</v>
      </c>
      <c r="H6" s="18">
        <f t="shared" ref="H6:H39" si="0">F6/G6</f>
        <v>12.207555555555555</v>
      </c>
      <c r="J6" s="21"/>
      <c r="K6" s="654"/>
      <c r="L6" s="654"/>
      <c r="M6" s="658"/>
      <c r="N6" s="658"/>
      <c r="O6" s="654"/>
      <c r="P6" s="658"/>
      <c r="Q6" s="654"/>
      <c r="R6" s="654"/>
      <c r="S6" s="654"/>
      <c r="T6" s="654"/>
      <c r="U6" s="654"/>
      <c r="V6" s="654"/>
      <c r="W6" s="654"/>
      <c r="X6" s="654"/>
      <c r="Y6" s="654"/>
    </row>
    <row r="7" spans="3:25" x14ac:dyDescent="0.2">
      <c r="C7" s="17" t="s">
        <v>431</v>
      </c>
      <c r="D7" s="17">
        <v>1</v>
      </c>
      <c r="E7" s="17">
        <v>311.23</v>
      </c>
      <c r="F7" s="17">
        <v>347.50400000000002</v>
      </c>
      <c r="G7" s="17">
        <v>135</v>
      </c>
      <c r="H7" s="18">
        <f t="shared" si="0"/>
        <v>2.5741037037037038</v>
      </c>
      <c r="J7" s="21"/>
      <c r="K7" s="654"/>
      <c r="L7" s="654"/>
      <c r="M7" s="658"/>
      <c r="N7" s="658"/>
      <c r="O7" s="654"/>
      <c r="P7" s="658"/>
      <c r="Q7" s="654"/>
      <c r="R7" s="654"/>
      <c r="S7" s="654"/>
      <c r="T7" s="654"/>
      <c r="U7" s="654"/>
      <c r="V7" s="654"/>
      <c r="W7" s="654"/>
      <c r="X7" s="654"/>
      <c r="Y7" s="654"/>
    </row>
    <row r="8" spans="3:25" x14ac:dyDescent="0.2">
      <c r="C8" s="17" t="s">
        <v>459</v>
      </c>
      <c r="D8" s="17">
        <v>13</v>
      </c>
      <c r="E8" s="17">
        <v>255.80691773000001</v>
      </c>
      <c r="F8" s="17">
        <v>261.18868810999999</v>
      </c>
      <c r="G8" s="17">
        <v>289</v>
      </c>
      <c r="H8" s="18">
        <f t="shared" si="0"/>
        <v>0.90376708688581309</v>
      </c>
      <c r="J8" s="21"/>
      <c r="K8" s="654"/>
      <c r="L8" s="654"/>
      <c r="M8" s="658"/>
      <c r="N8" s="658"/>
      <c r="O8" s="654"/>
      <c r="P8" s="658"/>
      <c r="Q8" s="654"/>
      <c r="R8" s="654"/>
      <c r="S8" s="654"/>
      <c r="T8" s="654"/>
      <c r="U8" s="654"/>
      <c r="V8" s="654"/>
      <c r="W8" s="654"/>
      <c r="X8" s="654"/>
      <c r="Y8" s="654"/>
    </row>
    <row r="9" spans="3:25" x14ac:dyDescent="0.2">
      <c r="C9" s="17" t="s">
        <v>454</v>
      </c>
      <c r="D9" s="17">
        <v>19</v>
      </c>
      <c r="E9" s="17">
        <v>230.47099999999998</v>
      </c>
      <c r="F9" s="17">
        <v>235.05408325999997</v>
      </c>
      <c r="G9" s="17">
        <v>80</v>
      </c>
      <c r="H9" s="18">
        <f t="shared" si="0"/>
        <v>2.9381760407499997</v>
      </c>
      <c r="J9" s="21"/>
      <c r="K9" s="654"/>
      <c r="L9" s="654"/>
      <c r="M9" s="658"/>
      <c r="N9" s="658"/>
      <c r="O9" s="654"/>
      <c r="P9" s="658"/>
      <c r="Q9" s="654"/>
      <c r="R9" s="654"/>
      <c r="S9" s="654"/>
      <c r="T9" s="654"/>
      <c r="U9" s="654"/>
      <c r="V9" s="654"/>
      <c r="W9" s="654"/>
      <c r="X9" s="654"/>
      <c r="Y9" s="654"/>
    </row>
    <row r="10" spans="3:25" x14ac:dyDescent="0.2">
      <c r="C10" s="17" t="s">
        <v>442</v>
      </c>
      <c r="D10" s="17">
        <v>25</v>
      </c>
      <c r="E10" s="17">
        <v>128.22437776000001</v>
      </c>
      <c r="F10" s="17">
        <v>140.16580802999999</v>
      </c>
      <c r="G10" s="17">
        <v>126</v>
      </c>
      <c r="H10" s="18">
        <f t="shared" si="0"/>
        <v>1.1124270478571427</v>
      </c>
      <c r="J10" s="21"/>
      <c r="K10" s="654"/>
      <c r="L10" s="654"/>
      <c r="M10" s="658"/>
      <c r="N10" s="658"/>
      <c r="O10" s="654"/>
      <c r="P10" s="658"/>
      <c r="Q10" s="654"/>
      <c r="R10" s="654"/>
      <c r="S10" s="654"/>
      <c r="T10" s="654"/>
      <c r="U10" s="654"/>
      <c r="V10" s="654"/>
      <c r="W10" s="654"/>
      <c r="X10" s="654"/>
      <c r="Y10" s="654"/>
    </row>
    <row r="11" spans="3:25" x14ac:dyDescent="0.2">
      <c r="C11" s="17" t="s">
        <v>405</v>
      </c>
      <c r="D11" s="17">
        <v>20</v>
      </c>
      <c r="E11" s="17">
        <v>65.200280529999986</v>
      </c>
      <c r="F11" s="17">
        <v>66.467280529999996</v>
      </c>
      <c r="G11" s="17">
        <v>169</v>
      </c>
      <c r="H11" s="18">
        <f t="shared" si="0"/>
        <v>0.39329751792899409</v>
      </c>
      <c r="J11" s="21"/>
      <c r="K11" s="654"/>
      <c r="L11" s="654"/>
      <c r="M11" s="658"/>
      <c r="N11" s="658"/>
      <c r="O11" s="654"/>
      <c r="P11" s="658"/>
      <c r="Q11" s="654"/>
      <c r="R11" s="654"/>
      <c r="S11" s="654"/>
      <c r="T11" s="654"/>
      <c r="U11" s="654"/>
      <c r="V11" s="654"/>
      <c r="W11" s="654"/>
      <c r="X11" s="654"/>
      <c r="Y11" s="654"/>
    </row>
    <row r="12" spans="3:25" x14ac:dyDescent="0.2">
      <c r="C12" s="17" t="s">
        <v>421</v>
      </c>
      <c r="D12" s="17">
        <v>7</v>
      </c>
      <c r="E12" s="17">
        <v>64.524051790000001</v>
      </c>
      <c r="F12" s="17">
        <v>70.547069050000005</v>
      </c>
      <c r="G12" s="17">
        <v>35</v>
      </c>
      <c r="H12" s="18">
        <f t="shared" si="0"/>
        <v>2.0156305442857145</v>
      </c>
      <c r="J12" s="21"/>
      <c r="K12" s="654"/>
      <c r="L12" s="654"/>
      <c r="M12" s="658"/>
      <c r="N12" s="658"/>
      <c r="O12" s="654"/>
      <c r="P12" s="658"/>
      <c r="Q12" s="654"/>
      <c r="R12" s="654"/>
      <c r="S12" s="654"/>
      <c r="T12" s="654"/>
      <c r="U12" s="654"/>
      <c r="V12" s="654"/>
      <c r="W12" s="654"/>
      <c r="X12" s="654"/>
      <c r="Y12" s="654"/>
    </row>
    <row r="13" spans="3:25" x14ac:dyDescent="0.2">
      <c r="C13" s="17" t="s">
        <v>408</v>
      </c>
      <c r="D13" s="17">
        <v>4</v>
      </c>
      <c r="E13" s="17">
        <v>50.214999999999996</v>
      </c>
      <c r="F13" s="17">
        <v>61.245999999999995</v>
      </c>
      <c r="G13" s="17">
        <v>33</v>
      </c>
      <c r="H13" s="18">
        <f t="shared" si="0"/>
        <v>1.8559393939393938</v>
      </c>
      <c r="J13" s="21"/>
      <c r="K13" s="654"/>
      <c r="L13" s="654"/>
      <c r="M13" s="658"/>
      <c r="N13" s="658"/>
      <c r="O13" s="654"/>
      <c r="P13" s="658"/>
      <c r="Q13" s="654"/>
      <c r="R13" s="654"/>
      <c r="S13" s="654"/>
      <c r="T13" s="654"/>
      <c r="U13" s="654"/>
      <c r="V13" s="654"/>
      <c r="W13" s="654"/>
      <c r="X13" s="654"/>
      <c r="Y13" s="654"/>
    </row>
    <row r="14" spans="3:25" x14ac:dyDescent="0.2">
      <c r="C14" s="17" t="s">
        <v>433</v>
      </c>
      <c r="D14" s="17">
        <v>40</v>
      </c>
      <c r="E14" s="17">
        <v>38.878361329999983</v>
      </c>
      <c r="F14" s="17">
        <v>42.869451329999983</v>
      </c>
      <c r="G14" s="17">
        <v>135</v>
      </c>
      <c r="H14" s="18">
        <f t="shared" si="0"/>
        <v>0.31755149133333321</v>
      </c>
      <c r="J14" s="21"/>
      <c r="K14" s="654"/>
      <c r="L14" s="654"/>
      <c r="M14" s="658"/>
      <c r="N14" s="658"/>
      <c r="O14" s="654"/>
      <c r="P14" s="658"/>
      <c r="Q14" s="654"/>
      <c r="R14" s="654"/>
      <c r="S14" s="654"/>
      <c r="T14" s="654"/>
      <c r="U14" s="654"/>
      <c r="V14" s="654"/>
      <c r="W14" s="654"/>
      <c r="X14" s="654"/>
      <c r="Y14" s="654"/>
    </row>
    <row r="15" spans="3:25" x14ac:dyDescent="0.2">
      <c r="C15" s="17" t="s">
        <v>438</v>
      </c>
      <c r="D15" s="17">
        <v>6</v>
      </c>
      <c r="E15" s="17">
        <v>31.57</v>
      </c>
      <c r="F15" s="17">
        <v>44.671300000000002</v>
      </c>
      <c r="G15" s="17">
        <v>89</v>
      </c>
      <c r="H15" s="18">
        <f t="shared" si="0"/>
        <v>0.50192471910112357</v>
      </c>
      <c r="J15" s="21"/>
      <c r="K15" s="654"/>
      <c r="L15" s="654"/>
      <c r="M15" s="658"/>
      <c r="N15" s="658"/>
      <c r="O15" s="654"/>
      <c r="P15" s="658"/>
      <c r="Q15" s="654"/>
      <c r="R15" s="654"/>
      <c r="S15" s="654"/>
      <c r="T15" s="654"/>
      <c r="U15" s="654"/>
      <c r="V15" s="654"/>
      <c r="W15" s="654"/>
      <c r="X15" s="654"/>
      <c r="Y15" s="654"/>
    </row>
    <row r="16" spans="3:25" x14ac:dyDescent="0.2">
      <c r="C16" s="17" t="s">
        <v>383</v>
      </c>
      <c r="D16" s="17">
        <v>8</v>
      </c>
      <c r="E16" s="17">
        <v>26.730713999999999</v>
      </c>
      <c r="F16" s="17">
        <v>27.337672000000001</v>
      </c>
      <c r="G16" s="17">
        <v>202</v>
      </c>
      <c r="H16" s="18">
        <f t="shared" si="0"/>
        <v>0.13533500990099009</v>
      </c>
      <c r="J16" s="21"/>
      <c r="K16" s="654"/>
      <c r="L16" s="654"/>
      <c r="M16" s="658"/>
      <c r="N16" s="658"/>
      <c r="O16" s="654"/>
      <c r="P16" s="658"/>
      <c r="Q16" s="654"/>
      <c r="R16" s="654"/>
      <c r="S16" s="654"/>
      <c r="T16" s="654"/>
      <c r="U16" s="654"/>
      <c r="V16" s="654"/>
      <c r="W16" s="654"/>
      <c r="X16" s="654"/>
      <c r="Y16" s="654"/>
    </row>
    <row r="17" spans="3:25" x14ac:dyDescent="0.2">
      <c r="C17" s="17" t="s">
        <v>425</v>
      </c>
      <c r="D17" s="17">
        <v>32</v>
      </c>
      <c r="E17" s="17">
        <v>26.398780000000006</v>
      </c>
      <c r="F17" s="17">
        <v>30.610425200000002</v>
      </c>
      <c r="G17" s="17">
        <v>90</v>
      </c>
      <c r="H17" s="18">
        <f t="shared" si="0"/>
        <v>0.34011583555555558</v>
      </c>
      <c r="J17" s="21"/>
      <c r="K17" s="654"/>
      <c r="L17" s="654"/>
      <c r="M17" s="658"/>
      <c r="N17" s="658"/>
      <c r="O17" s="654"/>
      <c r="P17" s="658"/>
      <c r="Q17" s="654"/>
      <c r="R17" s="654"/>
      <c r="S17" s="654"/>
      <c r="T17" s="654"/>
      <c r="U17" s="654"/>
      <c r="V17" s="654"/>
      <c r="W17" s="654"/>
      <c r="X17" s="654"/>
      <c r="Y17" s="654"/>
    </row>
    <row r="18" spans="3:25" x14ac:dyDescent="0.2">
      <c r="C18" s="17" t="s">
        <v>428</v>
      </c>
      <c r="D18" s="17">
        <v>4</v>
      </c>
      <c r="E18" s="17">
        <v>19.978846599999997</v>
      </c>
      <c r="F18" s="17">
        <v>24.502633400000001</v>
      </c>
      <c r="G18" s="17">
        <v>25</v>
      </c>
      <c r="H18" s="18">
        <f t="shared" si="0"/>
        <v>0.98010533600000005</v>
      </c>
      <c r="J18" s="21"/>
      <c r="K18" s="654"/>
      <c r="L18" s="654"/>
      <c r="M18" s="658"/>
      <c r="N18" s="658"/>
      <c r="O18" s="654"/>
      <c r="P18" s="658"/>
      <c r="Q18" s="654"/>
      <c r="R18" s="654"/>
      <c r="S18" s="654"/>
      <c r="T18" s="654"/>
      <c r="U18" s="654"/>
      <c r="V18" s="654"/>
      <c r="W18" s="654"/>
      <c r="X18" s="654"/>
      <c r="Y18" s="654"/>
    </row>
    <row r="19" spans="3:25" x14ac:dyDescent="0.2">
      <c r="C19" s="17" t="s">
        <v>449</v>
      </c>
      <c r="D19" s="17">
        <v>1</v>
      </c>
      <c r="E19" s="17">
        <v>17.689</v>
      </c>
      <c r="F19" s="17">
        <v>18.782</v>
      </c>
      <c r="G19" s="17">
        <v>12</v>
      </c>
      <c r="H19" s="18">
        <f t="shared" si="0"/>
        <v>1.5651666666666666</v>
      </c>
      <c r="J19" s="21"/>
      <c r="K19" s="654"/>
      <c r="L19" s="654"/>
      <c r="M19" s="658"/>
      <c r="N19" s="658"/>
      <c r="O19" s="654"/>
      <c r="P19" s="658"/>
      <c r="Q19" s="654"/>
      <c r="R19" s="654"/>
      <c r="S19" s="654"/>
      <c r="T19" s="654"/>
      <c r="U19" s="654"/>
      <c r="V19" s="654"/>
      <c r="W19" s="654"/>
      <c r="X19" s="654"/>
      <c r="Y19" s="654"/>
    </row>
    <row r="20" spans="3:25" x14ac:dyDescent="0.2">
      <c r="C20" s="17" t="s">
        <v>429</v>
      </c>
      <c r="D20" s="17">
        <v>4</v>
      </c>
      <c r="E20" s="17">
        <v>17.458773300000001</v>
      </c>
      <c r="F20" s="17">
        <v>17.488773299999998</v>
      </c>
      <c r="G20" s="17">
        <v>8</v>
      </c>
      <c r="H20" s="18">
        <f t="shared" si="0"/>
        <v>2.1860966624999998</v>
      </c>
      <c r="J20" s="21"/>
      <c r="K20" s="654"/>
      <c r="L20" s="654"/>
      <c r="M20" s="658"/>
      <c r="N20" s="658"/>
      <c r="O20" s="654"/>
      <c r="P20" s="658"/>
      <c r="Q20" s="654"/>
      <c r="R20" s="654"/>
      <c r="S20" s="654"/>
      <c r="T20" s="654"/>
      <c r="U20" s="654"/>
      <c r="V20" s="654"/>
      <c r="W20" s="654"/>
      <c r="X20" s="654"/>
      <c r="Y20" s="654"/>
    </row>
    <row r="21" spans="3:25" x14ac:dyDescent="0.2">
      <c r="C21" s="17" t="s">
        <v>427</v>
      </c>
      <c r="D21" s="17">
        <v>1</v>
      </c>
      <c r="E21" s="17">
        <v>17.027000000000001</v>
      </c>
      <c r="F21" s="17">
        <v>33.527000000000001</v>
      </c>
      <c r="G21" s="17">
        <v>30</v>
      </c>
      <c r="H21" s="18">
        <f t="shared" si="0"/>
        <v>1.1175666666666666</v>
      </c>
      <c r="J21" s="21"/>
      <c r="K21" s="654"/>
      <c r="L21" s="654"/>
      <c r="M21" s="658"/>
      <c r="N21" s="658"/>
      <c r="O21" s="654"/>
      <c r="P21" s="658"/>
      <c r="Q21" s="654"/>
      <c r="R21" s="654"/>
      <c r="S21" s="654"/>
      <c r="T21" s="654"/>
      <c r="U21" s="654"/>
      <c r="V21" s="654"/>
      <c r="W21" s="654"/>
      <c r="X21" s="654"/>
      <c r="Y21" s="654"/>
    </row>
    <row r="22" spans="3:25" x14ac:dyDescent="0.2">
      <c r="C22" s="17" t="s">
        <v>424</v>
      </c>
      <c r="D22" s="17">
        <v>3</v>
      </c>
      <c r="E22" s="17">
        <v>14.190420999999999</v>
      </c>
      <c r="F22" s="17">
        <v>16.272570999999999</v>
      </c>
      <c r="G22" s="17">
        <v>8</v>
      </c>
      <c r="H22" s="18">
        <f t="shared" si="0"/>
        <v>2.0340713749999999</v>
      </c>
      <c r="J22" s="21"/>
      <c r="K22" s="654"/>
      <c r="L22" s="654"/>
      <c r="M22" s="658"/>
      <c r="N22" s="658"/>
      <c r="O22" s="654"/>
      <c r="P22" s="658"/>
      <c r="Q22" s="654"/>
      <c r="R22" s="654"/>
      <c r="S22" s="654"/>
      <c r="T22" s="654"/>
      <c r="U22" s="654"/>
      <c r="V22" s="654"/>
      <c r="W22" s="654"/>
      <c r="X22" s="654"/>
      <c r="Y22" s="654"/>
    </row>
    <row r="23" spans="3:25" x14ac:dyDescent="0.2">
      <c r="C23" s="17" t="s">
        <v>380</v>
      </c>
      <c r="D23" s="17">
        <v>2</v>
      </c>
      <c r="E23" s="17">
        <v>13.574999999999999</v>
      </c>
      <c r="F23" s="17">
        <v>14.079999999999998</v>
      </c>
      <c r="G23" s="17">
        <v>8</v>
      </c>
      <c r="H23" s="18">
        <f t="shared" si="0"/>
        <v>1.7599999999999998</v>
      </c>
      <c r="J23" s="21"/>
      <c r="K23" s="654"/>
      <c r="L23" s="654"/>
      <c r="M23" s="658"/>
      <c r="N23" s="658"/>
      <c r="O23" s="654"/>
      <c r="P23" s="658"/>
      <c r="Q23" s="654"/>
      <c r="R23" s="654"/>
      <c r="S23" s="654"/>
      <c r="T23" s="654"/>
      <c r="U23" s="654"/>
      <c r="V23" s="654"/>
      <c r="W23" s="654"/>
      <c r="X23" s="654"/>
      <c r="Y23" s="654"/>
    </row>
    <row r="24" spans="3:25" x14ac:dyDescent="0.2">
      <c r="C24" s="17" t="s">
        <v>412</v>
      </c>
      <c r="D24" s="17">
        <v>1</v>
      </c>
      <c r="E24" s="17">
        <v>13.4</v>
      </c>
      <c r="F24" s="17">
        <v>13.4</v>
      </c>
      <c r="G24" s="17">
        <v>5</v>
      </c>
      <c r="H24" s="18">
        <f t="shared" si="0"/>
        <v>2.68</v>
      </c>
      <c r="J24" s="21"/>
      <c r="K24" s="654"/>
      <c r="L24" s="654"/>
      <c r="M24" s="658"/>
      <c r="N24" s="658"/>
      <c r="O24" s="654"/>
      <c r="P24" s="658"/>
      <c r="Q24" s="654"/>
      <c r="R24" s="654"/>
      <c r="S24" s="654"/>
      <c r="T24" s="654"/>
      <c r="U24" s="654"/>
      <c r="V24" s="654"/>
      <c r="W24" s="654"/>
      <c r="X24" s="654"/>
      <c r="Y24" s="654"/>
    </row>
    <row r="25" spans="3:25" x14ac:dyDescent="0.2">
      <c r="C25" s="17" t="s">
        <v>399</v>
      </c>
      <c r="D25" s="17">
        <v>4</v>
      </c>
      <c r="E25" s="17">
        <v>12.901</v>
      </c>
      <c r="F25" s="17">
        <v>15.307</v>
      </c>
      <c r="G25" s="17">
        <v>9</v>
      </c>
      <c r="H25" s="18">
        <f t="shared" si="0"/>
        <v>1.7007777777777777</v>
      </c>
      <c r="K25" s="654"/>
      <c r="L25" s="654"/>
      <c r="M25" s="658"/>
      <c r="N25" s="658"/>
      <c r="O25" s="654"/>
      <c r="P25" s="658"/>
      <c r="Q25" s="654"/>
      <c r="R25" s="654"/>
      <c r="S25" s="654"/>
      <c r="T25" s="654"/>
      <c r="U25" s="654"/>
      <c r="V25" s="654"/>
      <c r="W25" s="654"/>
      <c r="X25" s="654"/>
      <c r="Y25" s="654"/>
    </row>
    <row r="26" spans="3:25" x14ac:dyDescent="0.2">
      <c r="C26" s="17" t="s">
        <v>452</v>
      </c>
      <c r="D26" s="17">
        <v>2</v>
      </c>
      <c r="E26" s="17">
        <v>10.1686</v>
      </c>
      <c r="F26" s="17">
        <v>10.280413599207535</v>
      </c>
      <c r="G26" s="17">
        <v>30</v>
      </c>
      <c r="H26" s="18">
        <f t="shared" si="0"/>
        <v>0.34268045330691782</v>
      </c>
      <c r="K26" s="654"/>
      <c r="L26" s="654"/>
      <c r="M26" s="658"/>
      <c r="N26" s="658"/>
      <c r="O26" s="654"/>
      <c r="P26" s="658"/>
      <c r="Q26" s="654"/>
      <c r="R26" s="654"/>
      <c r="S26" s="654"/>
      <c r="T26" s="654"/>
      <c r="U26" s="654"/>
      <c r="V26" s="654"/>
      <c r="W26" s="654"/>
      <c r="X26" s="654"/>
      <c r="Y26" s="654"/>
    </row>
    <row r="27" spans="3:25" x14ac:dyDescent="0.2">
      <c r="C27" s="17" t="s">
        <v>397</v>
      </c>
      <c r="D27" s="17">
        <v>2</v>
      </c>
      <c r="E27" s="17">
        <v>9.1580999999999992</v>
      </c>
      <c r="F27" s="17">
        <v>9.6074699999999993</v>
      </c>
      <c r="G27" s="17">
        <v>7</v>
      </c>
      <c r="H27" s="18">
        <f t="shared" si="0"/>
        <v>1.3724957142857142</v>
      </c>
      <c r="K27" s="654"/>
      <c r="L27" s="654"/>
      <c r="M27" s="658"/>
      <c r="N27" s="658"/>
      <c r="O27" s="654"/>
      <c r="P27" s="658"/>
      <c r="Q27" s="654"/>
      <c r="R27" s="654"/>
      <c r="S27" s="654"/>
      <c r="T27" s="654"/>
      <c r="U27" s="654"/>
      <c r="V27" s="654"/>
      <c r="W27" s="654"/>
      <c r="X27" s="654"/>
      <c r="Y27" s="654"/>
    </row>
    <row r="28" spans="3:25" x14ac:dyDescent="0.2">
      <c r="C28" s="17" t="s">
        <v>411</v>
      </c>
      <c r="D28" s="17">
        <v>3</v>
      </c>
      <c r="E28" s="17">
        <v>7.88</v>
      </c>
      <c r="F28" s="17">
        <v>8.2539999999999996</v>
      </c>
      <c r="G28" s="17">
        <v>21</v>
      </c>
      <c r="H28" s="18">
        <f t="shared" si="0"/>
        <v>0.39304761904761903</v>
      </c>
      <c r="K28" s="654"/>
      <c r="L28" s="654"/>
      <c r="M28" s="658"/>
      <c r="N28" s="658"/>
      <c r="O28" s="654"/>
      <c r="P28" s="658"/>
      <c r="Q28" s="654"/>
      <c r="R28" s="654"/>
      <c r="S28" s="654"/>
      <c r="T28" s="654"/>
      <c r="U28" s="654"/>
      <c r="V28" s="654"/>
      <c r="W28" s="654"/>
      <c r="X28" s="654"/>
      <c r="Y28" s="654"/>
    </row>
    <row r="29" spans="3:25" x14ac:dyDescent="0.2">
      <c r="C29" s="17" t="s">
        <v>404</v>
      </c>
      <c r="D29" s="17">
        <v>3</v>
      </c>
      <c r="E29" s="17">
        <v>7.7660000000000009</v>
      </c>
      <c r="F29" s="17">
        <v>7.91</v>
      </c>
      <c r="G29" s="17">
        <v>51</v>
      </c>
      <c r="H29" s="18">
        <f t="shared" si="0"/>
        <v>0.15509803921568627</v>
      </c>
      <c r="K29" s="654"/>
      <c r="L29" s="654"/>
      <c r="M29" s="658"/>
      <c r="N29" s="658"/>
      <c r="O29" s="654"/>
      <c r="P29" s="658"/>
      <c r="Q29" s="654"/>
      <c r="R29" s="654"/>
      <c r="S29" s="654"/>
      <c r="T29" s="654"/>
      <c r="U29" s="654"/>
      <c r="V29" s="654"/>
      <c r="W29" s="654"/>
      <c r="X29" s="654"/>
      <c r="Y29" s="654"/>
    </row>
    <row r="30" spans="3:25" x14ac:dyDescent="0.2">
      <c r="C30" s="17" t="s">
        <v>451</v>
      </c>
      <c r="D30" s="17">
        <v>13</v>
      </c>
      <c r="E30" s="17">
        <v>3.56386</v>
      </c>
      <c r="F30" s="17">
        <v>3.56386</v>
      </c>
      <c r="G30" s="17">
        <v>16</v>
      </c>
      <c r="H30" s="18">
        <f t="shared" si="0"/>
        <v>0.22274125</v>
      </c>
      <c r="K30" s="654"/>
      <c r="L30" s="654"/>
      <c r="M30" s="658"/>
      <c r="N30" s="658"/>
      <c r="O30" s="654"/>
      <c r="P30" s="658"/>
      <c r="Q30" s="654"/>
      <c r="R30" s="654"/>
      <c r="S30" s="654"/>
      <c r="T30" s="654"/>
      <c r="U30" s="654"/>
      <c r="V30" s="654"/>
      <c r="W30" s="654"/>
      <c r="X30" s="654"/>
      <c r="Y30" s="654"/>
    </row>
    <row r="31" spans="3:25" x14ac:dyDescent="0.2">
      <c r="C31" s="17" t="s">
        <v>382</v>
      </c>
      <c r="D31" s="17">
        <v>4</v>
      </c>
      <c r="E31" s="17">
        <v>2.6071150000000003</v>
      </c>
      <c r="F31" s="17">
        <v>3.9254479999999998</v>
      </c>
      <c r="G31" s="17">
        <v>15</v>
      </c>
      <c r="H31" s="18">
        <f t="shared" si="0"/>
        <v>0.26169653333333331</v>
      </c>
      <c r="K31" s="654"/>
      <c r="L31" s="654"/>
      <c r="M31" s="658"/>
      <c r="N31" s="658"/>
      <c r="O31" s="654"/>
      <c r="P31" s="658"/>
      <c r="Q31" s="654"/>
      <c r="R31" s="654"/>
      <c r="S31" s="654"/>
      <c r="T31" s="654"/>
      <c r="U31" s="654"/>
      <c r="V31" s="654"/>
      <c r="W31" s="654"/>
      <c r="X31" s="654"/>
      <c r="Y31" s="654"/>
    </row>
    <row r="32" spans="3:25" x14ac:dyDescent="0.2">
      <c r="C32" s="17" t="s">
        <v>422</v>
      </c>
      <c r="D32" s="17">
        <v>5</v>
      </c>
      <c r="E32" s="17">
        <v>1.4000000000000004</v>
      </c>
      <c r="F32" s="17">
        <v>1.4000000000000004</v>
      </c>
      <c r="G32" s="17">
        <v>12</v>
      </c>
      <c r="H32" s="18">
        <f t="shared" si="0"/>
        <v>0.1166666666666667</v>
      </c>
      <c r="K32" s="654"/>
      <c r="L32" s="654"/>
      <c r="M32" s="658"/>
      <c r="N32" s="658"/>
      <c r="O32" s="654"/>
      <c r="P32" s="658"/>
      <c r="Q32" s="654"/>
      <c r="R32" s="654"/>
      <c r="S32" s="654"/>
      <c r="T32" s="654"/>
      <c r="U32" s="654"/>
      <c r="V32" s="654"/>
      <c r="W32" s="654"/>
      <c r="X32" s="654"/>
      <c r="Y32" s="654"/>
    </row>
    <row r="33" spans="3:25" x14ac:dyDescent="0.2">
      <c r="C33" s="17" t="s">
        <v>386</v>
      </c>
      <c r="D33" s="17">
        <v>3</v>
      </c>
      <c r="E33" s="17">
        <v>1.0489594</v>
      </c>
      <c r="F33" s="17">
        <v>1.0551043999999998</v>
      </c>
      <c r="G33" s="17">
        <v>6</v>
      </c>
      <c r="H33" s="18">
        <f t="shared" si="0"/>
        <v>0.17585073333333331</v>
      </c>
      <c r="K33" s="654"/>
      <c r="L33" s="654"/>
      <c r="M33" s="658"/>
      <c r="N33" s="658"/>
      <c r="O33" s="654"/>
      <c r="P33" s="658"/>
      <c r="Q33" s="654"/>
      <c r="R33" s="654"/>
      <c r="S33" s="654"/>
      <c r="T33" s="654"/>
      <c r="U33" s="654"/>
      <c r="V33" s="654"/>
      <c r="W33" s="654"/>
      <c r="X33" s="654"/>
      <c r="Y33" s="654"/>
    </row>
    <row r="34" spans="3:25" x14ac:dyDescent="0.2">
      <c r="C34" s="17" t="s">
        <v>414</v>
      </c>
      <c r="D34" s="17">
        <v>2</v>
      </c>
      <c r="E34" s="17">
        <v>0.75354399999999999</v>
      </c>
      <c r="F34" s="17">
        <v>0.89237799999999989</v>
      </c>
      <c r="G34" s="17">
        <v>2</v>
      </c>
      <c r="H34" s="18">
        <f t="shared" si="0"/>
        <v>0.44618899999999995</v>
      </c>
      <c r="K34" s="654"/>
      <c r="L34" s="654"/>
      <c r="M34" s="658"/>
      <c r="N34" s="658"/>
      <c r="O34" s="654"/>
      <c r="P34" s="658"/>
      <c r="Q34" s="654"/>
      <c r="R34" s="654"/>
      <c r="S34" s="654"/>
      <c r="T34" s="654"/>
      <c r="U34" s="654"/>
      <c r="V34" s="654"/>
      <c r="W34" s="654"/>
      <c r="X34" s="654"/>
      <c r="Y34" s="654"/>
    </row>
    <row r="35" spans="3:25" x14ac:dyDescent="0.2">
      <c r="C35" s="17" t="s">
        <v>384</v>
      </c>
      <c r="D35" s="17">
        <v>1</v>
      </c>
      <c r="E35" s="17">
        <v>0.59152000000000005</v>
      </c>
      <c r="F35" s="17">
        <v>0.95012600000000003</v>
      </c>
      <c r="G35" s="17">
        <v>4</v>
      </c>
      <c r="H35" s="18">
        <f t="shared" si="0"/>
        <v>0.23753150000000001</v>
      </c>
      <c r="K35" s="654"/>
      <c r="L35" s="654"/>
      <c r="M35" s="658"/>
      <c r="N35" s="658"/>
      <c r="O35" s="654"/>
      <c r="P35" s="658"/>
      <c r="Q35" s="654"/>
      <c r="R35" s="654"/>
      <c r="S35" s="654"/>
      <c r="T35" s="654"/>
      <c r="U35" s="654"/>
      <c r="V35" s="654"/>
      <c r="W35" s="654"/>
      <c r="X35" s="654"/>
      <c r="Y35" s="654"/>
    </row>
    <row r="36" spans="3:25" x14ac:dyDescent="0.2">
      <c r="C36" s="17" t="s">
        <v>443</v>
      </c>
      <c r="D36" s="17">
        <v>1</v>
      </c>
      <c r="E36" s="17">
        <v>0.44700000000000001</v>
      </c>
      <c r="F36" s="17">
        <v>1.2810000000000001</v>
      </c>
      <c r="G36" s="17">
        <v>6</v>
      </c>
      <c r="H36" s="18">
        <f t="shared" si="0"/>
        <v>0.21350000000000002</v>
      </c>
      <c r="K36" s="654"/>
      <c r="L36" s="654"/>
      <c r="M36" s="658"/>
      <c r="N36" s="658"/>
      <c r="O36" s="654"/>
      <c r="P36" s="658"/>
      <c r="Q36" s="654"/>
      <c r="R36" s="654"/>
      <c r="S36" s="654"/>
      <c r="T36" s="654"/>
      <c r="U36" s="654"/>
      <c r="V36" s="654"/>
      <c r="W36" s="654"/>
      <c r="X36" s="654"/>
      <c r="Y36" s="654"/>
    </row>
    <row r="37" spans="3:25" x14ac:dyDescent="0.2">
      <c r="C37" s="17" t="s">
        <v>409</v>
      </c>
      <c r="D37" s="17">
        <v>1</v>
      </c>
      <c r="E37" s="17">
        <v>0.40500000000000003</v>
      </c>
      <c r="F37" s="17">
        <v>0.505</v>
      </c>
      <c r="G37" s="17">
        <v>3</v>
      </c>
      <c r="H37" s="18">
        <f t="shared" si="0"/>
        <v>0.16833333333333333</v>
      </c>
      <c r="K37" s="654"/>
      <c r="L37" s="654"/>
      <c r="M37" s="658"/>
      <c r="N37" s="658"/>
      <c r="O37" s="654"/>
      <c r="P37" s="658"/>
      <c r="Q37" s="654"/>
      <c r="R37" s="654"/>
      <c r="S37" s="654"/>
      <c r="T37" s="654"/>
      <c r="U37" s="654"/>
      <c r="V37" s="654"/>
      <c r="W37" s="654"/>
      <c r="X37" s="654"/>
      <c r="Y37" s="654"/>
    </row>
    <row r="38" spans="3:25" x14ac:dyDescent="0.2">
      <c r="C38" s="17" t="s">
        <v>423</v>
      </c>
      <c r="D38" s="17">
        <v>1</v>
      </c>
      <c r="E38" s="17">
        <v>0.191</v>
      </c>
      <c r="F38" s="17">
        <v>0.21099999999999999</v>
      </c>
      <c r="G38" s="17">
        <v>1</v>
      </c>
      <c r="H38" s="18">
        <f t="shared" si="0"/>
        <v>0.21099999999999999</v>
      </c>
      <c r="K38" s="654"/>
      <c r="L38" s="654"/>
      <c r="M38" s="658"/>
      <c r="N38" s="658"/>
      <c r="O38" s="654"/>
      <c r="P38" s="658"/>
      <c r="Q38" s="654"/>
      <c r="R38" s="654"/>
      <c r="S38" s="654"/>
      <c r="T38" s="654"/>
      <c r="U38" s="654"/>
      <c r="V38" s="654"/>
      <c r="W38" s="654"/>
      <c r="X38" s="654"/>
      <c r="Y38" s="654"/>
    </row>
    <row r="39" spans="3:25" x14ac:dyDescent="0.2">
      <c r="C39" s="17" t="s">
        <v>450</v>
      </c>
      <c r="D39" s="17">
        <v>1</v>
      </c>
      <c r="E39" s="17">
        <v>0.18279999999999999</v>
      </c>
      <c r="F39" s="17">
        <v>0.5484</v>
      </c>
      <c r="G39" s="17">
        <v>2</v>
      </c>
      <c r="H39" s="18">
        <f t="shared" si="0"/>
        <v>0.2742</v>
      </c>
      <c r="K39" s="654"/>
      <c r="L39" s="654"/>
      <c r="M39" s="658"/>
      <c r="N39" s="658"/>
      <c r="O39" s="654"/>
      <c r="P39" s="658"/>
      <c r="Q39" s="654"/>
      <c r="R39" s="654"/>
      <c r="S39" s="654"/>
      <c r="T39" s="654"/>
      <c r="U39" s="654"/>
      <c r="V39" s="654"/>
      <c r="W39" s="654"/>
      <c r="X39" s="654"/>
      <c r="Y39" s="654"/>
    </row>
    <row r="40" spans="3:25" x14ac:dyDescent="0.2">
      <c r="C40" s="17" t="s">
        <v>376</v>
      </c>
      <c r="D40" s="17">
        <v>0</v>
      </c>
      <c r="E40" s="17">
        <v>0</v>
      </c>
      <c r="F40" s="17">
        <v>0</v>
      </c>
      <c r="G40" s="17">
        <v>0</v>
      </c>
      <c r="H40" s="17">
        <v>0</v>
      </c>
      <c r="K40" s="654"/>
      <c r="L40" s="654"/>
      <c r="M40" s="654"/>
      <c r="N40" s="654"/>
      <c r="O40" s="654"/>
      <c r="P40" s="654"/>
      <c r="Q40" s="654"/>
      <c r="R40" s="654"/>
      <c r="S40" s="654"/>
      <c r="T40" s="654"/>
      <c r="U40" s="654"/>
      <c r="V40" s="654"/>
      <c r="W40" s="654"/>
      <c r="X40" s="654"/>
      <c r="Y40" s="654"/>
    </row>
    <row r="41" spans="3:25" x14ac:dyDescent="0.2">
      <c r="C41" s="17" t="s">
        <v>9116</v>
      </c>
      <c r="D41" s="17">
        <v>0</v>
      </c>
      <c r="E41" s="17">
        <v>0</v>
      </c>
      <c r="F41" s="17">
        <v>0</v>
      </c>
      <c r="G41" s="17">
        <v>0</v>
      </c>
      <c r="H41" s="17">
        <v>0</v>
      </c>
      <c r="K41" s="654"/>
      <c r="L41" s="654"/>
      <c r="M41" s="654"/>
      <c r="N41" s="654"/>
      <c r="O41" s="654"/>
      <c r="P41" s="654"/>
      <c r="Q41" s="654"/>
      <c r="R41" s="654"/>
      <c r="S41" s="654"/>
      <c r="T41" s="654"/>
      <c r="U41" s="654"/>
      <c r="V41" s="654"/>
      <c r="W41" s="654"/>
      <c r="X41" s="654"/>
      <c r="Y41" s="654"/>
    </row>
    <row r="42" spans="3:25" x14ac:dyDescent="0.2">
      <c r="C42" s="17" t="s">
        <v>378</v>
      </c>
      <c r="D42" s="17">
        <v>0</v>
      </c>
      <c r="E42" s="17">
        <v>0</v>
      </c>
      <c r="F42" s="17">
        <v>0</v>
      </c>
      <c r="G42" s="17">
        <v>0</v>
      </c>
      <c r="H42" s="17">
        <v>0</v>
      </c>
      <c r="K42" s="654"/>
      <c r="L42" s="654"/>
      <c r="M42" s="654"/>
      <c r="N42" s="654"/>
      <c r="O42" s="654"/>
      <c r="P42" s="654"/>
      <c r="Q42" s="654"/>
      <c r="R42" s="654"/>
      <c r="S42" s="654"/>
      <c r="T42" s="654"/>
      <c r="U42" s="654"/>
      <c r="V42" s="654"/>
      <c r="W42" s="654"/>
      <c r="X42" s="654"/>
      <c r="Y42" s="654"/>
    </row>
    <row r="43" spans="3:25" x14ac:dyDescent="0.2">
      <c r="C43" s="17" t="s">
        <v>379</v>
      </c>
      <c r="D43" s="17">
        <v>0</v>
      </c>
      <c r="E43" s="17">
        <v>0</v>
      </c>
      <c r="F43" s="17">
        <v>0</v>
      </c>
      <c r="G43" s="17">
        <v>0</v>
      </c>
      <c r="H43" s="17">
        <v>0</v>
      </c>
      <c r="K43" s="654"/>
      <c r="L43" s="654"/>
      <c r="M43" s="654"/>
      <c r="N43" s="654"/>
      <c r="O43" s="654"/>
      <c r="P43" s="654"/>
      <c r="Q43" s="654"/>
      <c r="R43" s="654"/>
      <c r="S43" s="654"/>
      <c r="T43" s="654"/>
      <c r="U43" s="654"/>
      <c r="V43" s="654"/>
      <c r="W43" s="654"/>
      <c r="X43" s="654"/>
      <c r="Y43" s="654"/>
    </row>
    <row r="44" spans="3:25" x14ac:dyDescent="0.2">
      <c r="C44" s="17" t="s">
        <v>381</v>
      </c>
      <c r="D44" s="17">
        <v>0</v>
      </c>
      <c r="E44" s="17">
        <v>0</v>
      </c>
      <c r="F44" s="17">
        <v>0</v>
      </c>
      <c r="G44" s="17">
        <v>0</v>
      </c>
      <c r="H44" s="17">
        <v>0</v>
      </c>
      <c r="K44" s="654"/>
      <c r="L44" s="654"/>
      <c r="M44" s="654"/>
      <c r="N44" s="654"/>
      <c r="O44" s="654"/>
      <c r="P44" s="654"/>
      <c r="Q44" s="654"/>
      <c r="R44" s="654"/>
      <c r="S44" s="654"/>
      <c r="T44" s="654"/>
      <c r="U44" s="654"/>
      <c r="V44" s="654"/>
      <c r="W44" s="654"/>
      <c r="X44" s="654"/>
      <c r="Y44" s="654"/>
    </row>
    <row r="45" spans="3:25" x14ac:dyDescent="0.2">
      <c r="C45" s="17" t="s">
        <v>9117</v>
      </c>
      <c r="D45" s="17">
        <v>0</v>
      </c>
      <c r="E45" s="17">
        <v>0</v>
      </c>
      <c r="F45" s="17">
        <v>0</v>
      </c>
      <c r="G45" s="17">
        <v>0</v>
      </c>
      <c r="H45" s="17">
        <v>0</v>
      </c>
      <c r="K45" s="654"/>
      <c r="L45" s="654"/>
      <c r="M45" s="654"/>
      <c r="N45" s="654"/>
      <c r="O45" s="654"/>
      <c r="P45" s="654"/>
      <c r="Q45" s="654"/>
      <c r="R45" s="654"/>
      <c r="S45" s="654"/>
      <c r="T45" s="654"/>
      <c r="U45" s="654"/>
      <c r="V45" s="654"/>
      <c r="W45" s="654"/>
      <c r="X45" s="654"/>
      <c r="Y45" s="654"/>
    </row>
    <row r="46" spans="3:25" x14ac:dyDescent="0.2">
      <c r="C46" s="17" t="s">
        <v>387</v>
      </c>
      <c r="D46" s="17">
        <v>0</v>
      </c>
      <c r="E46" s="17">
        <v>0</v>
      </c>
      <c r="F46" s="17">
        <v>0</v>
      </c>
      <c r="G46" s="17">
        <v>0</v>
      </c>
      <c r="H46" s="17">
        <v>0</v>
      </c>
      <c r="K46" s="654"/>
      <c r="L46" s="654"/>
      <c r="M46" s="654"/>
      <c r="N46" s="654"/>
      <c r="O46" s="654"/>
      <c r="P46" s="654"/>
      <c r="Q46" s="654"/>
      <c r="R46" s="654"/>
      <c r="S46" s="654"/>
      <c r="T46" s="654"/>
      <c r="U46" s="654"/>
      <c r="V46" s="654"/>
      <c r="W46" s="654"/>
      <c r="X46" s="654"/>
      <c r="Y46" s="654"/>
    </row>
    <row r="47" spans="3:25" x14ac:dyDescent="0.2">
      <c r="C47" s="17" t="s">
        <v>389</v>
      </c>
      <c r="D47" s="17">
        <v>0</v>
      </c>
      <c r="E47" s="17">
        <v>0</v>
      </c>
      <c r="F47" s="17">
        <v>0</v>
      </c>
      <c r="G47" s="17">
        <v>0</v>
      </c>
      <c r="H47" s="17">
        <v>0</v>
      </c>
      <c r="K47" s="654"/>
      <c r="L47" s="654"/>
      <c r="M47" s="654"/>
      <c r="N47" s="654"/>
      <c r="O47" s="654"/>
      <c r="P47" s="654"/>
      <c r="Q47" s="654"/>
      <c r="R47" s="654"/>
      <c r="S47" s="654"/>
      <c r="T47" s="654"/>
      <c r="U47" s="654"/>
      <c r="V47" s="654"/>
      <c r="W47" s="654"/>
      <c r="X47" s="654"/>
      <c r="Y47" s="654"/>
    </row>
    <row r="48" spans="3:25" x14ac:dyDescent="0.2">
      <c r="C48" s="17" t="s">
        <v>390</v>
      </c>
      <c r="D48" s="17">
        <v>0</v>
      </c>
      <c r="E48" s="17">
        <v>0</v>
      </c>
      <c r="F48" s="17">
        <v>0</v>
      </c>
      <c r="G48" s="17">
        <v>0</v>
      </c>
      <c r="H48" s="17">
        <v>0</v>
      </c>
      <c r="K48" s="654"/>
      <c r="L48" s="654"/>
      <c r="M48" s="654"/>
      <c r="N48" s="654"/>
      <c r="O48" s="654"/>
      <c r="P48" s="654"/>
      <c r="Q48" s="654"/>
      <c r="R48" s="654"/>
      <c r="S48" s="654"/>
      <c r="T48" s="654"/>
      <c r="U48" s="654"/>
      <c r="V48" s="654"/>
      <c r="W48" s="654"/>
      <c r="X48" s="654"/>
      <c r="Y48" s="654"/>
    </row>
    <row r="49" spans="3:25" x14ac:dyDescent="0.2">
      <c r="C49" s="17" t="s">
        <v>9118</v>
      </c>
      <c r="D49" s="17">
        <v>0</v>
      </c>
      <c r="E49" s="17">
        <v>0</v>
      </c>
      <c r="F49" s="17">
        <v>0</v>
      </c>
      <c r="G49" s="17">
        <v>0</v>
      </c>
      <c r="H49" s="17">
        <v>0</v>
      </c>
      <c r="K49" s="654"/>
      <c r="L49" s="654"/>
      <c r="M49" s="654"/>
      <c r="N49" s="654"/>
      <c r="O49" s="654"/>
      <c r="P49" s="654"/>
      <c r="Q49" s="654"/>
      <c r="R49" s="654"/>
      <c r="S49" s="654"/>
      <c r="T49" s="654"/>
      <c r="U49" s="654"/>
      <c r="V49" s="654"/>
      <c r="W49" s="654"/>
      <c r="X49" s="654"/>
      <c r="Y49" s="654"/>
    </row>
    <row r="50" spans="3:25" x14ac:dyDescent="0.2">
      <c r="C50" s="17" t="s">
        <v>392</v>
      </c>
      <c r="D50" s="17">
        <v>0</v>
      </c>
      <c r="E50" s="17">
        <v>0</v>
      </c>
      <c r="F50" s="17">
        <v>0</v>
      </c>
      <c r="G50" s="17">
        <v>0</v>
      </c>
      <c r="H50" s="17">
        <v>0</v>
      </c>
    </row>
    <row r="51" spans="3:25" x14ac:dyDescent="0.2">
      <c r="C51" s="17" t="s">
        <v>393</v>
      </c>
      <c r="D51" s="17">
        <v>0</v>
      </c>
      <c r="E51" s="17">
        <v>0</v>
      </c>
      <c r="F51" s="17">
        <v>0</v>
      </c>
      <c r="G51" s="17">
        <v>0</v>
      </c>
      <c r="H51" s="17">
        <v>0</v>
      </c>
    </row>
    <row r="52" spans="3:25" x14ac:dyDescent="0.2">
      <c r="C52" s="17" t="s">
        <v>394</v>
      </c>
      <c r="D52" s="17">
        <v>0</v>
      </c>
      <c r="E52" s="17">
        <v>0</v>
      </c>
      <c r="F52" s="17">
        <v>0</v>
      </c>
      <c r="G52" s="17">
        <v>0</v>
      </c>
      <c r="H52" s="17">
        <v>0</v>
      </c>
    </row>
    <row r="53" spans="3:25" x14ac:dyDescent="0.2">
      <c r="C53" s="17" t="s">
        <v>395</v>
      </c>
      <c r="D53" s="17">
        <v>0</v>
      </c>
      <c r="E53" s="17">
        <v>0</v>
      </c>
      <c r="F53" s="17">
        <v>0</v>
      </c>
      <c r="G53" s="17">
        <v>0</v>
      </c>
      <c r="H53" s="17">
        <v>0</v>
      </c>
    </row>
    <row r="54" spans="3:25" x14ac:dyDescent="0.2">
      <c r="C54" s="17" t="s">
        <v>396</v>
      </c>
      <c r="D54" s="17">
        <v>0</v>
      </c>
      <c r="E54" s="17">
        <v>0</v>
      </c>
      <c r="F54" s="17">
        <v>0</v>
      </c>
      <c r="G54" s="17">
        <v>0</v>
      </c>
      <c r="H54" s="17">
        <v>0</v>
      </c>
    </row>
    <row r="55" spans="3:25" x14ac:dyDescent="0.2">
      <c r="C55" s="17" t="s">
        <v>398</v>
      </c>
      <c r="D55" s="17">
        <v>0</v>
      </c>
      <c r="E55" s="17">
        <v>0</v>
      </c>
      <c r="F55" s="17">
        <v>0</v>
      </c>
      <c r="G55" s="17">
        <v>0</v>
      </c>
      <c r="H55" s="17">
        <v>0</v>
      </c>
    </row>
    <row r="56" spans="3:25" x14ac:dyDescent="0.2">
      <c r="C56" s="17" t="s">
        <v>400</v>
      </c>
      <c r="D56" s="17">
        <v>0</v>
      </c>
      <c r="E56" s="17">
        <v>0</v>
      </c>
      <c r="F56" s="17">
        <v>0</v>
      </c>
      <c r="G56" s="17">
        <v>0</v>
      </c>
      <c r="H56" s="17">
        <v>0</v>
      </c>
    </row>
    <row r="57" spans="3:25" x14ac:dyDescent="0.2">
      <c r="C57" s="17" t="s">
        <v>401</v>
      </c>
      <c r="D57" s="17">
        <v>0</v>
      </c>
      <c r="E57" s="17">
        <v>0</v>
      </c>
      <c r="F57" s="17">
        <v>0</v>
      </c>
      <c r="G57" s="17">
        <v>0</v>
      </c>
      <c r="H57" s="17">
        <v>0</v>
      </c>
    </row>
    <row r="58" spans="3:25" x14ac:dyDescent="0.2">
      <c r="C58" s="17" t="s">
        <v>402</v>
      </c>
      <c r="D58" s="17">
        <v>0</v>
      </c>
      <c r="E58" s="17">
        <v>0</v>
      </c>
      <c r="F58" s="17">
        <v>0</v>
      </c>
      <c r="G58" s="17">
        <v>0</v>
      </c>
      <c r="H58" s="17">
        <v>0</v>
      </c>
    </row>
    <row r="59" spans="3:25" x14ac:dyDescent="0.2">
      <c r="C59" s="17" t="s">
        <v>403</v>
      </c>
      <c r="D59" s="17">
        <v>0</v>
      </c>
      <c r="E59" s="17">
        <v>0</v>
      </c>
      <c r="F59" s="17">
        <v>0</v>
      </c>
      <c r="G59" s="17">
        <v>0</v>
      </c>
      <c r="H59" s="17">
        <v>0</v>
      </c>
    </row>
    <row r="60" spans="3:25" x14ac:dyDescent="0.2">
      <c r="C60" s="17" t="s">
        <v>406</v>
      </c>
      <c r="D60" s="17">
        <v>0</v>
      </c>
      <c r="E60" s="17">
        <v>0</v>
      </c>
      <c r="F60" s="17">
        <v>0</v>
      </c>
      <c r="G60" s="17">
        <v>0</v>
      </c>
      <c r="H60" s="17">
        <v>0</v>
      </c>
    </row>
    <row r="61" spans="3:25" x14ac:dyDescent="0.2">
      <c r="C61" s="17" t="s">
        <v>410</v>
      </c>
      <c r="D61" s="17">
        <v>0</v>
      </c>
      <c r="E61" s="17">
        <v>0</v>
      </c>
      <c r="F61" s="17">
        <v>0</v>
      </c>
      <c r="G61" s="17">
        <v>0</v>
      </c>
      <c r="H61" s="17">
        <v>0</v>
      </c>
    </row>
    <row r="62" spans="3:25" x14ac:dyDescent="0.2">
      <c r="C62" s="17" t="s">
        <v>413</v>
      </c>
      <c r="D62" s="17">
        <v>0</v>
      </c>
      <c r="E62" s="17">
        <v>0</v>
      </c>
      <c r="F62" s="17">
        <v>0</v>
      </c>
      <c r="G62" s="17">
        <v>0</v>
      </c>
      <c r="H62" s="17">
        <v>0</v>
      </c>
    </row>
    <row r="63" spans="3:25" x14ac:dyDescent="0.2">
      <c r="C63" s="17" t="s">
        <v>9119</v>
      </c>
      <c r="D63" s="17">
        <v>0</v>
      </c>
      <c r="E63" s="17">
        <v>0</v>
      </c>
      <c r="F63" s="17">
        <v>0</v>
      </c>
      <c r="G63" s="17">
        <v>0</v>
      </c>
      <c r="H63" s="17">
        <v>0</v>
      </c>
    </row>
    <row r="64" spans="3:25" x14ac:dyDescent="0.2">
      <c r="C64" s="17" t="s">
        <v>416</v>
      </c>
      <c r="D64" s="17">
        <v>0</v>
      </c>
      <c r="E64" s="17">
        <v>0</v>
      </c>
      <c r="F64" s="17">
        <v>0</v>
      </c>
      <c r="G64" s="17">
        <v>0</v>
      </c>
      <c r="H64" s="17">
        <v>0</v>
      </c>
    </row>
    <row r="65" spans="3:8" x14ac:dyDescent="0.2">
      <c r="C65" s="17" t="s">
        <v>417</v>
      </c>
      <c r="D65" s="17">
        <v>0</v>
      </c>
      <c r="E65" s="17">
        <v>0</v>
      </c>
      <c r="F65" s="17">
        <v>0</v>
      </c>
      <c r="G65" s="17">
        <v>0</v>
      </c>
      <c r="H65" s="17">
        <v>0</v>
      </c>
    </row>
    <row r="66" spans="3:8" x14ac:dyDescent="0.2">
      <c r="C66" s="17" t="s">
        <v>418</v>
      </c>
      <c r="D66" s="17">
        <v>0</v>
      </c>
      <c r="E66" s="17">
        <v>0</v>
      </c>
      <c r="F66" s="17">
        <v>0</v>
      </c>
      <c r="G66" s="17">
        <v>0</v>
      </c>
      <c r="H66" s="17">
        <v>0</v>
      </c>
    </row>
    <row r="67" spans="3:8" x14ac:dyDescent="0.2">
      <c r="C67" s="17" t="s">
        <v>419</v>
      </c>
      <c r="D67" s="17">
        <v>0</v>
      </c>
      <c r="E67" s="17">
        <v>0</v>
      </c>
      <c r="F67" s="17">
        <v>0</v>
      </c>
      <c r="G67" s="17">
        <v>0</v>
      </c>
      <c r="H67" s="17">
        <v>0</v>
      </c>
    </row>
    <row r="68" spans="3:8" x14ac:dyDescent="0.2">
      <c r="C68" s="17" t="s">
        <v>420</v>
      </c>
      <c r="D68" s="17">
        <v>0</v>
      </c>
      <c r="E68" s="17">
        <v>0</v>
      </c>
      <c r="F68" s="17">
        <v>0</v>
      </c>
      <c r="G68" s="17">
        <v>0</v>
      </c>
      <c r="H68" s="17">
        <v>0</v>
      </c>
    </row>
    <row r="69" spans="3:8" x14ac:dyDescent="0.2">
      <c r="C69" s="17" t="s">
        <v>426</v>
      </c>
      <c r="D69" s="17">
        <v>0</v>
      </c>
      <c r="E69" s="17">
        <v>0</v>
      </c>
      <c r="F69" s="17">
        <v>0</v>
      </c>
      <c r="G69" s="17">
        <v>0</v>
      </c>
      <c r="H69" s="17">
        <v>0</v>
      </c>
    </row>
    <row r="70" spans="3:8" x14ac:dyDescent="0.2">
      <c r="C70" s="17" t="s">
        <v>430</v>
      </c>
      <c r="D70" s="17">
        <v>0</v>
      </c>
      <c r="E70" s="17">
        <v>0</v>
      </c>
      <c r="F70" s="17">
        <v>0</v>
      </c>
      <c r="G70" s="17">
        <v>0</v>
      </c>
      <c r="H70" s="17">
        <v>0</v>
      </c>
    </row>
    <row r="71" spans="3:8" x14ac:dyDescent="0.2">
      <c r="C71" s="17" t="s">
        <v>432</v>
      </c>
      <c r="D71" s="17">
        <v>0</v>
      </c>
      <c r="E71" s="17">
        <v>0</v>
      </c>
      <c r="F71" s="17">
        <v>0</v>
      </c>
      <c r="G71" s="17">
        <v>0</v>
      </c>
      <c r="H71" s="17">
        <v>0</v>
      </c>
    </row>
    <row r="72" spans="3:8" x14ac:dyDescent="0.2">
      <c r="C72" s="17" t="s">
        <v>434</v>
      </c>
      <c r="D72" s="17">
        <v>0</v>
      </c>
      <c r="E72" s="17">
        <v>0</v>
      </c>
      <c r="F72" s="17">
        <v>0</v>
      </c>
      <c r="G72" s="17">
        <v>0</v>
      </c>
      <c r="H72" s="17">
        <v>0</v>
      </c>
    </row>
    <row r="73" spans="3:8" x14ac:dyDescent="0.2">
      <c r="C73" s="17" t="s">
        <v>435</v>
      </c>
      <c r="D73" s="17">
        <v>0</v>
      </c>
      <c r="E73" s="17">
        <v>0</v>
      </c>
      <c r="F73" s="17">
        <v>0</v>
      </c>
      <c r="G73" s="17">
        <v>0</v>
      </c>
      <c r="H73" s="17">
        <v>0</v>
      </c>
    </row>
    <row r="74" spans="3:8" x14ac:dyDescent="0.2">
      <c r="C74" s="17" t="s">
        <v>436</v>
      </c>
      <c r="D74" s="17">
        <v>0</v>
      </c>
      <c r="E74" s="17">
        <v>0</v>
      </c>
      <c r="F74" s="17">
        <v>0</v>
      </c>
      <c r="G74" s="17">
        <v>0</v>
      </c>
      <c r="H74" s="17">
        <v>0</v>
      </c>
    </row>
    <row r="75" spans="3:8" x14ac:dyDescent="0.2">
      <c r="C75" s="17" t="s">
        <v>437</v>
      </c>
      <c r="D75" s="17">
        <v>0</v>
      </c>
      <c r="E75" s="17">
        <v>0</v>
      </c>
      <c r="F75" s="17">
        <v>0</v>
      </c>
      <c r="G75" s="17">
        <v>0</v>
      </c>
      <c r="H75" s="17">
        <v>0</v>
      </c>
    </row>
    <row r="76" spans="3:8" x14ac:dyDescent="0.2">
      <c r="C76" s="17" t="s">
        <v>439</v>
      </c>
      <c r="D76" s="17">
        <v>0</v>
      </c>
      <c r="E76" s="17">
        <v>0</v>
      </c>
      <c r="F76" s="17">
        <v>0</v>
      </c>
      <c r="G76" s="17">
        <v>0</v>
      </c>
      <c r="H76" s="17">
        <v>0</v>
      </c>
    </row>
    <row r="77" spans="3:8" x14ac:dyDescent="0.2">
      <c r="C77" s="17" t="s">
        <v>440</v>
      </c>
      <c r="D77" s="17">
        <v>0</v>
      </c>
      <c r="E77" s="17">
        <v>0</v>
      </c>
      <c r="F77" s="17">
        <v>0</v>
      </c>
      <c r="G77" s="17">
        <v>0</v>
      </c>
      <c r="H77" s="17">
        <v>0</v>
      </c>
    </row>
    <row r="78" spans="3:8" x14ac:dyDescent="0.2">
      <c r="C78" s="17" t="s">
        <v>441</v>
      </c>
      <c r="D78" s="17">
        <v>0</v>
      </c>
      <c r="E78" s="17">
        <v>0</v>
      </c>
      <c r="F78" s="17">
        <v>0</v>
      </c>
      <c r="G78" s="17">
        <v>0</v>
      </c>
      <c r="H78" s="17">
        <v>0</v>
      </c>
    </row>
    <row r="79" spans="3:8" x14ac:dyDescent="0.2">
      <c r="C79" s="17" t="s">
        <v>444</v>
      </c>
      <c r="D79" s="17">
        <v>0</v>
      </c>
      <c r="E79" s="17">
        <v>0</v>
      </c>
      <c r="F79" s="17">
        <v>0</v>
      </c>
      <c r="G79" s="17">
        <v>0</v>
      </c>
      <c r="H79" s="17">
        <v>0</v>
      </c>
    </row>
    <row r="80" spans="3:8" x14ac:dyDescent="0.2">
      <c r="C80" s="17" t="s">
        <v>445</v>
      </c>
      <c r="D80" s="17">
        <v>0</v>
      </c>
      <c r="E80" s="17">
        <v>0</v>
      </c>
      <c r="F80" s="17">
        <v>0</v>
      </c>
      <c r="G80" s="17">
        <v>0</v>
      </c>
      <c r="H80" s="17">
        <v>0</v>
      </c>
    </row>
    <row r="81" spans="3:8" x14ac:dyDescent="0.2">
      <c r="C81" s="17" t="s">
        <v>446</v>
      </c>
      <c r="D81" s="17">
        <v>0</v>
      </c>
      <c r="E81" s="17">
        <v>0</v>
      </c>
      <c r="F81" s="17">
        <v>0</v>
      </c>
      <c r="G81" s="17">
        <v>0</v>
      </c>
      <c r="H81" s="17">
        <v>0</v>
      </c>
    </row>
    <row r="82" spans="3:8" x14ac:dyDescent="0.2">
      <c r="C82" s="17" t="s">
        <v>447</v>
      </c>
      <c r="D82" s="17">
        <v>0</v>
      </c>
      <c r="E82" s="17">
        <v>0</v>
      </c>
      <c r="F82" s="17">
        <v>0</v>
      </c>
      <c r="G82" s="17">
        <v>0</v>
      </c>
      <c r="H82" s="17">
        <v>0</v>
      </c>
    </row>
    <row r="83" spans="3:8" x14ac:dyDescent="0.2">
      <c r="C83" s="17" t="s">
        <v>448</v>
      </c>
      <c r="D83" s="17">
        <v>0</v>
      </c>
      <c r="E83" s="17">
        <v>0</v>
      </c>
      <c r="F83" s="17">
        <v>0</v>
      </c>
      <c r="G83" s="17">
        <v>0</v>
      </c>
      <c r="H83" s="17">
        <v>0</v>
      </c>
    </row>
    <row r="84" spans="3:8" x14ac:dyDescent="0.2">
      <c r="C84" s="17" t="s">
        <v>453</v>
      </c>
      <c r="D84" s="17">
        <v>0</v>
      </c>
      <c r="E84" s="17">
        <v>0</v>
      </c>
      <c r="F84" s="17">
        <v>0</v>
      </c>
      <c r="G84" s="17">
        <v>0</v>
      </c>
      <c r="H84" s="17">
        <v>0</v>
      </c>
    </row>
    <row r="85" spans="3:8" x14ac:dyDescent="0.2">
      <c r="C85" s="17" t="s">
        <v>455</v>
      </c>
      <c r="D85" s="17">
        <v>0</v>
      </c>
      <c r="E85" s="17">
        <v>0</v>
      </c>
      <c r="F85" s="17">
        <v>0</v>
      </c>
      <c r="G85" s="17">
        <v>0</v>
      </c>
      <c r="H85" s="17">
        <v>0</v>
      </c>
    </row>
    <row r="86" spans="3:8" x14ac:dyDescent="0.2">
      <c r="C86" s="17" t="s">
        <v>456</v>
      </c>
      <c r="D86" s="17">
        <v>0</v>
      </c>
      <c r="E86" s="17">
        <v>0</v>
      </c>
      <c r="F86" s="17">
        <v>0</v>
      </c>
      <c r="G86" s="17">
        <v>0</v>
      </c>
      <c r="H86" s="17">
        <v>0</v>
      </c>
    </row>
    <row r="87" spans="3:8" x14ac:dyDescent="0.2">
      <c r="C87" s="17" t="s">
        <v>457</v>
      </c>
      <c r="D87" s="17">
        <v>0</v>
      </c>
      <c r="E87" s="17">
        <v>0</v>
      </c>
      <c r="F87" s="17">
        <v>0</v>
      </c>
      <c r="G87" s="17">
        <v>0</v>
      </c>
      <c r="H87" s="17">
        <v>0</v>
      </c>
    </row>
    <row r="88" spans="3:8" x14ac:dyDescent="0.2">
      <c r="C88" s="17" t="s">
        <v>458</v>
      </c>
      <c r="D88" s="17">
        <v>0</v>
      </c>
      <c r="E88" s="17">
        <v>0</v>
      </c>
      <c r="F88" s="17">
        <v>0</v>
      </c>
      <c r="G88" s="17">
        <v>0</v>
      </c>
      <c r="H88" s="17">
        <v>0</v>
      </c>
    </row>
    <row r="89" spans="3:8" x14ac:dyDescent="0.2">
      <c r="C89" s="17" t="s">
        <v>460</v>
      </c>
      <c r="D89" s="17">
        <v>0</v>
      </c>
      <c r="E89" s="17">
        <v>0</v>
      </c>
      <c r="F89" s="17">
        <v>0</v>
      </c>
      <c r="G89" s="17">
        <v>0</v>
      </c>
      <c r="H89" s="17">
        <v>0</v>
      </c>
    </row>
    <row r="92" spans="3:8" ht="51" x14ac:dyDescent="0.2">
      <c r="C92" s="17" t="s">
        <v>12</v>
      </c>
      <c r="D92" s="19" t="s">
        <v>9475</v>
      </c>
    </row>
    <row r="93" spans="3:8" x14ac:dyDescent="0.2">
      <c r="C93" s="17" t="s">
        <v>384</v>
      </c>
      <c r="D93" s="17">
        <v>1</v>
      </c>
    </row>
    <row r="94" spans="3:8" x14ac:dyDescent="0.2">
      <c r="C94" s="17" t="s">
        <v>388</v>
      </c>
      <c r="D94" s="17">
        <v>1</v>
      </c>
    </row>
    <row r="95" spans="3:8" x14ac:dyDescent="0.2">
      <c r="C95" s="17" t="s">
        <v>409</v>
      </c>
      <c r="D95" s="17">
        <v>1</v>
      </c>
    </row>
    <row r="96" spans="3:8" x14ac:dyDescent="0.2">
      <c r="C96" s="17" t="s">
        <v>412</v>
      </c>
      <c r="D96" s="17">
        <v>1</v>
      </c>
    </row>
    <row r="97" spans="3:4" x14ac:dyDescent="0.2">
      <c r="C97" s="17" t="s">
        <v>423</v>
      </c>
      <c r="D97" s="17">
        <v>1</v>
      </c>
    </row>
    <row r="98" spans="3:4" x14ac:dyDescent="0.2">
      <c r="C98" s="17" t="s">
        <v>427</v>
      </c>
      <c r="D98" s="17">
        <v>1</v>
      </c>
    </row>
    <row r="99" spans="3:4" x14ac:dyDescent="0.2">
      <c r="C99" s="17" t="s">
        <v>431</v>
      </c>
      <c r="D99" s="17">
        <v>1</v>
      </c>
    </row>
    <row r="100" spans="3:4" x14ac:dyDescent="0.2">
      <c r="C100" s="17" t="s">
        <v>443</v>
      </c>
      <c r="D100" s="17">
        <v>1</v>
      </c>
    </row>
    <row r="101" spans="3:4" x14ac:dyDescent="0.2">
      <c r="C101" s="17" t="s">
        <v>449</v>
      </c>
      <c r="D101" s="17">
        <v>1</v>
      </c>
    </row>
    <row r="102" spans="3:4" x14ac:dyDescent="0.2">
      <c r="C102" s="17" t="s">
        <v>450</v>
      </c>
      <c r="D102" s="17">
        <v>1</v>
      </c>
    </row>
    <row r="103" spans="3:4" x14ac:dyDescent="0.2">
      <c r="C103" s="17" t="s">
        <v>380</v>
      </c>
      <c r="D103" s="17">
        <v>2</v>
      </c>
    </row>
    <row r="104" spans="3:4" x14ac:dyDescent="0.2">
      <c r="C104" s="17" t="s">
        <v>397</v>
      </c>
      <c r="D104" s="17">
        <v>2</v>
      </c>
    </row>
    <row r="105" spans="3:4" x14ac:dyDescent="0.2">
      <c r="C105" s="17" t="s">
        <v>414</v>
      </c>
      <c r="D105" s="17">
        <v>2</v>
      </c>
    </row>
    <row r="106" spans="3:4" x14ac:dyDescent="0.2">
      <c r="C106" s="17" t="s">
        <v>452</v>
      </c>
      <c r="D106" s="17">
        <v>2</v>
      </c>
    </row>
    <row r="107" spans="3:4" x14ac:dyDescent="0.2">
      <c r="C107" s="17" t="s">
        <v>386</v>
      </c>
      <c r="D107" s="17">
        <v>3</v>
      </c>
    </row>
    <row r="108" spans="3:4" x14ac:dyDescent="0.2">
      <c r="C108" s="17" t="s">
        <v>404</v>
      </c>
      <c r="D108" s="17">
        <v>3</v>
      </c>
    </row>
    <row r="109" spans="3:4" x14ac:dyDescent="0.2">
      <c r="C109" s="17" t="s">
        <v>411</v>
      </c>
      <c r="D109" s="17">
        <v>3</v>
      </c>
    </row>
    <row r="110" spans="3:4" x14ac:dyDescent="0.2">
      <c r="C110" s="17" t="s">
        <v>424</v>
      </c>
      <c r="D110" s="17">
        <v>3</v>
      </c>
    </row>
    <row r="111" spans="3:4" x14ac:dyDescent="0.2">
      <c r="C111" s="17" t="s">
        <v>382</v>
      </c>
      <c r="D111" s="17">
        <v>4</v>
      </c>
    </row>
    <row r="112" spans="3:4" x14ac:dyDescent="0.2">
      <c r="C112" s="17" t="s">
        <v>399</v>
      </c>
      <c r="D112" s="17">
        <v>4</v>
      </c>
    </row>
    <row r="113" spans="3:4" x14ac:dyDescent="0.2">
      <c r="C113" s="17" t="s">
        <v>408</v>
      </c>
      <c r="D113" s="17">
        <v>4</v>
      </c>
    </row>
    <row r="114" spans="3:4" x14ac:dyDescent="0.2">
      <c r="C114" s="17" t="s">
        <v>428</v>
      </c>
      <c r="D114" s="17">
        <v>4</v>
      </c>
    </row>
    <row r="115" spans="3:4" x14ac:dyDescent="0.2">
      <c r="C115" s="17" t="s">
        <v>429</v>
      </c>
      <c r="D115" s="17">
        <v>4</v>
      </c>
    </row>
    <row r="116" spans="3:4" x14ac:dyDescent="0.2">
      <c r="C116" s="17" t="s">
        <v>422</v>
      </c>
      <c r="D116" s="17">
        <v>5</v>
      </c>
    </row>
    <row r="117" spans="3:4" x14ac:dyDescent="0.2">
      <c r="C117" s="17" t="s">
        <v>438</v>
      </c>
      <c r="D117" s="17">
        <v>6</v>
      </c>
    </row>
    <row r="118" spans="3:4" x14ac:dyDescent="0.2">
      <c r="C118" s="17" t="s">
        <v>421</v>
      </c>
      <c r="D118" s="17">
        <v>7</v>
      </c>
    </row>
    <row r="119" spans="3:4" x14ac:dyDescent="0.2">
      <c r="C119" s="17" t="s">
        <v>383</v>
      </c>
      <c r="D119" s="17">
        <v>8</v>
      </c>
    </row>
    <row r="120" spans="3:4" x14ac:dyDescent="0.2">
      <c r="C120" s="17" t="s">
        <v>451</v>
      </c>
      <c r="D120" s="17">
        <v>13</v>
      </c>
    </row>
    <row r="121" spans="3:4" x14ac:dyDescent="0.2">
      <c r="C121" s="17" t="s">
        <v>459</v>
      </c>
      <c r="D121" s="17">
        <v>13</v>
      </c>
    </row>
    <row r="122" spans="3:4" x14ac:dyDescent="0.2">
      <c r="C122" s="17" t="s">
        <v>454</v>
      </c>
      <c r="D122" s="17">
        <v>19</v>
      </c>
    </row>
    <row r="123" spans="3:4" x14ac:dyDescent="0.2">
      <c r="C123" s="17" t="s">
        <v>405</v>
      </c>
      <c r="D123" s="17">
        <v>20</v>
      </c>
    </row>
    <row r="124" spans="3:4" x14ac:dyDescent="0.2">
      <c r="C124" s="17" t="s">
        <v>442</v>
      </c>
      <c r="D124" s="17">
        <v>25</v>
      </c>
    </row>
    <row r="125" spans="3:4" x14ac:dyDescent="0.2">
      <c r="C125" s="17" t="s">
        <v>425</v>
      </c>
      <c r="D125" s="17">
        <v>32</v>
      </c>
    </row>
    <row r="126" spans="3:4" x14ac:dyDescent="0.2">
      <c r="C126" s="17" t="s">
        <v>433</v>
      </c>
      <c r="D126" s="17">
        <v>40</v>
      </c>
    </row>
    <row r="127" spans="3:4" x14ac:dyDescent="0.2">
      <c r="C127" s="17" t="s">
        <v>407</v>
      </c>
      <c r="D127" s="17">
        <v>60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7</vt:i4>
      </vt:variant>
    </vt:vector>
  </HeadingPairs>
  <TitlesOfParts>
    <vt:vector size="7" baseType="lpstr">
      <vt:lpstr>Практики субъектов</vt:lpstr>
      <vt:lpstr>Практики МО</vt:lpstr>
      <vt:lpstr>Свод</vt:lpstr>
      <vt:lpstr>Расчеты</vt:lpstr>
      <vt:lpstr>Таблицы</vt:lpstr>
      <vt:lpstr>Федер округа</vt:lpstr>
      <vt:lpstr>Мун практики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Паксиваткина Валерия Александровна</dc:creator>
  <cp:lastModifiedBy>Паксиваткина Валерия Александровна</cp:lastModifiedBy>
  <dcterms:created xsi:type="dcterms:W3CDTF">2023-04-10T12:11:16Z</dcterms:created>
  <dcterms:modified xsi:type="dcterms:W3CDTF">2023-10-17T09:30:43Z</dcterms:modified>
</cp:coreProperties>
</file>